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8800" windowHeight="141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310 (2)_5...3d931dee_QNK8R2" sheetId="17" state="hidden" r:id="rId13"/>
    <sheet name="OSR_300 &amp; 317_1C00ID4" sheetId="19" state="hidden" r:id="rId14"/>
    <sheet name="OSR_300 (2)_...6aa5a22d_14M6XO4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...853a34aa_1UNC34K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)...32d16c57_IVJ1QO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2" sheetId="65" r:id="rId52"/>
    <sheet name="306" sheetId="68" r:id="rId53"/>
    <sheet name="330" sheetId="24" r:id="rId54"/>
    <sheet name="307" sheetId="69" r:id="rId55"/>
    <sheet name="314" sheetId="74" r:id="rId56"/>
    <sheet name="308" sheetId="27" r:id="rId57"/>
    <sheet name="311" sheetId="71" r:id="rId58"/>
    <sheet name="324" sheetId="83" r:id="rId59"/>
    <sheet name="312" sheetId="72" r:id="rId60"/>
    <sheet name="331" sheetId="30" r:id="rId61"/>
    <sheet name="315" sheetId="75" r:id="rId62"/>
    <sheet name="326" sheetId="85" r:id="rId63"/>
    <sheet name="332" sheetId="33" r:id="rId64"/>
    <sheet name="316" sheetId="76" r:id="rId65"/>
    <sheet name="320" sheetId="79" r:id="rId66"/>
    <sheet name="Div 6" sheetId="51" r:id="rId67"/>
    <sheet name="317" sheetId="77" r:id="rId68"/>
    <sheet name="310" sheetId="21" r:id="rId69"/>
    <sheet name="309" sheetId="70" r:id="rId70"/>
    <sheet name="313" sheetId="73" r:id="rId71"/>
    <sheet name="321" sheetId="80" r:id="rId72"/>
    <sheet name="322" sheetId="81" r:id="rId73"/>
    <sheet name="325" sheetId="84" r:id="rId74"/>
    <sheet name="327" sheetId="86" r:id="rId75"/>
    <sheet name="Div 4" sheetId="36" r:id="rId76"/>
    <sheet name="310 &amp; 491" sheetId="39" r:id="rId77"/>
    <sheet name="491" sheetId="42" r:id="rId78"/>
    <sheet name="405" sheetId="88" r:id="rId79"/>
    <sheet name="406" sheetId="89" r:id="rId80"/>
    <sheet name="411" sheetId="92" r:id="rId81"/>
    <sheet name="412" sheetId="93" r:id="rId82"/>
    <sheet name="420" sheetId="99" r:id="rId83"/>
    <sheet name="413" sheetId="94" r:id="rId84"/>
    <sheet name="414" sheetId="95" r:id="rId85"/>
    <sheet name="415" sheetId="96" r:id="rId86"/>
    <sheet name="418" sheetId="98" r:id="rId87"/>
    <sheet name="423" sheetId="100" r:id="rId88"/>
    <sheet name="424" sheetId="101" r:id="rId89"/>
    <sheet name="425" sheetId="102" r:id="rId90"/>
    <sheet name="455" sheetId="109" r:id="rId91"/>
    <sheet name="492" sheetId="45" r:id="rId92"/>
    <sheet name="430" sheetId="103" r:id="rId93"/>
    <sheet name="433" sheetId="104" r:id="rId94"/>
    <sheet name="435" sheetId="105" r:id="rId95"/>
    <sheet name="444" sheetId="106" r:id="rId96"/>
    <sheet name="450" sheetId="108" r:id="rId97"/>
    <sheet name="Div 5" sheetId="48" r:id="rId98"/>
    <sheet name="501" sheetId="110" r:id="rId99"/>
    <sheet name="Dept" sheetId="111" state="hidden" r:id="rId100"/>
    <sheet name="OSR_Dept_Y0WUKY" sheetId="112" state="hidden" r:id="rId101"/>
    <sheet name="OSR_Summary (...56e5d78f_5JEYZH" sheetId="113" state="hidden" r:id="rId102"/>
  </sheets>
  <definedNames>
    <definedName name="OSRRefD13x_0" localSheetId="44">'204'!$D$13</definedName>
    <definedName name="OSRRefD13x_0" localSheetId="48">'300'!$D$13:$D$103</definedName>
    <definedName name="OSRRefD13x_0" localSheetId="49">'300 &amp; 317'!$D$13:$D$121</definedName>
    <definedName name="OSRRefD13x_0" localSheetId="54">'307'!$D$13:$D$44</definedName>
    <definedName name="OSRRefD13x_0" localSheetId="56">'308'!$D$13:$D$40</definedName>
    <definedName name="OSRRefD13x_0" localSheetId="69">'309'!$D$13:$D$15</definedName>
    <definedName name="OSRRefD13x_0" localSheetId="68">'310'!$D$13:$D$23</definedName>
    <definedName name="OSRRefD13x_0" localSheetId="76">'310 &amp; 491'!$D$13:$D$30</definedName>
    <definedName name="OSRRefD13x_0" localSheetId="57">'311'!$D$13:$D$40</definedName>
    <definedName name="OSRRefD13x_0" localSheetId="70">'313'!$D$13:$D$19</definedName>
    <definedName name="OSRRefD13x_0" localSheetId="55">'314'!$D$13:$D$34</definedName>
    <definedName name="OSRRefD13x_0" localSheetId="61">'315'!$D$13:$D$33</definedName>
    <definedName name="OSRRefD13x_0" localSheetId="64">'316'!$D$13:$D$26</definedName>
    <definedName name="OSRRefD13x_0" localSheetId="67">'317'!$D$13:$D$38</definedName>
    <definedName name="OSRRefD13x_0" localSheetId="65">'320'!$D$13:$D$17</definedName>
    <definedName name="OSRRefD13x_0" localSheetId="71">'321'!$D$13:$D$15</definedName>
    <definedName name="OSRRefD13x_0" localSheetId="72">'322'!$D$13:$D$15</definedName>
    <definedName name="OSRRefD13x_0" localSheetId="58">'324'!$D$13:$D$15</definedName>
    <definedName name="OSRRefD13x_0" localSheetId="73">'325'!$D$13:$D$15</definedName>
    <definedName name="OSRRefD13x_0" localSheetId="62">'326'!$D$13:$D$33</definedName>
    <definedName name="OSRRefD13x_0" localSheetId="74">'327'!$D$13:$D$14</definedName>
    <definedName name="OSRRefD13x_0" localSheetId="53">'330'!$D$13:$D$49</definedName>
    <definedName name="OSRRefD13x_0" localSheetId="60">'331'!$D$13:$D$41</definedName>
    <definedName name="OSRRefD13x_0" localSheetId="63">'332'!$D$13:$D$29</definedName>
    <definedName name="OSRRefD13x_0" localSheetId="78">'405'!$D$13:$D$15</definedName>
    <definedName name="OSRRefD13x_0" localSheetId="79">'406'!$D$13:$D$16</definedName>
    <definedName name="OSRRefD13x_0" localSheetId="81">'412'!$D$13:$D$16</definedName>
    <definedName name="OSRRefD13x_0" localSheetId="83">'413'!$D$13:$D$16</definedName>
    <definedName name="OSRRefD13x_0" localSheetId="84">'414'!$D$13:$D$16</definedName>
    <definedName name="OSRRefD13x_0" localSheetId="85">'415'!$D$13:$D$15</definedName>
    <definedName name="OSRRefD13x_0" localSheetId="86">'418'!$D$13:$D$16</definedName>
    <definedName name="OSRRefD13x_0" localSheetId="82">'420'!$D$13:$D$14</definedName>
    <definedName name="OSRRefD13x_0" localSheetId="88">'424'!$D$13:$D$15</definedName>
    <definedName name="OSRRefD13x_0" localSheetId="89">'425'!$D$13:$D$17</definedName>
    <definedName name="OSRRefD13x_0" localSheetId="93">'433'!$D$13:$D$16</definedName>
    <definedName name="OSRRefD13x_0" localSheetId="94">'435'!$D$13:$D$16</definedName>
    <definedName name="OSRRefD13x_0" localSheetId="95">'444'!$D$13:$D$16</definedName>
    <definedName name="OSRRefD13x_0" localSheetId="96">'450'!$D$13:$D$16</definedName>
    <definedName name="OSRRefD13x_0" localSheetId="77">'491'!$D$13:$D$23</definedName>
    <definedName name="OSRRefD13x_0" localSheetId="91">'492'!$D$13:$D$18</definedName>
    <definedName name="OSRRefD13x_0" localSheetId="98">'501'!$D$13</definedName>
    <definedName name="OSRRefD13x_0" localSheetId="39">'Div 2'!$D$13</definedName>
    <definedName name="OSRRefD13x_0" localSheetId="47">'Div 3'!$D$13:$D$107</definedName>
    <definedName name="OSRRefD13x_0" localSheetId="75">'Div 4'!$D$13:$D$24</definedName>
    <definedName name="OSRRefD13x_0" localSheetId="97">'Div 5'!$D$13</definedName>
    <definedName name="OSRRefD13x_0" localSheetId="66">'Div 6'!$D$13:$D$38</definedName>
    <definedName name="OSRRefD13x_0" localSheetId="2">Summary!$D$13:$D$132</definedName>
    <definedName name="OSRRefD16x_0" localSheetId="48">'300'!$D$106:$D$156</definedName>
    <definedName name="OSRRefD16x_0" localSheetId="49">'300 &amp; 317'!$D$124:$D$181</definedName>
    <definedName name="OSRRefD16x_0" localSheetId="54">'307'!$D$47:$D$67</definedName>
    <definedName name="OSRRefD16x_0" localSheetId="56">'308'!$D$43:$D$59</definedName>
    <definedName name="OSRRefD16x_0" localSheetId="69">'309'!$D$18:$D$20</definedName>
    <definedName name="OSRRefD16x_0" localSheetId="68">'310'!$D$26:$D$28</definedName>
    <definedName name="OSRRefD16x_0" localSheetId="76">'310 &amp; 491'!$D$33:$D$35</definedName>
    <definedName name="OSRRefD16x_0" localSheetId="57">'311'!$D$43:$D$59</definedName>
    <definedName name="OSRRefD16x_0" localSheetId="70">'313'!$D$22:$D$24</definedName>
    <definedName name="OSRRefD16x_0" localSheetId="55">'314'!$D$37:$D$52</definedName>
    <definedName name="OSRRefD16x_0" localSheetId="61">'315'!$D$36:$D$51</definedName>
    <definedName name="OSRRefD16x_0" localSheetId="67">'317'!$D$41:$D$54</definedName>
    <definedName name="OSRRefD16x_0" localSheetId="65">'320'!$D$20:$D$25</definedName>
    <definedName name="OSRRefD16x_0" localSheetId="71">'321'!$D$18:$D$20</definedName>
    <definedName name="OSRRefD16x_0" localSheetId="72">'322'!$D$18:$D$20</definedName>
    <definedName name="OSRRefD16x_0" localSheetId="58">'324'!$D$18:$D$20</definedName>
    <definedName name="OSRRefD16x_0" localSheetId="73">'325'!$D$18:$D$20</definedName>
    <definedName name="OSRRefD16x_0" localSheetId="62">'326'!$D$36:$D$51</definedName>
    <definedName name="OSRRefD16x_0" localSheetId="74">'327'!$D$17:$D$18</definedName>
    <definedName name="OSRRefD16x_0" localSheetId="53">'330'!$D$52:$D$75</definedName>
    <definedName name="OSRRefD16x_0" localSheetId="60">'331'!$D$44:$D$66</definedName>
    <definedName name="OSRRefD16x_0" localSheetId="63">'332'!$D$32:$D$37</definedName>
    <definedName name="OSRRefD16x_0" localSheetId="78">'405'!$D$18:$D$20</definedName>
    <definedName name="OSRRefD16x_0" localSheetId="79">'406'!$D$19:$D$21</definedName>
    <definedName name="OSRRefD16x_0" localSheetId="81">'412'!$D$19:$D$20</definedName>
    <definedName name="OSRRefD16x_0" localSheetId="83">'413'!$D$19:$D$21</definedName>
    <definedName name="OSRRefD16x_0" localSheetId="84">'414'!$D$19:$D$21</definedName>
    <definedName name="OSRRefD16x_0" localSheetId="85">'415'!$D$18:$D$20</definedName>
    <definedName name="OSRRefD16x_0" localSheetId="86">'418'!$D$19:$D$21</definedName>
    <definedName name="OSRRefD16x_0" localSheetId="82">'420'!$D$17</definedName>
    <definedName name="OSRRefD16x_0" localSheetId="87">'423'!$D$15</definedName>
    <definedName name="OSRRefD16x_0" localSheetId="88">'424'!$D$18:$D$20</definedName>
    <definedName name="OSRRefD16x_0" localSheetId="89">'425'!$D$20:$D$22</definedName>
    <definedName name="OSRRefD16x_0" localSheetId="93">'433'!$D$19:$D$21</definedName>
    <definedName name="OSRRefD16x_0" localSheetId="94">'435'!$D$19:$D$21</definedName>
    <definedName name="OSRRefD16x_0" localSheetId="95">'444'!$D$19:$D$21</definedName>
    <definedName name="OSRRefD16x_0" localSheetId="96">'450'!$D$19:$D$21</definedName>
    <definedName name="OSRRefD16x_0" localSheetId="77">'491'!$D$26:$D$28</definedName>
    <definedName name="OSRRefD16x_0" localSheetId="91">'492'!$D$21:$D$23</definedName>
    <definedName name="OSRRefD16x_0" localSheetId="47">'Div 3'!$D$110:$D$162</definedName>
    <definedName name="OSRRefD16x_0" localSheetId="75">'Div 4'!$D$27:$D$29</definedName>
    <definedName name="OSRRefD16x_0" localSheetId="66">'Div 6'!$D$41:$D$54</definedName>
    <definedName name="OSRRefD16x_0" localSheetId="2">Summary!$D$135:$D$194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'204'!$D$21:$D$30</definedName>
    <definedName name="OSRRefD22_0x_0" localSheetId="45">'205'!$D$20:$D$28</definedName>
    <definedName name="OSRRefD22_0x_0" localSheetId="46">'206'!$D$20:$D$28</definedName>
    <definedName name="OSRRefD22_0x_0" localSheetId="48">'300'!$D$162:$D$171</definedName>
    <definedName name="OSRRefD22_0x_0" localSheetId="49">'300 &amp; 317'!$D$187:$D$196</definedName>
    <definedName name="OSRRefD22_0x_0" localSheetId="50">'301'!$D$20:$D$28</definedName>
    <definedName name="OSRRefD22_0x_0" localSheetId="52">'306'!$D$20:$D$28</definedName>
    <definedName name="OSRRefD22_0x_0" localSheetId="54">'307'!$D$73:$D$81</definedName>
    <definedName name="OSRRefD22_0x_0" localSheetId="56">'308'!$D$65:$D$74</definedName>
    <definedName name="OSRRefD22_0x_0" localSheetId="69">'309'!$D$26:$D$34</definedName>
    <definedName name="OSRRefD22_0x_0" localSheetId="68">'310'!$D$34:$D$42</definedName>
    <definedName name="OSRRefD22_0x_0" localSheetId="76">'310 &amp; 491'!$D$41:$D$50</definedName>
    <definedName name="OSRRefD22_0x_0" localSheetId="57">'311'!$D$65:$D$74</definedName>
    <definedName name="OSRRefD22_0x_0" localSheetId="70">'313'!$D$30:$D$38</definedName>
    <definedName name="OSRRefD22_0x_0" localSheetId="55">'314'!$D$58:$D$66</definedName>
    <definedName name="OSRRefD22_0x_0" localSheetId="61">'315'!$D$57:$D$65</definedName>
    <definedName name="OSRRefD22_0x_0" localSheetId="64">'316'!$D$34:$D$42</definedName>
    <definedName name="OSRRefD22_0x_0" localSheetId="67">'317'!$D$60:$D$69</definedName>
    <definedName name="OSRRefD22_0x_0" localSheetId="65">'320'!$D$31:$D$38</definedName>
    <definedName name="OSRRefD22_0x_0" localSheetId="71">'321'!$D$26:$D$33</definedName>
    <definedName name="OSRRefD22_0x_0" localSheetId="72">'322'!$D$26:$D$34</definedName>
    <definedName name="OSRRefD22_0x_0" localSheetId="73">'325'!$D$26:$D$34</definedName>
    <definedName name="OSRRefD22_0x_0" localSheetId="62">'326'!$D$57:$D$65</definedName>
    <definedName name="OSRRefD22_0x_0" localSheetId="74">'327'!$D$24</definedName>
    <definedName name="OSRRefD22_0x_0" localSheetId="53">'330'!$D$81:$D$89</definedName>
    <definedName name="OSRRefD22_0x_0" localSheetId="60">'331'!$D$72:$D$80</definedName>
    <definedName name="OSRRefD22_0x_0" localSheetId="63">'332'!$D$43:$D$51</definedName>
    <definedName name="OSRRefD22_0x_0" localSheetId="78">'405'!$D$26:$D$34</definedName>
    <definedName name="OSRRefD22_0x_0" localSheetId="79">'406'!$D$27:$D$35</definedName>
    <definedName name="OSRRefD22_0x_0" localSheetId="80">'411'!$D$20:$D$29</definedName>
    <definedName name="OSRRefD22_0x_0" localSheetId="81">'412'!$D$26:$D$34</definedName>
    <definedName name="OSRRefD22_0x_0" localSheetId="83">'413'!$D$27:$D$35</definedName>
    <definedName name="OSRRefD22_0x_0" localSheetId="84">'414'!$D$27:$D$35</definedName>
    <definedName name="OSRRefD22_0x_0" localSheetId="85">'415'!$D$26:$D$34</definedName>
    <definedName name="OSRRefD22_0x_0" localSheetId="86">'418'!$D$27:$D$35</definedName>
    <definedName name="OSRRefD22_0x_0" localSheetId="82">'420'!$D$23:$D$30</definedName>
    <definedName name="OSRRefD22_0x_0" localSheetId="87">'423'!$D$21:$D$29</definedName>
    <definedName name="OSRRefD22_0x_0" localSheetId="88">'424'!$D$26:$D$33</definedName>
    <definedName name="OSRRefD22_0x_0" localSheetId="89">'425'!$D$28:$D$37</definedName>
    <definedName name="OSRRefD22_0x_0" localSheetId="92">'430'!$D$20:$D$28</definedName>
    <definedName name="OSRRefD22_0x_0" localSheetId="93">'433'!$D$27:$D$36</definedName>
    <definedName name="OSRRefD22_0x_0" localSheetId="94">'435'!$D$27:$D$34</definedName>
    <definedName name="OSRRefD22_0x_0" localSheetId="95">'444'!$D$27:$D$36</definedName>
    <definedName name="OSRRefD22_0x_0" localSheetId="96">'450'!$D$27:$D$36</definedName>
    <definedName name="OSRRefD22_0x_0" localSheetId="90">'455'!$D$20:$D$27</definedName>
    <definedName name="OSRRefD22_0x_0" localSheetId="77">'491'!$D$34:$D$43</definedName>
    <definedName name="OSRRefD22_0x_0" localSheetId="91">'492'!$D$29:$D$38</definedName>
    <definedName name="OSRRefD22_0x_0" localSheetId="98">'501'!$D$21:$D$29</definedName>
    <definedName name="OSRRefD22_0x_0" localSheetId="39">'Div 2'!$D$21:$D$31</definedName>
    <definedName name="OSRRefD22_0x_0" localSheetId="47">'Div 3'!$D$168:$D$177</definedName>
    <definedName name="OSRRefD22_0x_0" localSheetId="75">'Div 4'!$D$35:$D$44</definedName>
    <definedName name="OSRRefD22_0x_0" localSheetId="97">'Div 5'!$D$21:$D$29</definedName>
    <definedName name="OSRRefD22_0x_0" localSheetId="66">'Div 6'!$D$60:$D$69</definedName>
    <definedName name="OSRRefD22_0x_0" localSheetId="2">Summary!$D$200:$D$209</definedName>
    <definedName name="OSRRefD22_10x_0" localSheetId="41">'201'!$D$58:$D$60</definedName>
    <definedName name="OSRRefD22_10x_0" localSheetId="42">'202'!$D$59</definedName>
    <definedName name="OSRRefD22_10x_0" localSheetId="43">'203'!$D$59:$D$60</definedName>
    <definedName name="OSRRefD22_10x_0" localSheetId="44">'204'!$D$64:$D$65</definedName>
    <definedName name="OSRRefD22_10x_0" localSheetId="46">'206'!$D$58</definedName>
    <definedName name="OSRRefD22_10x_0" localSheetId="48">'300'!$D$206:$D$207</definedName>
    <definedName name="OSRRefD22_10x_0" localSheetId="49">'300 &amp; 317'!$D$231:$D$232</definedName>
    <definedName name="OSRRefD22_10x_0" localSheetId="50">'301'!$D$63</definedName>
    <definedName name="OSRRefD22_10x_0" localSheetId="52">'306'!$D$61</definedName>
    <definedName name="OSRRefD22_10x_0" localSheetId="54">'307'!$D$113:$D$115</definedName>
    <definedName name="OSRRefD22_10x_0" localSheetId="56">'308'!$D$107</definedName>
    <definedName name="OSRRefD22_10x_0" localSheetId="69">'309'!$D$65:$D$67</definedName>
    <definedName name="OSRRefD22_10x_0" localSheetId="68">'310'!$D$73</definedName>
    <definedName name="OSRRefD22_10x_0" localSheetId="76">'310 &amp; 491'!$D$82</definedName>
    <definedName name="OSRRefD22_10x_0" localSheetId="57">'311'!$D$107</definedName>
    <definedName name="OSRRefD22_10x_0" localSheetId="70">'313'!$D$67:$D$69</definedName>
    <definedName name="OSRRefD22_10x_0" localSheetId="61">'315'!$D$96:$D$98</definedName>
    <definedName name="OSRRefD22_10x_0" localSheetId="64">'316'!$D$72:$D$73</definedName>
    <definedName name="OSRRefD22_10x_0" localSheetId="67">'317'!$D$99:$D$100</definedName>
    <definedName name="OSRRefD22_10x_0" localSheetId="71">'321'!$D$64:$D$65</definedName>
    <definedName name="OSRRefD22_10x_0" localSheetId="72">'322'!$D$66:$D$68</definedName>
    <definedName name="OSRRefD22_10x_0" localSheetId="73">'325'!$D$65</definedName>
    <definedName name="OSRRefD22_10x_0" localSheetId="62">'326'!$D$95</definedName>
    <definedName name="OSRRefD22_10x_0" localSheetId="53">'330'!$D$120:$D$121</definedName>
    <definedName name="OSRRefD22_10x_0" localSheetId="60">'331'!$D$112</definedName>
    <definedName name="OSRRefD22_10x_0" localSheetId="63">'332'!$D$81:$D$82</definedName>
    <definedName name="OSRRefD22_10x_0" localSheetId="78">'405'!$D$65</definedName>
    <definedName name="OSRRefD22_10x_0" localSheetId="79">'406'!$D$67:$D$69</definedName>
    <definedName name="OSRRefD22_10x_0" localSheetId="80">'411'!$D$61:$D$63</definedName>
    <definedName name="OSRRefD22_10x_0" localSheetId="81">'412'!$D$66</definedName>
    <definedName name="OSRRefD22_10x_0" localSheetId="83">'413'!$D$67:$D$73</definedName>
    <definedName name="OSRRefD22_10x_0" localSheetId="84">'414'!$D$66</definedName>
    <definedName name="OSRRefD22_10x_0" localSheetId="85">'415'!$D$65</definedName>
    <definedName name="OSRRefD22_10x_0" localSheetId="86">'418'!$D$66:$D$67</definedName>
    <definedName name="OSRRefD22_10x_0" localSheetId="88">'424'!$D$64:$D$67</definedName>
    <definedName name="OSRRefD22_10x_0" localSheetId="89">'425'!$D$69:$D$70</definedName>
    <definedName name="OSRRefD22_10x_0" localSheetId="92">'430'!$D$59</definedName>
    <definedName name="OSRRefD22_10x_0" localSheetId="93">'433'!$D$65:$D$67</definedName>
    <definedName name="OSRRefD22_10x_0" localSheetId="95">'444'!$D$65</definedName>
    <definedName name="OSRRefD22_10x_0" localSheetId="96">'450'!$D$66</definedName>
    <definedName name="OSRRefD22_10x_0" localSheetId="77">'491'!$D$75:$D$76</definedName>
    <definedName name="OSRRefD22_10x_0" localSheetId="91">'492'!$D$69</definedName>
    <definedName name="OSRRefD22_10x_0" localSheetId="98">'501'!$D$58:$D$60</definedName>
    <definedName name="OSRRefD22_10x_0" localSheetId="39">'Div 2'!$D$62</definedName>
    <definedName name="OSRRefD22_10x_0" localSheetId="47">'Div 3'!$D$212:$D$213</definedName>
    <definedName name="OSRRefD22_10x_0" localSheetId="75">'Div 4'!$D$78</definedName>
    <definedName name="OSRRefD22_10x_0" localSheetId="97">'Div 5'!$D$58:$D$60</definedName>
    <definedName name="OSRRefD22_10x_0" localSheetId="66">'Div 6'!$D$99:$D$100</definedName>
    <definedName name="OSRRefD22_10x_0" localSheetId="2">Summary!$D$245:$D$246</definedName>
    <definedName name="OSRRefD22_11x_0" localSheetId="41">'201'!$D$62:$D$64</definedName>
    <definedName name="OSRRefD22_11x_0" localSheetId="42">'202'!$D$61:$D$63</definedName>
    <definedName name="OSRRefD22_11x_0" localSheetId="43">'203'!$D$62</definedName>
    <definedName name="OSRRefD22_11x_0" localSheetId="44">'204'!$D$67</definedName>
    <definedName name="OSRRefD22_11x_0" localSheetId="48">'300'!$D$209</definedName>
    <definedName name="OSRRefD22_11x_0" localSheetId="49">'300 &amp; 317'!$D$234</definedName>
    <definedName name="OSRRefD22_11x_0" localSheetId="50">'301'!$D$65</definedName>
    <definedName name="OSRRefD22_11x_0" localSheetId="54">'307'!$D$117</definedName>
    <definedName name="OSRRefD22_11x_0" localSheetId="56">'308'!$D$109:$D$111</definedName>
    <definedName name="OSRRefD22_11x_0" localSheetId="69">'309'!$D$69:$D$71</definedName>
    <definedName name="OSRRefD22_11x_0" localSheetId="68">'310'!$D$75</definedName>
    <definedName name="OSRRefD22_11x_0" localSheetId="76">'310 &amp; 491'!$D$84:$D$85</definedName>
    <definedName name="OSRRefD22_11x_0" localSheetId="57">'311'!$D$109:$D$111</definedName>
    <definedName name="OSRRefD22_11x_0" localSheetId="70">'313'!$D$71</definedName>
    <definedName name="OSRRefD22_11x_0" localSheetId="61">'315'!$D$100:$D$101</definedName>
    <definedName name="OSRRefD22_11x_0" localSheetId="64">'316'!$D$75:$D$79</definedName>
    <definedName name="OSRRefD22_11x_0" localSheetId="67">'317'!$D$102</definedName>
    <definedName name="OSRRefD22_11x_0" localSheetId="71">'321'!$D$67:$D$69</definedName>
    <definedName name="OSRRefD22_11x_0" localSheetId="72">'322'!$D$70:$D$75</definedName>
    <definedName name="OSRRefD22_11x_0" localSheetId="73">'325'!$D$67:$D$69</definedName>
    <definedName name="OSRRefD22_11x_0" localSheetId="62">'326'!$D$97</definedName>
    <definedName name="OSRRefD22_11x_0" localSheetId="53">'330'!$D$123</definedName>
    <definedName name="OSRRefD22_11x_0" localSheetId="60">'331'!$D$114</definedName>
    <definedName name="OSRRefD22_11x_0" localSheetId="63">'332'!$D$84:$D$85</definedName>
    <definedName name="OSRRefD22_11x_0" localSheetId="78">'405'!$D$67:$D$69</definedName>
    <definedName name="OSRRefD22_11x_0" localSheetId="79">'406'!$D$71:$D$76</definedName>
    <definedName name="OSRRefD22_11x_0" localSheetId="80">'411'!$D$65:$D$69</definedName>
    <definedName name="OSRRefD22_11x_0" localSheetId="81">'412'!$D$68:$D$70</definedName>
    <definedName name="OSRRefD22_11x_0" localSheetId="83">'413'!$D$75:$D$76</definedName>
    <definedName name="OSRRefD22_11x_0" localSheetId="84">'414'!$D$68</definedName>
    <definedName name="OSRRefD22_11x_0" localSheetId="85">'415'!$D$67:$D$70</definedName>
    <definedName name="OSRRefD22_11x_0" localSheetId="86">'418'!$D$69:$D$71</definedName>
    <definedName name="OSRRefD22_11x_0" localSheetId="88">'424'!$D$69:$D$70</definedName>
    <definedName name="OSRRefD22_11x_0" localSheetId="89">'425'!$D$72:$D$73</definedName>
    <definedName name="OSRRefD22_11x_0" localSheetId="93">'433'!$D$69:$D$72</definedName>
    <definedName name="OSRRefD22_11x_0" localSheetId="95">'444'!$D$67:$D$69</definedName>
    <definedName name="OSRRefD22_11x_0" localSheetId="96">'450'!$D$68:$D$70</definedName>
    <definedName name="OSRRefD22_11x_0" localSheetId="77">'491'!$D$78</definedName>
    <definedName name="OSRRefD22_11x_0" localSheetId="91">'492'!$D$71</definedName>
    <definedName name="OSRRefD22_11x_0" localSheetId="98">'501'!$D$62</definedName>
    <definedName name="OSRRefD22_11x_0" localSheetId="39">'Div 2'!$D$64</definedName>
    <definedName name="OSRRefD22_11x_0" localSheetId="47">'Div 3'!$D$215</definedName>
    <definedName name="OSRRefD22_11x_0" localSheetId="75">'Div 4'!$D$80:$D$81</definedName>
    <definedName name="OSRRefD22_11x_0" localSheetId="97">'Div 5'!$D$62</definedName>
    <definedName name="OSRRefD22_11x_0" localSheetId="66">'Div 6'!$D$102</definedName>
    <definedName name="OSRRefD22_11x_0" localSheetId="2">Summary!$D$248:$D$249</definedName>
    <definedName name="OSRRefD22_12x_0" localSheetId="41">'201'!$D$66</definedName>
    <definedName name="OSRRefD22_12x_0" localSheetId="42">'202'!$D$65</definedName>
    <definedName name="OSRRefD22_12x_0" localSheetId="43">'203'!$D$64:$D$66</definedName>
    <definedName name="OSRRefD22_12x_0" localSheetId="44">'204'!$D$69:$D$70</definedName>
    <definedName name="OSRRefD22_12x_0" localSheetId="48">'300'!$D$211</definedName>
    <definedName name="OSRRefD22_12x_0" localSheetId="49">'300 &amp; 317'!$D$236</definedName>
    <definedName name="OSRRefD22_12x_0" localSheetId="50">'301'!$D$67</definedName>
    <definedName name="OSRRefD22_12x_0" localSheetId="54">'307'!$D$119</definedName>
    <definedName name="OSRRefD22_12x_0" localSheetId="56">'308'!$D$113:$D$114</definedName>
    <definedName name="OSRRefD22_12x_0" localSheetId="69">'309'!$D$73</definedName>
    <definedName name="OSRRefD22_12x_0" localSheetId="68">'310'!$D$77</definedName>
    <definedName name="OSRRefD22_12x_0" localSheetId="76">'310 &amp; 491'!$D$87</definedName>
    <definedName name="OSRRefD22_12x_0" localSheetId="57">'311'!$D$113:$D$114</definedName>
    <definedName name="OSRRefD22_12x_0" localSheetId="70">'313'!$D$73:$D$77</definedName>
    <definedName name="OSRRefD22_12x_0" localSheetId="61">'315'!$D$103:$D$107</definedName>
    <definedName name="OSRRefD22_12x_0" localSheetId="64">'316'!$D$81:$D$82</definedName>
    <definedName name="OSRRefD22_12x_0" localSheetId="67">'317'!$D$104</definedName>
    <definedName name="OSRRefD22_12x_0" localSheetId="71">'321'!$D$71:$D$73</definedName>
    <definedName name="OSRRefD22_12x_0" localSheetId="72">'322'!$D$77</definedName>
    <definedName name="OSRRefD22_12x_0" localSheetId="73">'325'!$D$71:$D$74</definedName>
    <definedName name="OSRRefD22_12x_0" localSheetId="62">'326'!$D$99</definedName>
    <definedName name="OSRRefD22_12x_0" localSheetId="53">'330'!$D$125:$D$127</definedName>
    <definedName name="OSRRefD22_12x_0" localSheetId="60">'331'!$D$116</definedName>
    <definedName name="OSRRefD22_12x_0" localSheetId="63">'332'!$D$87:$D$91</definedName>
    <definedName name="OSRRefD22_12x_0" localSheetId="78">'405'!$D$71</definedName>
    <definedName name="OSRRefD22_12x_0" localSheetId="79">'406'!$D$78:$D$79</definedName>
    <definedName name="OSRRefD22_12x_0" localSheetId="80">'411'!$D$71</definedName>
    <definedName name="OSRRefD22_12x_0" localSheetId="81">'412'!$D$72:$D$77</definedName>
    <definedName name="OSRRefD22_12x_0" localSheetId="83">'413'!$D$78</definedName>
    <definedName name="OSRRefD22_12x_0" localSheetId="84">'414'!$D$70</definedName>
    <definedName name="OSRRefD22_12x_0" localSheetId="85">'415'!$D$72:$D$76</definedName>
    <definedName name="OSRRefD22_12x_0" localSheetId="86">'418'!$D$73:$D$75</definedName>
    <definedName name="OSRRefD22_12x_0" localSheetId="89">'425'!$D$75:$D$81</definedName>
    <definedName name="OSRRefD22_12x_0" localSheetId="93">'433'!$D$74:$D$81</definedName>
    <definedName name="OSRRefD22_12x_0" localSheetId="95">'444'!$D$71:$D$74</definedName>
    <definedName name="OSRRefD22_12x_0" localSheetId="96">'450'!$D$72:$D$74</definedName>
    <definedName name="OSRRefD22_12x_0" localSheetId="77">'491'!$D$80</definedName>
    <definedName name="OSRRefD22_12x_0" localSheetId="91">'492'!$D$73:$D$76</definedName>
    <definedName name="OSRRefD22_12x_0" localSheetId="98">'501'!$D$64:$D$66</definedName>
    <definedName name="OSRRefD22_12x_0" localSheetId="39">'Div 2'!$D$66:$D$68</definedName>
    <definedName name="OSRRefD22_12x_0" localSheetId="47">'Div 3'!$D$217</definedName>
    <definedName name="OSRRefD22_12x_0" localSheetId="75">'Div 4'!$D$83</definedName>
    <definedName name="OSRRefD22_12x_0" localSheetId="97">'Div 5'!$D$64:$D$66</definedName>
    <definedName name="OSRRefD22_12x_0" localSheetId="66">'Div 6'!$D$104</definedName>
    <definedName name="OSRRefD22_12x_0" localSheetId="2">Summary!$D$251</definedName>
    <definedName name="OSRRefD22_13x_0" localSheetId="41">'201'!$D$68:$D$70</definedName>
    <definedName name="OSRRefD22_13x_0" localSheetId="42">'202'!$D$67</definedName>
    <definedName name="OSRRefD22_13x_0" localSheetId="43">'203'!$D$68</definedName>
    <definedName name="OSRRefD22_13x_0" localSheetId="48">'300'!$D$213</definedName>
    <definedName name="OSRRefD22_13x_0" localSheetId="49">'300 &amp; 317'!$D$238</definedName>
    <definedName name="OSRRefD22_13x_0" localSheetId="50">'301'!$D$69</definedName>
    <definedName name="OSRRefD22_13x_0" localSheetId="56">'308'!$D$116</definedName>
    <definedName name="OSRRefD22_13x_0" localSheetId="69">'309'!$D$75</definedName>
    <definedName name="OSRRefD22_13x_0" localSheetId="68">'310'!$D$79</definedName>
    <definedName name="OSRRefD22_13x_0" localSheetId="76">'310 &amp; 491'!$D$89</definedName>
    <definedName name="OSRRefD22_13x_0" localSheetId="57">'311'!$D$116</definedName>
    <definedName name="OSRRefD22_13x_0" localSheetId="70">'313'!$D$79</definedName>
    <definedName name="OSRRefD22_13x_0" localSheetId="61">'315'!$D$109</definedName>
    <definedName name="OSRRefD22_13x_0" localSheetId="64">'316'!$D$84</definedName>
    <definedName name="OSRRefD22_13x_0" localSheetId="71">'321'!$D$75</definedName>
    <definedName name="OSRRefD22_13x_0" localSheetId="72">'322'!$D$79</definedName>
    <definedName name="OSRRefD22_13x_0" localSheetId="73">'325'!$D$76</definedName>
    <definedName name="OSRRefD22_13x_0" localSheetId="62">'326'!$D$101:$D$102</definedName>
    <definedName name="OSRRefD22_13x_0" localSheetId="53">'330'!$D$129</definedName>
    <definedName name="OSRRefD22_13x_0" localSheetId="60">'331'!$D$118</definedName>
    <definedName name="OSRRefD22_13x_0" localSheetId="63">'332'!$D$93:$D$94</definedName>
    <definedName name="OSRRefD22_13x_0" localSheetId="78">'405'!$D$73:$D$75</definedName>
    <definedName name="OSRRefD22_13x_0" localSheetId="79">'406'!$D$81</definedName>
    <definedName name="OSRRefD22_13x_0" localSheetId="80">'411'!$D$73:$D$79</definedName>
    <definedName name="OSRRefD22_13x_0" localSheetId="81">'412'!$D$79</definedName>
    <definedName name="OSRRefD22_13x_0" localSheetId="84">'414'!$D$72:$D$78</definedName>
    <definedName name="OSRRefD22_13x_0" localSheetId="85">'415'!$D$78:$D$79</definedName>
    <definedName name="OSRRefD22_13x_0" localSheetId="86">'418'!$D$77:$D$78</definedName>
    <definedName name="OSRRefD22_13x_0" localSheetId="89">'425'!$D$83:$D$84</definedName>
    <definedName name="OSRRefD22_13x_0" localSheetId="93">'433'!$D$83</definedName>
    <definedName name="OSRRefD22_13x_0" localSheetId="95">'444'!$D$76:$D$83</definedName>
    <definedName name="OSRRefD22_13x_0" localSheetId="96">'450'!$D$76:$D$81</definedName>
    <definedName name="OSRRefD22_13x_0" localSheetId="77">'491'!$D$82</definedName>
    <definedName name="OSRRefD22_13x_0" localSheetId="91">'492'!$D$78:$D$81</definedName>
    <definedName name="OSRRefD22_13x_0" localSheetId="98">'501'!$D$68</definedName>
    <definedName name="OSRRefD22_13x_0" localSheetId="39">'Div 2'!$D$70:$D$73</definedName>
    <definedName name="OSRRefD22_13x_0" localSheetId="47">'Div 3'!$D$219</definedName>
    <definedName name="OSRRefD22_13x_0" localSheetId="75">'Div 4'!$D$85</definedName>
    <definedName name="OSRRefD22_13x_0" localSheetId="97">'Div 5'!$D$68</definedName>
    <definedName name="OSRRefD22_13x_0" localSheetId="2">Summary!$D$253</definedName>
    <definedName name="OSRRefD22_14x_0" localSheetId="41">'201'!$D$72</definedName>
    <definedName name="OSRRefD22_14x_0" localSheetId="42">'202'!$D$69:$D$70</definedName>
    <definedName name="OSRRefD22_14x_0" localSheetId="43">'203'!$D$70</definedName>
    <definedName name="OSRRefD22_14x_0" localSheetId="48">'300'!$D$215</definedName>
    <definedName name="OSRRefD22_14x_0" localSheetId="49">'300 &amp; 317'!$D$240</definedName>
    <definedName name="OSRRefD22_14x_0" localSheetId="50">'301'!$D$71</definedName>
    <definedName name="OSRRefD22_14x_0" localSheetId="56">'308'!$D$118:$D$119</definedName>
    <definedName name="OSRRefD22_14x_0" localSheetId="68">'310'!$D$81</definedName>
    <definedName name="OSRRefD22_14x_0" localSheetId="76">'310 &amp; 491'!$D$91</definedName>
    <definedName name="OSRRefD22_14x_0" localSheetId="57">'311'!$D$118:$D$119</definedName>
    <definedName name="OSRRefD22_14x_0" localSheetId="70">'313'!$D$81</definedName>
    <definedName name="OSRRefD22_14x_0" localSheetId="61">'315'!$D$111</definedName>
    <definedName name="OSRRefD22_14x_0" localSheetId="71">'321'!$D$77</definedName>
    <definedName name="OSRRefD22_14x_0" localSheetId="73">'325'!$D$78:$D$84</definedName>
    <definedName name="OSRRefD22_14x_0" localSheetId="62">'326'!$D$104:$D$106</definedName>
    <definedName name="OSRRefD22_14x_0" localSheetId="53">'330'!$D$131</definedName>
    <definedName name="OSRRefD22_14x_0" localSheetId="60">'331'!$D$120:$D$121</definedName>
    <definedName name="OSRRefD22_14x_0" localSheetId="63">'332'!$D$96</definedName>
    <definedName name="OSRRefD22_14x_0" localSheetId="78">'405'!$D$77:$D$78</definedName>
    <definedName name="OSRRefD22_14x_0" localSheetId="79">'406'!$D$83</definedName>
    <definedName name="OSRRefD22_14x_0" localSheetId="80">'411'!$D$81</definedName>
    <definedName name="OSRRefD22_14x_0" localSheetId="81">'412'!$D$81</definedName>
    <definedName name="OSRRefD22_14x_0" localSheetId="84">'414'!$D$80</definedName>
    <definedName name="OSRRefD22_14x_0" localSheetId="85">'415'!$D$81:$D$88</definedName>
    <definedName name="OSRRefD22_14x_0" localSheetId="86">'418'!$D$80:$D$86</definedName>
    <definedName name="OSRRefD22_14x_0" localSheetId="89">'425'!$D$86</definedName>
    <definedName name="OSRRefD22_14x_0" localSheetId="93">'433'!$D$85</definedName>
    <definedName name="OSRRefD22_14x_0" localSheetId="95">'444'!$D$85</definedName>
    <definedName name="OSRRefD22_14x_0" localSheetId="96">'450'!$D$83</definedName>
    <definedName name="OSRRefD22_14x_0" localSheetId="77">'491'!$D$84</definedName>
    <definedName name="OSRRefD22_14x_0" localSheetId="91">'492'!$D$83:$D$91</definedName>
    <definedName name="OSRRefD22_14x_0" localSheetId="98">'501'!$D$70</definedName>
    <definedName name="OSRRefD22_14x_0" localSheetId="39">'Div 2'!$D$75:$D$78</definedName>
    <definedName name="OSRRefD22_14x_0" localSheetId="47">'Div 3'!$D$221</definedName>
    <definedName name="OSRRefD22_14x_0" localSheetId="75">'Div 4'!$D$87</definedName>
    <definedName name="OSRRefD22_14x_0" localSheetId="97">'Div 5'!$D$70</definedName>
    <definedName name="OSRRefD22_14x_0" localSheetId="2">Summary!$D$255</definedName>
    <definedName name="OSRRefD22_15x_0" localSheetId="41">'201'!$D$74</definedName>
    <definedName name="OSRRefD22_15x_0" localSheetId="42">'202'!$D$72</definedName>
    <definedName name="OSRRefD22_15x_0" localSheetId="43">'203'!$D$72</definedName>
    <definedName name="OSRRefD22_15x_0" localSheetId="48">'300'!$D$217</definedName>
    <definedName name="OSRRefD22_15x_0" localSheetId="49">'300 &amp; 317'!$D$242</definedName>
    <definedName name="OSRRefD22_15x_0" localSheetId="50">'301'!$D$73:$D$76</definedName>
    <definedName name="OSRRefD22_15x_0" localSheetId="68">'310'!$D$83:$D$85</definedName>
    <definedName name="OSRRefD22_15x_0" localSheetId="76">'310 &amp; 491'!$D$93</definedName>
    <definedName name="OSRRefD22_15x_0" localSheetId="61">'315'!$D$113:$D$114</definedName>
    <definedName name="OSRRefD22_15x_0" localSheetId="73">'325'!$D$86</definedName>
    <definedName name="OSRRefD22_15x_0" localSheetId="62">'326'!$D$108:$D$109</definedName>
    <definedName name="OSRRefD22_15x_0" localSheetId="53">'330'!$D$133</definedName>
    <definedName name="OSRRefD22_15x_0" localSheetId="60">'331'!$D$123:$D$125</definedName>
    <definedName name="OSRRefD22_15x_0" localSheetId="78">'405'!$D$80:$D$88</definedName>
    <definedName name="OSRRefD22_15x_0" localSheetId="80">'411'!$D$83</definedName>
    <definedName name="OSRRefD22_15x_0" localSheetId="84">'414'!$D$82</definedName>
    <definedName name="OSRRefD22_15x_0" localSheetId="85">'415'!$D$90</definedName>
    <definedName name="OSRRefD22_15x_0" localSheetId="86">'418'!$D$88</definedName>
    <definedName name="OSRRefD22_15x_0" localSheetId="89">'425'!$D$88</definedName>
    <definedName name="OSRRefD22_15x_0" localSheetId="93">'433'!$D$87:$D$88</definedName>
    <definedName name="OSRRefD22_15x_0" localSheetId="95">'444'!$D$87</definedName>
    <definedName name="OSRRefD22_15x_0" localSheetId="96">'450'!$D$85</definedName>
    <definedName name="OSRRefD22_15x_0" localSheetId="77">'491'!$D$86:$D$89</definedName>
    <definedName name="OSRRefD22_15x_0" localSheetId="91">'492'!$D$93</definedName>
    <definedName name="OSRRefD22_15x_0" localSheetId="39">'Div 2'!$D$80:$D$81</definedName>
    <definedName name="OSRRefD22_15x_0" localSheetId="47">'Div 3'!$D$223</definedName>
    <definedName name="OSRRefD22_15x_0" localSheetId="75">'Div 4'!$D$89</definedName>
    <definedName name="OSRRefD22_15x_0" localSheetId="2">Summary!$D$257</definedName>
    <definedName name="OSRRefD22_16x_0" localSheetId="41">'201'!$D$76:$D$77</definedName>
    <definedName name="OSRRefD22_16x_0" localSheetId="42">'202'!$D$74</definedName>
    <definedName name="OSRRefD22_16x_0" localSheetId="48">'300'!$D$219:$D$222</definedName>
    <definedName name="OSRRefD22_16x_0" localSheetId="49">'300 &amp; 317'!$D$244:$D$247</definedName>
    <definedName name="OSRRefD22_16x_0" localSheetId="50">'301'!$D$78:$D$80</definedName>
    <definedName name="OSRRefD22_16x_0" localSheetId="68">'310'!$D$87:$D$88</definedName>
    <definedName name="OSRRefD22_16x_0" localSheetId="76">'310 &amp; 491'!$D$95</definedName>
    <definedName name="OSRRefD22_16x_0" localSheetId="73">'325'!$D$88</definedName>
    <definedName name="OSRRefD22_16x_0" localSheetId="62">'326'!$D$111:$D$116</definedName>
    <definedName name="OSRRefD22_16x_0" localSheetId="60">'331'!$D$127:$D$129</definedName>
    <definedName name="OSRRefD22_16x_0" localSheetId="78">'405'!$D$90</definedName>
    <definedName name="OSRRefD22_16x_0" localSheetId="80">'411'!$D$85:$D$87</definedName>
    <definedName name="OSRRefD22_16x_0" localSheetId="85">'415'!$D$92</definedName>
    <definedName name="OSRRefD22_16x_0" localSheetId="86">'418'!$D$90</definedName>
    <definedName name="OSRRefD22_16x_0" localSheetId="95">'444'!$D$89</definedName>
    <definedName name="OSRRefD22_16x_0" localSheetId="96">'450'!$D$87:$D$88</definedName>
    <definedName name="OSRRefD22_16x_0" localSheetId="77">'491'!$D$91:$D$93</definedName>
    <definedName name="OSRRefD22_16x_0" localSheetId="91">'492'!$D$95</definedName>
    <definedName name="OSRRefD22_16x_0" localSheetId="39">'Div 2'!$D$83:$D$84</definedName>
    <definedName name="OSRRefD22_16x_0" localSheetId="47">'Div 3'!$D$225</definedName>
    <definedName name="OSRRefD22_16x_0" localSheetId="75">'Div 4'!$D$91</definedName>
    <definedName name="OSRRefD22_16x_0" localSheetId="2">Summary!$D$259</definedName>
    <definedName name="OSRRefD22_17x_0" localSheetId="48">'300'!$D$224:$D$227</definedName>
    <definedName name="OSRRefD22_17x_0" localSheetId="49">'300 &amp; 317'!$D$249:$D$252</definedName>
    <definedName name="OSRRefD22_17x_0" localSheetId="50">'301'!$D$82:$D$83</definedName>
    <definedName name="OSRRefD22_17x_0" localSheetId="68">'310'!$D$90:$D$94</definedName>
    <definedName name="OSRRefD22_17x_0" localSheetId="76">'310 &amp; 491'!$D$97:$D$100</definedName>
    <definedName name="OSRRefD22_17x_0" localSheetId="73">'325'!$D$90</definedName>
    <definedName name="OSRRefD22_17x_0" localSheetId="62">'326'!$D$118:$D$119</definedName>
    <definedName name="OSRRefD22_17x_0" localSheetId="60">'331'!$D$131:$D$132</definedName>
    <definedName name="OSRRefD22_17x_0" localSheetId="78">'405'!$D$92</definedName>
    <definedName name="OSRRefD22_17x_0" localSheetId="80">'411'!$D$89</definedName>
    <definedName name="OSRRefD22_17x_0" localSheetId="85">'415'!$D$94:$D$95</definedName>
    <definedName name="OSRRefD22_17x_0" localSheetId="86">'418'!$D$92</definedName>
    <definedName name="OSRRefD22_17x_0" localSheetId="77">'491'!$D$95:$D$99</definedName>
    <definedName name="OSRRefD22_17x_0" localSheetId="91">'492'!$D$97:$D$98</definedName>
    <definedName name="OSRRefD22_17x_0" localSheetId="39">'Div 2'!$D$86:$D$90</definedName>
    <definedName name="OSRRefD22_17x_0" localSheetId="47">'Div 3'!$D$227</definedName>
    <definedName name="OSRRefD22_17x_0" localSheetId="75">'Div 4'!$D$93:$D$96</definedName>
    <definedName name="OSRRefD22_17x_0" localSheetId="2">Summary!$D$261</definedName>
    <definedName name="OSRRefD22_18x_0" localSheetId="48">'300'!$D$229:$D$232</definedName>
    <definedName name="OSRRefD22_18x_0" localSheetId="49">'300 &amp; 317'!$D$254:$D$257</definedName>
    <definedName name="OSRRefD22_18x_0" localSheetId="50">'301'!$D$85:$D$90</definedName>
    <definedName name="OSRRefD22_18x_0" localSheetId="68">'310'!$D$96</definedName>
    <definedName name="OSRRefD22_18x_0" localSheetId="76">'310 &amp; 491'!$D$102:$D$104</definedName>
    <definedName name="OSRRefD22_18x_0" localSheetId="73">'325'!$D$92</definedName>
    <definedName name="OSRRefD22_18x_0" localSheetId="62">'326'!$D$121</definedName>
    <definedName name="OSRRefD22_18x_0" localSheetId="60">'331'!$D$134:$D$139</definedName>
    <definedName name="OSRRefD22_18x_0" localSheetId="78">'405'!$D$94</definedName>
    <definedName name="OSRRefD22_18x_0" localSheetId="85">'415'!$D$97</definedName>
    <definedName name="OSRRefD22_18x_0" localSheetId="77">'491'!$D$101:$D$102</definedName>
    <definedName name="OSRRefD22_18x_0" localSheetId="39">'Div 2'!$D$92:$D$93</definedName>
    <definedName name="OSRRefD22_18x_0" localSheetId="47">'Div 3'!$D$229:$D$232</definedName>
    <definedName name="OSRRefD22_18x_0" localSheetId="75">'Div 4'!$D$98:$D$100</definedName>
    <definedName name="OSRRefD22_18x_0" localSheetId="2">Summary!$D$263:$D$266</definedName>
    <definedName name="OSRRefD22_19x_0" localSheetId="48">'300'!$D$234:$D$235</definedName>
    <definedName name="OSRRefD22_19x_0" localSheetId="49">'300 &amp; 317'!$D$259:$D$260</definedName>
    <definedName name="OSRRefD22_19x_0" localSheetId="50">'301'!$D$92</definedName>
    <definedName name="OSRRefD22_19x_0" localSheetId="68">'310'!$D$98:$D$106</definedName>
    <definedName name="OSRRefD22_19x_0" localSheetId="76">'310 &amp; 491'!$D$106:$D$111</definedName>
    <definedName name="OSRRefD22_19x_0" localSheetId="62">'326'!$D$123</definedName>
    <definedName name="OSRRefD22_19x_0" localSheetId="60">'331'!$D$141:$D$142</definedName>
    <definedName name="OSRRefD22_19x_0" localSheetId="78">'405'!$D$96</definedName>
    <definedName name="OSRRefD22_19x_0" localSheetId="77">'491'!$D$104:$D$113</definedName>
    <definedName name="OSRRefD22_19x_0" localSheetId="39">'Div 2'!$D$95</definedName>
    <definedName name="OSRRefD22_19x_0" localSheetId="47">'Div 3'!$D$234:$D$237</definedName>
    <definedName name="OSRRefD22_19x_0" localSheetId="75">'Div 4'!$D$102:$D$106</definedName>
    <definedName name="OSRRefD22_19x_0" localSheetId="2">Summary!$D$268:$D$271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'204'!$D$32:$D$41</definedName>
    <definedName name="OSRRefD22_1x_0" localSheetId="45">'205'!$D$30:$D$39</definedName>
    <definedName name="OSRRefD22_1x_0" localSheetId="46">'206'!$D$30:$D$39</definedName>
    <definedName name="OSRRefD22_1x_0" localSheetId="48">'300'!$D$173:$D$182</definedName>
    <definedName name="OSRRefD22_1x_0" localSheetId="49">'300 &amp; 317'!$D$198:$D$207</definedName>
    <definedName name="OSRRefD22_1x_0" localSheetId="50">'301'!$D$30:$D$39</definedName>
    <definedName name="OSRRefD22_1x_0" localSheetId="52">'306'!$D$30:$D$39</definedName>
    <definedName name="OSRRefD22_1x_0" localSheetId="54">'307'!$D$83:$D$92</definedName>
    <definedName name="OSRRefD22_1x_0" localSheetId="56">'308'!$D$76:$D$85</definedName>
    <definedName name="OSRRefD22_1x_0" localSheetId="69">'309'!$D$36:$D$45</definedName>
    <definedName name="OSRRefD22_1x_0" localSheetId="68">'310'!$D$44:$D$53</definedName>
    <definedName name="OSRRefD22_1x_0" localSheetId="76">'310 &amp; 491'!$D$52:$D$61</definedName>
    <definedName name="OSRRefD22_1x_0" localSheetId="57">'311'!$D$76:$D$85</definedName>
    <definedName name="OSRRefD22_1x_0" localSheetId="70">'313'!$D$40:$D$49</definedName>
    <definedName name="OSRRefD22_1x_0" localSheetId="55">'314'!$D$68:$D$77</definedName>
    <definedName name="OSRRefD22_1x_0" localSheetId="61">'315'!$D$67:$D$76</definedName>
    <definedName name="OSRRefD22_1x_0" localSheetId="64">'316'!$D$44:$D$53</definedName>
    <definedName name="OSRRefD22_1x_0" localSheetId="67">'317'!$D$71:$D$80</definedName>
    <definedName name="OSRRefD22_1x_0" localSheetId="65">'320'!$D$40:$D$49</definedName>
    <definedName name="OSRRefD22_1x_0" localSheetId="71">'321'!$D$35:$D$44</definedName>
    <definedName name="OSRRefD22_1x_0" localSheetId="72">'322'!$D$36:$D$45</definedName>
    <definedName name="OSRRefD22_1x_0" localSheetId="73">'325'!$D$36:$D$45</definedName>
    <definedName name="OSRRefD22_1x_0" localSheetId="62">'326'!$D$67:$D$76</definedName>
    <definedName name="OSRRefD22_1x_0" localSheetId="74">'327'!$D$26</definedName>
    <definedName name="OSRRefD22_1x_0" localSheetId="53">'330'!$D$91:$D$100</definedName>
    <definedName name="OSRRefD22_1x_0" localSheetId="60">'331'!$D$82:$D$91</definedName>
    <definedName name="OSRRefD22_1x_0" localSheetId="63">'332'!$D$53:$D$62</definedName>
    <definedName name="OSRRefD22_1x_0" localSheetId="78">'405'!$D$36:$D$45</definedName>
    <definedName name="OSRRefD22_1x_0" localSheetId="79">'406'!$D$37:$D$46</definedName>
    <definedName name="OSRRefD22_1x_0" localSheetId="80">'411'!$D$31:$D$40</definedName>
    <definedName name="OSRRefD22_1x_0" localSheetId="81">'412'!$D$36:$D$45</definedName>
    <definedName name="OSRRefD22_1x_0" localSheetId="83">'413'!$D$37:$D$46</definedName>
    <definedName name="OSRRefD22_1x_0" localSheetId="84">'414'!$D$37:$D$46</definedName>
    <definedName name="OSRRefD22_1x_0" localSheetId="85">'415'!$D$36:$D$45</definedName>
    <definedName name="OSRRefD22_1x_0" localSheetId="86">'418'!$D$37:$D$46</definedName>
    <definedName name="OSRRefD22_1x_0" localSheetId="82">'420'!$D$32:$D$35</definedName>
    <definedName name="OSRRefD22_1x_0" localSheetId="87">'423'!$D$31:$D$40</definedName>
    <definedName name="OSRRefD22_1x_0" localSheetId="88">'424'!$D$35:$D$44</definedName>
    <definedName name="OSRRefD22_1x_0" localSheetId="89">'425'!$D$39:$D$48</definedName>
    <definedName name="OSRRefD22_1x_0" localSheetId="92">'430'!$D$30:$D$39</definedName>
    <definedName name="OSRRefD22_1x_0" localSheetId="93">'433'!$D$38:$D$47</definedName>
    <definedName name="OSRRefD22_1x_0" localSheetId="94">'435'!$D$36:$D$45</definedName>
    <definedName name="OSRRefD22_1x_0" localSheetId="95">'444'!$D$38:$D$47</definedName>
    <definedName name="OSRRefD22_1x_0" localSheetId="96">'450'!$D$38:$D$47</definedName>
    <definedName name="OSRRefD22_1x_0" localSheetId="90">'455'!$D$29:$D$38</definedName>
    <definedName name="OSRRefD22_1x_0" localSheetId="77">'491'!$D$45:$D$54</definedName>
    <definedName name="OSRRefD22_1x_0" localSheetId="91">'492'!$D$40:$D$49</definedName>
    <definedName name="OSRRefD22_1x_0" localSheetId="98">'501'!$D$31:$D$40</definedName>
    <definedName name="OSRRefD22_1x_0" localSheetId="39">'Div 2'!$D$33:$D$42</definedName>
    <definedName name="OSRRefD22_1x_0" localSheetId="47">'Div 3'!$D$179:$D$188</definedName>
    <definedName name="OSRRefD22_1x_0" localSheetId="75">'Div 4'!$D$46:$D$55</definedName>
    <definedName name="OSRRefD22_1x_0" localSheetId="97">'Div 5'!$D$31:$D$40</definedName>
    <definedName name="OSRRefD22_1x_0" localSheetId="66">'Div 6'!$D$71:$D$80</definedName>
    <definedName name="OSRRefD22_1x_0" localSheetId="2">Summary!$D$211:$D$220</definedName>
    <definedName name="OSRRefD22_20x_0" localSheetId="48">'300'!$D$237:$D$243</definedName>
    <definedName name="OSRRefD22_20x_0" localSheetId="49">'300 &amp; 317'!$D$262:$D$268</definedName>
    <definedName name="OSRRefD22_20x_0" localSheetId="50">'301'!$D$94</definedName>
    <definedName name="OSRRefD22_20x_0" localSheetId="68">'310'!$D$108</definedName>
    <definedName name="OSRRefD22_20x_0" localSheetId="76">'310 &amp; 491'!$D$113:$D$114</definedName>
    <definedName name="OSRRefD22_20x_0" localSheetId="62">'326'!$D$125</definedName>
    <definedName name="OSRRefD22_20x_0" localSheetId="60">'331'!$D$144</definedName>
    <definedName name="OSRRefD22_20x_0" localSheetId="77">'491'!$D$115:$D$116</definedName>
    <definedName name="OSRRefD22_20x_0" localSheetId="39">'Div 2'!$D$97:$D$98</definedName>
    <definedName name="OSRRefD22_20x_0" localSheetId="47">'Div 3'!$D$239:$D$244</definedName>
    <definedName name="OSRRefD22_20x_0" localSheetId="75">'Div 4'!$D$108:$D$109</definedName>
    <definedName name="OSRRefD22_20x_0" localSheetId="2">Summary!$D$273:$D$278</definedName>
    <definedName name="OSRRefD22_21x_0" localSheetId="48">'300'!$D$245:$D$246</definedName>
    <definedName name="OSRRefD22_21x_0" localSheetId="49">'300 &amp; 317'!$D$270:$D$271</definedName>
    <definedName name="OSRRefD22_21x_0" localSheetId="50">'301'!$D$96:$D$98</definedName>
    <definedName name="OSRRefD22_21x_0" localSheetId="68">'310'!$D$110</definedName>
    <definedName name="OSRRefD22_21x_0" localSheetId="76">'310 &amp; 491'!$D$116:$D$125</definedName>
    <definedName name="OSRRefD22_21x_0" localSheetId="60">'331'!$D$146:$D$147</definedName>
    <definedName name="OSRRefD22_21x_0" localSheetId="77">'491'!$D$118</definedName>
    <definedName name="OSRRefD22_21x_0" localSheetId="47">'Div 3'!$D$246:$D$247</definedName>
    <definedName name="OSRRefD22_21x_0" localSheetId="75">'Div 4'!$D$111:$D$120</definedName>
    <definedName name="OSRRefD22_21x_0" localSheetId="2">Summary!$D$280:$D$281</definedName>
    <definedName name="OSRRefD22_22x_0" localSheetId="48">'300'!$D$248</definedName>
    <definedName name="OSRRefD22_22x_0" localSheetId="49">'300 &amp; 317'!$D$273</definedName>
    <definedName name="OSRRefD22_22x_0" localSheetId="50">'301'!$D$100</definedName>
    <definedName name="OSRRefD22_22x_0" localSheetId="68">'310'!$D$112</definedName>
    <definedName name="OSRRefD22_22x_0" localSheetId="76">'310 &amp; 491'!$D$127:$D$128</definedName>
    <definedName name="OSRRefD22_22x_0" localSheetId="60">'331'!$D$149</definedName>
    <definedName name="OSRRefD22_22x_0" localSheetId="77">'491'!$D$120:$D$122</definedName>
    <definedName name="OSRRefD22_22x_0" localSheetId="47">'Div 3'!$D$249:$D$257</definedName>
    <definedName name="OSRRefD22_22x_0" localSheetId="75">'Div 4'!$D$122:$D$123</definedName>
    <definedName name="OSRRefD22_22x_0" localSheetId="2">Summary!$D$283:$D$292</definedName>
    <definedName name="OSRRefD22_23x_0" localSheetId="48">'300'!$D$250:$D$252</definedName>
    <definedName name="OSRRefD22_23x_0" localSheetId="49">'300 &amp; 317'!$D$275:$D$277</definedName>
    <definedName name="OSRRefD22_23x_0" localSheetId="68">'310'!$D$114</definedName>
    <definedName name="OSRRefD22_23x_0" localSheetId="76">'310 &amp; 491'!$D$130</definedName>
    <definedName name="OSRRefD22_23x_0" localSheetId="77">'491'!$D$124</definedName>
    <definedName name="OSRRefD22_23x_0" localSheetId="47">'Div 3'!$D$259:$D$260</definedName>
    <definedName name="OSRRefD22_23x_0" localSheetId="75">'Div 4'!$D$125</definedName>
    <definedName name="OSRRefD22_23x_0" localSheetId="2">Summary!$D$294:$D$295</definedName>
    <definedName name="OSRRefD22_24x_0" localSheetId="48">'300'!$D$254</definedName>
    <definedName name="OSRRefD22_24x_0" localSheetId="49">'300 &amp; 317'!$D$279</definedName>
    <definedName name="OSRRefD22_24x_0" localSheetId="76">'310 &amp; 491'!$D$132:$D$134</definedName>
    <definedName name="OSRRefD22_24x_0" localSheetId="47">'Div 3'!$D$262</definedName>
    <definedName name="OSRRefD22_24x_0" localSheetId="75">'Div 4'!$D$127:$D$129</definedName>
    <definedName name="OSRRefD22_24x_0" localSheetId="2">Summary!$D$297</definedName>
    <definedName name="OSRRefD22_25x_0" localSheetId="76">'310 &amp; 491'!$D$136</definedName>
    <definedName name="OSRRefD22_25x_0" localSheetId="47">'Div 3'!$D$264:$D$266</definedName>
    <definedName name="OSRRefD22_25x_0" localSheetId="75">'Div 4'!$D$131</definedName>
    <definedName name="OSRRefD22_25x_0" localSheetId="2">Summary!$D$299:$D$301</definedName>
    <definedName name="OSRRefD22_26x_0" localSheetId="47">'Div 3'!$D$268</definedName>
    <definedName name="OSRRefD22_26x_0" localSheetId="2">Summary!$D$303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'204'!$D$43</definedName>
    <definedName name="OSRRefD22_2x_0" localSheetId="45">'205'!$D$41</definedName>
    <definedName name="OSRRefD22_2x_0" localSheetId="46">'206'!$D$41</definedName>
    <definedName name="OSRRefD22_2x_0" localSheetId="48">'300'!$D$184</definedName>
    <definedName name="OSRRefD22_2x_0" localSheetId="49">'300 &amp; 317'!$D$209</definedName>
    <definedName name="OSRRefD22_2x_0" localSheetId="50">'301'!$D$41</definedName>
    <definedName name="OSRRefD22_2x_0" localSheetId="52">'306'!$D$41</definedName>
    <definedName name="OSRRefD22_2x_0" localSheetId="54">'307'!$D$94</definedName>
    <definedName name="OSRRefD22_2x_0" localSheetId="56">'308'!$D$87</definedName>
    <definedName name="OSRRefD22_2x_0" localSheetId="69">'309'!$D$47</definedName>
    <definedName name="OSRRefD22_2x_0" localSheetId="68">'310'!$D$55</definedName>
    <definedName name="OSRRefD22_2x_0" localSheetId="76">'310 &amp; 491'!$D$63</definedName>
    <definedName name="OSRRefD22_2x_0" localSheetId="57">'311'!$D$87</definedName>
    <definedName name="OSRRefD22_2x_0" localSheetId="70">'313'!$D$51</definedName>
    <definedName name="OSRRefD22_2x_0" localSheetId="55">'314'!$D$79</definedName>
    <definedName name="OSRRefD22_2x_0" localSheetId="61">'315'!$D$78</definedName>
    <definedName name="OSRRefD22_2x_0" localSheetId="64">'316'!$D$55</definedName>
    <definedName name="OSRRefD22_2x_0" localSheetId="67">'317'!$D$82</definedName>
    <definedName name="OSRRefD22_2x_0" localSheetId="65">'320'!$D$51</definedName>
    <definedName name="OSRRefD22_2x_0" localSheetId="71">'321'!$D$46</definedName>
    <definedName name="OSRRefD22_2x_0" localSheetId="72">'322'!$D$47</definedName>
    <definedName name="OSRRefD22_2x_0" localSheetId="73">'325'!$D$47</definedName>
    <definedName name="OSRRefD22_2x_0" localSheetId="62">'326'!$D$78</definedName>
    <definedName name="OSRRefD22_2x_0" localSheetId="74">'327'!$D$28</definedName>
    <definedName name="OSRRefD22_2x_0" localSheetId="53">'330'!$D$102</definedName>
    <definedName name="OSRRefD22_2x_0" localSheetId="60">'331'!$D$93</definedName>
    <definedName name="OSRRefD22_2x_0" localSheetId="63">'332'!$D$64</definedName>
    <definedName name="OSRRefD22_2x_0" localSheetId="78">'405'!$D$47</definedName>
    <definedName name="OSRRefD22_2x_0" localSheetId="79">'406'!$D$48</definedName>
    <definedName name="OSRRefD22_2x_0" localSheetId="80">'411'!$D$42</definedName>
    <definedName name="OSRRefD22_2x_0" localSheetId="81">'412'!$D$47</definedName>
    <definedName name="OSRRefD22_2x_0" localSheetId="83">'413'!$D$48</definedName>
    <definedName name="OSRRefD22_2x_0" localSheetId="84">'414'!$D$48</definedName>
    <definedName name="OSRRefD22_2x_0" localSheetId="85">'415'!$D$47</definedName>
    <definedName name="OSRRefD22_2x_0" localSheetId="86">'418'!$D$48</definedName>
    <definedName name="OSRRefD22_2x_0" localSheetId="82">'420'!$D$37</definedName>
    <definedName name="OSRRefD22_2x_0" localSheetId="87">'423'!$D$42</definedName>
    <definedName name="OSRRefD22_2x_0" localSheetId="88">'424'!$D$46</definedName>
    <definedName name="OSRRefD22_2x_0" localSheetId="89">'425'!$D$50</definedName>
    <definedName name="OSRRefD22_2x_0" localSheetId="92">'430'!$D$41</definedName>
    <definedName name="OSRRefD22_2x_0" localSheetId="93">'433'!$D$49</definedName>
    <definedName name="OSRRefD22_2x_0" localSheetId="94">'435'!$D$47</definedName>
    <definedName name="OSRRefD22_2x_0" localSheetId="95">'444'!$D$49</definedName>
    <definedName name="OSRRefD22_2x_0" localSheetId="96">'450'!$D$49</definedName>
    <definedName name="OSRRefD22_2x_0" localSheetId="77">'491'!$D$56</definedName>
    <definedName name="OSRRefD22_2x_0" localSheetId="91">'492'!$D$51</definedName>
    <definedName name="OSRRefD22_2x_0" localSheetId="98">'501'!$D$42</definedName>
    <definedName name="OSRRefD22_2x_0" localSheetId="39">'Div 2'!$D$44</definedName>
    <definedName name="OSRRefD22_2x_0" localSheetId="47">'Div 3'!$D$190</definedName>
    <definedName name="OSRRefD22_2x_0" localSheetId="75">'Div 4'!$D$57</definedName>
    <definedName name="OSRRefD22_2x_0" localSheetId="97">'Div 5'!$D$42</definedName>
    <definedName name="OSRRefD22_2x_0" localSheetId="66">'Div 6'!$D$82</definedName>
    <definedName name="OSRRefD22_2x_0" localSheetId="2">Summary!$D$222</definedName>
    <definedName name="OSRRefD22_3x_0" localSheetId="40">'200'!$D$26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'204'!$D$45:$D$46</definedName>
    <definedName name="OSRRefD22_3x_0" localSheetId="45">'205'!$D$43</definedName>
    <definedName name="OSRRefD22_3x_0" localSheetId="46">'206'!$D$43</definedName>
    <definedName name="OSRRefD22_3x_0" localSheetId="48">'300'!$D$186:$D$187</definedName>
    <definedName name="OSRRefD22_3x_0" localSheetId="49">'300 &amp; 317'!$D$211:$D$212</definedName>
    <definedName name="OSRRefD22_3x_0" localSheetId="50">'301'!$D$43:$D$44</definedName>
    <definedName name="OSRRefD22_3x_0" localSheetId="52">'306'!$D$43</definedName>
    <definedName name="OSRRefD22_3x_0" localSheetId="54">'307'!$D$96</definedName>
    <definedName name="OSRRefD22_3x_0" localSheetId="56">'308'!$D$89:$D$90</definedName>
    <definedName name="OSRRefD22_3x_0" localSheetId="69">'309'!$D$49</definedName>
    <definedName name="OSRRefD22_3x_0" localSheetId="68">'310'!$D$57</definedName>
    <definedName name="OSRRefD22_3x_0" localSheetId="76">'310 &amp; 491'!$D$65</definedName>
    <definedName name="OSRRefD22_3x_0" localSheetId="57">'311'!$D$89:$D$90</definedName>
    <definedName name="OSRRefD22_3x_0" localSheetId="70">'313'!$D$53</definedName>
    <definedName name="OSRRefD22_3x_0" localSheetId="55">'314'!$D$81:$D$82</definedName>
    <definedName name="OSRRefD22_3x_0" localSheetId="61">'315'!$D$80:$D$81</definedName>
    <definedName name="OSRRefD22_3x_0" localSheetId="64">'316'!$D$57</definedName>
    <definedName name="OSRRefD22_3x_0" localSheetId="67">'317'!$D$84</definedName>
    <definedName name="OSRRefD22_3x_0" localSheetId="65">'320'!$D$53</definedName>
    <definedName name="OSRRefD22_3x_0" localSheetId="71">'321'!$D$48</definedName>
    <definedName name="OSRRefD22_3x_0" localSheetId="72">'322'!$D$49</definedName>
    <definedName name="OSRRefD22_3x_0" localSheetId="73">'325'!$D$49</definedName>
    <definedName name="OSRRefD22_3x_0" localSheetId="62">'326'!$D$80:$D$81</definedName>
    <definedName name="OSRRefD22_3x_0" localSheetId="53">'330'!$D$104</definedName>
    <definedName name="OSRRefD22_3x_0" localSheetId="60">'331'!$D$95:$D$96</definedName>
    <definedName name="OSRRefD22_3x_0" localSheetId="63">'332'!$D$66</definedName>
    <definedName name="OSRRefD22_3x_0" localSheetId="78">'405'!$D$49</definedName>
    <definedName name="OSRRefD22_3x_0" localSheetId="79">'406'!$D$50</definedName>
    <definedName name="OSRRefD22_3x_0" localSheetId="80">'411'!$D$44:$D$47</definedName>
    <definedName name="OSRRefD22_3x_0" localSheetId="81">'412'!$D$49</definedName>
    <definedName name="OSRRefD22_3x_0" localSheetId="83">'413'!$D$50</definedName>
    <definedName name="OSRRefD22_3x_0" localSheetId="84">'414'!$D$50</definedName>
    <definedName name="OSRRefD22_3x_0" localSheetId="85">'415'!$D$49</definedName>
    <definedName name="OSRRefD22_3x_0" localSheetId="86">'418'!$D$50</definedName>
    <definedName name="OSRRefD22_3x_0" localSheetId="82">'420'!$D$39</definedName>
    <definedName name="OSRRefD22_3x_0" localSheetId="87">'423'!$D$44</definedName>
    <definedName name="OSRRefD22_3x_0" localSheetId="88">'424'!$D$48</definedName>
    <definedName name="OSRRefD22_3x_0" localSheetId="89">'425'!$D$52</definedName>
    <definedName name="OSRRefD22_3x_0" localSheetId="92">'430'!$D$43</definedName>
    <definedName name="OSRRefD22_3x_0" localSheetId="93">'433'!$D$51</definedName>
    <definedName name="OSRRefD22_3x_0" localSheetId="94">'435'!$D$49</definedName>
    <definedName name="OSRRefD22_3x_0" localSheetId="95">'444'!$D$51</definedName>
    <definedName name="OSRRefD22_3x_0" localSheetId="96">'450'!$D$51:$D$52</definedName>
    <definedName name="OSRRefD22_3x_0" localSheetId="77">'491'!$D$58</definedName>
    <definedName name="OSRRefD22_3x_0" localSheetId="91">'492'!$D$53:$D$54</definedName>
    <definedName name="OSRRefD22_3x_0" localSheetId="98">'501'!$D$44</definedName>
    <definedName name="OSRRefD22_3x_0" localSheetId="39">'Div 2'!$D$46</definedName>
    <definedName name="OSRRefD22_3x_0" localSheetId="47">'Div 3'!$D$192:$D$193</definedName>
    <definedName name="OSRRefD22_3x_0" localSheetId="75">'Div 4'!$D$59:$D$60</definedName>
    <definedName name="OSRRefD22_3x_0" localSheetId="97">'Div 5'!$D$44</definedName>
    <definedName name="OSRRefD22_3x_0" localSheetId="66">'Div 6'!$D$84</definedName>
    <definedName name="OSRRefD22_3x_0" localSheetId="2">Summary!$D$224:$D$225</definedName>
    <definedName name="OSRRefD22_4x_0" localSheetId="40">'200'!$D$28:$D$29</definedName>
    <definedName name="OSRRefD22_4x_0" localSheetId="41">'201'!$D$45:$D$46</definedName>
    <definedName name="OSRRefD22_4x_0" localSheetId="42">'202'!$D$45</definedName>
    <definedName name="OSRRefD22_4x_0" localSheetId="43">'203'!$D$46</definedName>
    <definedName name="OSRRefD22_4x_0" localSheetId="44">'204'!$D$48</definedName>
    <definedName name="OSRRefD22_4x_0" localSheetId="45">'205'!$D$45</definedName>
    <definedName name="OSRRefD22_4x_0" localSheetId="46">'206'!$D$45</definedName>
    <definedName name="OSRRefD22_4x_0" localSheetId="48">'300'!$D$189</definedName>
    <definedName name="OSRRefD22_4x_0" localSheetId="49">'300 &amp; 317'!$D$214</definedName>
    <definedName name="OSRRefD22_4x_0" localSheetId="50">'301'!$D$46</definedName>
    <definedName name="OSRRefD22_4x_0" localSheetId="52">'306'!$D$45</definedName>
    <definedName name="OSRRefD22_4x_0" localSheetId="54">'307'!$D$98:$D$99</definedName>
    <definedName name="OSRRefD22_4x_0" localSheetId="56">'308'!$D$92</definedName>
    <definedName name="OSRRefD22_4x_0" localSheetId="69">'309'!$D$51</definedName>
    <definedName name="OSRRefD22_4x_0" localSheetId="68">'310'!$D$59</definedName>
    <definedName name="OSRRefD22_4x_0" localSheetId="76">'310 &amp; 491'!$D$67</definedName>
    <definedName name="OSRRefD22_4x_0" localSheetId="57">'311'!$D$92</definedName>
    <definedName name="OSRRefD22_4x_0" localSheetId="70">'313'!$D$55</definedName>
    <definedName name="OSRRefD22_4x_0" localSheetId="55">'314'!$D$84</definedName>
    <definedName name="OSRRefD22_4x_0" localSheetId="61">'315'!$D$83</definedName>
    <definedName name="OSRRefD22_4x_0" localSheetId="64">'316'!$D$59</definedName>
    <definedName name="OSRRefD22_4x_0" localSheetId="67">'317'!$D$86</definedName>
    <definedName name="OSRRefD22_4x_0" localSheetId="65">'320'!$D$55:$D$56</definedName>
    <definedName name="OSRRefD22_4x_0" localSheetId="71">'321'!$D$50</definedName>
    <definedName name="OSRRefD22_4x_0" localSheetId="72">'322'!$D$51</definedName>
    <definedName name="OSRRefD22_4x_0" localSheetId="73">'325'!$D$51</definedName>
    <definedName name="OSRRefD22_4x_0" localSheetId="62">'326'!$D$83</definedName>
    <definedName name="OSRRefD22_4x_0" localSheetId="53">'330'!$D$106:$D$107</definedName>
    <definedName name="OSRRefD22_4x_0" localSheetId="60">'331'!$D$98</definedName>
    <definedName name="OSRRefD22_4x_0" localSheetId="63">'332'!$D$68</definedName>
    <definedName name="OSRRefD22_4x_0" localSheetId="78">'405'!$D$51</definedName>
    <definedName name="OSRRefD22_4x_0" localSheetId="79">'406'!$D$52</definedName>
    <definedName name="OSRRefD22_4x_0" localSheetId="80">'411'!$D$49</definedName>
    <definedName name="OSRRefD22_4x_0" localSheetId="81">'412'!$D$51</definedName>
    <definedName name="OSRRefD22_4x_0" localSheetId="83">'413'!$D$52</definedName>
    <definedName name="OSRRefD22_4x_0" localSheetId="84">'414'!$D$52</definedName>
    <definedName name="OSRRefD22_4x_0" localSheetId="85">'415'!$D$51</definedName>
    <definedName name="OSRRefD22_4x_0" localSheetId="86">'418'!$D$52</definedName>
    <definedName name="OSRRefD22_4x_0" localSheetId="82">'420'!$D$41</definedName>
    <definedName name="OSRRefD22_4x_0" localSheetId="87">'423'!$D$46</definedName>
    <definedName name="OSRRefD22_4x_0" localSheetId="88">'424'!$D$50</definedName>
    <definedName name="OSRRefD22_4x_0" localSheetId="89">'425'!$D$54</definedName>
    <definedName name="OSRRefD22_4x_0" localSheetId="92">'430'!$D$45</definedName>
    <definedName name="OSRRefD22_4x_0" localSheetId="93">'433'!$D$53</definedName>
    <definedName name="OSRRefD22_4x_0" localSheetId="94">'435'!$D$51</definedName>
    <definedName name="OSRRefD22_4x_0" localSheetId="95">'444'!$D$53</definedName>
    <definedName name="OSRRefD22_4x_0" localSheetId="96">'450'!$D$54</definedName>
    <definedName name="OSRRefD22_4x_0" localSheetId="77">'491'!$D$60</definedName>
    <definedName name="OSRRefD22_4x_0" localSheetId="91">'492'!$D$56</definedName>
    <definedName name="OSRRefD22_4x_0" localSheetId="98">'501'!$D$46</definedName>
    <definedName name="OSRRefD22_4x_0" localSheetId="39">'Div 2'!$D$48</definedName>
    <definedName name="OSRRefD22_4x_0" localSheetId="47">'Div 3'!$D$195</definedName>
    <definedName name="OSRRefD22_4x_0" localSheetId="75">'Div 4'!$D$62</definedName>
    <definedName name="OSRRefD22_4x_0" localSheetId="97">'Div 5'!$D$46</definedName>
    <definedName name="OSRRefD22_4x_0" localSheetId="66">'Div 6'!$D$86</definedName>
    <definedName name="OSRRefD22_4x_0" localSheetId="2">Summary!$D$227</definedName>
    <definedName name="OSRRefD22_5x_0" localSheetId="41">'201'!$D$48</definedName>
    <definedName name="OSRRefD22_5x_0" localSheetId="42">'202'!$D$47</definedName>
    <definedName name="OSRRefD22_5x_0" localSheetId="43">'203'!$D$48</definedName>
    <definedName name="OSRRefD22_5x_0" localSheetId="44">'204'!$D$50</definedName>
    <definedName name="OSRRefD22_5x_0" localSheetId="45">'205'!$D$47:$D$48</definedName>
    <definedName name="OSRRefD22_5x_0" localSheetId="46">'206'!$D$47</definedName>
    <definedName name="OSRRefD22_5x_0" localSheetId="48">'300'!$D$191:$D$194</definedName>
    <definedName name="OSRRefD22_5x_0" localSheetId="49">'300 &amp; 317'!$D$216:$D$219</definedName>
    <definedName name="OSRRefD22_5x_0" localSheetId="50">'301'!$D$48:$D$51</definedName>
    <definedName name="OSRRefD22_5x_0" localSheetId="52">'306'!$D$47</definedName>
    <definedName name="OSRRefD22_5x_0" localSheetId="54">'307'!$D$101</definedName>
    <definedName name="OSRRefD22_5x_0" localSheetId="56">'308'!$D$94</definedName>
    <definedName name="OSRRefD22_5x_0" localSheetId="69">'309'!$D$53:$D$54</definedName>
    <definedName name="OSRRefD22_5x_0" localSheetId="68">'310'!$D$61:$D$63</definedName>
    <definedName name="OSRRefD22_5x_0" localSheetId="76">'310 &amp; 491'!$D$69:$D$72</definedName>
    <definedName name="OSRRefD22_5x_0" localSheetId="57">'311'!$D$94</definedName>
    <definedName name="OSRRefD22_5x_0" localSheetId="70">'313'!$D$57</definedName>
    <definedName name="OSRRefD22_5x_0" localSheetId="55">'314'!$D$86</definedName>
    <definedName name="OSRRefD22_5x_0" localSheetId="61">'315'!$D$85:$D$86</definedName>
    <definedName name="OSRRefD22_5x_0" localSheetId="64">'316'!$D$61</definedName>
    <definedName name="OSRRefD22_5x_0" localSheetId="67">'317'!$D$88</definedName>
    <definedName name="OSRRefD22_5x_0" localSheetId="65">'320'!$D$58</definedName>
    <definedName name="OSRRefD22_5x_0" localSheetId="71">'321'!$D$52</definedName>
    <definedName name="OSRRefD22_5x_0" localSheetId="72">'322'!$D$53:$D$54</definedName>
    <definedName name="OSRRefD22_5x_0" localSheetId="73">'325'!$D$53:$D$55</definedName>
    <definedName name="OSRRefD22_5x_0" localSheetId="62">'326'!$D$85</definedName>
    <definedName name="OSRRefD22_5x_0" localSheetId="53">'330'!$D$109</definedName>
    <definedName name="OSRRefD22_5x_0" localSheetId="60">'331'!$D$100:$D$101</definedName>
    <definedName name="OSRRefD22_5x_0" localSheetId="63">'332'!$D$70</definedName>
    <definedName name="OSRRefD22_5x_0" localSheetId="78">'405'!$D$53:$D$55</definedName>
    <definedName name="OSRRefD22_5x_0" localSheetId="79">'406'!$D$54:$D$55</definedName>
    <definedName name="OSRRefD22_5x_0" localSheetId="80">'411'!$D$51</definedName>
    <definedName name="OSRRefD22_5x_0" localSheetId="81">'412'!$D$53:$D$55</definedName>
    <definedName name="OSRRefD22_5x_0" localSheetId="83">'413'!$D$54</definedName>
    <definedName name="OSRRefD22_5x_0" localSheetId="84">'414'!$D$54:$D$55</definedName>
    <definedName name="OSRRefD22_5x_0" localSheetId="85">'415'!$D$53:$D$55</definedName>
    <definedName name="OSRRefD22_5x_0" localSheetId="86">'418'!$D$54:$D$56</definedName>
    <definedName name="OSRRefD22_5x_0" localSheetId="82">'420'!$D$43:$D$44</definedName>
    <definedName name="OSRRefD22_5x_0" localSheetId="87">'423'!$D$48</definedName>
    <definedName name="OSRRefD22_5x_0" localSheetId="88">'424'!$D$52</definedName>
    <definedName name="OSRRefD22_5x_0" localSheetId="89">'425'!$D$56:$D$57</definedName>
    <definedName name="OSRRefD22_5x_0" localSheetId="92">'430'!$D$47</definedName>
    <definedName name="OSRRefD22_5x_0" localSheetId="93">'433'!$D$55</definedName>
    <definedName name="OSRRefD22_5x_0" localSheetId="94">'435'!$D$53</definedName>
    <definedName name="OSRRefD22_5x_0" localSheetId="95">'444'!$D$55</definedName>
    <definedName name="OSRRefD22_5x_0" localSheetId="96">'450'!$D$56</definedName>
    <definedName name="OSRRefD22_5x_0" localSheetId="77">'491'!$D$62:$D$65</definedName>
    <definedName name="OSRRefD22_5x_0" localSheetId="91">'492'!$D$58:$D$59</definedName>
    <definedName name="OSRRefD22_5x_0" localSheetId="98">'501'!$D$48</definedName>
    <definedName name="OSRRefD22_5x_0" localSheetId="39">'Div 2'!$D$50:$D$51</definedName>
    <definedName name="OSRRefD22_5x_0" localSheetId="47">'Div 3'!$D$197:$D$200</definedName>
    <definedName name="OSRRefD22_5x_0" localSheetId="75">'Div 4'!$D$64:$D$67</definedName>
    <definedName name="OSRRefD22_5x_0" localSheetId="97">'Div 5'!$D$48</definedName>
    <definedName name="OSRRefD22_5x_0" localSheetId="66">'Div 6'!$D$88</definedName>
    <definedName name="OSRRefD22_5x_0" localSheetId="2">Summary!$D$229:$D$232</definedName>
    <definedName name="OSRRefD22_6x_0" localSheetId="41">'201'!$D$50</definedName>
    <definedName name="OSRRefD22_6x_0" localSheetId="42">'202'!$D$49</definedName>
    <definedName name="OSRRefD22_6x_0" localSheetId="43">'203'!$D$50</definedName>
    <definedName name="OSRRefD22_6x_0" localSheetId="44">'204'!$D$52</definedName>
    <definedName name="OSRRefD22_6x_0" localSheetId="45">'205'!$D$50</definedName>
    <definedName name="OSRRefD22_6x_0" localSheetId="46">'206'!$D$49</definedName>
    <definedName name="OSRRefD22_6x_0" localSheetId="48">'300'!$D$196:$D$197</definedName>
    <definedName name="OSRRefD22_6x_0" localSheetId="49">'300 &amp; 317'!$D$221:$D$222</definedName>
    <definedName name="OSRRefD22_6x_0" localSheetId="50">'301'!$D$53:$D$54</definedName>
    <definedName name="OSRRefD22_6x_0" localSheetId="52">'306'!$D$49</definedName>
    <definedName name="OSRRefD22_6x_0" localSheetId="54">'307'!$D$103</definedName>
    <definedName name="OSRRefD22_6x_0" localSheetId="56">'308'!$D$96:$D$97</definedName>
    <definedName name="OSRRefD22_6x_0" localSheetId="69">'309'!$D$56</definedName>
    <definedName name="OSRRefD22_6x_0" localSheetId="68">'310'!$D$65</definedName>
    <definedName name="OSRRefD22_6x_0" localSheetId="76">'310 &amp; 491'!$D$74</definedName>
    <definedName name="OSRRefD22_6x_0" localSheetId="57">'311'!$D$96:$D$97</definedName>
    <definedName name="OSRRefD22_6x_0" localSheetId="70">'313'!$D$59</definedName>
    <definedName name="OSRRefD22_6x_0" localSheetId="55">'314'!$D$88</definedName>
    <definedName name="OSRRefD22_6x_0" localSheetId="61">'315'!$D$88</definedName>
    <definedName name="OSRRefD22_6x_0" localSheetId="64">'316'!$D$63</definedName>
    <definedName name="OSRRefD22_6x_0" localSheetId="67">'317'!$D$90</definedName>
    <definedName name="OSRRefD22_6x_0" localSheetId="65">'320'!$D$60</definedName>
    <definedName name="OSRRefD22_6x_0" localSheetId="71">'321'!$D$54</definedName>
    <definedName name="OSRRefD22_6x_0" localSheetId="72">'322'!$D$56</definedName>
    <definedName name="OSRRefD22_6x_0" localSheetId="73">'325'!$D$57</definedName>
    <definedName name="OSRRefD22_6x_0" localSheetId="62">'326'!$D$87</definedName>
    <definedName name="OSRRefD22_6x_0" localSheetId="53">'330'!$D$111</definedName>
    <definedName name="OSRRefD22_6x_0" localSheetId="60">'331'!$D$103</definedName>
    <definedName name="OSRRefD22_6x_0" localSheetId="63">'332'!$D$72</definedName>
    <definedName name="OSRRefD22_6x_0" localSheetId="78">'405'!$D$57</definedName>
    <definedName name="OSRRefD22_6x_0" localSheetId="79">'406'!$D$57</definedName>
    <definedName name="OSRRefD22_6x_0" localSheetId="80">'411'!$D$53</definedName>
    <definedName name="OSRRefD22_6x_0" localSheetId="81">'412'!$D$57</definedName>
    <definedName name="OSRRefD22_6x_0" localSheetId="83">'413'!$D$56</definedName>
    <definedName name="OSRRefD22_6x_0" localSheetId="84">'414'!$D$57</definedName>
    <definedName name="OSRRefD22_6x_0" localSheetId="85">'415'!$D$57</definedName>
    <definedName name="OSRRefD22_6x_0" localSheetId="86">'418'!$D$58</definedName>
    <definedName name="OSRRefD22_6x_0" localSheetId="82">'420'!$D$46</definedName>
    <definedName name="OSRRefD22_6x_0" localSheetId="88">'424'!$D$54</definedName>
    <definedName name="OSRRefD22_6x_0" localSheetId="89">'425'!$D$59</definedName>
    <definedName name="OSRRefD22_6x_0" localSheetId="92">'430'!$D$49</definedName>
    <definedName name="OSRRefD22_6x_0" localSheetId="93">'433'!$D$57</definedName>
    <definedName name="OSRRefD22_6x_0" localSheetId="94">'435'!$D$55</definedName>
    <definedName name="OSRRefD22_6x_0" localSheetId="95">'444'!$D$57</definedName>
    <definedName name="OSRRefD22_6x_0" localSheetId="96">'450'!$D$58</definedName>
    <definedName name="OSRRefD22_6x_0" localSheetId="77">'491'!$D$67</definedName>
    <definedName name="OSRRefD22_6x_0" localSheetId="91">'492'!$D$61</definedName>
    <definedName name="OSRRefD22_6x_0" localSheetId="98">'501'!$D$50</definedName>
    <definedName name="OSRRefD22_6x_0" localSheetId="39">'Div 2'!$D$53:$D$54</definedName>
    <definedName name="OSRRefD22_6x_0" localSheetId="47">'Div 3'!$D$202:$D$203</definedName>
    <definedName name="OSRRefD22_6x_0" localSheetId="75">'Div 4'!$D$69</definedName>
    <definedName name="OSRRefD22_6x_0" localSheetId="97">'Div 5'!$D$50</definedName>
    <definedName name="OSRRefD22_6x_0" localSheetId="66">'Div 6'!$D$90</definedName>
    <definedName name="OSRRefD22_6x_0" localSheetId="2">Summary!$D$234:$D$235</definedName>
    <definedName name="OSRRefD22_7x_0" localSheetId="41">'201'!$D$52</definedName>
    <definedName name="OSRRefD22_7x_0" localSheetId="42">'202'!$D$51</definedName>
    <definedName name="OSRRefD22_7x_0" localSheetId="43">'203'!$D$52</definedName>
    <definedName name="OSRRefD22_7x_0" localSheetId="44">'204'!$D$54:$D$57</definedName>
    <definedName name="OSRRefD22_7x_0" localSheetId="45">'205'!$D$52:$D$53</definedName>
    <definedName name="OSRRefD22_7x_0" localSheetId="46">'206'!$D$51:$D$52</definedName>
    <definedName name="OSRRefD22_7x_0" localSheetId="48">'300'!$D$199:$D$200</definedName>
    <definedName name="OSRRefD22_7x_0" localSheetId="49">'300 &amp; 317'!$D$224:$D$225</definedName>
    <definedName name="OSRRefD22_7x_0" localSheetId="50">'301'!$D$56:$D$57</definedName>
    <definedName name="OSRRefD22_7x_0" localSheetId="52">'306'!$D$51:$D$52</definedName>
    <definedName name="OSRRefD22_7x_0" localSheetId="54">'307'!$D$105</definedName>
    <definedName name="OSRRefD22_7x_0" localSheetId="56">'308'!$D$99</definedName>
    <definedName name="OSRRefD22_7x_0" localSheetId="69">'309'!$D$58</definedName>
    <definedName name="OSRRefD22_7x_0" localSheetId="68">'310'!$D$67</definedName>
    <definedName name="OSRRefD22_7x_0" localSheetId="76">'310 &amp; 491'!$D$76</definedName>
    <definedName name="OSRRefD22_7x_0" localSheetId="57">'311'!$D$99</definedName>
    <definedName name="OSRRefD22_7x_0" localSheetId="70">'313'!$D$61</definedName>
    <definedName name="OSRRefD22_7x_0" localSheetId="55">'314'!$D$90</definedName>
    <definedName name="OSRRefD22_7x_0" localSheetId="61">'315'!$D$90</definedName>
    <definedName name="OSRRefD22_7x_0" localSheetId="64">'316'!$D$65</definedName>
    <definedName name="OSRRefD22_7x_0" localSheetId="67">'317'!$D$92</definedName>
    <definedName name="OSRRefD22_7x_0" localSheetId="65">'320'!$D$62:$D$63</definedName>
    <definedName name="OSRRefD22_7x_0" localSheetId="71">'321'!$D$56</definedName>
    <definedName name="OSRRefD22_7x_0" localSheetId="72">'322'!$D$58</definedName>
    <definedName name="OSRRefD22_7x_0" localSheetId="73">'325'!$D$59</definedName>
    <definedName name="OSRRefD22_7x_0" localSheetId="62">'326'!$D$89</definedName>
    <definedName name="OSRRefD22_7x_0" localSheetId="53">'330'!$D$113</definedName>
    <definedName name="OSRRefD22_7x_0" localSheetId="60">'331'!$D$105</definedName>
    <definedName name="OSRRefD22_7x_0" localSheetId="63">'332'!$D$74:$D$75</definedName>
    <definedName name="OSRRefD22_7x_0" localSheetId="78">'405'!$D$59</definedName>
    <definedName name="OSRRefD22_7x_0" localSheetId="79">'406'!$D$59</definedName>
    <definedName name="OSRRefD22_7x_0" localSheetId="80">'411'!$D$55</definedName>
    <definedName name="OSRRefD22_7x_0" localSheetId="81">'412'!$D$59</definedName>
    <definedName name="OSRRefD22_7x_0" localSheetId="83">'413'!$D$58</definedName>
    <definedName name="OSRRefD22_7x_0" localSheetId="84">'414'!$D$59</definedName>
    <definedName name="OSRRefD22_7x_0" localSheetId="85">'415'!$D$59</definedName>
    <definedName name="OSRRefD22_7x_0" localSheetId="86">'418'!$D$60</definedName>
    <definedName name="OSRRefD22_7x_0" localSheetId="88">'424'!$D$56:$D$57</definedName>
    <definedName name="OSRRefD22_7x_0" localSheetId="89">'425'!$D$61</definedName>
    <definedName name="OSRRefD22_7x_0" localSheetId="92">'430'!$D$51:$D$53</definedName>
    <definedName name="OSRRefD22_7x_0" localSheetId="93">'433'!$D$59</definedName>
    <definedName name="OSRRefD22_7x_0" localSheetId="94">'435'!$D$57:$D$59</definedName>
    <definedName name="OSRRefD22_7x_0" localSheetId="95">'444'!$D$59</definedName>
    <definedName name="OSRRefD22_7x_0" localSheetId="96">'450'!$D$60</definedName>
    <definedName name="OSRRefD22_7x_0" localSheetId="77">'491'!$D$69</definedName>
    <definedName name="OSRRefD22_7x_0" localSheetId="91">'492'!$D$63</definedName>
    <definedName name="OSRRefD22_7x_0" localSheetId="98">'501'!$D$52</definedName>
    <definedName name="OSRRefD22_7x_0" localSheetId="39">'Div 2'!$D$56</definedName>
    <definedName name="OSRRefD22_7x_0" localSheetId="47">'Div 3'!$D$205:$D$206</definedName>
    <definedName name="OSRRefD22_7x_0" localSheetId="75">'Div 4'!$D$71:$D$72</definedName>
    <definedName name="OSRRefD22_7x_0" localSheetId="97">'Div 5'!$D$52</definedName>
    <definedName name="OSRRefD22_7x_0" localSheetId="66">'Div 6'!$D$92</definedName>
    <definedName name="OSRRefD22_7x_0" localSheetId="2">Summary!$D$237:$D$239</definedName>
    <definedName name="OSRRefD22_8x_0" localSheetId="41">'201'!$D$54</definedName>
    <definedName name="OSRRefD22_8x_0" localSheetId="42">'202'!$D$53</definedName>
    <definedName name="OSRRefD22_8x_0" localSheetId="43">'203'!$D$54</definedName>
    <definedName name="OSRRefD22_8x_0" localSheetId="44">'204'!$D$59</definedName>
    <definedName name="OSRRefD22_8x_0" localSheetId="45">'205'!$D$55</definedName>
    <definedName name="OSRRefD22_8x_0" localSheetId="46">'206'!$D$54</definedName>
    <definedName name="OSRRefD22_8x_0" localSheetId="48">'300'!$D$202</definedName>
    <definedName name="OSRRefD22_8x_0" localSheetId="49">'300 &amp; 317'!$D$227</definedName>
    <definedName name="OSRRefD22_8x_0" localSheetId="50">'301'!$D$59</definedName>
    <definedName name="OSRRefD22_8x_0" localSheetId="52">'306'!$D$54:$D$57</definedName>
    <definedName name="OSRRefD22_8x_0" localSheetId="54">'307'!$D$107:$D$108</definedName>
    <definedName name="OSRRefD22_8x_0" localSheetId="56">'308'!$D$101</definedName>
    <definedName name="OSRRefD22_8x_0" localSheetId="69">'309'!$D$60</definedName>
    <definedName name="OSRRefD22_8x_0" localSheetId="68">'310'!$D$69</definedName>
    <definedName name="OSRRefD22_8x_0" localSheetId="76">'310 &amp; 491'!$D$78</definedName>
    <definedName name="OSRRefD22_8x_0" localSheetId="57">'311'!$D$101</definedName>
    <definedName name="OSRRefD22_8x_0" localSheetId="70">'313'!$D$63</definedName>
    <definedName name="OSRRefD22_8x_0" localSheetId="55">'314'!$D$92</definedName>
    <definedName name="OSRRefD22_8x_0" localSheetId="61">'315'!$D$92</definedName>
    <definedName name="OSRRefD22_8x_0" localSheetId="64">'316'!$D$67</definedName>
    <definedName name="OSRRefD22_8x_0" localSheetId="67">'317'!$D$94</definedName>
    <definedName name="OSRRefD22_8x_0" localSheetId="65">'320'!$D$65</definedName>
    <definedName name="OSRRefD22_8x_0" localSheetId="71">'321'!$D$58</definedName>
    <definedName name="OSRRefD22_8x_0" localSheetId="72">'322'!$D$60</definedName>
    <definedName name="OSRRefD22_8x_0" localSheetId="73">'325'!$D$61</definedName>
    <definedName name="OSRRefD22_8x_0" localSheetId="62">'326'!$D$91</definedName>
    <definedName name="OSRRefD22_8x_0" localSheetId="53">'330'!$D$115</definedName>
    <definedName name="OSRRefD22_8x_0" localSheetId="60">'331'!$D$107:$D$108</definedName>
    <definedName name="OSRRefD22_8x_0" localSheetId="63">'332'!$D$77</definedName>
    <definedName name="OSRRefD22_8x_0" localSheetId="78">'405'!$D$61</definedName>
    <definedName name="OSRRefD22_8x_0" localSheetId="79">'406'!$D$61</definedName>
    <definedName name="OSRRefD22_8x_0" localSheetId="80">'411'!$D$57</definedName>
    <definedName name="OSRRefD22_8x_0" localSheetId="81">'412'!$D$61</definedName>
    <definedName name="OSRRefD22_8x_0" localSheetId="83">'413'!$D$60:$D$62</definedName>
    <definedName name="OSRRefD22_8x_0" localSheetId="84">'414'!$D$61</definedName>
    <definedName name="OSRRefD22_8x_0" localSheetId="85">'415'!$D$61</definedName>
    <definedName name="OSRRefD22_8x_0" localSheetId="86">'418'!$D$62</definedName>
    <definedName name="OSRRefD22_8x_0" localSheetId="88">'424'!$D$59:$D$60</definedName>
    <definedName name="OSRRefD22_8x_0" localSheetId="89">'425'!$D$63</definedName>
    <definedName name="OSRRefD22_8x_0" localSheetId="92">'430'!$D$55</definedName>
    <definedName name="OSRRefD22_8x_0" localSheetId="93">'433'!$D$61</definedName>
    <definedName name="OSRRefD22_8x_0" localSheetId="94">'435'!$D$61</definedName>
    <definedName name="OSRRefD22_8x_0" localSheetId="95">'444'!$D$61</definedName>
    <definedName name="OSRRefD22_8x_0" localSheetId="96">'450'!$D$62</definedName>
    <definedName name="OSRRefD22_8x_0" localSheetId="77">'491'!$D$71</definedName>
    <definedName name="OSRRefD22_8x_0" localSheetId="91">'492'!$D$65</definedName>
    <definedName name="OSRRefD22_8x_0" localSheetId="98">'501'!$D$54</definedName>
    <definedName name="OSRRefD22_8x_0" localSheetId="39">'Div 2'!$D$58</definedName>
    <definedName name="OSRRefD22_8x_0" localSheetId="47">'Div 3'!$D$208</definedName>
    <definedName name="OSRRefD22_8x_0" localSheetId="75">'Div 4'!$D$74</definedName>
    <definedName name="OSRRefD22_8x_0" localSheetId="97">'Div 5'!$D$54</definedName>
    <definedName name="OSRRefD22_8x_0" localSheetId="66">'Div 6'!$D$94</definedName>
    <definedName name="OSRRefD22_8x_0" localSheetId="2">Summary!$D$241</definedName>
    <definedName name="OSRRefD22_9x_0" localSheetId="41">'201'!$D$56</definedName>
    <definedName name="OSRRefD22_9x_0" localSheetId="42">'202'!$D$55:$D$57</definedName>
    <definedName name="OSRRefD22_9x_0" localSheetId="43">'203'!$D$56:$D$57</definedName>
    <definedName name="OSRRefD22_9x_0" localSheetId="44">'204'!$D$61:$D$62</definedName>
    <definedName name="OSRRefD22_9x_0" localSheetId="45">'205'!$D$57</definedName>
    <definedName name="OSRRefD22_9x_0" localSheetId="46">'206'!$D$56</definedName>
    <definedName name="OSRRefD22_9x_0" localSheetId="48">'300'!$D$204</definedName>
    <definedName name="OSRRefD22_9x_0" localSheetId="49">'300 &amp; 317'!$D$229</definedName>
    <definedName name="OSRRefD22_9x_0" localSheetId="50">'301'!$D$61</definedName>
    <definedName name="OSRRefD22_9x_0" localSheetId="52">'306'!$D$59</definedName>
    <definedName name="OSRRefD22_9x_0" localSheetId="54">'307'!$D$110:$D$111</definedName>
    <definedName name="OSRRefD22_9x_0" localSheetId="56">'308'!$D$103:$D$105</definedName>
    <definedName name="OSRRefD22_9x_0" localSheetId="69">'309'!$D$62:$D$63</definedName>
    <definedName name="OSRRefD22_9x_0" localSheetId="68">'310'!$D$71</definedName>
    <definedName name="OSRRefD22_9x_0" localSheetId="76">'310 &amp; 491'!$D$80</definedName>
    <definedName name="OSRRefD22_9x_0" localSheetId="57">'311'!$D$103:$D$105</definedName>
    <definedName name="OSRRefD22_9x_0" localSheetId="70">'313'!$D$65</definedName>
    <definedName name="OSRRefD22_9x_0" localSheetId="55">'314'!$D$94</definedName>
    <definedName name="OSRRefD22_9x_0" localSheetId="61">'315'!$D$94</definedName>
    <definedName name="OSRRefD22_9x_0" localSheetId="64">'316'!$D$69:$D$70</definedName>
    <definedName name="OSRRefD22_9x_0" localSheetId="67">'317'!$D$96:$D$97</definedName>
    <definedName name="OSRRefD22_9x_0" localSheetId="71">'321'!$D$60:$D$62</definedName>
    <definedName name="OSRRefD22_9x_0" localSheetId="72">'322'!$D$62:$D$64</definedName>
    <definedName name="OSRRefD22_9x_0" localSheetId="73">'325'!$D$63</definedName>
    <definedName name="OSRRefD22_9x_0" localSheetId="62">'326'!$D$93</definedName>
    <definedName name="OSRRefD22_9x_0" localSheetId="53">'330'!$D$117:$D$118</definedName>
    <definedName name="OSRRefD22_9x_0" localSheetId="60">'331'!$D$110</definedName>
    <definedName name="OSRRefD22_9x_0" localSheetId="63">'332'!$D$79</definedName>
    <definedName name="OSRRefD22_9x_0" localSheetId="78">'405'!$D$63</definedName>
    <definedName name="OSRRefD22_9x_0" localSheetId="79">'406'!$D$63:$D$65</definedName>
    <definedName name="OSRRefD22_9x_0" localSheetId="80">'411'!$D$59</definedName>
    <definedName name="OSRRefD22_9x_0" localSheetId="81">'412'!$D$63:$D$64</definedName>
    <definedName name="OSRRefD22_9x_0" localSheetId="83">'413'!$D$64:$D$65</definedName>
    <definedName name="OSRRefD22_9x_0" localSheetId="84">'414'!$D$63:$D$64</definedName>
    <definedName name="OSRRefD22_9x_0" localSheetId="85">'415'!$D$63</definedName>
    <definedName name="OSRRefD22_9x_0" localSheetId="86">'418'!$D$64</definedName>
    <definedName name="OSRRefD22_9x_0" localSheetId="88">'424'!$D$62</definedName>
    <definedName name="OSRRefD22_9x_0" localSheetId="89">'425'!$D$65:$D$67</definedName>
    <definedName name="OSRRefD22_9x_0" localSheetId="92">'430'!$D$57</definedName>
    <definedName name="OSRRefD22_9x_0" localSheetId="93">'433'!$D$63</definedName>
    <definedName name="OSRRefD22_9x_0" localSheetId="95">'444'!$D$63</definedName>
    <definedName name="OSRRefD22_9x_0" localSheetId="96">'450'!$D$64</definedName>
    <definedName name="OSRRefD22_9x_0" localSheetId="77">'491'!$D$73</definedName>
    <definedName name="OSRRefD22_9x_0" localSheetId="91">'492'!$D$67</definedName>
    <definedName name="OSRRefD22_9x_0" localSheetId="98">'501'!$D$56</definedName>
    <definedName name="OSRRefD22_9x_0" localSheetId="39">'Div 2'!$D$60</definedName>
    <definedName name="OSRRefD22_9x_0" localSheetId="47">'Div 3'!$D$210</definedName>
    <definedName name="OSRRefD22_9x_0" localSheetId="75">'Div 4'!$D$76</definedName>
    <definedName name="OSRRefD22_9x_0" localSheetId="97">'Div 5'!$D$56</definedName>
    <definedName name="OSRRefD22_9x_0" localSheetId="66">'Div 6'!$D$96:$D$97</definedName>
    <definedName name="OSRRefD22_9x_0" localSheetId="2">Summary!$D$243</definedName>
    <definedName name="OSRRefD22x_0" localSheetId="40">'200'!$D$20,'200'!$D$22,'200'!$D$24,'200'!$D$26,'200'!$D$28:$D$29</definedName>
    <definedName name="OSRRefD22x_0" localSheetId="41">'201'!$D$20:$D$28,'201'!$D$30:$D$39,'201'!$D$41,'201'!$D$43,'201'!$D$45:$D$46,'201'!$D$48,'201'!$D$50,'201'!$D$52,'201'!$D$54,'201'!$D$56,'201'!$D$58:$D$60,'201'!$D$62:$D$64,'201'!$D$66,'201'!$D$68:$D$70,'201'!$D$72,'201'!$D$74,'201'!$D$76:$D$77</definedName>
    <definedName name="OSRRefD22x_0" localSheetId="42">'202'!$D$20:$D$28,'202'!$D$30:$D$39,'202'!$D$41,'202'!$D$43,'202'!$D$45,'202'!$D$47,'202'!$D$49,'202'!$D$51,'202'!$D$53,'202'!$D$55:$D$57,'202'!$D$59,'202'!$D$61:$D$63,'202'!$D$65,'202'!$D$67,'202'!$D$69:$D$70,'202'!$D$72,'202'!$D$74</definedName>
    <definedName name="OSRRefD22x_0" localSheetId="43">'203'!$D$20:$D$29,'203'!$D$31:$D$40,'203'!$D$42,'203'!$D$44,'203'!$D$46,'203'!$D$48,'203'!$D$50,'203'!$D$52,'203'!$D$54,'203'!$D$56:$D$57,'203'!$D$59:$D$60,'203'!$D$62,'203'!$D$64:$D$66,'203'!$D$68,'203'!$D$70,'203'!$D$72</definedName>
    <definedName name="OSRRefD22x_0" localSheetId="44">'204'!$D$21:$D$30,'204'!$D$32:$D$41,'204'!$D$43,'204'!$D$45:$D$46,'204'!$D$48,'204'!$D$50,'204'!$D$52,'204'!$D$54:$D$57,'204'!$D$59,'204'!$D$61:$D$62,'204'!$D$64:$D$65,'204'!$D$67,'204'!$D$69:$D$70</definedName>
    <definedName name="OSRRefD22x_0" localSheetId="45">'205'!$D$20:$D$28,'205'!$D$30:$D$39,'205'!$D$41,'205'!$D$43,'205'!$D$45,'205'!$D$47:$D$48,'205'!$D$50,'205'!$D$52:$D$53,'205'!$D$55,'205'!$D$57</definedName>
    <definedName name="OSRRefD22x_0" localSheetId="46">'206'!$D$20:$D$28,'206'!$D$30:$D$39,'206'!$D$41,'206'!$D$43,'206'!$D$45,'206'!$D$47,'206'!$D$49,'206'!$D$51:$D$52,'206'!$D$54,'206'!$D$56,'206'!$D$58</definedName>
    <definedName name="OSRRefD22x_0" localSheetId="48">'300'!$D$162:$D$171,'300'!$D$173:$D$182,'300'!$D$184,'300'!$D$186:$D$187,'300'!$D$189,'300'!$D$191:$D$194,'300'!$D$196:$D$197,'300'!$D$199:$D$200,'300'!$D$202,'300'!$D$204,'300'!$D$206:$D$207,'300'!$D$209,'300'!$D$211,'300'!$D$213,'300'!$D$215,'300'!$D$217,'300'!$D$219:$D$222,'300'!$D$224:$D$227,'300'!$D$229:$D$232,'300'!$D$234:$D$235,'300'!$D$237:$D$243,'300'!$D$245:$D$246,'300'!$D$248,'300'!$D$250:$D$252,'300'!$D$254</definedName>
    <definedName name="OSRRefD22x_0" localSheetId="49">'300 &amp; 317'!$D$187:$D$196,'300 &amp; 317'!$D$198:$D$207,'300 &amp; 317'!$D$209,'300 &amp; 317'!$D$211:$D$212,'300 &amp; 317'!$D$214,'300 &amp; 317'!$D$216:$D$219,'300 &amp; 317'!$D$221:$D$222,'300 &amp; 317'!$D$224:$D$225,'300 &amp; 317'!$D$227,'300 &amp; 317'!$D$229,'300 &amp; 317'!$D$231:$D$232,'300 &amp; 317'!$D$234,'300 &amp; 317'!$D$236,'300 &amp; 317'!$D$238,'300 &amp; 317'!$D$240,'300 &amp; 317'!$D$242,'300 &amp; 317'!$D$244:$D$247,'300 &amp; 317'!$D$249:$D$252,'300 &amp; 317'!$D$254:$D$257,'300 &amp; 317'!$D$259:$D$260,'300 &amp; 317'!$D$262:$D$268,'300 &amp; 317'!$D$270:$D$271,'300 &amp; 317'!$D$273,'300 &amp; 317'!$D$275:$D$277,'300 &amp; 317'!$D$279</definedName>
    <definedName name="OSRRefD22x_0" localSheetId="50">'301'!$D$20:$D$28,'301'!$D$30:$D$39,'301'!$D$41,'301'!$D$43:$D$44,'301'!$D$46,'301'!$D$48:$D$51,'301'!$D$53:$D$54,'301'!$D$56:$D$57,'301'!$D$59,'301'!$D$61,'301'!$D$63,'301'!$D$65,'301'!$D$67,'301'!$D$69,'301'!$D$71,'301'!$D$73:$D$76,'301'!$D$78:$D$80,'301'!$D$82:$D$83,'301'!$D$85:$D$90,'301'!$D$92,'301'!$D$94,'301'!$D$96:$D$98,'301'!$D$100</definedName>
    <definedName name="OSRRefD22x_0" localSheetId="52">'306'!$D$20:$D$28,'306'!$D$30:$D$39,'306'!$D$41,'306'!$D$43,'306'!$D$45,'306'!$D$47,'306'!$D$49,'306'!$D$51:$D$52,'306'!$D$54:$D$57,'306'!$D$59,'306'!$D$61</definedName>
    <definedName name="OSRRefD22x_0" localSheetId="54">'307'!$D$73:$D$81,'307'!$D$83:$D$92,'307'!$D$94,'307'!$D$96,'307'!$D$98:$D$99,'307'!$D$101,'307'!$D$103,'307'!$D$105,'307'!$D$107:$D$108,'307'!$D$110:$D$111,'307'!$D$113:$D$115,'307'!$D$117,'307'!$D$119</definedName>
    <definedName name="OSRRefD22x_0" localSheetId="56">'308'!$D$65:$D$74,'308'!$D$76:$D$85,'308'!$D$87,'308'!$D$89:$D$90,'308'!$D$92,'308'!$D$94,'308'!$D$96:$D$97,'308'!$D$99,'308'!$D$101,'308'!$D$103:$D$105,'308'!$D$107,'308'!$D$109:$D$111,'308'!$D$113:$D$114,'308'!$D$116,'308'!$D$118:$D$119</definedName>
    <definedName name="OSRRefD22x_0" localSheetId="69">'309'!$D$26:$D$34,'309'!$D$36:$D$45,'309'!$D$47,'309'!$D$49,'309'!$D$51,'309'!$D$53:$D$54,'309'!$D$56,'309'!$D$58,'309'!$D$60,'309'!$D$62:$D$63,'309'!$D$65:$D$67,'309'!$D$69:$D$71,'309'!$D$73,'309'!$D$75</definedName>
    <definedName name="OSRRefD22x_0" localSheetId="68">'310'!$D$34:$D$42,'310'!$D$44:$D$53,'310'!$D$55,'310'!$D$57,'310'!$D$59,'310'!$D$61:$D$63,'310'!$D$65,'310'!$D$67,'310'!$D$69,'310'!$D$71,'310'!$D$73,'310'!$D$75,'310'!$D$77,'310'!$D$79,'310'!$D$81,'310'!$D$83:$D$85,'310'!$D$87:$D$88,'310'!$D$90:$D$94,'310'!$D$96,'310'!$D$98:$D$106,'310'!$D$108,'310'!$D$110,'310'!$D$112,'310'!$D$114</definedName>
    <definedName name="OSRRefD22x_0" localSheetId="76">'310 &amp; 491'!$D$41:$D$50,'310 &amp; 491'!$D$52:$D$61,'310 &amp; 491'!$D$63,'310 &amp; 491'!$D$65,'310 &amp; 491'!$D$67,'310 &amp; 491'!$D$69:$D$72,'310 &amp; 491'!$D$74,'310 &amp; 491'!$D$76,'310 &amp; 491'!$D$78,'310 &amp; 491'!$D$80,'310 &amp; 491'!$D$82,'310 &amp; 491'!$D$84:$D$85,'310 &amp; 491'!$D$87,'310 &amp; 491'!$D$89,'310 &amp; 491'!$D$91,'310 &amp; 491'!$D$93,'310 &amp; 491'!$D$95,'310 &amp; 491'!$D$97:$D$100,'310 &amp; 491'!$D$102:$D$104,'310 &amp; 491'!$D$106:$D$111,'310 &amp; 491'!$D$113:$D$114,'310 &amp; 491'!$D$116:$D$125,'310 &amp; 491'!$D$127:$D$128,'310 &amp; 491'!$D$130,'310 &amp; 491'!$D$132:$D$134,'310 &amp; 491'!$D$136</definedName>
    <definedName name="OSRRefD22x_0" localSheetId="57">'311'!$D$65:$D$74,'311'!$D$76:$D$85,'311'!$D$87,'311'!$D$89:$D$90,'311'!$D$92,'311'!$D$94,'311'!$D$96:$D$97,'311'!$D$99,'311'!$D$101,'311'!$D$103:$D$105,'311'!$D$107,'311'!$D$109:$D$111,'311'!$D$113:$D$114,'311'!$D$116,'311'!$D$118:$D$119</definedName>
    <definedName name="OSRRefD22x_0" localSheetId="70">'313'!$D$30:$D$38,'313'!$D$40:$D$49,'313'!$D$51,'313'!$D$53,'313'!$D$55,'313'!$D$57,'313'!$D$59,'313'!$D$61,'313'!$D$63,'313'!$D$65,'313'!$D$67:$D$69,'313'!$D$71,'313'!$D$73:$D$77,'313'!$D$79,'313'!$D$81</definedName>
    <definedName name="OSRRefD22x_0" localSheetId="55">'314'!$D$58:$D$66,'314'!$D$68:$D$77,'314'!$D$79,'314'!$D$81:$D$82,'314'!$D$84,'314'!$D$86,'314'!$D$88,'314'!$D$90,'314'!$D$92,'314'!$D$94</definedName>
    <definedName name="OSRRefD22x_0" localSheetId="61">'315'!$D$57:$D$65,'315'!$D$67:$D$76,'315'!$D$78,'315'!$D$80:$D$81,'315'!$D$83,'315'!$D$85:$D$86,'315'!$D$88,'315'!$D$90,'315'!$D$92,'315'!$D$94,'315'!$D$96:$D$98,'315'!$D$100:$D$101,'315'!$D$103:$D$107,'315'!$D$109,'315'!$D$111,'315'!$D$113:$D$114</definedName>
    <definedName name="OSRRefD22x_0" localSheetId="64">'316'!$D$34:$D$42,'316'!$D$44:$D$53,'316'!$D$55,'316'!$D$57,'316'!$D$59,'316'!$D$61,'316'!$D$63,'316'!$D$65,'316'!$D$67,'316'!$D$69:$D$70,'316'!$D$72:$D$73,'316'!$D$75:$D$79,'316'!$D$81:$D$82,'316'!$D$84</definedName>
    <definedName name="OSRRefD22x_0" localSheetId="67">'317'!$D$60:$D$69,'317'!$D$71:$D$80,'317'!$D$82,'317'!$D$84,'317'!$D$86,'317'!$D$88,'317'!$D$90,'317'!$D$92,'317'!$D$94,'317'!$D$96:$D$97,'317'!$D$99:$D$100,'317'!$D$102,'317'!$D$104</definedName>
    <definedName name="OSRRefD22x_0" localSheetId="65">'320'!$D$31:$D$38,'320'!$D$40:$D$49,'320'!$D$51,'320'!$D$53,'320'!$D$55:$D$56,'320'!$D$58,'320'!$D$60,'320'!$D$62:$D$63,'320'!$D$65</definedName>
    <definedName name="OSRRefD22x_0" localSheetId="71">'321'!$D$26:$D$33,'321'!$D$35:$D$44,'321'!$D$46,'321'!$D$48,'321'!$D$50,'321'!$D$52,'321'!$D$54,'321'!$D$56,'321'!$D$58,'321'!$D$60:$D$62,'321'!$D$64:$D$65,'321'!$D$67:$D$69,'321'!$D$71:$D$73,'321'!$D$75,'321'!$D$77</definedName>
    <definedName name="OSRRefD22x_0" localSheetId="72">'322'!$D$26:$D$34,'322'!$D$36:$D$45,'322'!$D$47,'322'!$D$49,'322'!$D$51,'322'!$D$53:$D$54,'322'!$D$56,'322'!$D$58,'322'!$D$60,'322'!$D$62:$D$64,'322'!$D$66:$D$68,'322'!$D$70:$D$75,'322'!$D$77,'322'!$D$79</definedName>
    <definedName name="OSRRefD22x_0" localSheetId="73">'325'!$D$26:$D$34,'325'!$D$36:$D$45,'325'!$D$47,'325'!$D$49,'325'!$D$51,'325'!$D$53:$D$55,'325'!$D$57,'325'!$D$59,'325'!$D$61,'325'!$D$63,'325'!$D$65,'325'!$D$67:$D$69,'325'!$D$71:$D$74,'325'!$D$76,'325'!$D$78:$D$84,'325'!$D$86,'325'!$D$88,'325'!$D$90,'325'!$D$92</definedName>
    <definedName name="OSRRefD22x_0" localSheetId="62">'326'!$D$57:$D$65,'326'!$D$67:$D$76,'326'!$D$78,'326'!$D$80:$D$81,'326'!$D$83,'326'!$D$85,'326'!$D$87,'326'!$D$89,'326'!$D$91,'326'!$D$93,'326'!$D$95,'326'!$D$97,'326'!$D$99,'326'!$D$101:$D$102,'326'!$D$104:$D$106,'326'!$D$108:$D$109,'326'!$D$111:$D$116,'326'!$D$118:$D$119,'326'!$D$121,'326'!$D$123,'326'!$D$125</definedName>
    <definedName name="OSRRefD22x_0" localSheetId="74">'327'!$D$24,'327'!$D$26,'327'!$D$28</definedName>
    <definedName name="OSRRefD22x_0" localSheetId="53">'330'!$D$81:$D$89,'330'!$D$91:$D$100,'330'!$D$102,'330'!$D$104,'330'!$D$106:$D$107,'330'!$D$109,'330'!$D$111,'330'!$D$113,'330'!$D$115,'330'!$D$117:$D$118,'330'!$D$120:$D$121,'330'!$D$123,'330'!$D$125:$D$127,'330'!$D$129,'330'!$D$131,'330'!$D$133</definedName>
    <definedName name="OSRRefD22x_0" localSheetId="60">'331'!$D$72:$D$80,'331'!$D$82:$D$91,'331'!$D$93,'331'!$D$95:$D$96,'331'!$D$98,'331'!$D$100:$D$101,'331'!$D$103,'331'!$D$105,'331'!$D$107:$D$108,'331'!$D$110,'331'!$D$112,'331'!$D$114,'331'!$D$116,'331'!$D$118,'331'!$D$120:$D$121,'331'!$D$123:$D$125,'331'!$D$127:$D$129,'331'!$D$131:$D$132,'331'!$D$134:$D$139,'331'!$D$141:$D$142,'331'!$D$144,'331'!$D$146:$D$147,'331'!$D$149</definedName>
    <definedName name="OSRRefD22x_0" localSheetId="63">'332'!$D$43:$D$51,'332'!$D$53:$D$62,'332'!$D$64,'332'!$D$66,'332'!$D$68,'332'!$D$70,'332'!$D$72,'332'!$D$74:$D$75,'332'!$D$77,'332'!$D$79,'332'!$D$81:$D$82,'332'!$D$84:$D$85,'332'!$D$87:$D$91,'332'!$D$93:$D$94,'332'!$D$96</definedName>
    <definedName name="OSRRefD22x_0" localSheetId="78">'405'!$D$26:$D$34,'405'!$D$36:$D$45,'405'!$D$47,'405'!$D$49,'405'!$D$51,'405'!$D$53:$D$55,'405'!$D$57,'405'!$D$59,'405'!$D$61,'405'!$D$63,'405'!$D$65,'405'!$D$67:$D$69,'405'!$D$71,'405'!$D$73:$D$75,'405'!$D$77:$D$78,'405'!$D$80:$D$88,'405'!$D$90,'405'!$D$92,'405'!$D$94,'405'!$D$96</definedName>
    <definedName name="OSRRefD22x_0" localSheetId="79">'406'!$D$27:$D$35,'406'!$D$37:$D$46,'406'!$D$48,'406'!$D$50,'406'!$D$52,'406'!$D$54:$D$55,'406'!$D$57,'406'!$D$59,'406'!$D$61,'406'!$D$63:$D$65,'406'!$D$67:$D$69,'406'!$D$71:$D$76,'406'!$D$78:$D$79,'406'!$D$81,'406'!$D$83</definedName>
    <definedName name="OSRRefD22x_0" localSheetId="80">'411'!$D$20:$D$29,'411'!$D$31:$D$40,'411'!$D$42,'411'!$D$44:$D$47,'411'!$D$49,'411'!$D$51,'411'!$D$53,'411'!$D$55,'411'!$D$57,'411'!$D$59,'411'!$D$61:$D$63,'411'!$D$65:$D$69,'411'!$D$71,'411'!$D$73:$D$79,'411'!$D$81,'411'!$D$83,'411'!$D$85:$D$87,'411'!$D$89</definedName>
    <definedName name="OSRRefD22x_0" localSheetId="81">'412'!$D$26:$D$34,'412'!$D$36:$D$45,'412'!$D$47,'412'!$D$49,'412'!$D$51,'412'!$D$53:$D$55,'412'!$D$57,'412'!$D$59,'412'!$D$61,'412'!$D$63:$D$64,'412'!$D$66,'412'!$D$68:$D$70,'412'!$D$72:$D$77,'412'!$D$79,'412'!$D$81</definedName>
    <definedName name="OSRRefD22x_0" localSheetId="83">'413'!$D$27:$D$35,'413'!$D$37:$D$46,'413'!$D$48,'413'!$D$50,'413'!$D$52,'413'!$D$54,'413'!$D$56,'413'!$D$58,'413'!$D$60:$D$62,'413'!$D$64:$D$65,'413'!$D$67:$D$73,'413'!$D$75:$D$76,'413'!$D$78</definedName>
    <definedName name="OSRRefD22x_0" localSheetId="84">'414'!$D$27:$D$35,'414'!$D$37:$D$46,'414'!$D$48,'414'!$D$50,'414'!$D$52,'414'!$D$54:$D$55,'414'!$D$57,'414'!$D$59,'414'!$D$61,'414'!$D$63:$D$64,'414'!$D$66,'414'!$D$68,'414'!$D$70,'414'!$D$72:$D$78,'414'!$D$80,'414'!$D$82</definedName>
    <definedName name="OSRRefD22x_0" localSheetId="85">'415'!$D$26:$D$34,'415'!$D$36:$D$45,'415'!$D$47,'415'!$D$49,'415'!$D$51,'415'!$D$53:$D$55,'415'!$D$57,'415'!$D$59,'415'!$D$61,'415'!$D$63,'415'!$D$65,'415'!$D$67:$D$70,'415'!$D$72:$D$76,'415'!$D$78:$D$79,'415'!$D$81:$D$88,'415'!$D$90,'415'!$D$92,'415'!$D$94:$D$95,'415'!$D$97</definedName>
    <definedName name="OSRRefD22x_0" localSheetId="86">'418'!$D$27:$D$35,'418'!$D$37:$D$46,'418'!$D$48,'418'!$D$50,'418'!$D$52,'418'!$D$54:$D$56,'418'!$D$58,'418'!$D$60,'418'!$D$62,'418'!$D$64,'418'!$D$66:$D$67,'418'!$D$69:$D$71,'418'!$D$73:$D$75,'418'!$D$77:$D$78,'418'!$D$80:$D$86,'418'!$D$88,'418'!$D$90,'418'!$D$92</definedName>
    <definedName name="OSRRefD22x_0" localSheetId="82">'420'!$D$23:$D$30,'420'!$D$32:$D$35,'420'!$D$37,'420'!$D$39,'420'!$D$41,'420'!$D$43:$D$44,'420'!$D$46</definedName>
    <definedName name="OSRRefD22x_0" localSheetId="87">'423'!$D$21:$D$29,'423'!$D$31:$D$40,'423'!$D$42,'423'!$D$44,'423'!$D$46,'423'!$D$48</definedName>
    <definedName name="OSRRefD22x_0" localSheetId="88">'424'!$D$26:$D$33,'424'!$D$35:$D$44,'424'!$D$46,'424'!$D$48,'424'!$D$50,'424'!$D$52,'424'!$D$54,'424'!$D$56:$D$57,'424'!$D$59:$D$60,'424'!$D$62,'424'!$D$64:$D$67,'424'!$D$69:$D$70</definedName>
    <definedName name="OSRRefD22x_0" localSheetId="89">'425'!$D$28:$D$37,'425'!$D$39:$D$48,'425'!$D$50,'425'!$D$52,'425'!$D$54,'425'!$D$56:$D$57,'425'!$D$59,'425'!$D$61,'425'!$D$63,'425'!$D$65:$D$67,'425'!$D$69:$D$70,'425'!$D$72:$D$73,'425'!$D$75:$D$81,'425'!$D$83:$D$84,'425'!$D$86,'425'!$D$88</definedName>
    <definedName name="OSRRefD22x_0" localSheetId="92">'430'!$D$20:$D$28,'430'!$D$30:$D$39,'430'!$D$41,'430'!$D$43,'430'!$D$45,'430'!$D$47,'430'!$D$49,'430'!$D$51:$D$53,'430'!$D$55,'430'!$D$57,'430'!$D$59</definedName>
    <definedName name="OSRRefD22x_0" localSheetId="93">'433'!$D$27:$D$36,'433'!$D$38:$D$47,'433'!$D$49,'433'!$D$51,'433'!$D$53,'433'!$D$55,'433'!$D$57,'433'!$D$59,'433'!$D$61,'433'!$D$63,'433'!$D$65:$D$67,'433'!$D$69:$D$72,'433'!$D$74:$D$81,'433'!$D$83,'433'!$D$85,'433'!$D$87:$D$88</definedName>
    <definedName name="OSRRefD22x_0" localSheetId="94">'435'!$D$27:$D$34,'435'!$D$36:$D$45,'435'!$D$47,'435'!$D$49,'435'!$D$51,'435'!$D$53,'435'!$D$55,'435'!$D$57:$D$59,'435'!$D$61</definedName>
    <definedName name="OSRRefD22x_0" localSheetId="95">'444'!$D$27:$D$36,'444'!$D$38:$D$47,'444'!$D$49,'444'!$D$51,'444'!$D$53,'444'!$D$55,'444'!$D$57,'444'!$D$59,'444'!$D$61,'444'!$D$63,'444'!$D$65,'444'!$D$67:$D$69,'444'!$D$71:$D$74,'444'!$D$76:$D$83,'444'!$D$85,'444'!$D$87,'444'!$D$89</definedName>
    <definedName name="OSRRefD22x_0" localSheetId="96">'450'!$D$27:$D$36,'450'!$D$38:$D$47,'450'!$D$49,'450'!$D$51:$D$52,'450'!$D$54,'450'!$D$56,'450'!$D$58,'450'!$D$60,'450'!$D$62,'450'!$D$64,'450'!$D$66,'450'!$D$68:$D$70,'450'!$D$72:$D$74,'450'!$D$76:$D$81,'450'!$D$83,'450'!$D$85,'450'!$D$87:$D$88</definedName>
    <definedName name="OSRRefD22x_0" localSheetId="90">'455'!$D$20:$D$27,'455'!$D$29:$D$38</definedName>
    <definedName name="OSRRefD22x_0" localSheetId="77">'491'!$D$34:$D$43,'491'!$D$45:$D$54,'491'!$D$56,'491'!$D$58,'491'!$D$60,'491'!$D$62:$D$65,'491'!$D$67,'491'!$D$69,'491'!$D$71,'491'!$D$73,'491'!$D$75:$D$76,'491'!$D$78,'491'!$D$80,'491'!$D$82,'491'!$D$84,'491'!$D$86:$D$89,'491'!$D$91:$D$93,'491'!$D$95:$D$99,'491'!$D$101:$D$102,'491'!$D$104:$D$113,'491'!$D$115:$D$116,'491'!$D$118,'491'!$D$120:$D$122,'491'!$D$124</definedName>
    <definedName name="OSRRefD22x_0" localSheetId="91">'492'!$D$29:$D$38,'492'!$D$40:$D$49,'492'!$D$51,'492'!$D$53:$D$54,'492'!$D$56,'492'!$D$58:$D$59,'492'!$D$61,'492'!$D$63,'492'!$D$65,'492'!$D$67,'492'!$D$69,'492'!$D$71,'492'!$D$73:$D$76,'492'!$D$78:$D$81,'492'!$D$83:$D$91,'492'!$D$93,'492'!$D$95,'492'!$D$97:$D$98</definedName>
    <definedName name="OSRRefD22x_0" localSheetId="98">'501'!$D$21:$D$29,'501'!$D$31:$D$40,'501'!$D$42,'501'!$D$44,'501'!$D$46,'501'!$D$48,'501'!$D$50,'501'!$D$52,'501'!$D$54,'501'!$D$56,'501'!$D$58:$D$60,'501'!$D$62,'501'!$D$64:$D$66,'501'!$D$68,'501'!$D$70</definedName>
    <definedName name="OSRRefD22x_0" localSheetId="39">'Div 2'!$D$21:$D$31,'Div 2'!$D$33:$D$42,'Div 2'!$D$44,'Div 2'!$D$46,'Div 2'!$D$48,'Div 2'!$D$50:$D$51,'Div 2'!$D$53:$D$54,'Div 2'!$D$56,'Div 2'!$D$58,'Div 2'!$D$60,'Div 2'!$D$62,'Div 2'!$D$64,'Div 2'!$D$66:$D$68,'Div 2'!$D$70:$D$73,'Div 2'!$D$75:$D$78,'Div 2'!$D$80:$D$81,'Div 2'!$D$83:$D$84,'Div 2'!$D$86:$D$90,'Div 2'!$D$92:$D$93,'Div 2'!$D$95,'Div 2'!$D$97:$D$98</definedName>
    <definedName name="OSRRefD22x_0" localSheetId="47">'Div 3'!$D$168:$D$177,'Div 3'!$D$179:$D$188,'Div 3'!$D$190,'Div 3'!$D$192:$D$193,'Div 3'!$D$195,'Div 3'!$D$197:$D$200,'Div 3'!$D$202:$D$203,'Div 3'!$D$205:$D$206,'Div 3'!$D$208,'Div 3'!$D$210,'Div 3'!$D$212:$D$213,'Div 3'!$D$215,'Div 3'!$D$217,'Div 3'!$D$219,'Div 3'!$D$221,'Div 3'!$D$223,'Div 3'!$D$225,'Div 3'!$D$227,'Div 3'!$D$229:$D$232,'Div 3'!$D$234:$D$237,'Div 3'!$D$239:$D$244,'Div 3'!$D$246:$D$247,'Div 3'!$D$249:$D$257,'Div 3'!$D$259:$D$260,'Div 3'!$D$262,'Div 3'!$D$264:$D$266,'Div 3'!$D$268</definedName>
    <definedName name="OSRRefD22x_0" localSheetId="75">'Div 4'!$D$35:$D$44,'Div 4'!$D$46:$D$55,'Div 4'!$D$57,'Div 4'!$D$59:$D$60,'Div 4'!$D$62,'Div 4'!$D$64:$D$67,'Div 4'!$D$69,'Div 4'!$D$71:$D$72,'Div 4'!$D$74,'Div 4'!$D$76,'Div 4'!$D$78,'Div 4'!$D$80:$D$81,'Div 4'!$D$83,'Div 4'!$D$85,'Div 4'!$D$87,'Div 4'!$D$89,'Div 4'!$D$91,'Div 4'!$D$93:$D$96,'Div 4'!$D$98:$D$100,'Div 4'!$D$102:$D$106,'Div 4'!$D$108:$D$109,'Div 4'!$D$111:$D$120,'Div 4'!$D$122:$D$123,'Div 4'!$D$125,'Div 4'!$D$127:$D$129,'Div 4'!$D$131</definedName>
    <definedName name="OSRRefD22x_0" localSheetId="97">'Div 5'!$D$21:$D$29,'Div 5'!$D$31:$D$40,'Div 5'!$D$42,'Div 5'!$D$44,'Div 5'!$D$46,'Div 5'!$D$48,'Div 5'!$D$50,'Div 5'!$D$52,'Div 5'!$D$54,'Div 5'!$D$56,'Div 5'!$D$58:$D$60,'Div 5'!$D$62,'Div 5'!$D$64:$D$66,'Div 5'!$D$68,'Div 5'!$D$70</definedName>
    <definedName name="OSRRefD22x_0" localSheetId="66">'Div 6'!$D$60:$D$69,'Div 6'!$D$71:$D$80,'Div 6'!$D$82,'Div 6'!$D$84,'Div 6'!$D$86,'Div 6'!$D$88,'Div 6'!$D$90,'Div 6'!$D$92,'Div 6'!$D$94,'Div 6'!$D$96:$D$97,'Div 6'!$D$99:$D$100,'Div 6'!$D$102,'Div 6'!$D$104</definedName>
    <definedName name="OSRRefD22x_0" localSheetId="2">Summary!$D$200:$D$209,Summary!$D$211:$D$220,Summary!$D$222,Summary!$D$224:$D$225,Summary!$D$227,Summary!$D$229:$D$232,Summary!$D$234:$D$235,Summary!$D$237:$D$239,Summary!$D$241,Summary!$D$243,Summary!$D$245:$D$246,Summary!$D$248:$D$249,Summary!$D$251,Summary!$D$253,Summary!$D$255,Summary!$D$257,Summary!$D$259,Summary!$D$261,Summary!$D$263:$D$266,Summary!$D$268:$D$271,Summary!$D$273:$D$278,Summary!$D$280:$D$281,Summary!$D$283:$D$292,Summary!$D$294:$D$295,Summary!$D$297,Summary!$D$299:$D$301,Summary!$D$303</definedName>
    <definedName name="OSRRefD25x_0" localSheetId="48">'300'!$D$257:$D$265</definedName>
    <definedName name="OSRRefD25x_0" localSheetId="49">'300 &amp; 317'!$D$282:$D$293</definedName>
    <definedName name="OSRRefD25x_0" localSheetId="50">'301'!$D$103:$D$106</definedName>
    <definedName name="OSRRefD25x_0" localSheetId="54">'307'!$D$122</definedName>
    <definedName name="OSRRefD25x_0" localSheetId="56">'308'!$D$122:$D$125</definedName>
    <definedName name="OSRRefD25x_0" localSheetId="76">'310 &amp; 491'!$D$139:$D$142</definedName>
    <definedName name="OSRRefD25x_0" localSheetId="57">'311'!$D$122:$D$125</definedName>
    <definedName name="OSRRefD25x_0" localSheetId="61">'315'!$D$117:$D$119</definedName>
    <definedName name="OSRRefD25x_0" localSheetId="64">'316'!$D$87:$D$88</definedName>
    <definedName name="OSRRefD25x_0" localSheetId="67">'317'!$D$107:$D$110</definedName>
    <definedName name="OSRRefD25x_0" localSheetId="65">'320'!$D$68:$D$72</definedName>
    <definedName name="OSRRefD25x_0" localSheetId="53">'330'!$D$136</definedName>
    <definedName name="OSRRefD25x_0" localSheetId="60">'331'!$D$152:$D$154</definedName>
    <definedName name="OSRRefD25x_0" localSheetId="63">'332'!$D$99:$D$105</definedName>
    <definedName name="OSRRefD25x_0" localSheetId="80">'411'!$D$92:$D$93</definedName>
    <definedName name="OSRRefD25x_0" localSheetId="83">'413'!$D$81</definedName>
    <definedName name="OSRRefD25x_0" localSheetId="85">'415'!$D$100</definedName>
    <definedName name="OSRRefD25x_0" localSheetId="87">'423'!$D$51</definedName>
    <definedName name="OSRRefD25x_0" localSheetId="88">'424'!$D$73</definedName>
    <definedName name="OSRRefD25x_0" localSheetId="89">'425'!$D$91</definedName>
    <definedName name="OSRRefD25x_0" localSheetId="90">'455'!$D$41:$D$44</definedName>
    <definedName name="OSRRefD25x_0" localSheetId="77">'491'!$D$127:$D$130</definedName>
    <definedName name="OSRRefD25x_0" localSheetId="98">'501'!$D$73</definedName>
    <definedName name="OSRRefD25x_0" localSheetId="47">'Div 3'!$D$271:$D$279</definedName>
    <definedName name="OSRRefD25x_0" localSheetId="75">'Div 4'!$D$134:$D$137</definedName>
    <definedName name="OSRRefD25x_0" localSheetId="97">'Div 5'!$D$73</definedName>
    <definedName name="OSRRefD25x_0" localSheetId="66">'Div 6'!$D$107:$D$110</definedName>
    <definedName name="OSRRefD25x_0" localSheetId="2">Summary!$D$306:$D$318</definedName>
    <definedName name="OSRRefH13x_0" localSheetId="44">'204'!$H$13</definedName>
    <definedName name="OSRRefH13x_0" localSheetId="48">'300'!$H$13:$H$103</definedName>
    <definedName name="OSRRefH13x_0" localSheetId="49">'300 &amp; 317'!$H$13:$H$121</definedName>
    <definedName name="OSRRefH13x_0" localSheetId="54">'307'!$H$13:$H$44</definedName>
    <definedName name="OSRRefH13x_0" localSheetId="56">'308'!$H$13:$H$40</definedName>
    <definedName name="OSRRefH13x_0" localSheetId="69">'309'!$H$13:$H$15</definedName>
    <definedName name="OSRRefH13x_0" localSheetId="68">'310'!$H$13:$H$23</definedName>
    <definedName name="OSRRefH13x_0" localSheetId="76">'310 &amp; 491'!$H$13:$H$30</definedName>
    <definedName name="OSRRefH13x_0" localSheetId="57">'311'!$H$13:$H$40</definedName>
    <definedName name="OSRRefH13x_0" localSheetId="70">'313'!$H$13:$H$19</definedName>
    <definedName name="OSRRefH13x_0" localSheetId="55">'314'!$H$13:$H$34</definedName>
    <definedName name="OSRRefH13x_0" localSheetId="61">'315'!$H$13:$H$33</definedName>
    <definedName name="OSRRefH13x_0" localSheetId="64">'316'!$H$13:$H$26</definedName>
    <definedName name="OSRRefH13x_0" localSheetId="67">'317'!$H$13:$H$38</definedName>
    <definedName name="OSRRefH13x_0" localSheetId="65">'320'!$H$13:$H$17</definedName>
    <definedName name="OSRRefH13x_0" localSheetId="71">'321'!$H$13:$H$15</definedName>
    <definedName name="OSRRefH13x_0" localSheetId="72">'322'!$H$13:$H$15</definedName>
    <definedName name="OSRRefH13x_0" localSheetId="58">'324'!$H$13:$H$15</definedName>
    <definedName name="OSRRefH13x_0" localSheetId="73">'325'!$H$13:$H$15</definedName>
    <definedName name="OSRRefH13x_0" localSheetId="62">'326'!$H$13:$H$33</definedName>
    <definedName name="OSRRefH13x_0" localSheetId="74">'327'!$H$13:$H$14</definedName>
    <definedName name="OSRRefH13x_0" localSheetId="53">'330'!$H$13:$H$49</definedName>
    <definedName name="OSRRefH13x_0" localSheetId="60">'331'!$H$13:$H$41</definedName>
    <definedName name="OSRRefH13x_0" localSheetId="63">'332'!$H$13:$H$29</definedName>
    <definedName name="OSRRefH13x_0" localSheetId="78">'405'!$H$13:$H$15</definedName>
    <definedName name="OSRRefH13x_0" localSheetId="79">'406'!$H$13:$H$16</definedName>
    <definedName name="OSRRefH13x_0" localSheetId="81">'412'!$H$13:$H$16</definedName>
    <definedName name="OSRRefH13x_0" localSheetId="83">'413'!$H$13:$H$16</definedName>
    <definedName name="OSRRefH13x_0" localSheetId="84">'414'!$H$13:$H$16</definedName>
    <definedName name="OSRRefH13x_0" localSheetId="85">'415'!$H$13:$H$15</definedName>
    <definedName name="OSRRefH13x_0" localSheetId="86">'418'!$H$13:$H$16</definedName>
    <definedName name="OSRRefH13x_0" localSheetId="82">'420'!$H$13:$H$14</definedName>
    <definedName name="OSRRefH13x_0" localSheetId="88">'424'!$H$13:$H$15</definedName>
    <definedName name="OSRRefH13x_0" localSheetId="89">'425'!$H$13:$H$17</definedName>
    <definedName name="OSRRefH13x_0" localSheetId="93">'433'!$H$13:$H$16</definedName>
    <definedName name="OSRRefH13x_0" localSheetId="94">'435'!$H$13:$H$16</definedName>
    <definedName name="OSRRefH13x_0" localSheetId="95">'444'!$H$13:$H$16</definedName>
    <definedName name="OSRRefH13x_0" localSheetId="96">'450'!$H$13:$H$16</definedName>
    <definedName name="OSRRefH13x_0" localSheetId="77">'491'!$H$13:$H$23</definedName>
    <definedName name="OSRRefH13x_0" localSheetId="91">'492'!$H$13:$H$18</definedName>
    <definedName name="OSRRefH13x_0" localSheetId="98">'501'!$H$13</definedName>
    <definedName name="OSRRefH13x_0" localSheetId="39">'Div 2'!$H$13</definedName>
    <definedName name="OSRRefH13x_0" localSheetId="47">'Div 3'!$H$13:$H$107</definedName>
    <definedName name="OSRRefH13x_0" localSheetId="75">'Div 4'!$H$13:$H$24</definedName>
    <definedName name="OSRRefH13x_0" localSheetId="97">'Div 5'!$H$13</definedName>
    <definedName name="OSRRefH13x_0" localSheetId="66">'Div 6'!$H$13:$H$38</definedName>
    <definedName name="OSRRefH13x_0" localSheetId="2">Summary!$H$13:$H$132</definedName>
    <definedName name="OSRRefH16x_0" localSheetId="48">'300'!$H$106:$H$156</definedName>
    <definedName name="OSRRefH16x_0" localSheetId="49">'300 &amp; 317'!$H$124:$H$181</definedName>
    <definedName name="OSRRefH16x_0" localSheetId="54">'307'!$H$47:$H$67</definedName>
    <definedName name="OSRRefH16x_0" localSheetId="56">'308'!$H$43:$H$59</definedName>
    <definedName name="OSRRefH16x_0" localSheetId="69">'309'!$H$18:$H$20</definedName>
    <definedName name="OSRRefH16x_0" localSheetId="68">'310'!$H$26:$H$28</definedName>
    <definedName name="OSRRefH16x_0" localSheetId="76">'310 &amp; 491'!$H$33:$H$35</definedName>
    <definedName name="OSRRefH16x_0" localSheetId="57">'311'!$H$43:$H$59</definedName>
    <definedName name="OSRRefH16x_0" localSheetId="70">'313'!$H$22:$H$24</definedName>
    <definedName name="OSRRefH16x_0" localSheetId="55">'314'!$H$37:$H$52</definedName>
    <definedName name="OSRRefH16x_0" localSheetId="61">'315'!$H$36:$H$51</definedName>
    <definedName name="OSRRefH16x_0" localSheetId="67">'317'!$H$41:$H$54</definedName>
    <definedName name="OSRRefH16x_0" localSheetId="65">'320'!$H$20:$H$25</definedName>
    <definedName name="OSRRefH16x_0" localSheetId="71">'321'!$H$18:$H$20</definedName>
    <definedName name="OSRRefH16x_0" localSheetId="72">'322'!$H$18:$H$20</definedName>
    <definedName name="OSRRefH16x_0" localSheetId="58">'324'!$H$18:$H$20</definedName>
    <definedName name="OSRRefH16x_0" localSheetId="73">'325'!$H$18:$H$20</definedName>
    <definedName name="OSRRefH16x_0" localSheetId="62">'326'!$H$36:$H$51</definedName>
    <definedName name="OSRRefH16x_0" localSheetId="74">'327'!$H$17:$H$18</definedName>
    <definedName name="OSRRefH16x_0" localSheetId="53">'330'!$H$52:$H$75</definedName>
    <definedName name="OSRRefH16x_0" localSheetId="60">'331'!$H$44:$H$66</definedName>
    <definedName name="OSRRefH16x_0" localSheetId="63">'332'!$H$32:$H$37</definedName>
    <definedName name="OSRRefH16x_0" localSheetId="78">'405'!$H$18:$H$20</definedName>
    <definedName name="OSRRefH16x_0" localSheetId="79">'406'!$H$19:$H$21</definedName>
    <definedName name="OSRRefH16x_0" localSheetId="81">'412'!$H$19:$H$20</definedName>
    <definedName name="OSRRefH16x_0" localSheetId="83">'413'!$H$19:$H$21</definedName>
    <definedName name="OSRRefH16x_0" localSheetId="84">'414'!$H$19:$H$21</definedName>
    <definedName name="OSRRefH16x_0" localSheetId="85">'415'!$H$18:$H$20</definedName>
    <definedName name="OSRRefH16x_0" localSheetId="86">'418'!$H$19:$H$21</definedName>
    <definedName name="OSRRefH16x_0" localSheetId="82">'420'!$H$17</definedName>
    <definedName name="OSRRefH16x_0" localSheetId="87">'423'!$H$15</definedName>
    <definedName name="OSRRefH16x_0" localSheetId="88">'424'!$H$18:$H$20</definedName>
    <definedName name="OSRRefH16x_0" localSheetId="89">'425'!$H$20:$H$22</definedName>
    <definedName name="OSRRefH16x_0" localSheetId="93">'433'!$H$19:$H$21</definedName>
    <definedName name="OSRRefH16x_0" localSheetId="94">'435'!$H$19:$H$21</definedName>
    <definedName name="OSRRefH16x_0" localSheetId="95">'444'!$H$19:$H$21</definedName>
    <definedName name="OSRRefH16x_0" localSheetId="96">'450'!$H$19:$H$21</definedName>
    <definedName name="OSRRefH16x_0" localSheetId="77">'491'!$H$26:$H$28</definedName>
    <definedName name="OSRRefH16x_0" localSheetId="91">'492'!$H$21:$H$23</definedName>
    <definedName name="OSRRefH16x_0" localSheetId="47">'Div 3'!$H$110:$H$162</definedName>
    <definedName name="OSRRefH16x_0" localSheetId="75">'Div 4'!$H$27:$H$29</definedName>
    <definedName name="OSRRefH16x_0" localSheetId="66">'Div 6'!$H$41:$H$54</definedName>
    <definedName name="OSRRefH16x_0" localSheetId="2">Summary!$H$135:$H$194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'204'!$H$21:$H$30</definedName>
    <definedName name="OSRRefH22_0x_0" localSheetId="45">'205'!$H$20:$H$28</definedName>
    <definedName name="OSRRefH22_0x_0" localSheetId="46">'206'!$H$20:$H$28</definedName>
    <definedName name="OSRRefH22_0x_0" localSheetId="48">'300'!$H$162:$H$171</definedName>
    <definedName name="OSRRefH22_0x_0" localSheetId="49">'300 &amp; 317'!$H$187:$H$196</definedName>
    <definedName name="OSRRefH22_0x_0" localSheetId="50">'301'!$H$20:$H$28</definedName>
    <definedName name="OSRRefH22_0x_0" localSheetId="52">'306'!$H$20:$H$28</definedName>
    <definedName name="OSRRefH22_0x_0" localSheetId="54">'307'!$H$73:$H$81</definedName>
    <definedName name="OSRRefH22_0x_0" localSheetId="56">'308'!$H$65:$H$74</definedName>
    <definedName name="OSRRefH22_0x_0" localSheetId="69">'309'!$H$26:$H$34</definedName>
    <definedName name="OSRRefH22_0x_0" localSheetId="68">'310'!$H$34:$H$42</definedName>
    <definedName name="OSRRefH22_0x_0" localSheetId="76">'310 &amp; 491'!$H$41:$H$50</definedName>
    <definedName name="OSRRefH22_0x_0" localSheetId="57">'311'!$H$65:$H$74</definedName>
    <definedName name="OSRRefH22_0x_0" localSheetId="70">'313'!$H$30:$H$38</definedName>
    <definedName name="OSRRefH22_0x_0" localSheetId="55">'314'!$H$58:$H$66</definedName>
    <definedName name="OSRRefH22_0x_0" localSheetId="61">'315'!$H$57:$H$65</definedName>
    <definedName name="OSRRefH22_0x_0" localSheetId="64">'316'!$H$34:$H$42</definedName>
    <definedName name="OSRRefH22_0x_0" localSheetId="67">'317'!$H$60:$H$69</definedName>
    <definedName name="OSRRefH22_0x_0" localSheetId="65">'320'!$H$31:$H$38</definedName>
    <definedName name="OSRRefH22_0x_0" localSheetId="71">'321'!$H$26:$H$33</definedName>
    <definedName name="OSRRefH22_0x_0" localSheetId="72">'322'!$H$26:$H$34</definedName>
    <definedName name="OSRRefH22_0x_0" localSheetId="73">'325'!$H$26:$H$34</definedName>
    <definedName name="OSRRefH22_0x_0" localSheetId="62">'326'!$H$57:$H$65</definedName>
    <definedName name="OSRRefH22_0x_0" localSheetId="74">'327'!$H$24</definedName>
    <definedName name="OSRRefH22_0x_0" localSheetId="53">'330'!$H$81:$H$89</definedName>
    <definedName name="OSRRefH22_0x_0" localSheetId="60">'331'!$H$72:$H$80</definedName>
    <definedName name="OSRRefH22_0x_0" localSheetId="63">'332'!$H$43:$H$51</definedName>
    <definedName name="OSRRefH22_0x_0" localSheetId="78">'405'!$H$26:$H$34</definedName>
    <definedName name="OSRRefH22_0x_0" localSheetId="79">'406'!$H$27:$H$35</definedName>
    <definedName name="OSRRefH22_0x_0" localSheetId="80">'411'!$H$20:$H$29</definedName>
    <definedName name="OSRRefH22_0x_0" localSheetId="81">'412'!$H$26:$H$34</definedName>
    <definedName name="OSRRefH22_0x_0" localSheetId="83">'413'!$H$27:$H$35</definedName>
    <definedName name="OSRRefH22_0x_0" localSheetId="84">'414'!$H$27:$H$35</definedName>
    <definedName name="OSRRefH22_0x_0" localSheetId="85">'415'!$H$26:$H$34</definedName>
    <definedName name="OSRRefH22_0x_0" localSheetId="86">'418'!$H$27:$H$35</definedName>
    <definedName name="OSRRefH22_0x_0" localSheetId="82">'420'!$H$23:$H$30</definedName>
    <definedName name="OSRRefH22_0x_0" localSheetId="87">'423'!$H$21:$H$29</definedName>
    <definedName name="OSRRefH22_0x_0" localSheetId="88">'424'!$H$26:$H$33</definedName>
    <definedName name="OSRRefH22_0x_0" localSheetId="89">'425'!$H$28:$H$37</definedName>
    <definedName name="OSRRefH22_0x_0" localSheetId="92">'430'!$H$20:$H$28</definedName>
    <definedName name="OSRRefH22_0x_0" localSheetId="93">'433'!$H$27:$H$36</definedName>
    <definedName name="OSRRefH22_0x_0" localSheetId="94">'435'!$H$27:$H$34</definedName>
    <definedName name="OSRRefH22_0x_0" localSheetId="95">'444'!$H$27:$H$36</definedName>
    <definedName name="OSRRefH22_0x_0" localSheetId="96">'450'!$H$27:$H$36</definedName>
    <definedName name="OSRRefH22_0x_0" localSheetId="90">'455'!$H$20:$H$27</definedName>
    <definedName name="OSRRefH22_0x_0" localSheetId="77">'491'!$H$34:$H$43</definedName>
    <definedName name="OSRRefH22_0x_0" localSheetId="91">'492'!$H$29:$H$38</definedName>
    <definedName name="OSRRefH22_0x_0" localSheetId="98">'501'!$H$21:$H$29</definedName>
    <definedName name="OSRRefH22_0x_0" localSheetId="39">'Div 2'!$H$21:$H$31</definedName>
    <definedName name="OSRRefH22_0x_0" localSheetId="47">'Div 3'!$H$168:$H$177</definedName>
    <definedName name="OSRRefH22_0x_0" localSheetId="75">'Div 4'!$H$35:$H$44</definedName>
    <definedName name="OSRRefH22_0x_0" localSheetId="97">'Div 5'!$H$21:$H$29</definedName>
    <definedName name="OSRRefH22_0x_0" localSheetId="66">'Div 6'!$H$60:$H$69</definedName>
    <definedName name="OSRRefH22_0x_0" localSheetId="2">Summary!$H$200:$H$209</definedName>
    <definedName name="OSRRefH22_10x_0" localSheetId="41">'201'!$H$58:$H$60</definedName>
    <definedName name="OSRRefH22_10x_0" localSheetId="42">'202'!$H$59</definedName>
    <definedName name="OSRRefH22_10x_0" localSheetId="43">'203'!$H$59:$H$60</definedName>
    <definedName name="OSRRefH22_10x_0" localSheetId="44">'204'!$H$64:$H$65</definedName>
    <definedName name="OSRRefH22_10x_0" localSheetId="46">'206'!$H$58</definedName>
    <definedName name="OSRRefH22_10x_0" localSheetId="48">'300'!$H$206:$H$207</definedName>
    <definedName name="OSRRefH22_10x_0" localSheetId="49">'300 &amp; 317'!$H$231:$H$232</definedName>
    <definedName name="OSRRefH22_10x_0" localSheetId="50">'301'!$H$63</definedName>
    <definedName name="OSRRefH22_10x_0" localSheetId="52">'306'!$H$61</definedName>
    <definedName name="OSRRefH22_10x_0" localSheetId="54">'307'!$H$113:$H$115</definedName>
    <definedName name="OSRRefH22_10x_0" localSheetId="56">'308'!$H$107</definedName>
    <definedName name="OSRRefH22_10x_0" localSheetId="69">'309'!$H$65:$H$67</definedName>
    <definedName name="OSRRefH22_10x_0" localSheetId="68">'310'!$H$73</definedName>
    <definedName name="OSRRefH22_10x_0" localSheetId="76">'310 &amp; 491'!$H$82</definedName>
    <definedName name="OSRRefH22_10x_0" localSheetId="57">'311'!$H$107</definedName>
    <definedName name="OSRRefH22_10x_0" localSheetId="70">'313'!$H$67:$H$69</definedName>
    <definedName name="OSRRefH22_10x_0" localSheetId="61">'315'!$H$96:$H$98</definedName>
    <definedName name="OSRRefH22_10x_0" localSheetId="64">'316'!$H$72:$H$73</definedName>
    <definedName name="OSRRefH22_10x_0" localSheetId="67">'317'!$H$99:$H$100</definedName>
    <definedName name="OSRRefH22_10x_0" localSheetId="71">'321'!$H$64:$H$65</definedName>
    <definedName name="OSRRefH22_10x_0" localSheetId="72">'322'!$H$66:$H$68</definedName>
    <definedName name="OSRRefH22_10x_0" localSheetId="73">'325'!$H$65</definedName>
    <definedName name="OSRRefH22_10x_0" localSheetId="62">'326'!$H$95</definedName>
    <definedName name="OSRRefH22_10x_0" localSheetId="53">'330'!$H$120:$H$121</definedName>
    <definedName name="OSRRefH22_10x_0" localSheetId="60">'331'!$H$112</definedName>
    <definedName name="OSRRefH22_10x_0" localSheetId="63">'332'!$H$81:$H$82</definedName>
    <definedName name="OSRRefH22_10x_0" localSheetId="78">'405'!$H$65</definedName>
    <definedName name="OSRRefH22_10x_0" localSheetId="79">'406'!$H$67:$H$69</definedName>
    <definedName name="OSRRefH22_10x_0" localSheetId="80">'411'!$H$61:$H$63</definedName>
    <definedName name="OSRRefH22_10x_0" localSheetId="81">'412'!$H$66</definedName>
    <definedName name="OSRRefH22_10x_0" localSheetId="83">'413'!$H$67:$H$73</definedName>
    <definedName name="OSRRefH22_10x_0" localSheetId="84">'414'!$H$66</definedName>
    <definedName name="OSRRefH22_10x_0" localSheetId="85">'415'!$H$65</definedName>
    <definedName name="OSRRefH22_10x_0" localSheetId="86">'418'!$H$66:$H$67</definedName>
    <definedName name="OSRRefH22_10x_0" localSheetId="88">'424'!$H$64:$H$67</definedName>
    <definedName name="OSRRefH22_10x_0" localSheetId="89">'425'!$H$69:$H$70</definedName>
    <definedName name="OSRRefH22_10x_0" localSheetId="92">'430'!$H$59</definedName>
    <definedName name="OSRRefH22_10x_0" localSheetId="93">'433'!$H$65:$H$67</definedName>
    <definedName name="OSRRefH22_10x_0" localSheetId="95">'444'!$H$65</definedName>
    <definedName name="OSRRefH22_10x_0" localSheetId="96">'450'!$H$66</definedName>
    <definedName name="OSRRefH22_10x_0" localSheetId="77">'491'!$H$75:$H$76</definedName>
    <definedName name="OSRRefH22_10x_0" localSheetId="91">'492'!$H$69</definedName>
    <definedName name="OSRRefH22_10x_0" localSheetId="98">'501'!$H$58:$H$60</definedName>
    <definedName name="OSRRefH22_10x_0" localSheetId="39">'Div 2'!$H$62</definedName>
    <definedName name="OSRRefH22_10x_0" localSheetId="47">'Div 3'!$H$212:$H$213</definedName>
    <definedName name="OSRRefH22_10x_0" localSheetId="75">'Div 4'!$H$78</definedName>
    <definedName name="OSRRefH22_10x_0" localSheetId="97">'Div 5'!$H$58:$H$60</definedName>
    <definedName name="OSRRefH22_10x_0" localSheetId="66">'Div 6'!$H$99:$H$100</definedName>
    <definedName name="OSRRefH22_10x_0" localSheetId="2">Summary!$H$245:$H$246</definedName>
    <definedName name="OSRRefH22_11x_0" localSheetId="41">'201'!$H$62:$H$64</definedName>
    <definedName name="OSRRefH22_11x_0" localSheetId="42">'202'!$H$61:$H$63</definedName>
    <definedName name="OSRRefH22_11x_0" localSheetId="43">'203'!$H$62</definedName>
    <definedName name="OSRRefH22_11x_0" localSheetId="44">'204'!$H$67</definedName>
    <definedName name="OSRRefH22_11x_0" localSheetId="48">'300'!$H$209</definedName>
    <definedName name="OSRRefH22_11x_0" localSheetId="49">'300 &amp; 317'!$H$234</definedName>
    <definedName name="OSRRefH22_11x_0" localSheetId="50">'301'!$H$65</definedName>
    <definedName name="OSRRefH22_11x_0" localSheetId="54">'307'!$H$117</definedName>
    <definedName name="OSRRefH22_11x_0" localSheetId="56">'308'!$H$109:$H$111</definedName>
    <definedName name="OSRRefH22_11x_0" localSheetId="69">'309'!$H$69:$H$71</definedName>
    <definedName name="OSRRefH22_11x_0" localSheetId="68">'310'!$H$75</definedName>
    <definedName name="OSRRefH22_11x_0" localSheetId="76">'310 &amp; 491'!$H$84:$H$85</definedName>
    <definedName name="OSRRefH22_11x_0" localSheetId="57">'311'!$H$109:$H$111</definedName>
    <definedName name="OSRRefH22_11x_0" localSheetId="70">'313'!$H$71</definedName>
    <definedName name="OSRRefH22_11x_0" localSheetId="61">'315'!$H$100:$H$101</definedName>
    <definedName name="OSRRefH22_11x_0" localSheetId="64">'316'!$H$75:$H$79</definedName>
    <definedName name="OSRRefH22_11x_0" localSheetId="67">'317'!$H$102</definedName>
    <definedName name="OSRRefH22_11x_0" localSheetId="71">'321'!$H$67:$H$69</definedName>
    <definedName name="OSRRefH22_11x_0" localSheetId="72">'322'!$H$70:$H$75</definedName>
    <definedName name="OSRRefH22_11x_0" localSheetId="73">'325'!$H$67:$H$69</definedName>
    <definedName name="OSRRefH22_11x_0" localSheetId="62">'326'!$H$97</definedName>
    <definedName name="OSRRefH22_11x_0" localSheetId="53">'330'!$H$123</definedName>
    <definedName name="OSRRefH22_11x_0" localSheetId="60">'331'!$H$114</definedName>
    <definedName name="OSRRefH22_11x_0" localSheetId="63">'332'!$H$84:$H$85</definedName>
    <definedName name="OSRRefH22_11x_0" localSheetId="78">'405'!$H$67:$H$69</definedName>
    <definedName name="OSRRefH22_11x_0" localSheetId="79">'406'!$H$71:$H$76</definedName>
    <definedName name="OSRRefH22_11x_0" localSheetId="80">'411'!$H$65:$H$69</definedName>
    <definedName name="OSRRefH22_11x_0" localSheetId="81">'412'!$H$68:$H$70</definedName>
    <definedName name="OSRRefH22_11x_0" localSheetId="83">'413'!$H$75:$H$76</definedName>
    <definedName name="OSRRefH22_11x_0" localSheetId="84">'414'!$H$68</definedName>
    <definedName name="OSRRefH22_11x_0" localSheetId="85">'415'!$H$67:$H$70</definedName>
    <definedName name="OSRRefH22_11x_0" localSheetId="86">'418'!$H$69:$H$71</definedName>
    <definedName name="OSRRefH22_11x_0" localSheetId="88">'424'!$H$69:$H$70</definedName>
    <definedName name="OSRRefH22_11x_0" localSheetId="89">'425'!$H$72:$H$73</definedName>
    <definedName name="OSRRefH22_11x_0" localSheetId="93">'433'!$H$69:$H$72</definedName>
    <definedName name="OSRRefH22_11x_0" localSheetId="95">'444'!$H$67:$H$69</definedName>
    <definedName name="OSRRefH22_11x_0" localSheetId="96">'450'!$H$68:$H$70</definedName>
    <definedName name="OSRRefH22_11x_0" localSheetId="77">'491'!$H$78</definedName>
    <definedName name="OSRRefH22_11x_0" localSheetId="91">'492'!$H$71</definedName>
    <definedName name="OSRRefH22_11x_0" localSheetId="98">'501'!$H$62</definedName>
    <definedName name="OSRRefH22_11x_0" localSheetId="39">'Div 2'!$H$64</definedName>
    <definedName name="OSRRefH22_11x_0" localSheetId="47">'Div 3'!$H$215</definedName>
    <definedName name="OSRRefH22_11x_0" localSheetId="75">'Div 4'!$H$80:$H$81</definedName>
    <definedName name="OSRRefH22_11x_0" localSheetId="97">'Div 5'!$H$62</definedName>
    <definedName name="OSRRefH22_11x_0" localSheetId="66">'Div 6'!$H$102</definedName>
    <definedName name="OSRRefH22_11x_0" localSheetId="2">Summary!$H$248:$H$249</definedName>
    <definedName name="OSRRefH22_12x_0" localSheetId="41">'201'!$H$66</definedName>
    <definedName name="OSRRefH22_12x_0" localSheetId="42">'202'!$H$65</definedName>
    <definedName name="OSRRefH22_12x_0" localSheetId="43">'203'!$H$64:$H$66</definedName>
    <definedName name="OSRRefH22_12x_0" localSheetId="44">'204'!$H$69:$H$70</definedName>
    <definedName name="OSRRefH22_12x_0" localSheetId="48">'300'!$H$211</definedName>
    <definedName name="OSRRefH22_12x_0" localSheetId="49">'300 &amp; 317'!$H$236</definedName>
    <definedName name="OSRRefH22_12x_0" localSheetId="50">'301'!$H$67</definedName>
    <definedName name="OSRRefH22_12x_0" localSheetId="54">'307'!$H$119</definedName>
    <definedName name="OSRRefH22_12x_0" localSheetId="56">'308'!$H$113:$H$114</definedName>
    <definedName name="OSRRefH22_12x_0" localSheetId="69">'309'!$H$73</definedName>
    <definedName name="OSRRefH22_12x_0" localSheetId="68">'310'!$H$77</definedName>
    <definedName name="OSRRefH22_12x_0" localSheetId="76">'310 &amp; 491'!$H$87</definedName>
    <definedName name="OSRRefH22_12x_0" localSheetId="57">'311'!$H$113:$H$114</definedName>
    <definedName name="OSRRefH22_12x_0" localSheetId="70">'313'!$H$73:$H$77</definedName>
    <definedName name="OSRRefH22_12x_0" localSheetId="61">'315'!$H$103:$H$107</definedName>
    <definedName name="OSRRefH22_12x_0" localSheetId="64">'316'!$H$81:$H$82</definedName>
    <definedName name="OSRRefH22_12x_0" localSheetId="67">'317'!$H$104</definedName>
    <definedName name="OSRRefH22_12x_0" localSheetId="71">'321'!$H$71:$H$73</definedName>
    <definedName name="OSRRefH22_12x_0" localSheetId="72">'322'!$H$77</definedName>
    <definedName name="OSRRefH22_12x_0" localSheetId="73">'325'!$H$71:$H$74</definedName>
    <definedName name="OSRRefH22_12x_0" localSheetId="62">'326'!$H$99</definedName>
    <definedName name="OSRRefH22_12x_0" localSheetId="53">'330'!$H$125:$H$127</definedName>
    <definedName name="OSRRefH22_12x_0" localSheetId="60">'331'!$H$116</definedName>
    <definedName name="OSRRefH22_12x_0" localSheetId="63">'332'!$H$87:$H$91</definedName>
    <definedName name="OSRRefH22_12x_0" localSheetId="78">'405'!$H$71</definedName>
    <definedName name="OSRRefH22_12x_0" localSheetId="79">'406'!$H$78:$H$79</definedName>
    <definedName name="OSRRefH22_12x_0" localSheetId="80">'411'!$H$71</definedName>
    <definedName name="OSRRefH22_12x_0" localSheetId="81">'412'!$H$72:$H$77</definedName>
    <definedName name="OSRRefH22_12x_0" localSheetId="83">'413'!$H$78</definedName>
    <definedName name="OSRRefH22_12x_0" localSheetId="84">'414'!$H$70</definedName>
    <definedName name="OSRRefH22_12x_0" localSheetId="85">'415'!$H$72:$H$76</definedName>
    <definedName name="OSRRefH22_12x_0" localSheetId="86">'418'!$H$73:$H$75</definedName>
    <definedName name="OSRRefH22_12x_0" localSheetId="89">'425'!$H$75:$H$81</definedName>
    <definedName name="OSRRefH22_12x_0" localSheetId="93">'433'!$H$74:$H$81</definedName>
    <definedName name="OSRRefH22_12x_0" localSheetId="95">'444'!$H$71:$H$74</definedName>
    <definedName name="OSRRefH22_12x_0" localSheetId="96">'450'!$H$72:$H$74</definedName>
    <definedName name="OSRRefH22_12x_0" localSheetId="77">'491'!$H$80</definedName>
    <definedName name="OSRRefH22_12x_0" localSheetId="91">'492'!$H$73:$H$76</definedName>
    <definedName name="OSRRefH22_12x_0" localSheetId="98">'501'!$H$64:$H$66</definedName>
    <definedName name="OSRRefH22_12x_0" localSheetId="39">'Div 2'!$H$66:$H$68</definedName>
    <definedName name="OSRRefH22_12x_0" localSheetId="47">'Div 3'!$H$217</definedName>
    <definedName name="OSRRefH22_12x_0" localSheetId="75">'Div 4'!$H$83</definedName>
    <definedName name="OSRRefH22_12x_0" localSheetId="97">'Div 5'!$H$64:$H$66</definedName>
    <definedName name="OSRRefH22_12x_0" localSheetId="66">'Div 6'!$H$104</definedName>
    <definedName name="OSRRefH22_12x_0" localSheetId="2">Summary!$H$251</definedName>
    <definedName name="OSRRefH22_13x_0" localSheetId="41">'201'!$H$68:$H$70</definedName>
    <definedName name="OSRRefH22_13x_0" localSheetId="42">'202'!$H$67</definedName>
    <definedName name="OSRRefH22_13x_0" localSheetId="43">'203'!$H$68</definedName>
    <definedName name="OSRRefH22_13x_0" localSheetId="48">'300'!$H$213</definedName>
    <definedName name="OSRRefH22_13x_0" localSheetId="49">'300 &amp; 317'!$H$238</definedName>
    <definedName name="OSRRefH22_13x_0" localSheetId="50">'301'!$H$69</definedName>
    <definedName name="OSRRefH22_13x_0" localSheetId="56">'308'!$H$116</definedName>
    <definedName name="OSRRefH22_13x_0" localSheetId="69">'309'!$H$75</definedName>
    <definedName name="OSRRefH22_13x_0" localSheetId="68">'310'!$H$79</definedName>
    <definedName name="OSRRefH22_13x_0" localSheetId="76">'310 &amp; 491'!$H$89</definedName>
    <definedName name="OSRRefH22_13x_0" localSheetId="57">'311'!$H$116</definedName>
    <definedName name="OSRRefH22_13x_0" localSheetId="70">'313'!$H$79</definedName>
    <definedName name="OSRRefH22_13x_0" localSheetId="61">'315'!$H$109</definedName>
    <definedName name="OSRRefH22_13x_0" localSheetId="64">'316'!$H$84</definedName>
    <definedName name="OSRRefH22_13x_0" localSheetId="71">'321'!$H$75</definedName>
    <definedName name="OSRRefH22_13x_0" localSheetId="72">'322'!$H$79</definedName>
    <definedName name="OSRRefH22_13x_0" localSheetId="73">'325'!$H$76</definedName>
    <definedName name="OSRRefH22_13x_0" localSheetId="62">'326'!$H$101:$H$102</definedName>
    <definedName name="OSRRefH22_13x_0" localSheetId="53">'330'!$H$129</definedName>
    <definedName name="OSRRefH22_13x_0" localSheetId="60">'331'!$H$118</definedName>
    <definedName name="OSRRefH22_13x_0" localSheetId="63">'332'!$H$93:$H$94</definedName>
    <definedName name="OSRRefH22_13x_0" localSheetId="78">'405'!$H$73:$H$75</definedName>
    <definedName name="OSRRefH22_13x_0" localSheetId="79">'406'!$H$81</definedName>
    <definedName name="OSRRefH22_13x_0" localSheetId="80">'411'!$H$73:$H$79</definedName>
    <definedName name="OSRRefH22_13x_0" localSheetId="81">'412'!$H$79</definedName>
    <definedName name="OSRRefH22_13x_0" localSheetId="84">'414'!$H$72:$H$78</definedName>
    <definedName name="OSRRefH22_13x_0" localSheetId="85">'415'!$H$78:$H$79</definedName>
    <definedName name="OSRRefH22_13x_0" localSheetId="86">'418'!$H$77:$H$78</definedName>
    <definedName name="OSRRefH22_13x_0" localSheetId="89">'425'!$H$83:$H$84</definedName>
    <definedName name="OSRRefH22_13x_0" localSheetId="93">'433'!$H$83</definedName>
    <definedName name="OSRRefH22_13x_0" localSheetId="95">'444'!$H$76:$H$83</definedName>
    <definedName name="OSRRefH22_13x_0" localSheetId="96">'450'!$H$76:$H$81</definedName>
    <definedName name="OSRRefH22_13x_0" localSheetId="77">'491'!$H$82</definedName>
    <definedName name="OSRRefH22_13x_0" localSheetId="91">'492'!$H$78:$H$81</definedName>
    <definedName name="OSRRefH22_13x_0" localSheetId="98">'501'!$H$68</definedName>
    <definedName name="OSRRefH22_13x_0" localSheetId="39">'Div 2'!$H$70:$H$73</definedName>
    <definedName name="OSRRefH22_13x_0" localSheetId="47">'Div 3'!$H$219</definedName>
    <definedName name="OSRRefH22_13x_0" localSheetId="75">'Div 4'!$H$85</definedName>
    <definedName name="OSRRefH22_13x_0" localSheetId="97">'Div 5'!$H$68</definedName>
    <definedName name="OSRRefH22_13x_0" localSheetId="2">Summary!$H$253</definedName>
    <definedName name="OSRRefH22_14x_0" localSheetId="41">'201'!$H$72</definedName>
    <definedName name="OSRRefH22_14x_0" localSheetId="42">'202'!$H$69:$H$70</definedName>
    <definedName name="OSRRefH22_14x_0" localSheetId="43">'203'!$H$70</definedName>
    <definedName name="OSRRefH22_14x_0" localSheetId="48">'300'!$H$215</definedName>
    <definedName name="OSRRefH22_14x_0" localSheetId="49">'300 &amp; 317'!$H$240</definedName>
    <definedName name="OSRRefH22_14x_0" localSheetId="50">'301'!$H$71</definedName>
    <definedName name="OSRRefH22_14x_0" localSheetId="56">'308'!$H$118:$H$119</definedName>
    <definedName name="OSRRefH22_14x_0" localSheetId="68">'310'!$H$81</definedName>
    <definedName name="OSRRefH22_14x_0" localSheetId="76">'310 &amp; 491'!$H$91</definedName>
    <definedName name="OSRRefH22_14x_0" localSheetId="57">'311'!$H$118:$H$119</definedName>
    <definedName name="OSRRefH22_14x_0" localSheetId="70">'313'!$H$81</definedName>
    <definedName name="OSRRefH22_14x_0" localSheetId="61">'315'!$H$111</definedName>
    <definedName name="OSRRefH22_14x_0" localSheetId="71">'321'!$H$77</definedName>
    <definedName name="OSRRefH22_14x_0" localSheetId="73">'325'!$H$78:$H$84</definedName>
    <definedName name="OSRRefH22_14x_0" localSheetId="62">'326'!$H$104:$H$106</definedName>
    <definedName name="OSRRefH22_14x_0" localSheetId="53">'330'!$H$131</definedName>
    <definedName name="OSRRefH22_14x_0" localSheetId="60">'331'!$H$120:$H$121</definedName>
    <definedName name="OSRRefH22_14x_0" localSheetId="63">'332'!$H$96</definedName>
    <definedName name="OSRRefH22_14x_0" localSheetId="78">'405'!$H$77:$H$78</definedName>
    <definedName name="OSRRefH22_14x_0" localSheetId="79">'406'!$H$83</definedName>
    <definedName name="OSRRefH22_14x_0" localSheetId="80">'411'!$H$81</definedName>
    <definedName name="OSRRefH22_14x_0" localSheetId="81">'412'!$H$81</definedName>
    <definedName name="OSRRefH22_14x_0" localSheetId="84">'414'!$H$80</definedName>
    <definedName name="OSRRefH22_14x_0" localSheetId="85">'415'!$H$81:$H$88</definedName>
    <definedName name="OSRRefH22_14x_0" localSheetId="86">'418'!$H$80:$H$86</definedName>
    <definedName name="OSRRefH22_14x_0" localSheetId="89">'425'!$H$86</definedName>
    <definedName name="OSRRefH22_14x_0" localSheetId="93">'433'!$H$85</definedName>
    <definedName name="OSRRefH22_14x_0" localSheetId="95">'444'!$H$85</definedName>
    <definedName name="OSRRefH22_14x_0" localSheetId="96">'450'!$H$83</definedName>
    <definedName name="OSRRefH22_14x_0" localSheetId="77">'491'!$H$84</definedName>
    <definedName name="OSRRefH22_14x_0" localSheetId="91">'492'!$H$83:$H$91</definedName>
    <definedName name="OSRRefH22_14x_0" localSheetId="98">'501'!$H$70</definedName>
    <definedName name="OSRRefH22_14x_0" localSheetId="39">'Div 2'!$H$75:$H$78</definedName>
    <definedName name="OSRRefH22_14x_0" localSheetId="47">'Div 3'!$H$221</definedName>
    <definedName name="OSRRefH22_14x_0" localSheetId="75">'Div 4'!$H$87</definedName>
    <definedName name="OSRRefH22_14x_0" localSheetId="97">'Div 5'!$H$70</definedName>
    <definedName name="OSRRefH22_14x_0" localSheetId="2">Summary!$H$255</definedName>
    <definedName name="OSRRefH22_15x_0" localSheetId="41">'201'!$H$74</definedName>
    <definedName name="OSRRefH22_15x_0" localSheetId="42">'202'!$H$72</definedName>
    <definedName name="OSRRefH22_15x_0" localSheetId="43">'203'!$H$72</definedName>
    <definedName name="OSRRefH22_15x_0" localSheetId="48">'300'!$H$217</definedName>
    <definedName name="OSRRefH22_15x_0" localSheetId="49">'300 &amp; 317'!$H$242</definedName>
    <definedName name="OSRRefH22_15x_0" localSheetId="50">'301'!$H$73:$H$76</definedName>
    <definedName name="OSRRefH22_15x_0" localSheetId="68">'310'!$H$83:$H$85</definedName>
    <definedName name="OSRRefH22_15x_0" localSheetId="76">'310 &amp; 491'!$H$93</definedName>
    <definedName name="OSRRefH22_15x_0" localSheetId="61">'315'!$H$113:$H$114</definedName>
    <definedName name="OSRRefH22_15x_0" localSheetId="73">'325'!$H$86</definedName>
    <definedName name="OSRRefH22_15x_0" localSheetId="62">'326'!$H$108:$H$109</definedName>
    <definedName name="OSRRefH22_15x_0" localSheetId="53">'330'!$H$133</definedName>
    <definedName name="OSRRefH22_15x_0" localSheetId="60">'331'!$H$123:$H$125</definedName>
    <definedName name="OSRRefH22_15x_0" localSheetId="78">'405'!$H$80:$H$88</definedName>
    <definedName name="OSRRefH22_15x_0" localSheetId="80">'411'!$H$83</definedName>
    <definedName name="OSRRefH22_15x_0" localSheetId="84">'414'!$H$82</definedName>
    <definedName name="OSRRefH22_15x_0" localSheetId="85">'415'!$H$90</definedName>
    <definedName name="OSRRefH22_15x_0" localSheetId="86">'418'!$H$88</definedName>
    <definedName name="OSRRefH22_15x_0" localSheetId="89">'425'!$H$88</definedName>
    <definedName name="OSRRefH22_15x_0" localSheetId="93">'433'!$H$87:$H$88</definedName>
    <definedName name="OSRRefH22_15x_0" localSheetId="95">'444'!$H$87</definedName>
    <definedName name="OSRRefH22_15x_0" localSheetId="96">'450'!$H$85</definedName>
    <definedName name="OSRRefH22_15x_0" localSheetId="77">'491'!$H$86:$H$89</definedName>
    <definedName name="OSRRefH22_15x_0" localSheetId="91">'492'!$H$93</definedName>
    <definedName name="OSRRefH22_15x_0" localSheetId="39">'Div 2'!$H$80:$H$81</definedName>
    <definedName name="OSRRefH22_15x_0" localSheetId="47">'Div 3'!$H$223</definedName>
    <definedName name="OSRRefH22_15x_0" localSheetId="75">'Div 4'!$H$89</definedName>
    <definedName name="OSRRefH22_15x_0" localSheetId="2">Summary!$H$257</definedName>
    <definedName name="OSRRefH22_16x_0" localSheetId="41">'201'!$H$76:$H$77</definedName>
    <definedName name="OSRRefH22_16x_0" localSheetId="42">'202'!$H$74</definedName>
    <definedName name="OSRRefH22_16x_0" localSheetId="48">'300'!$H$219:$H$222</definedName>
    <definedName name="OSRRefH22_16x_0" localSheetId="49">'300 &amp; 317'!$H$244:$H$247</definedName>
    <definedName name="OSRRefH22_16x_0" localSheetId="50">'301'!$H$78:$H$80</definedName>
    <definedName name="OSRRefH22_16x_0" localSheetId="68">'310'!$H$87:$H$88</definedName>
    <definedName name="OSRRefH22_16x_0" localSheetId="76">'310 &amp; 491'!$H$95</definedName>
    <definedName name="OSRRefH22_16x_0" localSheetId="73">'325'!$H$88</definedName>
    <definedName name="OSRRefH22_16x_0" localSheetId="62">'326'!$H$111:$H$116</definedName>
    <definedName name="OSRRefH22_16x_0" localSheetId="60">'331'!$H$127:$H$129</definedName>
    <definedName name="OSRRefH22_16x_0" localSheetId="78">'405'!$H$90</definedName>
    <definedName name="OSRRefH22_16x_0" localSheetId="80">'411'!$H$85:$H$87</definedName>
    <definedName name="OSRRefH22_16x_0" localSheetId="85">'415'!$H$92</definedName>
    <definedName name="OSRRefH22_16x_0" localSheetId="86">'418'!$H$90</definedName>
    <definedName name="OSRRefH22_16x_0" localSheetId="95">'444'!$H$89</definedName>
    <definedName name="OSRRefH22_16x_0" localSheetId="96">'450'!$H$87:$H$88</definedName>
    <definedName name="OSRRefH22_16x_0" localSheetId="77">'491'!$H$91:$H$93</definedName>
    <definedName name="OSRRefH22_16x_0" localSheetId="91">'492'!$H$95</definedName>
    <definedName name="OSRRefH22_16x_0" localSheetId="39">'Div 2'!$H$83:$H$84</definedName>
    <definedName name="OSRRefH22_16x_0" localSheetId="47">'Div 3'!$H$225</definedName>
    <definedName name="OSRRefH22_16x_0" localSheetId="75">'Div 4'!$H$91</definedName>
    <definedName name="OSRRefH22_16x_0" localSheetId="2">Summary!$H$259</definedName>
    <definedName name="OSRRefH22_17x_0" localSheetId="48">'300'!$H$224:$H$227</definedName>
    <definedName name="OSRRefH22_17x_0" localSheetId="49">'300 &amp; 317'!$H$249:$H$252</definedName>
    <definedName name="OSRRefH22_17x_0" localSheetId="50">'301'!$H$82:$H$83</definedName>
    <definedName name="OSRRefH22_17x_0" localSheetId="68">'310'!$H$90:$H$94</definedName>
    <definedName name="OSRRefH22_17x_0" localSheetId="76">'310 &amp; 491'!$H$97:$H$100</definedName>
    <definedName name="OSRRefH22_17x_0" localSheetId="73">'325'!$H$90</definedName>
    <definedName name="OSRRefH22_17x_0" localSheetId="62">'326'!$H$118:$H$119</definedName>
    <definedName name="OSRRefH22_17x_0" localSheetId="60">'331'!$H$131:$H$132</definedName>
    <definedName name="OSRRefH22_17x_0" localSheetId="78">'405'!$H$92</definedName>
    <definedName name="OSRRefH22_17x_0" localSheetId="80">'411'!$H$89</definedName>
    <definedName name="OSRRefH22_17x_0" localSheetId="85">'415'!$H$94:$H$95</definedName>
    <definedName name="OSRRefH22_17x_0" localSheetId="86">'418'!$H$92</definedName>
    <definedName name="OSRRefH22_17x_0" localSheetId="77">'491'!$H$95:$H$99</definedName>
    <definedName name="OSRRefH22_17x_0" localSheetId="91">'492'!$H$97:$H$98</definedName>
    <definedName name="OSRRefH22_17x_0" localSheetId="39">'Div 2'!$H$86:$H$90</definedName>
    <definedName name="OSRRefH22_17x_0" localSheetId="47">'Div 3'!$H$227</definedName>
    <definedName name="OSRRefH22_17x_0" localSheetId="75">'Div 4'!$H$93:$H$96</definedName>
    <definedName name="OSRRefH22_17x_0" localSheetId="2">Summary!$H$261</definedName>
    <definedName name="OSRRefH22_18x_0" localSheetId="48">'300'!$H$229:$H$232</definedName>
    <definedName name="OSRRefH22_18x_0" localSheetId="49">'300 &amp; 317'!$H$254:$H$257</definedName>
    <definedName name="OSRRefH22_18x_0" localSheetId="50">'301'!$H$85:$H$90</definedName>
    <definedName name="OSRRefH22_18x_0" localSheetId="68">'310'!$H$96</definedName>
    <definedName name="OSRRefH22_18x_0" localSheetId="76">'310 &amp; 491'!$H$102:$H$104</definedName>
    <definedName name="OSRRefH22_18x_0" localSheetId="73">'325'!$H$92</definedName>
    <definedName name="OSRRefH22_18x_0" localSheetId="62">'326'!$H$121</definedName>
    <definedName name="OSRRefH22_18x_0" localSheetId="60">'331'!$H$134:$H$139</definedName>
    <definedName name="OSRRefH22_18x_0" localSheetId="78">'405'!$H$94</definedName>
    <definedName name="OSRRefH22_18x_0" localSheetId="85">'415'!$H$97</definedName>
    <definedName name="OSRRefH22_18x_0" localSheetId="77">'491'!$H$101:$H$102</definedName>
    <definedName name="OSRRefH22_18x_0" localSheetId="39">'Div 2'!$H$92:$H$93</definedName>
    <definedName name="OSRRefH22_18x_0" localSheetId="47">'Div 3'!$H$229:$H$232</definedName>
    <definedName name="OSRRefH22_18x_0" localSheetId="75">'Div 4'!$H$98:$H$100</definedName>
    <definedName name="OSRRefH22_18x_0" localSheetId="2">Summary!$H$263:$H$266</definedName>
    <definedName name="OSRRefH22_19x_0" localSheetId="48">'300'!$H$234:$H$235</definedName>
    <definedName name="OSRRefH22_19x_0" localSheetId="49">'300 &amp; 317'!$H$259:$H$260</definedName>
    <definedName name="OSRRefH22_19x_0" localSheetId="50">'301'!$H$92</definedName>
    <definedName name="OSRRefH22_19x_0" localSheetId="68">'310'!$H$98:$H$106</definedName>
    <definedName name="OSRRefH22_19x_0" localSheetId="76">'310 &amp; 491'!$H$106:$H$111</definedName>
    <definedName name="OSRRefH22_19x_0" localSheetId="62">'326'!$H$123</definedName>
    <definedName name="OSRRefH22_19x_0" localSheetId="60">'331'!$H$141:$H$142</definedName>
    <definedName name="OSRRefH22_19x_0" localSheetId="78">'405'!$H$96</definedName>
    <definedName name="OSRRefH22_19x_0" localSheetId="77">'491'!$H$104:$H$113</definedName>
    <definedName name="OSRRefH22_19x_0" localSheetId="39">'Div 2'!$H$95</definedName>
    <definedName name="OSRRefH22_19x_0" localSheetId="47">'Div 3'!$H$234:$H$237</definedName>
    <definedName name="OSRRefH22_19x_0" localSheetId="75">'Div 4'!$H$102:$H$106</definedName>
    <definedName name="OSRRefH22_19x_0" localSheetId="2">Summary!$H$268:$H$271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'204'!$H$32:$H$41</definedName>
    <definedName name="OSRRefH22_1x_0" localSheetId="45">'205'!$H$30:$H$39</definedName>
    <definedName name="OSRRefH22_1x_0" localSheetId="46">'206'!$H$30:$H$39</definedName>
    <definedName name="OSRRefH22_1x_0" localSheetId="48">'300'!$H$173:$H$182</definedName>
    <definedName name="OSRRefH22_1x_0" localSheetId="49">'300 &amp; 317'!$H$198:$H$207</definedName>
    <definedName name="OSRRefH22_1x_0" localSheetId="50">'301'!$H$30:$H$39</definedName>
    <definedName name="OSRRefH22_1x_0" localSheetId="52">'306'!$H$30:$H$39</definedName>
    <definedName name="OSRRefH22_1x_0" localSheetId="54">'307'!$H$83:$H$92</definedName>
    <definedName name="OSRRefH22_1x_0" localSheetId="56">'308'!$H$76:$H$85</definedName>
    <definedName name="OSRRefH22_1x_0" localSheetId="69">'309'!$H$36:$H$45</definedName>
    <definedName name="OSRRefH22_1x_0" localSheetId="68">'310'!$H$44:$H$53</definedName>
    <definedName name="OSRRefH22_1x_0" localSheetId="76">'310 &amp; 491'!$H$52:$H$61</definedName>
    <definedName name="OSRRefH22_1x_0" localSheetId="57">'311'!$H$76:$H$85</definedName>
    <definedName name="OSRRefH22_1x_0" localSheetId="70">'313'!$H$40:$H$49</definedName>
    <definedName name="OSRRefH22_1x_0" localSheetId="55">'314'!$H$68:$H$77</definedName>
    <definedName name="OSRRefH22_1x_0" localSheetId="61">'315'!$H$67:$H$76</definedName>
    <definedName name="OSRRefH22_1x_0" localSheetId="64">'316'!$H$44:$H$53</definedName>
    <definedName name="OSRRefH22_1x_0" localSheetId="67">'317'!$H$71:$H$80</definedName>
    <definedName name="OSRRefH22_1x_0" localSheetId="65">'320'!$H$40:$H$49</definedName>
    <definedName name="OSRRefH22_1x_0" localSheetId="71">'321'!$H$35:$H$44</definedName>
    <definedName name="OSRRefH22_1x_0" localSheetId="72">'322'!$H$36:$H$45</definedName>
    <definedName name="OSRRefH22_1x_0" localSheetId="73">'325'!$H$36:$H$45</definedName>
    <definedName name="OSRRefH22_1x_0" localSheetId="62">'326'!$H$67:$H$76</definedName>
    <definedName name="OSRRefH22_1x_0" localSheetId="74">'327'!$H$26</definedName>
    <definedName name="OSRRefH22_1x_0" localSheetId="53">'330'!$H$91:$H$100</definedName>
    <definedName name="OSRRefH22_1x_0" localSheetId="60">'331'!$H$82:$H$91</definedName>
    <definedName name="OSRRefH22_1x_0" localSheetId="63">'332'!$H$53:$H$62</definedName>
    <definedName name="OSRRefH22_1x_0" localSheetId="78">'405'!$H$36:$H$45</definedName>
    <definedName name="OSRRefH22_1x_0" localSheetId="79">'406'!$H$37:$H$46</definedName>
    <definedName name="OSRRefH22_1x_0" localSheetId="80">'411'!$H$31:$H$40</definedName>
    <definedName name="OSRRefH22_1x_0" localSheetId="81">'412'!$H$36:$H$45</definedName>
    <definedName name="OSRRefH22_1x_0" localSheetId="83">'413'!$H$37:$H$46</definedName>
    <definedName name="OSRRefH22_1x_0" localSheetId="84">'414'!$H$37:$H$46</definedName>
    <definedName name="OSRRefH22_1x_0" localSheetId="85">'415'!$H$36:$H$45</definedName>
    <definedName name="OSRRefH22_1x_0" localSheetId="86">'418'!$H$37:$H$46</definedName>
    <definedName name="OSRRefH22_1x_0" localSheetId="82">'420'!$H$32:$H$35</definedName>
    <definedName name="OSRRefH22_1x_0" localSheetId="87">'423'!$H$31:$H$40</definedName>
    <definedName name="OSRRefH22_1x_0" localSheetId="88">'424'!$H$35:$H$44</definedName>
    <definedName name="OSRRefH22_1x_0" localSheetId="89">'425'!$H$39:$H$48</definedName>
    <definedName name="OSRRefH22_1x_0" localSheetId="92">'430'!$H$30:$H$39</definedName>
    <definedName name="OSRRefH22_1x_0" localSheetId="93">'433'!$H$38:$H$47</definedName>
    <definedName name="OSRRefH22_1x_0" localSheetId="94">'435'!$H$36:$H$45</definedName>
    <definedName name="OSRRefH22_1x_0" localSheetId="95">'444'!$H$38:$H$47</definedName>
    <definedName name="OSRRefH22_1x_0" localSheetId="96">'450'!$H$38:$H$47</definedName>
    <definedName name="OSRRefH22_1x_0" localSheetId="90">'455'!$H$29:$H$38</definedName>
    <definedName name="OSRRefH22_1x_0" localSheetId="77">'491'!$H$45:$H$54</definedName>
    <definedName name="OSRRefH22_1x_0" localSheetId="91">'492'!$H$40:$H$49</definedName>
    <definedName name="OSRRefH22_1x_0" localSheetId="98">'501'!$H$31:$H$40</definedName>
    <definedName name="OSRRefH22_1x_0" localSheetId="39">'Div 2'!$H$33:$H$42</definedName>
    <definedName name="OSRRefH22_1x_0" localSheetId="47">'Div 3'!$H$179:$H$188</definedName>
    <definedName name="OSRRefH22_1x_0" localSheetId="75">'Div 4'!$H$46:$H$55</definedName>
    <definedName name="OSRRefH22_1x_0" localSheetId="97">'Div 5'!$H$31:$H$40</definedName>
    <definedName name="OSRRefH22_1x_0" localSheetId="66">'Div 6'!$H$71:$H$80</definedName>
    <definedName name="OSRRefH22_1x_0" localSheetId="2">Summary!$H$211:$H$220</definedName>
    <definedName name="OSRRefH22_20x_0" localSheetId="48">'300'!$H$237:$H$243</definedName>
    <definedName name="OSRRefH22_20x_0" localSheetId="49">'300 &amp; 317'!$H$262:$H$268</definedName>
    <definedName name="OSRRefH22_20x_0" localSheetId="50">'301'!$H$94</definedName>
    <definedName name="OSRRefH22_20x_0" localSheetId="68">'310'!$H$108</definedName>
    <definedName name="OSRRefH22_20x_0" localSheetId="76">'310 &amp; 491'!$H$113:$H$114</definedName>
    <definedName name="OSRRefH22_20x_0" localSheetId="62">'326'!$H$125</definedName>
    <definedName name="OSRRefH22_20x_0" localSheetId="60">'331'!$H$144</definedName>
    <definedName name="OSRRefH22_20x_0" localSheetId="77">'491'!$H$115:$H$116</definedName>
    <definedName name="OSRRefH22_20x_0" localSheetId="39">'Div 2'!$H$97:$H$98</definedName>
    <definedName name="OSRRefH22_20x_0" localSheetId="47">'Div 3'!$H$239:$H$244</definedName>
    <definedName name="OSRRefH22_20x_0" localSheetId="75">'Div 4'!$H$108:$H$109</definedName>
    <definedName name="OSRRefH22_20x_0" localSheetId="2">Summary!$H$273:$H$278</definedName>
    <definedName name="OSRRefH22_21x_0" localSheetId="48">'300'!$H$245:$H$246</definedName>
    <definedName name="OSRRefH22_21x_0" localSheetId="49">'300 &amp; 317'!$H$270:$H$271</definedName>
    <definedName name="OSRRefH22_21x_0" localSheetId="50">'301'!$H$96:$H$98</definedName>
    <definedName name="OSRRefH22_21x_0" localSheetId="68">'310'!$H$110</definedName>
    <definedName name="OSRRefH22_21x_0" localSheetId="76">'310 &amp; 491'!$H$116:$H$125</definedName>
    <definedName name="OSRRefH22_21x_0" localSheetId="60">'331'!$H$146:$H$147</definedName>
    <definedName name="OSRRefH22_21x_0" localSheetId="77">'491'!$H$118</definedName>
    <definedName name="OSRRefH22_21x_0" localSheetId="47">'Div 3'!$H$246:$H$247</definedName>
    <definedName name="OSRRefH22_21x_0" localSheetId="75">'Div 4'!$H$111:$H$120</definedName>
    <definedName name="OSRRefH22_21x_0" localSheetId="2">Summary!$H$280:$H$281</definedName>
    <definedName name="OSRRefH22_22x_0" localSheetId="48">'300'!$H$248</definedName>
    <definedName name="OSRRefH22_22x_0" localSheetId="49">'300 &amp; 317'!$H$273</definedName>
    <definedName name="OSRRefH22_22x_0" localSheetId="50">'301'!$H$100</definedName>
    <definedName name="OSRRefH22_22x_0" localSheetId="68">'310'!$H$112</definedName>
    <definedName name="OSRRefH22_22x_0" localSheetId="76">'310 &amp; 491'!$H$127:$H$128</definedName>
    <definedName name="OSRRefH22_22x_0" localSheetId="60">'331'!$H$149</definedName>
    <definedName name="OSRRefH22_22x_0" localSheetId="77">'491'!$H$120:$H$122</definedName>
    <definedName name="OSRRefH22_22x_0" localSheetId="47">'Div 3'!$H$249:$H$257</definedName>
    <definedName name="OSRRefH22_22x_0" localSheetId="75">'Div 4'!$H$122:$H$123</definedName>
    <definedName name="OSRRefH22_22x_0" localSheetId="2">Summary!$H$283:$H$292</definedName>
    <definedName name="OSRRefH22_23x_0" localSheetId="48">'300'!$H$250:$H$252</definedName>
    <definedName name="OSRRefH22_23x_0" localSheetId="49">'300 &amp; 317'!$H$275:$H$277</definedName>
    <definedName name="OSRRefH22_23x_0" localSheetId="68">'310'!$H$114</definedName>
    <definedName name="OSRRefH22_23x_0" localSheetId="76">'310 &amp; 491'!$H$130</definedName>
    <definedName name="OSRRefH22_23x_0" localSheetId="77">'491'!$H$124</definedName>
    <definedName name="OSRRefH22_23x_0" localSheetId="47">'Div 3'!$H$259:$H$260</definedName>
    <definedName name="OSRRefH22_23x_0" localSheetId="75">'Div 4'!$H$125</definedName>
    <definedName name="OSRRefH22_23x_0" localSheetId="2">Summary!$H$294:$H$295</definedName>
    <definedName name="OSRRefH22_24x_0" localSheetId="48">'300'!$H$254</definedName>
    <definedName name="OSRRefH22_24x_0" localSheetId="49">'300 &amp; 317'!$H$279</definedName>
    <definedName name="OSRRefH22_24x_0" localSheetId="76">'310 &amp; 491'!$H$132:$H$134</definedName>
    <definedName name="OSRRefH22_24x_0" localSheetId="47">'Div 3'!$H$262</definedName>
    <definedName name="OSRRefH22_24x_0" localSheetId="75">'Div 4'!$H$127:$H$129</definedName>
    <definedName name="OSRRefH22_24x_0" localSheetId="2">Summary!$H$297</definedName>
    <definedName name="OSRRefH22_25x_0" localSheetId="76">'310 &amp; 491'!$H$136</definedName>
    <definedName name="OSRRefH22_25x_0" localSheetId="47">'Div 3'!$H$264:$H$266</definedName>
    <definedName name="OSRRefH22_25x_0" localSheetId="75">'Div 4'!$H$131</definedName>
    <definedName name="OSRRefH22_25x_0" localSheetId="2">Summary!$H$299:$H$301</definedName>
    <definedName name="OSRRefH22_26x_0" localSheetId="47">'Div 3'!$H$268</definedName>
    <definedName name="OSRRefH22_26x_0" localSheetId="2">Summary!$H$303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'204'!$H$43</definedName>
    <definedName name="OSRRefH22_2x_0" localSheetId="45">'205'!$H$41</definedName>
    <definedName name="OSRRefH22_2x_0" localSheetId="46">'206'!$H$41</definedName>
    <definedName name="OSRRefH22_2x_0" localSheetId="48">'300'!$H$184</definedName>
    <definedName name="OSRRefH22_2x_0" localSheetId="49">'300 &amp; 317'!$H$209</definedName>
    <definedName name="OSRRefH22_2x_0" localSheetId="50">'301'!$H$41</definedName>
    <definedName name="OSRRefH22_2x_0" localSheetId="52">'306'!$H$41</definedName>
    <definedName name="OSRRefH22_2x_0" localSheetId="54">'307'!$H$94</definedName>
    <definedName name="OSRRefH22_2x_0" localSheetId="56">'308'!$H$87</definedName>
    <definedName name="OSRRefH22_2x_0" localSheetId="69">'309'!$H$47</definedName>
    <definedName name="OSRRefH22_2x_0" localSheetId="68">'310'!$H$55</definedName>
    <definedName name="OSRRefH22_2x_0" localSheetId="76">'310 &amp; 491'!$H$63</definedName>
    <definedName name="OSRRefH22_2x_0" localSheetId="57">'311'!$H$87</definedName>
    <definedName name="OSRRefH22_2x_0" localSheetId="70">'313'!$H$51</definedName>
    <definedName name="OSRRefH22_2x_0" localSheetId="55">'314'!$H$79</definedName>
    <definedName name="OSRRefH22_2x_0" localSheetId="61">'315'!$H$78</definedName>
    <definedName name="OSRRefH22_2x_0" localSheetId="64">'316'!$H$55</definedName>
    <definedName name="OSRRefH22_2x_0" localSheetId="67">'317'!$H$82</definedName>
    <definedName name="OSRRefH22_2x_0" localSheetId="65">'320'!$H$51</definedName>
    <definedName name="OSRRefH22_2x_0" localSheetId="71">'321'!$H$46</definedName>
    <definedName name="OSRRefH22_2x_0" localSheetId="72">'322'!$H$47</definedName>
    <definedName name="OSRRefH22_2x_0" localSheetId="73">'325'!$H$47</definedName>
    <definedName name="OSRRefH22_2x_0" localSheetId="62">'326'!$H$78</definedName>
    <definedName name="OSRRefH22_2x_0" localSheetId="74">'327'!$H$28</definedName>
    <definedName name="OSRRefH22_2x_0" localSheetId="53">'330'!$H$102</definedName>
    <definedName name="OSRRefH22_2x_0" localSheetId="60">'331'!$H$93</definedName>
    <definedName name="OSRRefH22_2x_0" localSheetId="63">'332'!$H$64</definedName>
    <definedName name="OSRRefH22_2x_0" localSheetId="78">'405'!$H$47</definedName>
    <definedName name="OSRRefH22_2x_0" localSheetId="79">'406'!$H$48</definedName>
    <definedName name="OSRRefH22_2x_0" localSheetId="80">'411'!$H$42</definedName>
    <definedName name="OSRRefH22_2x_0" localSheetId="81">'412'!$H$47</definedName>
    <definedName name="OSRRefH22_2x_0" localSheetId="83">'413'!$H$48</definedName>
    <definedName name="OSRRefH22_2x_0" localSheetId="84">'414'!$H$48</definedName>
    <definedName name="OSRRefH22_2x_0" localSheetId="85">'415'!$H$47</definedName>
    <definedName name="OSRRefH22_2x_0" localSheetId="86">'418'!$H$48</definedName>
    <definedName name="OSRRefH22_2x_0" localSheetId="82">'420'!$H$37</definedName>
    <definedName name="OSRRefH22_2x_0" localSheetId="87">'423'!$H$42</definedName>
    <definedName name="OSRRefH22_2x_0" localSheetId="88">'424'!$H$46</definedName>
    <definedName name="OSRRefH22_2x_0" localSheetId="89">'425'!$H$50</definedName>
    <definedName name="OSRRefH22_2x_0" localSheetId="92">'430'!$H$41</definedName>
    <definedName name="OSRRefH22_2x_0" localSheetId="93">'433'!$H$49</definedName>
    <definedName name="OSRRefH22_2x_0" localSheetId="94">'435'!$H$47</definedName>
    <definedName name="OSRRefH22_2x_0" localSheetId="95">'444'!$H$49</definedName>
    <definedName name="OSRRefH22_2x_0" localSheetId="96">'450'!$H$49</definedName>
    <definedName name="OSRRefH22_2x_0" localSheetId="77">'491'!$H$56</definedName>
    <definedName name="OSRRefH22_2x_0" localSheetId="91">'492'!$H$51</definedName>
    <definedName name="OSRRefH22_2x_0" localSheetId="98">'501'!$H$42</definedName>
    <definedName name="OSRRefH22_2x_0" localSheetId="39">'Div 2'!$H$44</definedName>
    <definedName name="OSRRefH22_2x_0" localSheetId="47">'Div 3'!$H$190</definedName>
    <definedName name="OSRRefH22_2x_0" localSheetId="75">'Div 4'!$H$57</definedName>
    <definedName name="OSRRefH22_2x_0" localSheetId="97">'Div 5'!$H$42</definedName>
    <definedName name="OSRRefH22_2x_0" localSheetId="66">'Div 6'!$H$82</definedName>
    <definedName name="OSRRefH22_2x_0" localSheetId="2">Summary!$H$222</definedName>
    <definedName name="OSRRefH22_3x_0" localSheetId="40">'200'!$H$26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'204'!$H$45:$H$46</definedName>
    <definedName name="OSRRefH22_3x_0" localSheetId="45">'205'!$H$43</definedName>
    <definedName name="OSRRefH22_3x_0" localSheetId="46">'206'!$H$43</definedName>
    <definedName name="OSRRefH22_3x_0" localSheetId="48">'300'!$H$186:$H$187</definedName>
    <definedName name="OSRRefH22_3x_0" localSheetId="49">'300 &amp; 317'!$H$211:$H$212</definedName>
    <definedName name="OSRRefH22_3x_0" localSheetId="50">'301'!$H$43:$H$44</definedName>
    <definedName name="OSRRefH22_3x_0" localSheetId="52">'306'!$H$43</definedName>
    <definedName name="OSRRefH22_3x_0" localSheetId="54">'307'!$H$96</definedName>
    <definedName name="OSRRefH22_3x_0" localSheetId="56">'308'!$H$89:$H$90</definedName>
    <definedName name="OSRRefH22_3x_0" localSheetId="69">'309'!$H$49</definedName>
    <definedName name="OSRRefH22_3x_0" localSheetId="68">'310'!$H$57</definedName>
    <definedName name="OSRRefH22_3x_0" localSheetId="76">'310 &amp; 491'!$H$65</definedName>
    <definedName name="OSRRefH22_3x_0" localSheetId="57">'311'!$H$89:$H$90</definedName>
    <definedName name="OSRRefH22_3x_0" localSheetId="70">'313'!$H$53</definedName>
    <definedName name="OSRRefH22_3x_0" localSheetId="55">'314'!$H$81:$H$82</definedName>
    <definedName name="OSRRefH22_3x_0" localSheetId="61">'315'!$H$80:$H$81</definedName>
    <definedName name="OSRRefH22_3x_0" localSheetId="64">'316'!$H$57</definedName>
    <definedName name="OSRRefH22_3x_0" localSheetId="67">'317'!$H$84</definedName>
    <definedName name="OSRRefH22_3x_0" localSheetId="65">'320'!$H$53</definedName>
    <definedName name="OSRRefH22_3x_0" localSheetId="71">'321'!$H$48</definedName>
    <definedName name="OSRRefH22_3x_0" localSheetId="72">'322'!$H$49</definedName>
    <definedName name="OSRRefH22_3x_0" localSheetId="73">'325'!$H$49</definedName>
    <definedName name="OSRRefH22_3x_0" localSheetId="62">'326'!$H$80:$H$81</definedName>
    <definedName name="OSRRefH22_3x_0" localSheetId="53">'330'!$H$104</definedName>
    <definedName name="OSRRefH22_3x_0" localSheetId="60">'331'!$H$95:$H$96</definedName>
    <definedName name="OSRRefH22_3x_0" localSheetId="63">'332'!$H$66</definedName>
    <definedName name="OSRRefH22_3x_0" localSheetId="78">'405'!$H$49</definedName>
    <definedName name="OSRRefH22_3x_0" localSheetId="79">'406'!$H$50</definedName>
    <definedName name="OSRRefH22_3x_0" localSheetId="80">'411'!$H$44:$H$47</definedName>
    <definedName name="OSRRefH22_3x_0" localSheetId="81">'412'!$H$49</definedName>
    <definedName name="OSRRefH22_3x_0" localSheetId="83">'413'!$H$50</definedName>
    <definedName name="OSRRefH22_3x_0" localSheetId="84">'414'!$H$50</definedName>
    <definedName name="OSRRefH22_3x_0" localSheetId="85">'415'!$H$49</definedName>
    <definedName name="OSRRefH22_3x_0" localSheetId="86">'418'!$H$50</definedName>
    <definedName name="OSRRefH22_3x_0" localSheetId="82">'420'!$H$39</definedName>
    <definedName name="OSRRefH22_3x_0" localSheetId="87">'423'!$H$44</definedName>
    <definedName name="OSRRefH22_3x_0" localSheetId="88">'424'!$H$48</definedName>
    <definedName name="OSRRefH22_3x_0" localSheetId="89">'425'!$H$52</definedName>
    <definedName name="OSRRefH22_3x_0" localSheetId="92">'430'!$H$43</definedName>
    <definedName name="OSRRefH22_3x_0" localSheetId="93">'433'!$H$51</definedName>
    <definedName name="OSRRefH22_3x_0" localSheetId="94">'435'!$H$49</definedName>
    <definedName name="OSRRefH22_3x_0" localSheetId="95">'444'!$H$51</definedName>
    <definedName name="OSRRefH22_3x_0" localSheetId="96">'450'!$H$51:$H$52</definedName>
    <definedName name="OSRRefH22_3x_0" localSheetId="77">'491'!$H$58</definedName>
    <definedName name="OSRRefH22_3x_0" localSheetId="91">'492'!$H$53:$H$54</definedName>
    <definedName name="OSRRefH22_3x_0" localSheetId="98">'501'!$H$44</definedName>
    <definedName name="OSRRefH22_3x_0" localSheetId="39">'Div 2'!$H$46</definedName>
    <definedName name="OSRRefH22_3x_0" localSheetId="47">'Div 3'!$H$192:$H$193</definedName>
    <definedName name="OSRRefH22_3x_0" localSheetId="75">'Div 4'!$H$59:$H$60</definedName>
    <definedName name="OSRRefH22_3x_0" localSheetId="97">'Div 5'!$H$44</definedName>
    <definedName name="OSRRefH22_3x_0" localSheetId="66">'Div 6'!$H$84</definedName>
    <definedName name="OSRRefH22_3x_0" localSheetId="2">Summary!$H$224:$H$225</definedName>
    <definedName name="OSRRefH22_4x_0" localSheetId="40">'200'!$H$28:$H$29</definedName>
    <definedName name="OSRRefH22_4x_0" localSheetId="41">'201'!$H$45:$H$46</definedName>
    <definedName name="OSRRefH22_4x_0" localSheetId="42">'202'!$H$45</definedName>
    <definedName name="OSRRefH22_4x_0" localSheetId="43">'203'!$H$46</definedName>
    <definedName name="OSRRefH22_4x_0" localSheetId="44">'204'!$H$48</definedName>
    <definedName name="OSRRefH22_4x_0" localSheetId="45">'205'!$H$45</definedName>
    <definedName name="OSRRefH22_4x_0" localSheetId="46">'206'!$H$45</definedName>
    <definedName name="OSRRefH22_4x_0" localSheetId="48">'300'!$H$189</definedName>
    <definedName name="OSRRefH22_4x_0" localSheetId="49">'300 &amp; 317'!$H$214</definedName>
    <definedName name="OSRRefH22_4x_0" localSheetId="50">'301'!$H$46</definedName>
    <definedName name="OSRRefH22_4x_0" localSheetId="52">'306'!$H$45</definedName>
    <definedName name="OSRRefH22_4x_0" localSheetId="54">'307'!$H$98:$H$99</definedName>
    <definedName name="OSRRefH22_4x_0" localSheetId="56">'308'!$H$92</definedName>
    <definedName name="OSRRefH22_4x_0" localSheetId="69">'309'!$H$51</definedName>
    <definedName name="OSRRefH22_4x_0" localSheetId="68">'310'!$H$59</definedName>
    <definedName name="OSRRefH22_4x_0" localSheetId="76">'310 &amp; 491'!$H$67</definedName>
    <definedName name="OSRRefH22_4x_0" localSheetId="57">'311'!$H$92</definedName>
    <definedName name="OSRRefH22_4x_0" localSheetId="70">'313'!$H$55</definedName>
    <definedName name="OSRRefH22_4x_0" localSheetId="55">'314'!$H$84</definedName>
    <definedName name="OSRRefH22_4x_0" localSheetId="61">'315'!$H$83</definedName>
    <definedName name="OSRRefH22_4x_0" localSheetId="64">'316'!$H$59</definedName>
    <definedName name="OSRRefH22_4x_0" localSheetId="67">'317'!$H$86</definedName>
    <definedName name="OSRRefH22_4x_0" localSheetId="65">'320'!$H$55:$H$56</definedName>
    <definedName name="OSRRefH22_4x_0" localSheetId="71">'321'!$H$50</definedName>
    <definedName name="OSRRefH22_4x_0" localSheetId="72">'322'!$H$51</definedName>
    <definedName name="OSRRefH22_4x_0" localSheetId="73">'325'!$H$51</definedName>
    <definedName name="OSRRefH22_4x_0" localSheetId="62">'326'!$H$83</definedName>
    <definedName name="OSRRefH22_4x_0" localSheetId="53">'330'!$H$106:$H$107</definedName>
    <definedName name="OSRRefH22_4x_0" localSheetId="60">'331'!$H$98</definedName>
    <definedName name="OSRRefH22_4x_0" localSheetId="63">'332'!$H$68</definedName>
    <definedName name="OSRRefH22_4x_0" localSheetId="78">'405'!$H$51</definedName>
    <definedName name="OSRRefH22_4x_0" localSheetId="79">'406'!$H$52</definedName>
    <definedName name="OSRRefH22_4x_0" localSheetId="80">'411'!$H$49</definedName>
    <definedName name="OSRRefH22_4x_0" localSheetId="81">'412'!$H$51</definedName>
    <definedName name="OSRRefH22_4x_0" localSheetId="83">'413'!$H$52</definedName>
    <definedName name="OSRRefH22_4x_0" localSheetId="84">'414'!$H$52</definedName>
    <definedName name="OSRRefH22_4x_0" localSheetId="85">'415'!$H$51</definedName>
    <definedName name="OSRRefH22_4x_0" localSheetId="86">'418'!$H$52</definedName>
    <definedName name="OSRRefH22_4x_0" localSheetId="82">'420'!$H$41</definedName>
    <definedName name="OSRRefH22_4x_0" localSheetId="87">'423'!$H$46</definedName>
    <definedName name="OSRRefH22_4x_0" localSheetId="88">'424'!$H$50</definedName>
    <definedName name="OSRRefH22_4x_0" localSheetId="89">'425'!$H$54</definedName>
    <definedName name="OSRRefH22_4x_0" localSheetId="92">'430'!$H$45</definedName>
    <definedName name="OSRRefH22_4x_0" localSheetId="93">'433'!$H$53</definedName>
    <definedName name="OSRRefH22_4x_0" localSheetId="94">'435'!$H$51</definedName>
    <definedName name="OSRRefH22_4x_0" localSheetId="95">'444'!$H$53</definedName>
    <definedName name="OSRRefH22_4x_0" localSheetId="96">'450'!$H$54</definedName>
    <definedName name="OSRRefH22_4x_0" localSheetId="77">'491'!$H$60</definedName>
    <definedName name="OSRRefH22_4x_0" localSheetId="91">'492'!$H$56</definedName>
    <definedName name="OSRRefH22_4x_0" localSheetId="98">'501'!$H$46</definedName>
    <definedName name="OSRRefH22_4x_0" localSheetId="39">'Div 2'!$H$48</definedName>
    <definedName name="OSRRefH22_4x_0" localSheetId="47">'Div 3'!$H$195</definedName>
    <definedName name="OSRRefH22_4x_0" localSheetId="75">'Div 4'!$H$62</definedName>
    <definedName name="OSRRefH22_4x_0" localSheetId="97">'Div 5'!$H$46</definedName>
    <definedName name="OSRRefH22_4x_0" localSheetId="66">'Div 6'!$H$86</definedName>
    <definedName name="OSRRefH22_4x_0" localSheetId="2">Summary!$H$227</definedName>
    <definedName name="OSRRefH22_5x_0" localSheetId="41">'201'!$H$48</definedName>
    <definedName name="OSRRefH22_5x_0" localSheetId="42">'202'!$H$47</definedName>
    <definedName name="OSRRefH22_5x_0" localSheetId="43">'203'!$H$48</definedName>
    <definedName name="OSRRefH22_5x_0" localSheetId="44">'204'!$H$50</definedName>
    <definedName name="OSRRefH22_5x_0" localSheetId="45">'205'!$H$47:$H$48</definedName>
    <definedName name="OSRRefH22_5x_0" localSheetId="46">'206'!$H$47</definedName>
    <definedName name="OSRRefH22_5x_0" localSheetId="48">'300'!$H$191:$H$194</definedName>
    <definedName name="OSRRefH22_5x_0" localSheetId="49">'300 &amp; 317'!$H$216:$H$219</definedName>
    <definedName name="OSRRefH22_5x_0" localSheetId="50">'301'!$H$48:$H$51</definedName>
    <definedName name="OSRRefH22_5x_0" localSheetId="52">'306'!$H$47</definedName>
    <definedName name="OSRRefH22_5x_0" localSheetId="54">'307'!$H$101</definedName>
    <definedName name="OSRRefH22_5x_0" localSheetId="56">'308'!$H$94</definedName>
    <definedName name="OSRRefH22_5x_0" localSheetId="69">'309'!$H$53:$H$54</definedName>
    <definedName name="OSRRefH22_5x_0" localSheetId="68">'310'!$H$61:$H$63</definedName>
    <definedName name="OSRRefH22_5x_0" localSheetId="76">'310 &amp; 491'!$H$69:$H$72</definedName>
    <definedName name="OSRRefH22_5x_0" localSheetId="57">'311'!$H$94</definedName>
    <definedName name="OSRRefH22_5x_0" localSheetId="70">'313'!$H$57</definedName>
    <definedName name="OSRRefH22_5x_0" localSheetId="55">'314'!$H$86</definedName>
    <definedName name="OSRRefH22_5x_0" localSheetId="61">'315'!$H$85:$H$86</definedName>
    <definedName name="OSRRefH22_5x_0" localSheetId="64">'316'!$H$61</definedName>
    <definedName name="OSRRefH22_5x_0" localSheetId="67">'317'!$H$88</definedName>
    <definedName name="OSRRefH22_5x_0" localSheetId="65">'320'!$H$58</definedName>
    <definedName name="OSRRefH22_5x_0" localSheetId="71">'321'!$H$52</definedName>
    <definedName name="OSRRefH22_5x_0" localSheetId="72">'322'!$H$53:$H$54</definedName>
    <definedName name="OSRRefH22_5x_0" localSheetId="73">'325'!$H$53:$H$55</definedName>
    <definedName name="OSRRefH22_5x_0" localSheetId="62">'326'!$H$85</definedName>
    <definedName name="OSRRefH22_5x_0" localSheetId="53">'330'!$H$109</definedName>
    <definedName name="OSRRefH22_5x_0" localSheetId="60">'331'!$H$100:$H$101</definedName>
    <definedName name="OSRRefH22_5x_0" localSheetId="63">'332'!$H$70</definedName>
    <definedName name="OSRRefH22_5x_0" localSheetId="78">'405'!$H$53:$H$55</definedName>
    <definedName name="OSRRefH22_5x_0" localSheetId="79">'406'!$H$54:$H$55</definedName>
    <definedName name="OSRRefH22_5x_0" localSheetId="80">'411'!$H$51</definedName>
    <definedName name="OSRRefH22_5x_0" localSheetId="81">'412'!$H$53:$H$55</definedName>
    <definedName name="OSRRefH22_5x_0" localSheetId="83">'413'!$H$54</definedName>
    <definedName name="OSRRefH22_5x_0" localSheetId="84">'414'!$H$54:$H$55</definedName>
    <definedName name="OSRRefH22_5x_0" localSheetId="85">'415'!$H$53:$H$55</definedName>
    <definedName name="OSRRefH22_5x_0" localSheetId="86">'418'!$H$54:$H$56</definedName>
    <definedName name="OSRRefH22_5x_0" localSheetId="82">'420'!$H$43:$H$44</definedName>
    <definedName name="OSRRefH22_5x_0" localSheetId="87">'423'!$H$48</definedName>
    <definedName name="OSRRefH22_5x_0" localSheetId="88">'424'!$H$52</definedName>
    <definedName name="OSRRefH22_5x_0" localSheetId="89">'425'!$H$56:$H$57</definedName>
    <definedName name="OSRRefH22_5x_0" localSheetId="92">'430'!$H$47</definedName>
    <definedName name="OSRRefH22_5x_0" localSheetId="93">'433'!$H$55</definedName>
    <definedName name="OSRRefH22_5x_0" localSheetId="94">'435'!$H$53</definedName>
    <definedName name="OSRRefH22_5x_0" localSheetId="95">'444'!$H$55</definedName>
    <definedName name="OSRRefH22_5x_0" localSheetId="96">'450'!$H$56</definedName>
    <definedName name="OSRRefH22_5x_0" localSheetId="77">'491'!$H$62:$H$65</definedName>
    <definedName name="OSRRefH22_5x_0" localSheetId="91">'492'!$H$58:$H$59</definedName>
    <definedName name="OSRRefH22_5x_0" localSheetId="98">'501'!$H$48</definedName>
    <definedName name="OSRRefH22_5x_0" localSheetId="39">'Div 2'!$H$50:$H$51</definedName>
    <definedName name="OSRRefH22_5x_0" localSheetId="47">'Div 3'!$H$197:$H$200</definedName>
    <definedName name="OSRRefH22_5x_0" localSheetId="75">'Div 4'!$H$64:$H$67</definedName>
    <definedName name="OSRRefH22_5x_0" localSheetId="97">'Div 5'!$H$48</definedName>
    <definedName name="OSRRefH22_5x_0" localSheetId="66">'Div 6'!$H$88</definedName>
    <definedName name="OSRRefH22_5x_0" localSheetId="2">Summary!$H$229:$H$232</definedName>
    <definedName name="OSRRefH22_6x_0" localSheetId="41">'201'!$H$50</definedName>
    <definedName name="OSRRefH22_6x_0" localSheetId="42">'202'!$H$49</definedName>
    <definedName name="OSRRefH22_6x_0" localSheetId="43">'203'!$H$50</definedName>
    <definedName name="OSRRefH22_6x_0" localSheetId="44">'204'!$H$52</definedName>
    <definedName name="OSRRefH22_6x_0" localSheetId="45">'205'!$H$50</definedName>
    <definedName name="OSRRefH22_6x_0" localSheetId="46">'206'!$H$49</definedName>
    <definedName name="OSRRefH22_6x_0" localSheetId="48">'300'!$H$196:$H$197</definedName>
    <definedName name="OSRRefH22_6x_0" localSheetId="49">'300 &amp; 317'!$H$221:$H$222</definedName>
    <definedName name="OSRRefH22_6x_0" localSheetId="50">'301'!$H$53:$H$54</definedName>
    <definedName name="OSRRefH22_6x_0" localSheetId="52">'306'!$H$49</definedName>
    <definedName name="OSRRefH22_6x_0" localSheetId="54">'307'!$H$103</definedName>
    <definedName name="OSRRefH22_6x_0" localSheetId="56">'308'!$H$96:$H$97</definedName>
    <definedName name="OSRRefH22_6x_0" localSheetId="69">'309'!$H$56</definedName>
    <definedName name="OSRRefH22_6x_0" localSheetId="68">'310'!$H$65</definedName>
    <definedName name="OSRRefH22_6x_0" localSheetId="76">'310 &amp; 491'!$H$74</definedName>
    <definedName name="OSRRefH22_6x_0" localSheetId="57">'311'!$H$96:$H$97</definedName>
    <definedName name="OSRRefH22_6x_0" localSheetId="70">'313'!$H$59</definedName>
    <definedName name="OSRRefH22_6x_0" localSheetId="55">'314'!$H$88</definedName>
    <definedName name="OSRRefH22_6x_0" localSheetId="61">'315'!$H$88</definedName>
    <definedName name="OSRRefH22_6x_0" localSheetId="64">'316'!$H$63</definedName>
    <definedName name="OSRRefH22_6x_0" localSheetId="67">'317'!$H$90</definedName>
    <definedName name="OSRRefH22_6x_0" localSheetId="65">'320'!$H$60</definedName>
    <definedName name="OSRRefH22_6x_0" localSheetId="71">'321'!$H$54</definedName>
    <definedName name="OSRRefH22_6x_0" localSheetId="72">'322'!$H$56</definedName>
    <definedName name="OSRRefH22_6x_0" localSheetId="73">'325'!$H$57</definedName>
    <definedName name="OSRRefH22_6x_0" localSheetId="62">'326'!$H$87</definedName>
    <definedName name="OSRRefH22_6x_0" localSheetId="53">'330'!$H$111</definedName>
    <definedName name="OSRRefH22_6x_0" localSheetId="60">'331'!$H$103</definedName>
    <definedName name="OSRRefH22_6x_0" localSheetId="63">'332'!$H$72</definedName>
    <definedName name="OSRRefH22_6x_0" localSheetId="78">'405'!$H$57</definedName>
    <definedName name="OSRRefH22_6x_0" localSheetId="79">'406'!$H$57</definedName>
    <definedName name="OSRRefH22_6x_0" localSheetId="80">'411'!$H$53</definedName>
    <definedName name="OSRRefH22_6x_0" localSheetId="81">'412'!$H$57</definedName>
    <definedName name="OSRRefH22_6x_0" localSheetId="83">'413'!$H$56</definedName>
    <definedName name="OSRRefH22_6x_0" localSheetId="84">'414'!$H$57</definedName>
    <definedName name="OSRRefH22_6x_0" localSheetId="85">'415'!$H$57</definedName>
    <definedName name="OSRRefH22_6x_0" localSheetId="86">'418'!$H$58</definedName>
    <definedName name="OSRRefH22_6x_0" localSheetId="82">'420'!$H$46</definedName>
    <definedName name="OSRRefH22_6x_0" localSheetId="88">'424'!$H$54</definedName>
    <definedName name="OSRRefH22_6x_0" localSheetId="89">'425'!$H$59</definedName>
    <definedName name="OSRRefH22_6x_0" localSheetId="92">'430'!$H$49</definedName>
    <definedName name="OSRRefH22_6x_0" localSheetId="93">'433'!$H$57</definedName>
    <definedName name="OSRRefH22_6x_0" localSheetId="94">'435'!$H$55</definedName>
    <definedName name="OSRRefH22_6x_0" localSheetId="95">'444'!$H$57</definedName>
    <definedName name="OSRRefH22_6x_0" localSheetId="96">'450'!$H$58</definedName>
    <definedName name="OSRRefH22_6x_0" localSheetId="77">'491'!$H$67</definedName>
    <definedName name="OSRRefH22_6x_0" localSheetId="91">'492'!$H$61</definedName>
    <definedName name="OSRRefH22_6x_0" localSheetId="98">'501'!$H$50</definedName>
    <definedName name="OSRRefH22_6x_0" localSheetId="39">'Div 2'!$H$53:$H$54</definedName>
    <definedName name="OSRRefH22_6x_0" localSheetId="47">'Div 3'!$H$202:$H$203</definedName>
    <definedName name="OSRRefH22_6x_0" localSheetId="75">'Div 4'!$H$69</definedName>
    <definedName name="OSRRefH22_6x_0" localSheetId="97">'Div 5'!$H$50</definedName>
    <definedName name="OSRRefH22_6x_0" localSheetId="66">'Div 6'!$H$90</definedName>
    <definedName name="OSRRefH22_6x_0" localSheetId="2">Summary!$H$234:$H$235</definedName>
    <definedName name="OSRRefH22_7x_0" localSheetId="41">'201'!$H$52</definedName>
    <definedName name="OSRRefH22_7x_0" localSheetId="42">'202'!$H$51</definedName>
    <definedName name="OSRRefH22_7x_0" localSheetId="43">'203'!$H$52</definedName>
    <definedName name="OSRRefH22_7x_0" localSheetId="44">'204'!$H$54:$H$57</definedName>
    <definedName name="OSRRefH22_7x_0" localSheetId="45">'205'!$H$52:$H$53</definedName>
    <definedName name="OSRRefH22_7x_0" localSheetId="46">'206'!$H$51:$H$52</definedName>
    <definedName name="OSRRefH22_7x_0" localSheetId="48">'300'!$H$199:$H$200</definedName>
    <definedName name="OSRRefH22_7x_0" localSheetId="49">'300 &amp; 317'!$H$224:$H$225</definedName>
    <definedName name="OSRRefH22_7x_0" localSheetId="50">'301'!$H$56:$H$57</definedName>
    <definedName name="OSRRefH22_7x_0" localSheetId="52">'306'!$H$51:$H$52</definedName>
    <definedName name="OSRRefH22_7x_0" localSheetId="54">'307'!$H$105</definedName>
    <definedName name="OSRRefH22_7x_0" localSheetId="56">'308'!$H$99</definedName>
    <definedName name="OSRRefH22_7x_0" localSheetId="69">'309'!$H$58</definedName>
    <definedName name="OSRRefH22_7x_0" localSheetId="68">'310'!$H$67</definedName>
    <definedName name="OSRRefH22_7x_0" localSheetId="76">'310 &amp; 491'!$H$76</definedName>
    <definedName name="OSRRefH22_7x_0" localSheetId="57">'311'!$H$99</definedName>
    <definedName name="OSRRefH22_7x_0" localSheetId="70">'313'!$H$61</definedName>
    <definedName name="OSRRefH22_7x_0" localSheetId="55">'314'!$H$90</definedName>
    <definedName name="OSRRefH22_7x_0" localSheetId="61">'315'!$H$90</definedName>
    <definedName name="OSRRefH22_7x_0" localSheetId="64">'316'!$H$65</definedName>
    <definedName name="OSRRefH22_7x_0" localSheetId="67">'317'!$H$92</definedName>
    <definedName name="OSRRefH22_7x_0" localSheetId="65">'320'!$H$62:$H$63</definedName>
    <definedName name="OSRRefH22_7x_0" localSheetId="71">'321'!$H$56</definedName>
    <definedName name="OSRRefH22_7x_0" localSheetId="72">'322'!$H$58</definedName>
    <definedName name="OSRRefH22_7x_0" localSheetId="73">'325'!$H$59</definedName>
    <definedName name="OSRRefH22_7x_0" localSheetId="62">'326'!$H$89</definedName>
    <definedName name="OSRRefH22_7x_0" localSheetId="53">'330'!$H$113</definedName>
    <definedName name="OSRRefH22_7x_0" localSheetId="60">'331'!$H$105</definedName>
    <definedName name="OSRRefH22_7x_0" localSheetId="63">'332'!$H$74:$H$75</definedName>
    <definedName name="OSRRefH22_7x_0" localSheetId="78">'405'!$H$59</definedName>
    <definedName name="OSRRefH22_7x_0" localSheetId="79">'406'!$H$59</definedName>
    <definedName name="OSRRefH22_7x_0" localSheetId="80">'411'!$H$55</definedName>
    <definedName name="OSRRefH22_7x_0" localSheetId="81">'412'!$H$59</definedName>
    <definedName name="OSRRefH22_7x_0" localSheetId="83">'413'!$H$58</definedName>
    <definedName name="OSRRefH22_7x_0" localSheetId="84">'414'!$H$59</definedName>
    <definedName name="OSRRefH22_7x_0" localSheetId="85">'415'!$H$59</definedName>
    <definedName name="OSRRefH22_7x_0" localSheetId="86">'418'!$H$60</definedName>
    <definedName name="OSRRefH22_7x_0" localSheetId="88">'424'!$H$56:$H$57</definedName>
    <definedName name="OSRRefH22_7x_0" localSheetId="89">'425'!$H$61</definedName>
    <definedName name="OSRRefH22_7x_0" localSheetId="92">'430'!$H$51:$H$53</definedName>
    <definedName name="OSRRefH22_7x_0" localSheetId="93">'433'!$H$59</definedName>
    <definedName name="OSRRefH22_7x_0" localSheetId="94">'435'!$H$57:$H$59</definedName>
    <definedName name="OSRRefH22_7x_0" localSheetId="95">'444'!$H$59</definedName>
    <definedName name="OSRRefH22_7x_0" localSheetId="96">'450'!$H$60</definedName>
    <definedName name="OSRRefH22_7x_0" localSheetId="77">'491'!$H$69</definedName>
    <definedName name="OSRRefH22_7x_0" localSheetId="91">'492'!$H$63</definedName>
    <definedName name="OSRRefH22_7x_0" localSheetId="98">'501'!$H$52</definedName>
    <definedName name="OSRRefH22_7x_0" localSheetId="39">'Div 2'!$H$56</definedName>
    <definedName name="OSRRefH22_7x_0" localSheetId="47">'Div 3'!$H$205:$H$206</definedName>
    <definedName name="OSRRefH22_7x_0" localSheetId="75">'Div 4'!$H$71:$H$72</definedName>
    <definedName name="OSRRefH22_7x_0" localSheetId="97">'Div 5'!$H$52</definedName>
    <definedName name="OSRRefH22_7x_0" localSheetId="66">'Div 6'!$H$92</definedName>
    <definedName name="OSRRefH22_7x_0" localSheetId="2">Summary!$H$237:$H$239</definedName>
    <definedName name="OSRRefH22_8x_0" localSheetId="41">'201'!$H$54</definedName>
    <definedName name="OSRRefH22_8x_0" localSheetId="42">'202'!$H$53</definedName>
    <definedName name="OSRRefH22_8x_0" localSheetId="43">'203'!$H$54</definedName>
    <definedName name="OSRRefH22_8x_0" localSheetId="44">'204'!$H$59</definedName>
    <definedName name="OSRRefH22_8x_0" localSheetId="45">'205'!$H$55</definedName>
    <definedName name="OSRRefH22_8x_0" localSheetId="46">'206'!$H$54</definedName>
    <definedName name="OSRRefH22_8x_0" localSheetId="48">'300'!$H$202</definedName>
    <definedName name="OSRRefH22_8x_0" localSheetId="49">'300 &amp; 317'!$H$227</definedName>
    <definedName name="OSRRefH22_8x_0" localSheetId="50">'301'!$H$59</definedName>
    <definedName name="OSRRefH22_8x_0" localSheetId="52">'306'!$H$54:$H$57</definedName>
    <definedName name="OSRRefH22_8x_0" localSheetId="54">'307'!$H$107:$H$108</definedName>
    <definedName name="OSRRefH22_8x_0" localSheetId="56">'308'!$H$101</definedName>
    <definedName name="OSRRefH22_8x_0" localSheetId="69">'309'!$H$60</definedName>
    <definedName name="OSRRefH22_8x_0" localSheetId="68">'310'!$H$69</definedName>
    <definedName name="OSRRefH22_8x_0" localSheetId="76">'310 &amp; 491'!$H$78</definedName>
    <definedName name="OSRRefH22_8x_0" localSheetId="57">'311'!$H$101</definedName>
    <definedName name="OSRRefH22_8x_0" localSheetId="70">'313'!$H$63</definedName>
    <definedName name="OSRRefH22_8x_0" localSheetId="55">'314'!$H$92</definedName>
    <definedName name="OSRRefH22_8x_0" localSheetId="61">'315'!$H$92</definedName>
    <definedName name="OSRRefH22_8x_0" localSheetId="64">'316'!$H$67</definedName>
    <definedName name="OSRRefH22_8x_0" localSheetId="67">'317'!$H$94</definedName>
    <definedName name="OSRRefH22_8x_0" localSheetId="65">'320'!$H$65</definedName>
    <definedName name="OSRRefH22_8x_0" localSheetId="71">'321'!$H$58</definedName>
    <definedName name="OSRRefH22_8x_0" localSheetId="72">'322'!$H$60</definedName>
    <definedName name="OSRRefH22_8x_0" localSheetId="73">'325'!$H$61</definedName>
    <definedName name="OSRRefH22_8x_0" localSheetId="62">'326'!$H$91</definedName>
    <definedName name="OSRRefH22_8x_0" localSheetId="53">'330'!$H$115</definedName>
    <definedName name="OSRRefH22_8x_0" localSheetId="60">'331'!$H$107:$H$108</definedName>
    <definedName name="OSRRefH22_8x_0" localSheetId="63">'332'!$H$77</definedName>
    <definedName name="OSRRefH22_8x_0" localSheetId="78">'405'!$H$61</definedName>
    <definedName name="OSRRefH22_8x_0" localSheetId="79">'406'!$H$61</definedName>
    <definedName name="OSRRefH22_8x_0" localSheetId="80">'411'!$H$57</definedName>
    <definedName name="OSRRefH22_8x_0" localSheetId="81">'412'!$H$61</definedName>
    <definedName name="OSRRefH22_8x_0" localSheetId="83">'413'!$H$60:$H$62</definedName>
    <definedName name="OSRRefH22_8x_0" localSheetId="84">'414'!$H$61</definedName>
    <definedName name="OSRRefH22_8x_0" localSheetId="85">'415'!$H$61</definedName>
    <definedName name="OSRRefH22_8x_0" localSheetId="86">'418'!$H$62</definedName>
    <definedName name="OSRRefH22_8x_0" localSheetId="88">'424'!$H$59:$H$60</definedName>
    <definedName name="OSRRefH22_8x_0" localSheetId="89">'425'!$H$63</definedName>
    <definedName name="OSRRefH22_8x_0" localSheetId="92">'430'!$H$55</definedName>
    <definedName name="OSRRefH22_8x_0" localSheetId="93">'433'!$H$61</definedName>
    <definedName name="OSRRefH22_8x_0" localSheetId="94">'435'!$H$61</definedName>
    <definedName name="OSRRefH22_8x_0" localSheetId="95">'444'!$H$61</definedName>
    <definedName name="OSRRefH22_8x_0" localSheetId="96">'450'!$H$62</definedName>
    <definedName name="OSRRefH22_8x_0" localSheetId="77">'491'!$H$71</definedName>
    <definedName name="OSRRefH22_8x_0" localSheetId="91">'492'!$H$65</definedName>
    <definedName name="OSRRefH22_8x_0" localSheetId="98">'501'!$H$54</definedName>
    <definedName name="OSRRefH22_8x_0" localSheetId="39">'Div 2'!$H$58</definedName>
    <definedName name="OSRRefH22_8x_0" localSheetId="47">'Div 3'!$H$208</definedName>
    <definedName name="OSRRefH22_8x_0" localSheetId="75">'Div 4'!$H$74</definedName>
    <definedName name="OSRRefH22_8x_0" localSheetId="97">'Div 5'!$H$54</definedName>
    <definedName name="OSRRefH22_8x_0" localSheetId="66">'Div 6'!$H$94</definedName>
    <definedName name="OSRRefH22_8x_0" localSheetId="2">Summary!$H$241</definedName>
    <definedName name="OSRRefH22_9x_0" localSheetId="41">'201'!$H$56</definedName>
    <definedName name="OSRRefH22_9x_0" localSheetId="42">'202'!$H$55:$H$57</definedName>
    <definedName name="OSRRefH22_9x_0" localSheetId="43">'203'!$H$56:$H$57</definedName>
    <definedName name="OSRRefH22_9x_0" localSheetId="44">'204'!$H$61:$H$62</definedName>
    <definedName name="OSRRefH22_9x_0" localSheetId="45">'205'!$H$57</definedName>
    <definedName name="OSRRefH22_9x_0" localSheetId="46">'206'!$H$56</definedName>
    <definedName name="OSRRefH22_9x_0" localSheetId="48">'300'!$H$204</definedName>
    <definedName name="OSRRefH22_9x_0" localSheetId="49">'300 &amp; 317'!$H$229</definedName>
    <definedName name="OSRRefH22_9x_0" localSheetId="50">'301'!$H$61</definedName>
    <definedName name="OSRRefH22_9x_0" localSheetId="52">'306'!$H$59</definedName>
    <definedName name="OSRRefH22_9x_0" localSheetId="54">'307'!$H$110:$H$111</definedName>
    <definedName name="OSRRefH22_9x_0" localSheetId="56">'308'!$H$103:$H$105</definedName>
    <definedName name="OSRRefH22_9x_0" localSheetId="69">'309'!$H$62:$H$63</definedName>
    <definedName name="OSRRefH22_9x_0" localSheetId="68">'310'!$H$71</definedName>
    <definedName name="OSRRefH22_9x_0" localSheetId="76">'310 &amp; 491'!$H$80</definedName>
    <definedName name="OSRRefH22_9x_0" localSheetId="57">'311'!$H$103:$H$105</definedName>
    <definedName name="OSRRefH22_9x_0" localSheetId="70">'313'!$H$65</definedName>
    <definedName name="OSRRefH22_9x_0" localSheetId="55">'314'!$H$94</definedName>
    <definedName name="OSRRefH22_9x_0" localSheetId="61">'315'!$H$94</definedName>
    <definedName name="OSRRefH22_9x_0" localSheetId="64">'316'!$H$69:$H$70</definedName>
    <definedName name="OSRRefH22_9x_0" localSheetId="67">'317'!$H$96:$H$97</definedName>
    <definedName name="OSRRefH22_9x_0" localSheetId="71">'321'!$H$60:$H$62</definedName>
    <definedName name="OSRRefH22_9x_0" localSheetId="72">'322'!$H$62:$H$64</definedName>
    <definedName name="OSRRefH22_9x_0" localSheetId="73">'325'!$H$63</definedName>
    <definedName name="OSRRefH22_9x_0" localSheetId="62">'326'!$H$93</definedName>
    <definedName name="OSRRefH22_9x_0" localSheetId="53">'330'!$H$117:$H$118</definedName>
    <definedName name="OSRRefH22_9x_0" localSheetId="60">'331'!$H$110</definedName>
    <definedName name="OSRRefH22_9x_0" localSheetId="63">'332'!$H$79</definedName>
    <definedName name="OSRRefH22_9x_0" localSheetId="78">'405'!$H$63</definedName>
    <definedName name="OSRRefH22_9x_0" localSheetId="79">'406'!$H$63:$H$65</definedName>
    <definedName name="OSRRefH22_9x_0" localSheetId="80">'411'!$H$59</definedName>
    <definedName name="OSRRefH22_9x_0" localSheetId="81">'412'!$H$63:$H$64</definedName>
    <definedName name="OSRRefH22_9x_0" localSheetId="83">'413'!$H$64:$H$65</definedName>
    <definedName name="OSRRefH22_9x_0" localSheetId="84">'414'!$H$63:$H$64</definedName>
    <definedName name="OSRRefH22_9x_0" localSheetId="85">'415'!$H$63</definedName>
    <definedName name="OSRRefH22_9x_0" localSheetId="86">'418'!$H$64</definedName>
    <definedName name="OSRRefH22_9x_0" localSheetId="88">'424'!$H$62</definedName>
    <definedName name="OSRRefH22_9x_0" localSheetId="89">'425'!$H$65:$H$67</definedName>
    <definedName name="OSRRefH22_9x_0" localSheetId="92">'430'!$H$57</definedName>
    <definedName name="OSRRefH22_9x_0" localSheetId="93">'433'!$H$63</definedName>
    <definedName name="OSRRefH22_9x_0" localSheetId="95">'444'!$H$63</definedName>
    <definedName name="OSRRefH22_9x_0" localSheetId="96">'450'!$H$64</definedName>
    <definedName name="OSRRefH22_9x_0" localSheetId="77">'491'!$H$73</definedName>
    <definedName name="OSRRefH22_9x_0" localSheetId="91">'492'!$H$67</definedName>
    <definedName name="OSRRefH22_9x_0" localSheetId="98">'501'!$H$56</definedName>
    <definedName name="OSRRefH22_9x_0" localSheetId="39">'Div 2'!$H$60</definedName>
    <definedName name="OSRRefH22_9x_0" localSheetId="47">'Div 3'!$H$210</definedName>
    <definedName name="OSRRefH22_9x_0" localSheetId="75">'Div 4'!$H$76</definedName>
    <definedName name="OSRRefH22_9x_0" localSheetId="97">'Div 5'!$H$56</definedName>
    <definedName name="OSRRefH22_9x_0" localSheetId="66">'Div 6'!$H$96:$H$97</definedName>
    <definedName name="OSRRefH22_9x_0" localSheetId="2">Summary!$H$243</definedName>
    <definedName name="OSRRefH22x_0" localSheetId="40">'200'!$H$20,'200'!$H$22,'200'!$H$24,'200'!$H$26,'200'!$H$28:$H$29</definedName>
    <definedName name="OSRRefH22x_0" localSheetId="41">'201'!$H$20:$H$28,'201'!$H$30:$H$39,'201'!$H$41,'201'!$H$43,'201'!$H$45:$H$46,'201'!$H$48,'201'!$H$50,'201'!$H$52,'201'!$H$54,'201'!$H$56,'201'!$H$58:$H$60,'201'!$H$62:$H$64,'201'!$H$66,'201'!$H$68:$H$70,'201'!$H$72,'201'!$H$74,'201'!$H$76:$H$77</definedName>
    <definedName name="OSRRefH22x_0" localSheetId="42">'202'!$H$20:$H$28,'202'!$H$30:$H$39,'202'!$H$41,'202'!$H$43,'202'!$H$45,'202'!$H$47,'202'!$H$49,'202'!$H$51,'202'!$H$53,'202'!$H$55:$H$57,'202'!$H$59,'202'!$H$61:$H$63,'202'!$H$65,'202'!$H$67,'202'!$H$69:$H$70,'202'!$H$72,'202'!$H$74</definedName>
    <definedName name="OSRRefH22x_0" localSheetId="43">'203'!$H$20:$H$29,'203'!$H$31:$H$40,'203'!$H$42,'203'!$H$44,'203'!$H$46,'203'!$H$48,'203'!$H$50,'203'!$H$52,'203'!$H$54,'203'!$H$56:$H$57,'203'!$H$59:$H$60,'203'!$H$62,'203'!$H$64:$H$66,'203'!$H$68,'203'!$H$70,'203'!$H$72</definedName>
    <definedName name="OSRRefH22x_0" localSheetId="44">'204'!$H$21:$H$30,'204'!$H$32:$H$41,'204'!$H$43,'204'!$H$45:$H$46,'204'!$H$48,'204'!$H$50,'204'!$H$52,'204'!$H$54:$H$57,'204'!$H$59,'204'!$H$61:$H$62,'204'!$H$64:$H$65,'204'!$H$67,'204'!$H$69:$H$70</definedName>
    <definedName name="OSRRefH22x_0" localSheetId="45">'205'!$H$20:$H$28,'205'!$H$30:$H$39,'205'!$H$41,'205'!$H$43,'205'!$H$45,'205'!$H$47:$H$48,'205'!$H$50,'205'!$H$52:$H$53,'205'!$H$55,'205'!$H$57</definedName>
    <definedName name="OSRRefH22x_0" localSheetId="46">'206'!$H$20:$H$28,'206'!$H$30:$H$39,'206'!$H$41,'206'!$H$43,'206'!$H$45,'206'!$H$47,'206'!$H$49,'206'!$H$51:$H$52,'206'!$H$54,'206'!$H$56,'206'!$H$58</definedName>
    <definedName name="OSRRefH22x_0" localSheetId="48">'300'!$H$162:$H$171,'300'!$H$173:$H$182,'300'!$H$184,'300'!$H$186:$H$187,'300'!$H$189,'300'!$H$191:$H$194,'300'!$H$196:$H$197,'300'!$H$199:$H$200,'300'!$H$202,'300'!$H$204,'300'!$H$206:$H$207,'300'!$H$209,'300'!$H$211,'300'!$H$213,'300'!$H$215,'300'!$H$217,'300'!$H$219:$H$222,'300'!$H$224:$H$227,'300'!$H$229:$H$232,'300'!$H$234:$H$235,'300'!$H$237:$H$243,'300'!$H$245:$H$246,'300'!$H$248,'300'!$H$250:$H$252,'300'!$H$254</definedName>
    <definedName name="OSRRefH22x_0" localSheetId="49">'300 &amp; 317'!$H$187:$H$196,'300 &amp; 317'!$H$198:$H$207,'300 &amp; 317'!$H$209,'300 &amp; 317'!$H$211:$H$212,'300 &amp; 317'!$H$214,'300 &amp; 317'!$H$216:$H$219,'300 &amp; 317'!$H$221:$H$222,'300 &amp; 317'!$H$224:$H$225,'300 &amp; 317'!$H$227,'300 &amp; 317'!$H$229,'300 &amp; 317'!$H$231:$H$232,'300 &amp; 317'!$H$234,'300 &amp; 317'!$H$236,'300 &amp; 317'!$H$238,'300 &amp; 317'!$H$240,'300 &amp; 317'!$H$242,'300 &amp; 317'!$H$244:$H$247,'300 &amp; 317'!$H$249:$H$252,'300 &amp; 317'!$H$254:$H$257,'300 &amp; 317'!$H$259:$H$260,'300 &amp; 317'!$H$262:$H$268,'300 &amp; 317'!$H$270:$H$271,'300 &amp; 317'!$H$273,'300 &amp; 317'!$H$275:$H$277,'300 &amp; 317'!$H$279</definedName>
    <definedName name="OSRRefH22x_0" localSheetId="50">'301'!$H$20:$H$28,'301'!$H$30:$H$39,'301'!$H$41,'301'!$H$43:$H$44,'301'!$H$46,'301'!$H$48:$H$51,'301'!$H$53:$H$54,'301'!$H$56:$H$57,'301'!$H$59,'301'!$H$61,'301'!$H$63,'301'!$H$65,'301'!$H$67,'301'!$H$69,'301'!$H$71,'301'!$H$73:$H$76,'301'!$H$78:$H$80,'301'!$H$82:$H$83,'301'!$H$85:$H$90,'301'!$H$92,'301'!$H$94,'301'!$H$96:$H$98,'301'!$H$100</definedName>
    <definedName name="OSRRefH22x_0" localSheetId="52">'306'!$H$20:$H$28,'306'!$H$30:$H$39,'306'!$H$41,'306'!$H$43,'306'!$H$45,'306'!$H$47,'306'!$H$49,'306'!$H$51:$H$52,'306'!$H$54:$H$57,'306'!$H$59,'306'!$H$61</definedName>
    <definedName name="OSRRefH22x_0" localSheetId="54">'307'!$H$73:$H$81,'307'!$H$83:$H$92,'307'!$H$94,'307'!$H$96,'307'!$H$98:$H$99,'307'!$H$101,'307'!$H$103,'307'!$H$105,'307'!$H$107:$H$108,'307'!$H$110:$H$111,'307'!$H$113:$H$115,'307'!$H$117,'307'!$H$119</definedName>
    <definedName name="OSRRefH22x_0" localSheetId="56">'308'!$H$65:$H$74,'308'!$H$76:$H$85,'308'!$H$87,'308'!$H$89:$H$90,'308'!$H$92,'308'!$H$94,'308'!$H$96:$H$97,'308'!$H$99,'308'!$H$101,'308'!$H$103:$H$105,'308'!$H$107,'308'!$H$109:$H$111,'308'!$H$113:$H$114,'308'!$H$116,'308'!$H$118:$H$119</definedName>
    <definedName name="OSRRefH22x_0" localSheetId="69">'309'!$H$26:$H$34,'309'!$H$36:$H$45,'309'!$H$47,'309'!$H$49,'309'!$H$51,'309'!$H$53:$H$54,'309'!$H$56,'309'!$H$58,'309'!$H$60,'309'!$H$62:$H$63,'309'!$H$65:$H$67,'309'!$H$69:$H$71,'309'!$H$73,'309'!$H$75</definedName>
    <definedName name="OSRRefH22x_0" localSheetId="68">'310'!$H$34:$H$42,'310'!$H$44:$H$53,'310'!$H$55,'310'!$H$57,'310'!$H$59,'310'!$H$61:$H$63,'310'!$H$65,'310'!$H$67,'310'!$H$69,'310'!$H$71,'310'!$H$73,'310'!$H$75,'310'!$H$77,'310'!$H$79,'310'!$H$81,'310'!$H$83:$H$85,'310'!$H$87:$H$88,'310'!$H$90:$H$94,'310'!$H$96,'310'!$H$98:$H$106,'310'!$H$108,'310'!$H$110,'310'!$H$112,'310'!$H$114</definedName>
    <definedName name="OSRRefH22x_0" localSheetId="76">'310 &amp; 491'!$H$41:$H$50,'310 &amp; 491'!$H$52:$H$61,'310 &amp; 491'!$H$63,'310 &amp; 491'!$H$65,'310 &amp; 491'!$H$67,'310 &amp; 491'!$H$69:$H$72,'310 &amp; 491'!$H$74,'310 &amp; 491'!$H$76,'310 &amp; 491'!$H$78,'310 &amp; 491'!$H$80,'310 &amp; 491'!$H$82,'310 &amp; 491'!$H$84:$H$85,'310 &amp; 491'!$H$87,'310 &amp; 491'!$H$89,'310 &amp; 491'!$H$91,'310 &amp; 491'!$H$93,'310 &amp; 491'!$H$95,'310 &amp; 491'!$H$97:$H$100,'310 &amp; 491'!$H$102:$H$104,'310 &amp; 491'!$H$106:$H$111,'310 &amp; 491'!$H$113:$H$114,'310 &amp; 491'!$H$116:$H$125,'310 &amp; 491'!$H$127:$H$128,'310 &amp; 491'!$H$130,'310 &amp; 491'!$H$132:$H$134,'310 &amp; 491'!$H$136</definedName>
    <definedName name="OSRRefH22x_0" localSheetId="57">'311'!$H$65:$H$74,'311'!$H$76:$H$85,'311'!$H$87,'311'!$H$89:$H$90,'311'!$H$92,'311'!$H$94,'311'!$H$96:$H$97,'311'!$H$99,'311'!$H$101,'311'!$H$103:$H$105,'311'!$H$107,'311'!$H$109:$H$111,'311'!$H$113:$H$114,'311'!$H$116,'311'!$H$118:$H$119</definedName>
    <definedName name="OSRRefH22x_0" localSheetId="70">'313'!$H$30:$H$38,'313'!$H$40:$H$49,'313'!$H$51,'313'!$H$53,'313'!$H$55,'313'!$H$57,'313'!$H$59,'313'!$H$61,'313'!$H$63,'313'!$H$65,'313'!$H$67:$H$69,'313'!$H$71,'313'!$H$73:$H$77,'313'!$H$79,'313'!$H$81</definedName>
    <definedName name="OSRRefH22x_0" localSheetId="55">'314'!$H$58:$H$66,'314'!$H$68:$H$77,'314'!$H$79,'314'!$H$81:$H$82,'314'!$H$84,'314'!$H$86,'314'!$H$88,'314'!$H$90,'314'!$H$92,'314'!$H$94</definedName>
    <definedName name="OSRRefH22x_0" localSheetId="61">'315'!$H$57:$H$65,'315'!$H$67:$H$76,'315'!$H$78,'315'!$H$80:$H$81,'315'!$H$83,'315'!$H$85:$H$86,'315'!$H$88,'315'!$H$90,'315'!$H$92,'315'!$H$94,'315'!$H$96:$H$98,'315'!$H$100:$H$101,'315'!$H$103:$H$107,'315'!$H$109,'315'!$H$111,'315'!$H$113:$H$114</definedName>
    <definedName name="OSRRefH22x_0" localSheetId="64">'316'!$H$34:$H$42,'316'!$H$44:$H$53,'316'!$H$55,'316'!$H$57,'316'!$H$59,'316'!$H$61,'316'!$H$63,'316'!$H$65,'316'!$H$67,'316'!$H$69:$H$70,'316'!$H$72:$H$73,'316'!$H$75:$H$79,'316'!$H$81:$H$82,'316'!$H$84</definedName>
    <definedName name="OSRRefH22x_0" localSheetId="67">'317'!$H$60:$H$69,'317'!$H$71:$H$80,'317'!$H$82,'317'!$H$84,'317'!$H$86,'317'!$H$88,'317'!$H$90,'317'!$H$92,'317'!$H$94,'317'!$H$96:$H$97,'317'!$H$99:$H$100,'317'!$H$102,'317'!$H$104</definedName>
    <definedName name="OSRRefH22x_0" localSheetId="65">'320'!$H$31:$H$38,'320'!$H$40:$H$49,'320'!$H$51,'320'!$H$53,'320'!$H$55:$H$56,'320'!$H$58,'320'!$H$60,'320'!$H$62:$H$63,'320'!$H$65</definedName>
    <definedName name="OSRRefH22x_0" localSheetId="71">'321'!$H$26:$H$33,'321'!$H$35:$H$44,'321'!$H$46,'321'!$H$48,'321'!$H$50,'321'!$H$52,'321'!$H$54,'321'!$H$56,'321'!$H$58,'321'!$H$60:$H$62,'321'!$H$64:$H$65,'321'!$H$67:$H$69,'321'!$H$71:$H$73,'321'!$H$75,'321'!$H$77</definedName>
    <definedName name="OSRRefH22x_0" localSheetId="72">'322'!$H$26:$H$34,'322'!$H$36:$H$45,'322'!$H$47,'322'!$H$49,'322'!$H$51,'322'!$H$53:$H$54,'322'!$H$56,'322'!$H$58,'322'!$H$60,'322'!$H$62:$H$64,'322'!$H$66:$H$68,'322'!$H$70:$H$75,'322'!$H$77,'322'!$H$79</definedName>
    <definedName name="OSRRefH22x_0" localSheetId="73">'325'!$H$26:$H$34,'325'!$H$36:$H$45,'325'!$H$47,'325'!$H$49,'325'!$H$51,'325'!$H$53:$H$55,'325'!$H$57,'325'!$H$59,'325'!$H$61,'325'!$H$63,'325'!$H$65,'325'!$H$67:$H$69,'325'!$H$71:$H$74,'325'!$H$76,'325'!$H$78:$H$84,'325'!$H$86,'325'!$H$88,'325'!$H$90,'325'!$H$92</definedName>
    <definedName name="OSRRefH22x_0" localSheetId="62">'326'!$H$57:$H$65,'326'!$H$67:$H$76,'326'!$H$78,'326'!$H$80:$H$81,'326'!$H$83,'326'!$H$85,'326'!$H$87,'326'!$H$89,'326'!$H$91,'326'!$H$93,'326'!$H$95,'326'!$H$97,'326'!$H$99,'326'!$H$101:$H$102,'326'!$H$104:$H$106,'326'!$H$108:$H$109,'326'!$H$111:$H$116,'326'!$H$118:$H$119,'326'!$H$121,'326'!$H$123,'326'!$H$125</definedName>
    <definedName name="OSRRefH22x_0" localSheetId="74">'327'!$H$24,'327'!$H$26,'327'!$H$28</definedName>
    <definedName name="OSRRefH22x_0" localSheetId="53">'330'!$H$81:$H$89,'330'!$H$91:$H$100,'330'!$H$102,'330'!$H$104,'330'!$H$106:$H$107,'330'!$H$109,'330'!$H$111,'330'!$H$113,'330'!$H$115,'330'!$H$117:$H$118,'330'!$H$120:$H$121,'330'!$H$123,'330'!$H$125:$H$127,'330'!$H$129,'330'!$H$131,'330'!$H$133</definedName>
    <definedName name="OSRRefH22x_0" localSheetId="60">'331'!$H$72:$H$80,'331'!$H$82:$H$91,'331'!$H$93,'331'!$H$95:$H$96,'331'!$H$98,'331'!$H$100:$H$101,'331'!$H$103,'331'!$H$105,'331'!$H$107:$H$108,'331'!$H$110,'331'!$H$112,'331'!$H$114,'331'!$H$116,'331'!$H$118,'331'!$H$120:$H$121,'331'!$H$123:$H$125,'331'!$H$127:$H$129,'331'!$H$131:$H$132,'331'!$H$134:$H$139,'331'!$H$141:$H$142,'331'!$H$144,'331'!$H$146:$H$147,'331'!$H$149</definedName>
    <definedName name="OSRRefH22x_0" localSheetId="63">'332'!$H$43:$H$51,'332'!$H$53:$H$62,'332'!$H$64,'332'!$H$66,'332'!$H$68,'332'!$H$70,'332'!$H$72,'332'!$H$74:$H$75,'332'!$H$77,'332'!$H$79,'332'!$H$81:$H$82,'332'!$H$84:$H$85,'332'!$H$87:$H$91,'332'!$H$93:$H$94,'332'!$H$96</definedName>
    <definedName name="OSRRefH22x_0" localSheetId="78">'405'!$H$26:$H$34,'405'!$H$36:$H$45,'405'!$H$47,'405'!$H$49,'405'!$H$51,'405'!$H$53:$H$55,'405'!$H$57,'405'!$H$59,'405'!$H$61,'405'!$H$63,'405'!$H$65,'405'!$H$67:$H$69,'405'!$H$71,'405'!$H$73:$H$75,'405'!$H$77:$H$78,'405'!$H$80:$H$88,'405'!$H$90,'405'!$H$92,'405'!$H$94,'405'!$H$96</definedName>
    <definedName name="OSRRefH22x_0" localSheetId="79">'406'!$H$27:$H$35,'406'!$H$37:$H$46,'406'!$H$48,'406'!$H$50,'406'!$H$52,'406'!$H$54:$H$55,'406'!$H$57,'406'!$H$59,'406'!$H$61,'406'!$H$63:$H$65,'406'!$H$67:$H$69,'406'!$H$71:$H$76,'406'!$H$78:$H$79,'406'!$H$81,'406'!$H$83</definedName>
    <definedName name="OSRRefH22x_0" localSheetId="80">'411'!$H$20:$H$29,'411'!$H$31:$H$40,'411'!$H$42,'411'!$H$44:$H$47,'411'!$H$49,'411'!$H$51,'411'!$H$53,'411'!$H$55,'411'!$H$57,'411'!$H$59,'411'!$H$61:$H$63,'411'!$H$65:$H$69,'411'!$H$71,'411'!$H$73:$H$79,'411'!$H$81,'411'!$H$83,'411'!$H$85:$H$87,'411'!$H$89</definedName>
    <definedName name="OSRRefH22x_0" localSheetId="81">'412'!$H$26:$H$34,'412'!$H$36:$H$45,'412'!$H$47,'412'!$H$49,'412'!$H$51,'412'!$H$53:$H$55,'412'!$H$57,'412'!$H$59,'412'!$H$61,'412'!$H$63:$H$64,'412'!$H$66,'412'!$H$68:$H$70,'412'!$H$72:$H$77,'412'!$H$79,'412'!$H$81</definedName>
    <definedName name="OSRRefH22x_0" localSheetId="83">'413'!$H$27:$H$35,'413'!$H$37:$H$46,'413'!$H$48,'413'!$H$50,'413'!$H$52,'413'!$H$54,'413'!$H$56,'413'!$H$58,'413'!$H$60:$H$62,'413'!$H$64:$H$65,'413'!$H$67:$H$73,'413'!$H$75:$H$76,'413'!$H$78</definedName>
    <definedName name="OSRRefH22x_0" localSheetId="84">'414'!$H$27:$H$35,'414'!$H$37:$H$46,'414'!$H$48,'414'!$H$50,'414'!$H$52,'414'!$H$54:$H$55,'414'!$H$57,'414'!$H$59,'414'!$H$61,'414'!$H$63:$H$64,'414'!$H$66,'414'!$H$68,'414'!$H$70,'414'!$H$72:$H$78,'414'!$H$80,'414'!$H$82</definedName>
    <definedName name="OSRRefH22x_0" localSheetId="85">'415'!$H$26:$H$34,'415'!$H$36:$H$45,'415'!$H$47,'415'!$H$49,'415'!$H$51,'415'!$H$53:$H$55,'415'!$H$57,'415'!$H$59,'415'!$H$61,'415'!$H$63,'415'!$H$65,'415'!$H$67:$H$70,'415'!$H$72:$H$76,'415'!$H$78:$H$79,'415'!$H$81:$H$88,'415'!$H$90,'415'!$H$92,'415'!$H$94:$H$95,'415'!$H$97</definedName>
    <definedName name="OSRRefH22x_0" localSheetId="86">'418'!$H$27:$H$35,'418'!$H$37:$H$46,'418'!$H$48,'418'!$H$50,'418'!$H$52,'418'!$H$54:$H$56,'418'!$H$58,'418'!$H$60,'418'!$H$62,'418'!$H$64,'418'!$H$66:$H$67,'418'!$H$69:$H$71,'418'!$H$73:$H$75,'418'!$H$77:$H$78,'418'!$H$80:$H$86,'418'!$H$88,'418'!$H$90,'418'!$H$92</definedName>
    <definedName name="OSRRefH22x_0" localSheetId="82">'420'!$H$23:$H$30,'420'!$H$32:$H$35,'420'!$H$37,'420'!$H$39,'420'!$H$41,'420'!$H$43:$H$44,'420'!$H$46</definedName>
    <definedName name="OSRRefH22x_0" localSheetId="87">'423'!$H$21:$H$29,'423'!$H$31:$H$40,'423'!$H$42,'423'!$H$44,'423'!$H$46,'423'!$H$48</definedName>
    <definedName name="OSRRefH22x_0" localSheetId="88">'424'!$H$26:$H$33,'424'!$H$35:$H$44,'424'!$H$46,'424'!$H$48,'424'!$H$50,'424'!$H$52,'424'!$H$54,'424'!$H$56:$H$57,'424'!$H$59:$H$60,'424'!$H$62,'424'!$H$64:$H$67,'424'!$H$69:$H$70</definedName>
    <definedName name="OSRRefH22x_0" localSheetId="89">'425'!$H$28:$H$37,'425'!$H$39:$H$48,'425'!$H$50,'425'!$H$52,'425'!$H$54,'425'!$H$56:$H$57,'425'!$H$59,'425'!$H$61,'425'!$H$63,'425'!$H$65:$H$67,'425'!$H$69:$H$70,'425'!$H$72:$H$73,'425'!$H$75:$H$81,'425'!$H$83:$H$84,'425'!$H$86,'425'!$H$88</definedName>
    <definedName name="OSRRefH22x_0" localSheetId="92">'430'!$H$20:$H$28,'430'!$H$30:$H$39,'430'!$H$41,'430'!$H$43,'430'!$H$45,'430'!$H$47,'430'!$H$49,'430'!$H$51:$H$53,'430'!$H$55,'430'!$H$57,'430'!$H$59</definedName>
    <definedName name="OSRRefH22x_0" localSheetId="93">'433'!$H$27:$H$36,'433'!$H$38:$H$47,'433'!$H$49,'433'!$H$51,'433'!$H$53,'433'!$H$55,'433'!$H$57,'433'!$H$59,'433'!$H$61,'433'!$H$63,'433'!$H$65:$H$67,'433'!$H$69:$H$72,'433'!$H$74:$H$81,'433'!$H$83,'433'!$H$85,'433'!$H$87:$H$88</definedName>
    <definedName name="OSRRefH22x_0" localSheetId="94">'435'!$H$27:$H$34,'435'!$H$36:$H$45,'435'!$H$47,'435'!$H$49,'435'!$H$51,'435'!$H$53,'435'!$H$55,'435'!$H$57:$H$59,'435'!$H$61</definedName>
    <definedName name="OSRRefH22x_0" localSheetId="95">'444'!$H$27:$H$36,'444'!$H$38:$H$47,'444'!$H$49,'444'!$H$51,'444'!$H$53,'444'!$H$55,'444'!$H$57,'444'!$H$59,'444'!$H$61,'444'!$H$63,'444'!$H$65,'444'!$H$67:$H$69,'444'!$H$71:$H$74,'444'!$H$76:$H$83,'444'!$H$85,'444'!$H$87,'444'!$H$89</definedName>
    <definedName name="OSRRefH22x_0" localSheetId="96">'450'!$H$27:$H$36,'450'!$H$38:$H$47,'450'!$H$49,'450'!$H$51:$H$52,'450'!$H$54,'450'!$H$56,'450'!$H$58,'450'!$H$60,'450'!$H$62,'450'!$H$64,'450'!$H$66,'450'!$H$68:$H$70,'450'!$H$72:$H$74,'450'!$H$76:$H$81,'450'!$H$83,'450'!$H$85,'450'!$H$87:$H$88</definedName>
    <definedName name="OSRRefH22x_0" localSheetId="90">'455'!$H$20:$H$27,'455'!$H$29:$H$38</definedName>
    <definedName name="OSRRefH22x_0" localSheetId="77">'491'!$H$34:$H$43,'491'!$H$45:$H$54,'491'!$H$56,'491'!$H$58,'491'!$H$60,'491'!$H$62:$H$65,'491'!$H$67,'491'!$H$69,'491'!$H$71,'491'!$H$73,'491'!$H$75:$H$76,'491'!$H$78,'491'!$H$80,'491'!$H$82,'491'!$H$84,'491'!$H$86:$H$89,'491'!$H$91:$H$93,'491'!$H$95:$H$99,'491'!$H$101:$H$102,'491'!$H$104:$H$113,'491'!$H$115:$H$116,'491'!$H$118,'491'!$H$120:$H$122,'491'!$H$124</definedName>
    <definedName name="OSRRefH22x_0" localSheetId="91">'492'!$H$29:$H$38,'492'!$H$40:$H$49,'492'!$H$51,'492'!$H$53:$H$54,'492'!$H$56,'492'!$H$58:$H$59,'492'!$H$61,'492'!$H$63,'492'!$H$65,'492'!$H$67,'492'!$H$69,'492'!$H$71,'492'!$H$73:$H$76,'492'!$H$78:$H$81,'492'!$H$83:$H$91,'492'!$H$93,'492'!$H$95,'492'!$H$97:$H$98</definedName>
    <definedName name="OSRRefH22x_0" localSheetId="98">'501'!$H$21:$H$29,'501'!$H$31:$H$40,'501'!$H$42,'501'!$H$44,'501'!$H$46,'501'!$H$48,'501'!$H$50,'501'!$H$52,'501'!$H$54,'501'!$H$56,'501'!$H$58:$H$60,'501'!$H$62,'501'!$H$64:$H$66,'501'!$H$68,'501'!$H$70</definedName>
    <definedName name="OSRRefH22x_0" localSheetId="39">'Div 2'!$H$21:$H$31,'Div 2'!$H$33:$H$42,'Div 2'!$H$44,'Div 2'!$H$46,'Div 2'!$H$48,'Div 2'!$H$50:$H$51,'Div 2'!$H$53:$H$54,'Div 2'!$H$56,'Div 2'!$H$58,'Div 2'!$H$60,'Div 2'!$H$62,'Div 2'!$H$64,'Div 2'!$H$66:$H$68,'Div 2'!$H$70:$H$73,'Div 2'!$H$75:$H$78,'Div 2'!$H$80:$H$81,'Div 2'!$H$83:$H$84,'Div 2'!$H$86:$H$90,'Div 2'!$H$92:$H$93,'Div 2'!$H$95,'Div 2'!$H$97:$H$98</definedName>
    <definedName name="OSRRefH22x_0" localSheetId="47">'Div 3'!$H$168:$H$177,'Div 3'!$H$179:$H$188,'Div 3'!$H$190,'Div 3'!$H$192:$H$193,'Div 3'!$H$195,'Div 3'!$H$197:$H$200,'Div 3'!$H$202:$H$203,'Div 3'!$H$205:$H$206,'Div 3'!$H$208,'Div 3'!$H$210,'Div 3'!$H$212:$H$213,'Div 3'!$H$215,'Div 3'!$H$217,'Div 3'!$H$219,'Div 3'!$H$221,'Div 3'!$H$223,'Div 3'!$H$225,'Div 3'!$H$227,'Div 3'!$H$229:$H$232,'Div 3'!$H$234:$H$237,'Div 3'!$H$239:$H$244,'Div 3'!$H$246:$H$247,'Div 3'!$H$249:$H$257,'Div 3'!$H$259:$H$260,'Div 3'!$H$262,'Div 3'!$H$264:$H$266,'Div 3'!$H$268</definedName>
    <definedName name="OSRRefH22x_0" localSheetId="75">'Div 4'!$H$35:$H$44,'Div 4'!$H$46:$H$55,'Div 4'!$H$57,'Div 4'!$H$59:$H$60,'Div 4'!$H$62,'Div 4'!$H$64:$H$67,'Div 4'!$H$69,'Div 4'!$H$71:$H$72,'Div 4'!$H$74,'Div 4'!$H$76,'Div 4'!$H$78,'Div 4'!$H$80:$H$81,'Div 4'!$H$83,'Div 4'!$H$85,'Div 4'!$H$87,'Div 4'!$H$89,'Div 4'!$H$91,'Div 4'!$H$93:$H$96,'Div 4'!$H$98:$H$100,'Div 4'!$H$102:$H$106,'Div 4'!$H$108:$H$109,'Div 4'!$H$111:$H$120,'Div 4'!$H$122:$H$123,'Div 4'!$H$125,'Div 4'!$H$127:$H$129,'Div 4'!$H$131</definedName>
    <definedName name="OSRRefH22x_0" localSheetId="97">'Div 5'!$H$21:$H$29,'Div 5'!$H$31:$H$40,'Div 5'!$H$42,'Div 5'!$H$44,'Div 5'!$H$46,'Div 5'!$H$48,'Div 5'!$H$50,'Div 5'!$H$52,'Div 5'!$H$54,'Div 5'!$H$56,'Div 5'!$H$58:$H$60,'Div 5'!$H$62,'Div 5'!$H$64:$H$66,'Div 5'!$H$68,'Div 5'!$H$70</definedName>
    <definedName name="OSRRefH22x_0" localSheetId="66">'Div 6'!$H$60:$H$69,'Div 6'!$H$71:$H$80,'Div 6'!$H$82,'Div 6'!$H$84,'Div 6'!$H$86,'Div 6'!$H$88,'Div 6'!$H$90,'Div 6'!$H$92,'Div 6'!$H$94,'Div 6'!$H$96:$H$97,'Div 6'!$H$99:$H$100,'Div 6'!$H$102,'Div 6'!$H$104</definedName>
    <definedName name="OSRRefH22x_0" localSheetId="2">Summary!$H$200:$H$209,Summary!$H$211:$H$220,Summary!$H$222,Summary!$H$224:$H$225,Summary!$H$227,Summary!$H$229:$H$232,Summary!$H$234:$H$235,Summary!$H$237:$H$239,Summary!$H$241,Summary!$H$243,Summary!$H$245:$H$246,Summary!$H$248:$H$249,Summary!$H$251,Summary!$H$253,Summary!$H$255,Summary!$H$257,Summary!$H$259,Summary!$H$261,Summary!$H$263:$H$266,Summary!$H$268:$H$271,Summary!$H$273:$H$278,Summary!$H$280:$H$281,Summary!$H$283:$H$292,Summary!$H$294:$H$295,Summary!$H$297,Summary!$H$299:$H$301,Summary!$H$303</definedName>
    <definedName name="OSRRefH25x_0" localSheetId="48">'300'!$H$257:$H$265</definedName>
    <definedName name="OSRRefH25x_0" localSheetId="49">'300 &amp; 317'!$H$282:$H$293</definedName>
    <definedName name="OSRRefH25x_0" localSheetId="50">'301'!$H$103:$H$106</definedName>
    <definedName name="OSRRefH25x_0" localSheetId="54">'307'!$H$122</definedName>
    <definedName name="OSRRefH25x_0" localSheetId="56">'308'!$H$122:$H$125</definedName>
    <definedName name="OSRRefH25x_0" localSheetId="76">'310 &amp; 491'!$H$139:$H$142</definedName>
    <definedName name="OSRRefH25x_0" localSheetId="57">'311'!$H$122:$H$125</definedName>
    <definedName name="OSRRefH25x_0" localSheetId="61">'315'!$H$117:$H$119</definedName>
    <definedName name="OSRRefH25x_0" localSheetId="64">'316'!$H$87:$H$88</definedName>
    <definedName name="OSRRefH25x_0" localSheetId="67">'317'!$H$107:$H$110</definedName>
    <definedName name="OSRRefH25x_0" localSheetId="65">'320'!$H$68:$H$72</definedName>
    <definedName name="OSRRefH25x_0" localSheetId="53">'330'!$H$136</definedName>
    <definedName name="OSRRefH25x_0" localSheetId="60">'331'!$H$152:$H$154</definedName>
    <definedName name="OSRRefH25x_0" localSheetId="63">'332'!$H$99:$H$105</definedName>
    <definedName name="OSRRefH25x_0" localSheetId="80">'411'!$H$92:$H$93</definedName>
    <definedName name="OSRRefH25x_0" localSheetId="83">'413'!$H$81</definedName>
    <definedName name="OSRRefH25x_0" localSheetId="85">'415'!$H$100</definedName>
    <definedName name="OSRRefH25x_0" localSheetId="87">'423'!$H$51</definedName>
    <definedName name="OSRRefH25x_0" localSheetId="88">'424'!$H$73</definedName>
    <definedName name="OSRRefH25x_0" localSheetId="89">'425'!$H$91</definedName>
    <definedName name="OSRRefH25x_0" localSheetId="90">'455'!$H$41:$H$44</definedName>
    <definedName name="OSRRefH25x_0" localSheetId="77">'491'!$H$127:$H$130</definedName>
    <definedName name="OSRRefH25x_0" localSheetId="98">'501'!$H$73</definedName>
    <definedName name="OSRRefH25x_0" localSheetId="47">'Div 3'!$H$271:$H$279</definedName>
    <definedName name="OSRRefH25x_0" localSheetId="75">'Div 4'!$H$134:$H$137</definedName>
    <definedName name="OSRRefH25x_0" localSheetId="97">'Div 5'!$H$73</definedName>
    <definedName name="OSRRefH25x_0" localSheetId="66">'Div 6'!$H$107:$H$110</definedName>
    <definedName name="OSRRefH25x_0" localSheetId="2">Summary!$H$306:$H$318</definedName>
    <definedName name="OSRRefP13x_0" localSheetId="44">'204'!$P$13</definedName>
    <definedName name="OSRRefP13x_0" localSheetId="48">'300'!$P$13:$P$103</definedName>
    <definedName name="OSRRefP13x_0" localSheetId="49">'300 &amp; 317'!$P$13:$P$121</definedName>
    <definedName name="OSRRefP13x_0" localSheetId="54">'307'!$P$13:$P$44</definedName>
    <definedName name="OSRRefP13x_0" localSheetId="56">'308'!$P$13:$P$40</definedName>
    <definedName name="OSRRefP13x_0" localSheetId="69">'309'!$P$13:$P$15</definedName>
    <definedName name="OSRRefP13x_0" localSheetId="68">'310'!$P$13:$P$23</definedName>
    <definedName name="OSRRefP13x_0" localSheetId="76">'310 &amp; 491'!$P$13:$P$30</definedName>
    <definedName name="OSRRefP13x_0" localSheetId="57">'311'!$P$13:$P$40</definedName>
    <definedName name="OSRRefP13x_0" localSheetId="70">'313'!$P$13:$P$19</definedName>
    <definedName name="OSRRefP13x_0" localSheetId="55">'314'!$P$13:$P$34</definedName>
    <definedName name="OSRRefP13x_0" localSheetId="61">'315'!$P$13:$P$33</definedName>
    <definedName name="OSRRefP13x_0" localSheetId="64">'316'!$P$13:$P$26</definedName>
    <definedName name="OSRRefP13x_0" localSheetId="67">'317'!$P$13:$P$38</definedName>
    <definedName name="OSRRefP13x_0" localSheetId="65">'320'!$P$13:$P$17</definedName>
    <definedName name="OSRRefP13x_0" localSheetId="71">'321'!$P$13:$P$15</definedName>
    <definedName name="OSRRefP13x_0" localSheetId="72">'322'!$P$13:$P$15</definedName>
    <definedName name="OSRRefP13x_0" localSheetId="58">'324'!$P$13:$P$15</definedName>
    <definedName name="OSRRefP13x_0" localSheetId="73">'325'!$P$13:$P$15</definedName>
    <definedName name="OSRRefP13x_0" localSheetId="62">'326'!$P$13:$P$33</definedName>
    <definedName name="OSRRefP13x_0" localSheetId="74">'327'!$P$13:$P$14</definedName>
    <definedName name="OSRRefP13x_0" localSheetId="53">'330'!$P$13:$P$49</definedName>
    <definedName name="OSRRefP13x_0" localSheetId="60">'331'!$P$13:$P$41</definedName>
    <definedName name="OSRRefP13x_0" localSheetId="63">'332'!$P$13:$P$29</definedName>
    <definedName name="OSRRefP13x_0" localSheetId="78">'405'!$P$13:$P$15</definedName>
    <definedName name="OSRRefP13x_0" localSheetId="79">'406'!$P$13:$P$16</definedName>
    <definedName name="OSRRefP13x_0" localSheetId="81">'412'!$P$13:$P$16</definedName>
    <definedName name="OSRRefP13x_0" localSheetId="83">'413'!$P$13:$P$16</definedName>
    <definedName name="OSRRefP13x_0" localSheetId="84">'414'!$P$13:$P$16</definedName>
    <definedName name="OSRRefP13x_0" localSheetId="85">'415'!$P$13:$P$15</definedName>
    <definedName name="OSRRefP13x_0" localSheetId="86">'418'!$P$13:$P$16</definedName>
    <definedName name="OSRRefP13x_0" localSheetId="82">'420'!$P$13:$P$14</definedName>
    <definedName name="OSRRefP13x_0" localSheetId="88">'424'!$P$13:$P$15</definedName>
    <definedName name="OSRRefP13x_0" localSheetId="89">'425'!$P$13:$P$17</definedName>
    <definedName name="OSRRefP13x_0" localSheetId="93">'433'!$P$13:$P$16</definedName>
    <definedName name="OSRRefP13x_0" localSheetId="94">'435'!$P$13:$P$16</definedName>
    <definedName name="OSRRefP13x_0" localSheetId="95">'444'!$P$13:$P$16</definedName>
    <definedName name="OSRRefP13x_0" localSheetId="96">'450'!$P$13:$P$16</definedName>
    <definedName name="OSRRefP13x_0" localSheetId="77">'491'!$P$13:$P$23</definedName>
    <definedName name="OSRRefP13x_0" localSheetId="91">'492'!$P$13:$P$18</definedName>
    <definedName name="OSRRefP13x_0" localSheetId="98">'501'!$P$13</definedName>
    <definedName name="OSRRefP13x_0" localSheetId="39">'Div 2'!$P$13</definedName>
    <definedName name="OSRRefP13x_0" localSheetId="47">'Div 3'!$P$13:$P$107</definedName>
    <definedName name="OSRRefP13x_0" localSheetId="75">'Div 4'!$P$13:$P$24</definedName>
    <definedName name="OSRRefP13x_0" localSheetId="97">'Div 5'!$P$13</definedName>
    <definedName name="OSRRefP13x_0" localSheetId="66">'Div 6'!$P$13:$P$38</definedName>
    <definedName name="OSRRefP13x_0" localSheetId="2">Summary!$P$13:$P$132</definedName>
    <definedName name="OSRRefP16x_0" localSheetId="48">'300'!$P$106:$P$156</definedName>
    <definedName name="OSRRefP16x_0" localSheetId="49">'300 &amp; 317'!$P$124:$P$181</definedName>
    <definedName name="OSRRefP16x_0" localSheetId="54">'307'!$P$47:$P$67</definedName>
    <definedName name="OSRRefP16x_0" localSheetId="56">'308'!$P$43:$P$59</definedName>
    <definedName name="OSRRefP16x_0" localSheetId="69">'309'!$P$18:$P$20</definedName>
    <definedName name="OSRRefP16x_0" localSheetId="68">'310'!$P$26:$P$28</definedName>
    <definedName name="OSRRefP16x_0" localSheetId="76">'310 &amp; 491'!$P$33:$P$35</definedName>
    <definedName name="OSRRefP16x_0" localSheetId="57">'311'!$P$43:$P$59</definedName>
    <definedName name="OSRRefP16x_0" localSheetId="70">'313'!$P$22:$P$24</definedName>
    <definedName name="OSRRefP16x_0" localSheetId="55">'314'!$P$37:$P$52</definedName>
    <definedName name="OSRRefP16x_0" localSheetId="61">'315'!$P$36:$P$51</definedName>
    <definedName name="OSRRefP16x_0" localSheetId="67">'317'!$P$41:$P$54</definedName>
    <definedName name="OSRRefP16x_0" localSheetId="65">'320'!$P$20:$P$25</definedName>
    <definedName name="OSRRefP16x_0" localSheetId="71">'321'!$P$18:$P$20</definedName>
    <definedName name="OSRRefP16x_0" localSheetId="72">'322'!$P$18:$P$20</definedName>
    <definedName name="OSRRefP16x_0" localSheetId="58">'324'!$P$18:$P$20</definedName>
    <definedName name="OSRRefP16x_0" localSheetId="73">'325'!$P$18:$P$20</definedName>
    <definedName name="OSRRefP16x_0" localSheetId="62">'326'!$P$36:$P$51</definedName>
    <definedName name="OSRRefP16x_0" localSheetId="74">'327'!$P$17:$P$18</definedName>
    <definedName name="OSRRefP16x_0" localSheetId="53">'330'!$P$52:$P$75</definedName>
    <definedName name="OSRRefP16x_0" localSheetId="60">'331'!$P$44:$P$66</definedName>
    <definedName name="OSRRefP16x_0" localSheetId="63">'332'!$P$32:$P$37</definedName>
    <definedName name="OSRRefP16x_0" localSheetId="78">'405'!$P$18:$P$20</definedName>
    <definedName name="OSRRefP16x_0" localSheetId="79">'406'!$P$19:$P$21</definedName>
    <definedName name="OSRRefP16x_0" localSheetId="81">'412'!$P$19:$P$20</definedName>
    <definedName name="OSRRefP16x_0" localSheetId="83">'413'!$P$19:$P$21</definedName>
    <definedName name="OSRRefP16x_0" localSheetId="84">'414'!$P$19:$P$21</definedName>
    <definedName name="OSRRefP16x_0" localSheetId="85">'415'!$P$18:$P$20</definedName>
    <definedName name="OSRRefP16x_0" localSheetId="86">'418'!$P$19:$P$21</definedName>
    <definedName name="OSRRefP16x_0" localSheetId="82">'420'!$P$17</definedName>
    <definedName name="OSRRefP16x_0" localSheetId="87">'423'!$P$15</definedName>
    <definedName name="OSRRefP16x_0" localSheetId="88">'424'!$P$18:$P$20</definedName>
    <definedName name="OSRRefP16x_0" localSheetId="89">'425'!$P$20:$P$22</definedName>
    <definedName name="OSRRefP16x_0" localSheetId="93">'433'!$P$19:$P$21</definedName>
    <definedName name="OSRRefP16x_0" localSheetId="94">'435'!$P$19:$P$21</definedName>
    <definedName name="OSRRefP16x_0" localSheetId="95">'444'!$P$19:$P$21</definedName>
    <definedName name="OSRRefP16x_0" localSheetId="96">'450'!$P$19:$P$21</definedName>
    <definedName name="OSRRefP16x_0" localSheetId="77">'491'!$P$26:$P$28</definedName>
    <definedName name="OSRRefP16x_0" localSheetId="91">'492'!$P$21:$P$23</definedName>
    <definedName name="OSRRefP16x_0" localSheetId="47">'Div 3'!$P$110:$P$162</definedName>
    <definedName name="OSRRefP16x_0" localSheetId="75">'Div 4'!$P$27:$P$29</definedName>
    <definedName name="OSRRefP16x_0" localSheetId="66">'Div 6'!$P$41:$P$54</definedName>
    <definedName name="OSRRefP16x_0" localSheetId="2">Summary!$P$135:$P$194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'204'!$P$21:$P$30</definedName>
    <definedName name="OSRRefP22_0x_0" localSheetId="45">'205'!$P$20:$P$28</definedName>
    <definedName name="OSRRefP22_0x_0" localSheetId="46">'206'!$P$20:$P$28</definedName>
    <definedName name="OSRRefP22_0x_0" localSheetId="48">'300'!$P$162:$P$171</definedName>
    <definedName name="OSRRefP22_0x_0" localSheetId="49">'300 &amp; 317'!$P$187:$P$196</definedName>
    <definedName name="OSRRefP22_0x_0" localSheetId="50">'301'!$P$20:$P$28</definedName>
    <definedName name="OSRRefP22_0x_0" localSheetId="52">'306'!$P$20:$P$28</definedName>
    <definedName name="OSRRefP22_0x_0" localSheetId="54">'307'!$P$73:$P$81</definedName>
    <definedName name="OSRRefP22_0x_0" localSheetId="56">'308'!$P$65:$P$74</definedName>
    <definedName name="OSRRefP22_0x_0" localSheetId="69">'309'!$P$26:$P$34</definedName>
    <definedName name="OSRRefP22_0x_0" localSheetId="68">'310'!$P$34:$P$42</definedName>
    <definedName name="OSRRefP22_0x_0" localSheetId="76">'310 &amp; 491'!$P$41:$P$50</definedName>
    <definedName name="OSRRefP22_0x_0" localSheetId="57">'311'!$P$65:$P$74</definedName>
    <definedName name="OSRRefP22_0x_0" localSheetId="70">'313'!$P$30:$P$38</definedName>
    <definedName name="OSRRefP22_0x_0" localSheetId="55">'314'!$P$58:$P$66</definedName>
    <definedName name="OSRRefP22_0x_0" localSheetId="61">'315'!$P$57:$P$65</definedName>
    <definedName name="OSRRefP22_0x_0" localSheetId="64">'316'!$P$34:$P$42</definedName>
    <definedName name="OSRRefP22_0x_0" localSheetId="67">'317'!$P$60:$P$69</definedName>
    <definedName name="OSRRefP22_0x_0" localSheetId="65">'320'!$P$31:$P$38</definedName>
    <definedName name="OSRRefP22_0x_0" localSheetId="71">'321'!$P$26:$P$33</definedName>
    <definedName name="OSRRefP22_0x_0" localSheetId="72">'322'!$P$26:$P$34</definedName>
    <definedName name="OSRRefP22_0x_0" localSheetId="73">'325'!$P$26:$P$34</definedName>
    <definedName name="OSRRefP22_0x_0" localSheetId="62">'326'!$P$57:$P$65</definedName>
    <definedName name="OSRRefP22_0x_0" localSheetId="74">'327'!$P$24</definedName>
    <definedName name="OSRRefP22_0x_0" localSheetId="53">'330'!$P$81:$P$89</definedName>
    <definedName name="OSRRefP22_0x_0" localSheetId="60">'331'!$P$72:$P$80</definedName>
    <definedName name="OSRRefP22_0x_0" localSheetId="63">'332'!$P$43:$P$51</definedName>
    <definedName name="OSRRefP22_0x_0" localSheetId="78">'405'!$P$26:$P$34</definedName>
    <definedName name="OSRRefP22_0x_0" localSheetId="79">'406'!$P$27:$P$35</definedName>
    <definedName name="OSRRefP22_0x_0" localSheetId="80">'411'!$P$20:$P$29</definedName>
    <definedName name="OSRRefP22_0x_0" localSheetId="81">'412'!$P$26:$P$34</definedName>
    <definedName name="OSRRefP22_0x_0" localSheetId="83">'413'!$P$27:$P$35</definedName>
    <definedName name="OSRRefP22_0x_0" localSheetId="84">'414'!$P$27:$P$35</definedName>
    <definedName name="OSRRefP22_0x_0" localSheetId="85">'415'!$P$26:$P$34</definedName>
    <definedName name="OSRRefP22_0x_0" localSheetId="86">'418'!$P$27:$P$35</definedName>
    <definedName name="OSRRefP22_0x_0" localSheetId="82">'420'!$P$23:$P$30</definedName>
    <definedName name="OSRRefP22_0x_0" localSheetId="87">'423'!$P$21:$P$29</definedName>
    <definedName name="OSRRefP22_0x_0" localSheetId="88">'424'!$P$26:$P$33</definedName>
    <definedName name="OSRRefP22_0x_0" localSheetId="89">'425'!$P$28:$P$37</definedName>
    <definedName name="OSRRefP22_0x_0" localSheetId="92">'430'!$P$20:$P$28</definedName>
    <definedName name="OSRRefP22_0x_0" localSheetId="93">'433'!$P$27:$P$36</definedName>
    <definedName name="OSRRefP22_0x_0" localSheetId="94">'435'!$P$27:$P$34</definedName>
    <definedName name="OSRRefP22_0x_0" localSheetId="95">'444'!$P$27:$P$36</definedName>
    <definedName name="OSRRefP22_0x_0" localSheetId="96">'450'!$P$27:$P$36</definedName>
    <definedName name="OSRRefP22_0x_0" localSheetId="90">'455'!$P$20:$P$27</definedName>
    <definedName name="OSRRefP22_0x_0" localSheetId="77">'491'!$P$34:$P$43</definedName>
    <definedName name="OSRRefP22_0x_0" localSheetId="91">'492'!$P$29:$P$38</definedName>
    <definedName name="OSRRefP22_0x_0" localSheetId="98">'501'!$P$21:$P$29</definedName>
    <definedName name="OSRRefP22_0x_0" localSheetId="39">'Div 2'!$P$21:$P$31</definedName>
    <definedName name="OSRRefP22_0x_0" localSheetId="47">'Div 3'!$P$168:$P$177</definedName>
    <definedName name="OSRRefP22_0x_0" localSheetId="75">'Div 4'!$P$35:$P$44</definedName>
    <definedName name="OSRRefP22_0x_0" localSheetId="97">'Div 5'!$P$21:$P$29</definedName>
    <definedName name="OSRRefP22_0x_0" localSheetId="66">'Div 6'!$P$60:$P$69</definedName>
    <definedName name="OSRRefP22_0x_0" localSheetId="2">Summary!$P$200:$P$209</definedName>
    <definedName name="OSRRefP22_10x_0" localSheetId="41">'201'!$P$58:$P$60</definedName>
    <definedName name="OSRRefP22_10x_0" localSheetId="42">'202'!$P$59</definedName>
    <definedName name="OSRRefP22_10x_0" localSheetId="43">'203'!$P$59:$P$60</definedName>
    <definedName name="OSRRefP22_10x_0" localSheetId="44">'204'!$P$64:$P$65</definedName>
    <definedName name="OSRRefP22_10x_0" localSheetId="46">'206'!$P$58</definedName>
    <definedName name="OSRRefP22_10x_0" localSheetId="48">'300'!$P$206:$P$207</definedName>
    <definedName name="OSRRefP22_10x_0" localSheetId="49">'300 &amp; 317'!$P$231:$P$232</definedName>
    <definedName name="OSRRefP22_10x_0" localSheetId="50">'301'!$P$63</definedName>
    <definedName name="OSRRefP22_10x_0" localSheetId="52">'306'!$P$61</definedName>
    <definedName name="OSRRefP22_10x_0" localSheetId="54">'307'!$P$113:$P$115</definedName>
    <definedName name="OSRRefP22_10x_0" localSheetId="56">'308'!$P$107</definedName>
    <definedName name="OSRRefP22_10x_0" localSheetId="69">'309'!$P$65:$P$67</definedName>
    <definedName name="OSRRefP22_10x_0" localSheetId="68">'310'!$P$73</definedName>
    <definedName name="OSRRefP22_10x_0" localSheetId="76">'310 &amp; 491'!$P$82</definedName>
    <definedName name="OSRRefP22_10x_0" localSheetId="57">'311'!$P$107</definedName>
    <definedName name="OSRRefP22_10x_0" localSheetId="70">'313'!$P$67:$P$69</definedName>
    <definedName name="OSRRefP22_10x_0" localSheetId="61">'315'!$P$96:$P$98</definedName>
    <definedName name="OSRRefP22_10x_0" localSheetId="64">'316'!$P$72:$P$73</definedName>
    <definedName name="OSRRefP22_10x_0" localSheetId="67">'317'!$P$99:$P$100</definedName>
    <definedName name="OSRRefP22_10x_0" localSheetId="71">'321'!$P$64:$P$65</definedName>
    <definedName name="OSRRefP22_10x_0" localSheetId="72">'322'!$P$66:$P$68</definedName>
    <definedName name="OSRRefP22_10x_0" localSheetId="73">'325'!$P$65</definedName>
    <definedName name="OSRRefP22_10x_0" localSheetId="62">'326'!$P$95</definedName>
    <definedName name="OSRRefP22_10x_0" localSheetId="53">'330'!$P$120:$P$121</definedName>
    <definedName name="OSRRefP22_10x_0" localSheetId="60">'331'!$P$112</definedName>
    <definedName name="OSRRefP22_10x_0" localSheetId="63">'332'!$P$81:$P$82</definedName>
    <definedName name="OSRRefP22_10x_0" localSheetId="78">'405'!$P$65</definedName>
    <definedName name="OSRRefP22_10x_0" localSheetId="79">'406'!$P$67:$P$69</definedName>
    <definedName name="OSRRefP22_10x_0" localSheetId="80">'411'!$P$61:$P$63</definedName>
    <definedName name="OSRRefP22_10x_0" localSheetId="81">'412'!$P$66</definedName>
    <definedName name="OSRRefP22_10x_0" localSheetId="83">'413'!$P$67:$P$73</definedName>
    <definedName name="OSRRefP22_10x_0" localSheetId="84">'414'!$P$66</definedName>
    <definedName name="OSRRefP22_10x_0" localSheetId="85">'415'!$P$65</definedName>
    <definedName name="OSRRefP22_10x_0" localSheetId="86">'418'!$P$66:$P$67</definedName>
    <definedName name="OSRRefP22_10x_0" localSheetId="88">'424'!$P$64:$P$67</definedName>
    <definedName name="OSRRefP22_10x_0" localSheetId="89">'425'!$P$69:$P$70</definedName>
    <definedName name="OSRRefP22_10x_0" localSheetId="92">'430'!$P$59</definedName>
    <definedName name="OSRRefP22_10x_0" localSheetId="93">'433'!$P$65:$P$67</definedName>
    <definedName name="OSRRefP22_10x_0" localSheetId="95">'444'!$P$65</definedName>
    <definedName name="OSRRefP22_10x_0" localSheetId="96">'450'!$P$66</definedName>
    <definedName name="OSRRefP22_10x_0" localSheetId="77">'491'!$P$75:$P$76</definedName>
    <definedName name="OSRRefP22_10x_0" localSheetId="91">'492'!$P$69</definedName>
    <definedName name="OSRRefP22_10x_0" localSheetId="98">'501'!$P$58:$P$60</definedName>
    <definedName name="OSRRefP22_10x_0" localSheetId="39">'Div 2'!$P$62</definedName>
    <definedName name="OSRRefP22_10x_0" localSheetId="47">'Div 3'!$P$212:$P$213</definedName>
    <definedName name="OSRRefP22_10x_0" localSheetId="75">'Div 4'!$P$78</definedName>
    <definedName name="OSRRefP22_10x_0" localSheetId="97">'Div 5'!$P$58:$P$60</definedName>
    <definedName name="OSRRefP22_10x_0" localSheetId="66">'Div 6'!$P$99:$P$100</definedName>
    <definedName name="OSRRefP22_10x_0" localSheetId="2">Summary!$P$245:$P$246</definedName>
    <definedName name="OSRRefP22_11x_0" localSheetId="41">'201'!$P$62:$P$64</definedName>
    <definedName name="OSRRefP22_11x_0" localSheetId="42">'202'!$P$61:$P$63</definedName>
    <definedName name="OSRRefP22_11x_0" localSheetId="43">'203'!$P$62</definedName>
    <definedName name="OSRRefP22_11x_0" localSheetId="44">'204'!$P$67</definedName>
    <definedName name="OSRRefP22_11x_0" localSheetId="48">'300'!$P$209</definedName>
    <definedName name="OSRRefP22_11x_0" localSheetId="49">'300 &amp; 317'!$P$234</definedName>
    <definedName name="OSRRefP22_11x_0" localSheetId="50">'301'!$P$65</definedName>
    <definedName name="OSRRefP22_11x_0" localSheetId="54">'307'!$P$117</definedName>
    <definedName name="OSRRefP22_11x_0" localSheetId="56">'308'!$P$109:$P$111</definedName>
    <definedName name="OSRRefP22_11x_0" localSheetId="69">'309'!$P$69:$P$71</definedName>
    <definedName name="OSRRefP22_11x_0" localSheetId="68">'310'!$P$75</definedName>
    <definedName name="OSRRefP22_11x_0" localSheetId="76">'310 &amp; 491'!$P$84:$P$85</definedName>
    <definedName name="OSRRefP22_11x_0" localSheetId="57">'311'!$P$109:$P$111</definedName>
    <definedName name="OSRRefP22_11x_0" localSheetId="70">'313'!$P$71</definedName>
    <definedName name="OSRRefP22_11x_0" localSheetId="61">'315'!$P$100:$P$101</definedName>
    <definedName name="OSRRefP22_11x_0" localSheetId="64">'316'!$P$75:$P$79</definedName>
    <definedName name="OSRRefP22_11x_0" localSheetId="67">'317'!$P$102</definedName>
    <definedName name="OSRRefP22_11x_0" localSheetId="71">'321'!$P$67:$P$69</definedName>
    <definedName name="OSRRefP22_11x_0" localSheetId="72">'322'!$P$70:$P$75</definedName>
    <definedName name="OSRRefP22_11x_0" localSheetId="73">'325'!$P$67:$P$69</definedName>
    <definedName name="OSRRefP22_11x_0" localSheetId="62">'326'!$P$97</definedName>
    <definedName name="OSRRefP22_11x_0" localSheetId="53">'330'!$P$123</definedName>
    <definedName name="OSRRefP22_11x_0" localSheetId="60">'331'!$P$114</definedName>
    <definedName name="OSRRefP22_11x_0" localSheetId="63">'332'!$P$84:$P$85</definedName>
    <definedName name="OSRRefP22_11x_0" localSheetId="78">'405'!$P$67:$P$69</definedName>
    <definedName name="OSRRefP22_11x_0" localSheetId="79">'406'!$P$71:$P$76</definedName>
    <definedName name="OSRRefP22_11x_0" localSheetId="80">'411'!$P$65:$P$69</definedName>
    <definedName name="OSRRefP22_11x_0" localSheetId="81">'412'!$P$68:$P$70</definedName>
    <definedName name="OSRRefP22_11x_0" localSheetId="83">'413'!$P$75:$P$76</definedName>
    <definedName name="OSRRefP22_11x_0" localSheetId="84">'414'!$P$68</definedName>
    <definedName name="OSRRefP22_11x_0" localSheetId="85">'415'!$P$67:$P$70</definedName>
    <definedName name="OSRRefP22_11x_0" localSheetId="86">'418'!$P$69:$P$71</definedName>
    <definedName name="OSRRefP22_11x_0" localSheetId="88">'424'!$P$69:$P$70</definedName>
    <definedName name="OSRRefP22_11x_0" localSheetId="89">'425'!$P$72:$P$73</definedName>
    <definedName name="OSRRefP22_11x_0" localSheetId="93">'433'!$P$69:$P$72</definedName>
    <definedName name="OSRRefP22_11x_0" localSheetId="95">'444'!$P$67:$P$69</definedName>
    <definedName name="OSRRefP22_11x_0" localSheetId="96">'450'!$P$68:$P$70</definedName>
    <definedName name="OSRRefP22_11x_0" localSheetId="77">'491'!$P$78</definedName>
    <definedName name="OSRRefP22_11x_0" localSheetId="91">'492'!$P$71</definedName>
    <definedName name="OSRRefP22_11x_0" localSheetId="98">'501'!$P$62</definedName>
    <definedName name="OSRRefP22_11x_0" localSheetId="39">'Div 2'!$P$64</definedName>
    <definedName name="OSRRefP22_11x_0" localSheetId="47">'Div 3'!$P$215</definedName>
    <definedName name="OSRRefP22_11x_0" localSheetId="75">'Div 4'!$P$80:$P$81</definedName>
    <definedName name="OSRRefP22_11x_0" localSheetId="97">'Div 5'!$P$62</definedName>
    <definedName name="OSRRefP22_11x_0" localSheetId="66">'Div 6'!$P$102</definedName>
    <definedName name="OSRRefP22_11x_0" localSheetId="2">Summary!$P$248:$P$249</definedName>
    <definedName name="OSRRefP22_12x_0" localSheetId="41">'201'!$P$66</definedName>
    <definedName name="OSRRefP22_12x_0" localSheetId="42">'202'!$P$65</definedName>
    <definedName name="OSRRefP22_12x_0" localSheetId="43">'203'!$P$64:$P$66</definedName>
    <definedName name="OSRRefP22_12x_0" localSheetId="44">'204'!$P$69:$P$70</definedName>
    <definedName name="OSRRefP22_12x_0" localSheetId="48">'300'!$P$211</definedName>
    <definedName name="OSRRefP22_12x_0" localSheetId="49">'300 &amp; 317'!$P$236</definedName>
    <definedName name="OSRRefP22_12x_0" localSheetId="50">'301'!$P$67</definedName>
    <definedName name="OSRRefP22_12x_0" localSheetId="54">'307'!$P$119</definedName>
    <definedName name="OSRRefP22_12x_0" localSheetId="56">'308'!$P$113:$P$114</definedName>
    <definedName name="OSRRefP22_12x_0" localSheetId="69">'309'!$P$73</definedName>
    <definedName name="OSRRefP22_12x_0" localSheetId="68">'310'!$P$77</definedName>
    <definedName name="OSRRefP22_12x_0" localSheetId="76">'310 &amp; 491'!$P$87</definedName>
    <definedName name="OSRRefP22_12x_0" localSheetId="57">'311'!$P$113:$P$114</definedName>
    <definedName name="OSRRefP22_12x_0" localSheetId="70">'313'!$P$73:$P$77</definedName>
    <definedName name="OSRRefP22_12x_0" localSheetId="61">'315'!$P$103:$P$107</definedName>
    <definedName name="OSRRefP22_12x_0" localSheetId="64">'316'!$P$81:$P$82</definedName>
    <definedName name="OSRRefP22_12x_0" localSheetId="67">'317'!$P$104</definedName>
    <definedName name="OSRRefP22_12x_0" localSheetId="71">'321'!$P$71:$P$73</definedName>
    <definedName name="OSRRefP22_12x_0" localSheetId="72">'322'!$P$77</definedName>
    <definedName name="OSRRefP22_12x_0" localSheetId="73">'325'!$P$71:$P$74</definedName>
    <definedName name="OSRRefP22_12x_0" localSheetId="62">'326'!$P$99</definedName>
    <definedName name="OSRRefP22_12x_0" localSheetId="53">'330'!$P$125:$P$127</definedName>
    <definedName name="OSRRefP22_12x_0" localSheetId="60">'331'!$P$116</definedName>
    <definedName name="OSRRefP22_12x_0" localSheetId="63">'332'!$P$87:$P$91</definedName>
    <definedName name="OSRRefP22_12x_0" localSheetId="78">'405'!$P$71</definedName>
    <definedName name="OSRRefP22_12x_0" localSheetId="79">'406'!$P$78:$P$79</definedName>
    <definedName name="OSRRefP22_12x_0" localSheetId="80">'411'!$P$71</definedName>
    <definedName name="OSRRefP22_12x_0" localSheetId="81">'412'!$P$72:$P$77</definedName>
    <definedName name="OSRRefP22_12x_0" localSheetId="83">'413'!$P$78</definedName>
    <definedName name="OSRRefP22_12x_0" localSheetId="84">'414'!$P$70</definedName>
    <definedName name="OSRRefP22_12x_0" localSheetId="85">'415'!$P$72:$P$76</definedName>
    <definedName name="OSRRefP22_12x_0" localSheetId="86">'418'!$P$73:$P$75</definedName>
    <definedName name="OSRRefP22_12x_0" localSheetId="89">'425'!$P$75:$P$81</definedName>
    <definedName name="OSRRefP22_12x_0" localSheetId="93">'433'!$P$74:$P$81</definedName>
    <definedName name="OSRRefP22_12x_0" localSheetId="95">'444'!$P$71:$P$74</definedName>
    <definedName name="OSRRefP22_12x_0" localSheetId="96">'450'!$P$72:$P$74</definedName>
    <definedName name="OSRRefP22_12x_0" localSheetId="77">'491'!$P$80</definedName>
    <definedName name="OSRRefP22_12x_0" localSheetId="91">'492'!$P$73:$P$76</definedName>
    <definedName name="OSRRefP22_12x_0" localSheetId="98">'501'!$P$64:$P$66</definedName>
    <definedName name="OSRRefP22_12x_0" localSheetId="39">'Div 2'!$P$66:$P$68</definedName>
    <definedName name="OSRRefP22_12x_0" localSheetId="47">'Div 3'!$P$217</definedName>
    <definedName name="OSRRefP22_12x_0" localSheetId="75">'Div 4'!$P$83</definedName>
    <definedName name="OSRRefP22_12x_0" localSheetId="97">'Div 5'!$P$64:$P$66</definedName>
    <definedName name="OSRRefP22_12x_0" localSheetId="66">'Div 6'!$P$104</definedName>
    <definedName name="OSRRefP22_12x_0" localSheetId="2">Summary!$P$251</definedName>
    <definedName name="OSRRefP22_13x_0" localSheetId="41">'201'!$P$68:$P$70</definedName>
    <definedName name="OSRRefP22_13x_0" localSheetId="42">'202'!$P$67</definedName>
    <definedName name="OSRRefP22_13x_0" localSheetId="43">'203'!$P$68</definedName>
    <definedName name="OSRRefP22_13x_0" localSheetId="48">'300'!$P$213</definedName>
    <definedName name="OSRRefP22_13x_0" localSheetId="49">'300 &amp; 317'!$P$238</definedName>
    <definedName name="OSRRefP22_13x_0" localSheetId="50">'301'!$P$69</definedName>
    <definedName name="OSRRefP22_13x_0" localSheetId="56">'308'!$P$116</definedName>
    <definedName name="OSRRefP22_13x_0" localSheetId="69">'309'!$P$75</definedName>
    <definedName name="OSRRefP22_13x_0" localSheetId="68">'310'!$P$79</definedName>
    <definedName name="OSRRefP22_13x_0" localSheetId="76">'310 &amp; 491'!$P$89</definedName>
    <definedName name="OSRRefP22_13x_0" localSheetId="57">'311'!$P$116</definedName>
    <definedName name="OSRRefP22_13x_0" localSheetId="70">'313'!$P$79</definedName>
    <definedName name="OSRRefP22_13x_0" localSheetId="61">'315'!$P$109</definedName>
    <definedName name="OSRRefP22_13x_0" localSheetId="64">'316'!$P$84</definedName>
    <definedName name="OSRRefP22_13x_0" localSheetId="71">'321'!$P$75</definedName>
    <definedName name="OSRRefP22_13x_0" localSheetId="72">'322'!$P$79</definedName>
    <definedName name="OSRRefP22_13x_0" localSheetId="73">'325'!$P$76</definedName>
    <definedName name="OSRRefP22_13x_0" localSheetId="62">'326'!$P$101:$P$102</definedName>
    <definedName name="OSRRefP22_13x_0" localSheetId="53">'330'!$P$129</definedName>
    <definedName name="OSRRefP22_13x_0" localSheetId="60">'331'!$P$118</definedName>
    <definedName name="OSRRefP22_13x_0" localSheetId="63">'332'!$P$93:$P$94</definedName>
    <definedName name="OSRRefP22_13x_0" localSheetId="78">'405'!$P$73:$P$75</definedName>
    <definedName name="OSRRefP22_13x_0" localSheetId="79">'406'!$P$81</definedName>
    <definedName name="OSRRefP22_13x_0" localSheetId="80">'411'!$P$73:$P$79</definedName>
    <definedName name="OSRRefP22_13x_0" localSheetId="81">'412'!$P$79</definedName>
    <definedName name="OSRRefP22_13x_0" localSheetId="84">'414'!$P$72:$P$78</definedName>
    <definedName name="OSRRefP22_13x_0" localSheetId="85">'415'!$P$78:$P$79</definedName>
    <definedName name="OSRRefP22_13x_0" localSheetId="86">'418'!$P$77:$P$78</definedName>
    <definedName name="OSRRefP22_13x_0" localSheetId="89">'425'!$P$83:$P$84</definedName>
    <definedName name="OSRRefP22_13x_0" localSheetId="93">'433'!$P$83</definedName>
    <definedName name="OSRRefP22_13x_0" localSheetId="95">'444'!$P$76:$P$83</definedName>
    <definedName name="OSRRefP22_13x_0" localSheetId="96">'450'!$P$76:$P$81</definedName>
    <definedName name="OSRRefP22_13x_0" localSheetId="77">'491'!$P$82</definedName>
    <definedName name="OSRRefP22_13x_0" localSheetId="91">'492'!$P$78:$P$81</definedName>
    <definedName name="OSRRefP22_13x_0" localSheetId="98">'501'!$P$68</definedName>
    <definedName name="OSRRefP22_13x_0" localSheetId="39">'Div 2'!$P$70:$P$73</definedName>
    <definedName name="OSRRefP22_13x_0" localSheetId="47">'Div 3'!$P$219</definedName>
    <definedName name="OSRRefP22_13x_0" localSheetId="75">'Div 4'!$P$85</definedName>
    <definedName name="OSRRefP22_13x_0" localSheetId="97">'Div 5'!$P$68</definedName>
    <definedName name="OSRRefP22_13x_0" localSheetId="2">Summary!$P$253</definedName>
    <definedName name="OSRRefP22_14x_0" localSheetId="41">'201'!$P$72</definedName>
    <definedName name="OSRRefP22_14x_0" localSheetId="42">'202'!$P$69:$P$70</definedName>
    <definedName name="OSRRefP22_14x_0" localSheetId="43">'203'!$P$70</definedName>
    <definedName name="OSRRefP22_14x_0" localSheetId="48">'300'!$P$215</definedName>
    <definedName name="OSRRefP22_14x_0" localSheetId="49">'300 &amp; 317'!$P$240</definedName>
    <definedName name="OSRRefP22_14x_0" localSheetId="50">'301'!$P$71</definedName>
    <definedName name="OSRRefP22_14x_0" localSheetId="56">'308'!$P$118:$P$119</definedName>
    <definedName name="OSRRefP22_14x_0" localSheetId="68">'310'!$P$81</definedName>
    <definedName name="OSRRefP22_14x_0" localSheetId="76">'310 &amp; 491'!$P$91</definedName>
    <definedName name="OSRRefP22_14x_0" localSheetId="57">'311'!$P$118:$P$119</definedName>
    <definedName name="OSRRefP22_14x_0" localSheetId="70">'313'!$P$81</definedName>
    <definedName name="OSRRefP22_14x_0" localSheetId="61">'315'!$P$111</definedName>
    <definedName name="OSRRefP22_14x_0" localSheetId="71">'321'!$P$77</definedName>
    <definedName name="OSRRefP22_14x_0" localSheetId="73">'325'!$P$78:$P$84</definedName>
    <definedName name="OSRRefP22_14x_0" localSheetId="62">'326'!$P$104:$P$106</definedName>
    <definedName name="OSRRefP22_14x_0" localSheetId="53">'330'!$P$131</definedName>
    <definedName name="OSRRefP22_14x_0" localSheetId="60">'331'!$P$120:$P$121</definedName>
    <definedName name="OSRRefP22_14x_0" localSheetId="63">'332'!$P$96</definedName>
    <definedName name="OSRRefP22_14x_0" localSheetId="78">'405'!$P$77:$P$78</definedName>
    <definedName name="OSRRefP22_14x_0" localSheetId="79">'406'!$P$83</definedName>
    <definedName name="OSRRefP22_14x_0" localSheetId="80">'411'!$P$81</definedName>
    <definedName name="OSRRefP22_14x_0" localSheetId="81">'412'!$P$81</definedName>
    <definedName name="OSRRefP22_14x_0" localSheetId="84">'414'!$P$80</definedName>
    <definedName name="OSRRefP22_14x_0" localSheetId="85">'415'!$P$81:$P$88</definedName>
    <definedName name="OSRRefP22_14x_0" localSheetId="86">'418'!$P$80:$P$86</definedName>
    <definedName name="OSRRefP22_14x_0" localSheetId="89">'425'!$P$86</definedName>
    <definedName name="OSRRefP22_14x_0" localSheetId="93">'433'!$P$85</definedName>
    <definedName name="OSRRefP22_14x_0" localSheetId="95">'444'!$P$85</definedName>
    <definedName name="OSRRefP22_14x_0" localSheetId="96">'450'!$P$83</definedName>
    <definedName name="OSRRefP22_14x_0" localSheetId="77">'491'!$P$84</definedName>
    <definedName name="OSRRefP22_14x_0" localSheetId="91">'492'!$P$83:$P$91</definedName>
    <definedName name="OSRRefP22_14x_0" localSheetId="98">'501'!$P$70</definedName>
    <definedName name="OSRRefP22_14x_0" localSheetId="39">'Div 2'!$P$75:$P$78</definedName>
    <definedName name="OSRRefP22_14x_0" localSheetId="47">'Div 3'!$P$221</definedName>
    <definedName name="OSRRefP22_14x_0" localSheetId="75">'Div 4'!$P$87</definedName>
    <definedName name="OSRRefP22_14x_0" localSheetId="97">'Div 5'!$P$70</definedName>
    <definedName name="OSRRefP22_14x_0" localSheetId="2">Summary!$P$255</definedName>
    <definedName name="OSRRefP22_15x_0" localSheetId="41">'201'!$P$74</definedName>
    <definedName name="OSRRefP22_15x_0" localSheetId="42">'202'!$P$72</definedName>
    <definedName name="OSRRefP22_15x_0" localSheetId="43">'203'!$P$72</definedName>
    <definedName name="OSRRefP22_15x_0" localSheetId="48">'300'!$P$217</definedName>
    <definedName name="OSRRefP22_15x_0" localSheetId="49">'300 &amp; 317'!$P$242</definedName>
    <definedName name="OSRRefP22_15x_0" localSheetId="50">'301'!$P$73:$P$76</definedName>
    <definedName name="OSRRefP22_15x_0" localSheetId="68">'310'!$P$83:$P$85</definedName>
    <definedName name="OSRRefP22_15x_0" localSheetId="76">'310 &amp; 491'!$P$93</definedName>
    <definedName name="OSRRefP22_15x_0" localSheetId="61">'315'!$P$113:$P$114</definedName>
    <definedName name="OSRRefP22_15x_0" localSheetId="73">'325'!$P$86</definedName>
    <definedName name="OSRRefP22_15x_0" localSheetId="62">'326'!$P$108:$P$109</definedName>
    <definedName name="OSRRefP22_15x_0" localSheetId="53">'330'!$P$133</definedName>
    <definedName name="OSRRefP22_15x_0" localSheetId="60">'331'!$P$123:$P$125</definedName>
    <definedName name="OSRRefP22_15x_0" localSheetId="78">'405'!$P$80:$P$88</definedName>
    <definedName name="OSRRefP22_15x_0" localSheetId="80">'411'!$P$83</definedName>
    <definedName name="OSRRefP22_15x_0" localSheetId="84">'414'!$P$82</definedName>
    <definedName name="OSRRefP22_15x_0" localSheetId="85">'415'!$P$90</definedName>
    <definedName name="OSRRefP22_15x_0" localSheetId="86">'418'!$P$88</definedName>
    <definedName name="OSRRefP22_15x_0" localSheetId="89">'425'!$P$88</definedName>
    <definedName name="OSRRefP22_15x_0" localSheetId="93">'433'!$P$87:$P$88</definedName>
    <definedName name="OSRRefP22_15x_0" localSheetId="95">'444'!$P$87</definedName>
    <definedName name="OSRRefP22_15x_0" localSheetId="96">'450'!$P$85</definedName>
    <definedName name="OSRRefP22_15x_0" localSheetId="77">'491'!$P$86:$P$89</definedName>
    <definedName name="OSRRefP22_15x_0" localSheetId="91">'492'!$P$93</definedName>
    <definedName name="OSRRefP22_15x_0" localSheetId="39">'Div 2'!$P$80:$P$81</definedName>
    <definedName name="OSRRefP22_15x_0" localSheetId="47">'Div 3'!$P$223</definedName>
    <definedName name="OSRRefP22_15x_0" localSheetId="75">'Div 4'!$P$89</definedName>
    <definedName name="OSRRefP22_15x_0" localSheetId="2">Summary!$P$257</definedName>
    <definedName name="OSRRefP22_16x_0" localSheetId="41">'201'!$P$76:$P$77</definedName>
    <definedName name="OSRRefP22_16x_0" localSheetId="42">'202'!$P$74</definedName>
    <definedName name="OSRRefP22_16x_0" localSheetId="48">'300'!$P$219:$P$222</definedName>
    <definedName name="OSRRefP22_16x_0" localSheetId="49">'300 &amp; 317'!$P$244:$P$247</definedName>
    <definedName name="OSRRefP22_16x_0" localSheetId="50">'301'!$P$78:$P$80</definedName>
    <definedName name="OSRRefP22_16x_0" localSheetId="68">'310'!$P$87:$P$88</definedName>
    <definedName name="OSRRefP22_16x_0" localSheetId="76">'310 &amp; 491'!$P$95</definedName>
    <definedName name="OSRRefP22_16x_0" localSheetId="73">'325'!$P$88</definedName>
    <definedName name="OSRRefP22_16x_0" localSheetId="62">'326'!$P$111:$P$116</definedName>
    <definedName name="OSRRefP22_16x_0" localSheetId="60">'331'!$P$127:$P$129</definedName>
    <definedName name="OSRRefP22_16x_0" localSheetId="78">'405'!$P$90</definedName>
    <definedName name="OSRRefP22_16x_0" localSheetId="80">'411'!$P$85:$P$87</definedName>
    <definedName name="OSRRefP22_16x_0" localSheetId="85">'415'!$P$92</definedName>
    <definedName name="OSRRefP22_16x_0" localSheetId="86">'418'!$P$90</definedName>
    <definedName name="OSRRefP22_16x_0" localSheetId="95">'444'!$P$89</definedName>
    <definedName name="OSRRefP22_16x_0" localSheetId="96">'450'!$P$87:$P$88</definedName>
    <definedName name="OSRRefP22_16x_0" localSheetId="77">'491'!$P$91:$P$93</definedName>
    <definedName name="OSRRefP22_16x_0" localSheetId="91">'492'!$P$95</definedName>
    <definedName name="OSRRefP22_16x_0" localSheetId="39">'Div 2'!$P$83:$P$84</definedName>
    <definedName name="OSRRefP22_16x_0" localSheetId="47">'Div 3'!$P$225</definedName>
    <definedName name="OSRRefP22_16x_0" localSheetId="75">'Div 4'!$P$91</definedName>
    <definedName name="OSRRefP22_16x_0" localSheetId="2">Summary!$P$259</definedName>
    <definedName name="OSRRefP22_17x_0" localSheetId="48">'300'!$P$224:$P$227</definedName>
    <definedName name="OSRRefP22_17x_0" localSheetId="49">'300 &amp; 317'!$P$249:$P$252</definedName>
    <definedName name="OSRRefP22_17x_0" localSheetId="50">'301'!$P$82:$P$83</definedName>
    <definedName name="OSRRefP22_17x_0" localSheetId="68">'310'!$P$90:$P$94</definedName>
    <definedName name="OSRRefP22_17x_0" localSheetId="76">'310 &amp; 491'!$P$97:$P$100</definedName>
    <definedName name="OSRRefP22_17x_0" localSheetId="73">'325'!$P$90</definedName>
    <definedName name="OSRRefP22_17x_0" localSheetId="62">'326'!$P$118:$P$119</definedName>
    <definedName name="OSRRefP22_17x_0" localSheetId="60">'331'!$P$131:$P$132</definedName>
    <definedName name="OSRRefP22_17x_0" localSheetId="78">'405'!$P$92</definedName>
    <definedName name="OSRRefP22_17x_0" localSheetId="80">'411'!$P$89</definedName>
    <definedName name="OSRRefP22_17x_0" localSheetId="85">'415'!$P$94:$P$95</definedName>
    <definedName name="OSRRefP22_17x_0" localSheetId="86">'418'!$P$92</definedName>
    <definedName name="OSRRefP22_17x_0" localSheetId="77">'491'!$P$95:$P$99</definedName>
    <definedName name="OSRRefP22_17x_0" localSheetId="91">'492'!$P$97:$P$98</definedName>
    <definedName name="OSRRefP22_17x_0" localSheetId="39">'Div 2'!$P$86:$P$90</definedName>
    <definedName name="OSRRefP22_17x_0" localSheetId="47">'Div 3'!$P$227</definedName>
    <definedName name="OSRRefP22_17x_0" localSheetId="75">'Div 4'!$P$93:$P$96</definedName>
    <definedName name="OSRRefP22_17x_0" localSheetId="2">Summary!$P$261</definedName>
    <definedName name="OSRRefP22_18x_0" localSheetId="48">'300'!$P$229:$P$232</definedName>
    <definedName name="OSRRefP22_18x_0" localSheetId="49">'300 &amp; 317'!$P$254:$P$257</definedName>
    <definedName name="OSRRefP22_18x_0" localSheetId="50">'301'!$P$85:$P$90</definedName>
    <definedName name="OSRRefP22_18x_0" localSheetId="68">'310'!$P$96</definedName>
    <definedName name="OSRRefP22_18x_0" localSheetId="76">'310 &amp; 491'!$P$102:$P$104</definedName>
    <definedName name="OSRRefP22_18x_0" localSheetId="73">'325'!$P$92</definedName>
    <definedName name="OSRRefP22_18x_0" localSheetId="62">'326'!$P$121</definedName>
    <definedName name="OSRRefP22_18x_0" localSheetId="60">'331'!$P$134:$P$139</definedName>
    <definedName name="OSRRefP22_18x_0" localSheetId="78">'405'!$P$94</definedName>
    <definedName name="OSRRefP22_18x_0" localSheetId="85">'415'!$P$97</definedName>
    <definedName name="OSRRefP22_18x_0" localSheetId="77">'491'!$P$101:$P$102</definedName>
    <definedName name="OSRRefP22_18x_0" localSheetId="39">'Div 2'!$P$92:$P$93</definedName>
    <definedName name="OSRRefP22_18x_0" localSheetId="47">'Div 3'!$P$229:$P$232</definedName>
    <definedName name="OSRRefP22_18x_0" localSheetId="75">'Div 4'!$P$98:$P$100</definedName>
    <definedName name="OSRRefP22_18x_0" localSheetId="2">Summary!$P$263:$P$266</definedName>
    <definedName name="OSRRefP22_19x_0" localSheetId="48">'300'!$P$234:$P$235</definedName>
    <definedName name="OSRRefP22_19x_0" localSheetId="49">'300 &amp; 317'!$P$259:$P$260</definedName>
    <definedName name="OSRRefP22_19x_0" localSheetId="50">'301'!$P$92</definedName>
    <definedName name="OSRRefP22_19x_0" localSheetId="68">'310'!$P$98:$P$106</definedName>
    <definedName name="OSRRefP22_19x_0" localSheetId="76">'310 &amp; 491'!$P$106:$P$111</definedName>
    <definedName name="OSRRefP22_19x_0" localSheetId="62">'326'!$P$123</definedName>
    <definedName name="OSRRefP22_19x_0" localSheetId="60">'331'!$P$141:$P$142</definedName>
    <definedName name="OSRRefP22_19x_0" localSheetId="78">'405'!$P$96</definedName>
    <definedName name="OSRRefP22_19x_0" localSheetId="77">'491'!$P$104:$P$113</definedName>
    <definedName name="OSRRefP22_19x_0" localSheetId="39">'Div 2'!$P$95</definedName>
    <definedName name="OSRRefP22_19x_0" localSheetId="47">'Div 3'!$P$234:$P$237</definedName>
    <definedName name="OSRRefP22_19x_0" localSheetId="75">'Div 4'!$P$102:$P$106</definedName>
    <definedName name="OSRRefP22_19x_0" localSheetId="2">Summary!$P$268:$P$271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'204'!$P$32:$P$41</definedName>
    <definedName name="OSRRefP22_1x_0" localSheetId="45">'205'!$P$30:$P$39</definedName>
    <definedName name="OSRRefP22_1x_0" localSheetId="46">'206'!$P$30:$P$39</definedName>
    <definedName name="OSRRefP22_1x_0" localSheetId="48">'300'!$P$173:$P$182</definedName>
    <definedName name="OSRRefP22_1x_0" localSheetId="49">'300 &amp; 317'!$P$198:$P$207</definedName>
    <definedName name="OSRRefP22_1x_0" localSheetId="50">'301'!$P$30:$P$39</definedName>
    <definedName name="OSRRefP22_1x_0" localSheetId="52">'306'!$P$30:$P$39</definedName>
    <definedName name="OSRRefP22_1x_0" localSheetId="54">'307'!$P$83:$P$92</definedName>
    <definedName name="OSRRefP22_1x_0" localSheetId="56">'308'!$P$76:$P$85</definedName>
    <definedName name="OSRRefP22_1x_0" localSheetId="69">'309'!$P$36:$P$45</definedName>
    <definedName name="OSRRefP22_1x_0" localSheetId="68">'310'!$P$44:$P$53</definedName>
    <definedName name="OSRRefP22_1x_0" localSheetId="76">'310 &amp; 491'!$P$52:$P$61</definedName>
    <definedName name="OSRRefP22_1x_0" localSheetId="57">'311'!$P$76:$P$85</definedName>
    <definedName name="OSRRefP22_1x_0" localSheetId="70">'313'!$P$40:$P$49</definedName>
    <definedName name="OSRRefP22_1x_0" localSheetId="55">'314'!$P$68:$P$77</definedName>
    <definedName name="OSRRefP22_1x_0" localSheetId="61">'315'!$P$67:$P$76</definedName>
    <definedName name="OSRRefP22_1x_0" localSheetId="64">'316'!$P$44:$P$53</definedName>
    <definedName name="OSRRefP22_1x_0" localSheetId="67">'317'!$P$71:$P$80</definedName>
    <definedName name="OSRRefP22_1x_0" localSheetId="65">'320'!$P$40:$P$49</definedName>
    <definedName name="OSRRefP22_1x_0" localSheetId="71">'321'!$P$35:$P$44</definedName>
    <definedName name="OSRRefP22_1x_0" localSheetId="72">'322'!$P$36:$P$45</definedName>
    <definedName name="OSRRefP22_1x_0" localSheetId="73">'325'!$P$36:$P$45</definedName>
    <definedName name="OSRRefP22_1x_0" localSheetId="62">'326'!$P$67:$P$76</definedName>
    <definedName name="OSRRefP22_1x_0" localSheetId="74">'327'!$P$26</definedName>
    <definedName name="OSRRefP22_1x_0" localSheetId="53">'330'!$P$91:$P$100</definedName>
    <definedName name="OSRRefP22_1x_0" localSheetId="60">'331'!$P$82:$P$91</definedName>
    <definedName name="OSRRefP22_1x_0" localSheetId="63">'332'!$P$53:$P$62</definedName>
    <definedName name="OSRRefP22_1x_0" localSheetId="78">'405'!$P$36:$P$45</definedName>
    <definedName name="OSRRefP22_1x_0" localSheetId="79">'406'!$P$37:$P$46</definedName>
    <definedName name="OSRRefP22_1x_0" localSheetId="80">'411'!$P$31:$P$40</definedName>
    <definedName name="OSRRefP22_1x_0" localSheetId="81">'412'!$P$36:$P$45</definedName>
    <definedName name="OSRRefP22_1x_0" localSheetId="83">'413'!$P$37:$P$46</definedName>
    <definedName name="OSRRefP22_1x_0" localSheetId="84">'414'!$P$37:$P$46</definedName>
    <definedName name="OSRRefP22_1x_0" localSheetId="85">'415'!$P$36:$P$45</definedName>
    <definedName name="OSRRefP22_1x_0" localSheetId="86">'418'!$P$37:$P$46</definedName>
    <definedName name="OSRRefP22_1x_0" localSheetId="82">'420'!$P$32:$P$35</definedName>
    <definedName name="OSRRefP22_1x_0" localSheetId="87">'423'!$P$31:$P$40</definedName>
    <definedName name="OSRRefP22_1x_0" localSheetId="88">'424'!$P$35:$P$44</definedName>
    <definedName name="OSRRefP22_1x_0" localSheetId="89">'425'!$P$39:$P$48</definedName>
    <definedName name="OSRRefP22_1x_0" localSheetId="92">'430'!$P$30:$P$39</definedName>
    <definedName name="OSRRefP22_1x_0" localSheetId="93">'433'!$P$38:$P$47</definedName>
    <definedName name="OSRRefP22_1x_0" localSheetId="94">'435'!$P$36:$P$45</definedName>
    <definedName name="OSRRefP22_1x_0" localSheetId="95">'444'!$P$38:$P$47</definedName>
    <definedName name="OSRRefP22_1x_0" localSheetId="96">'450'!$P$38:$P$47</definedName>
    <definedName name="OSRRefP22_1x_0" localSheetId="90">'455'!$P$29:$P$38</definedName>
    <definedName name="OSRRefP22_1x_0" localSheetId="77">'491'!$P$45:$P$54</definedName>
    <definedName name="OSRRefP22_1x_0" localSheetId="91">'492'!$P$40:$P$49</definedName>
    <definedName name="OSRRefP22_1x_0" localSheetId="98">'501'!$P$31:$P$40</definedName>
    <definedName name="OSRRefP22_1x_0" localSheetId="39">'Div 2'!$P$33:$P$42</definedName>
    <definedName name="OSRRefP22_1x_0" localSheetId="47">'Div 3'!$P$179:$P$188</definedName>
    <definedName name="OSRRefP22_1x_0" localSheetId="75">'Div 4'!$P$46:$P$55</definedName>
    <definedName name="OSRRefP22_1x_0" localSheetId="97">'Div 5'!$P$31:$P$40</definedName>
    <definedName name="OSRRefP22_1x_0" localSheetId="66">'Div 6'!$P$71:$P$80</definedName>
    <definedName name="OSRRefP22_1x_0" localSheetId="2">Summary!$P$211:$P$220</definedName>
    <definedName name="OSRRefP22_20x_0" localSheetId="48">'300'!$P$237:$P$243</definedName>
    <definedName name="OSRRefP22_20x_0" localSheetId="49">'300 &amp; 317'!$P$262:$P$268</definedName>
    <definedName name="OSRRefP22_20x_0" localSheetId="50">'301'!$P$94</definedName>
    <definedName name="OSRRefP22_20x_0" localSheetId="68">'310'!$P$108</definedName>
    <definedName name="OSRRefP22_20x_0" localSheetId="76">'310 &amp; 491'!$P$113:$P$114</definedName>
    <definedName name="OSRRefP22_20x_0" localSheetId="62">'326'!$P$125</definedName>
    <definedName name="OSRRefP22_20x_0" localSheetId="60">'331'!$P$144</definedName>
    <definedName name="OSRRefP22_20x_0" localSheetId="77">'491'!$P$115:$P$116</definedName>
    <definedName name="OSRRefP22_20x_0" localSheetId="39">'Div 2'!$P$97:$P$98</definedName>
    <definedName name="OSRRefP22_20x_0" localSheetId="47">'Div 3'!$P$239:$P$244</definedName>
    <definedName name="OSRRefP22_20x_0" localSheetId="75">'Div 4'!$P$108:$P$109</definedName>
    <definedName name="OSRRefP22_20x_0" localSheetId="2">Summary!$P$273:$P$278</definedName>
    <definedName name="OSRRefP22_21x_0" localSheetId="48">'300'!$P$245:$P$246</definedName>
    <definedName name="OSRRefP22_21x_0" localSheetId="49">'300 &amp; 317'!$P$270:$P$271</definedName>
    <definedName name="OSRRefP22_21x_0" localSheetId="50">'301'!$P$96:$P$98</definedName>
    <definedName name="OSRRefP22_21x_0" localSheetId="68">'310'!$P$110</definedName>
    <definedName name="OSRRefP22_21x_0" localSheetId="76">'310 &amp; 491'!$P$116:$P$125</definedName>
    <definedName name="OSRRefP22_21x_0" localSheetId="60">'331'!$P$146:$P$147</definedName>
    <definedName name="OSRRefP22_21x_0" localSheetId="77">'491'!$P$118</definedName>
    <definedName name="OSRRefP22_21x_0" localSheetId="47">'Div 3'!$P$246:$P$247</definedName>
    <definedName name="OSRRefP22_21x_0" localSheetId="75">'Div 4'!$P$111:$P$120</definedName>
    <definedName name="OSRRefP22_21x_0" localSheetId="2">Summary!$P$280:$P$281</definedName>
    <definedName name="OSRRefP22_22x_0" localSheetId="48">'300'!$P$248</definedName>
    <definedName name="OSRRefP22_22x_0" localSheetId="49">'300 &amp; 317'!$P$273</definedName>
    <definedName name="OSRRefP22_22x_0" localSheetId="50">'301'!$P$100</definedName>
    <definedName name="OSRRefP22_22x_0" localSheetId="68">'310'!$P$112</definedName>
    <definedName name="OSRRefP22_22x_0" localSheetId="76">'310 &amp; 491'!$P$127:$P$128</definedName>
    <definedName name="OSRRefP22_22x_0" localSheetId="60">'331'!$P$149</definedName>
    <definedName name="OSRRefP22_22x_0" localSheetId="77">'491'!$P$120:$P$122</definedName>
    <definedName name="OSRRefP22_22x_0" localSheetId="47">'Div 3'!$P$249:$P$257</definedName>
    <definedName name="OSRRefP22_22x_0" localSheetId="75">'Div 4'!$P$122:$P$123</definedName>
    <definedName name="OSRRefP22_22x_0" localSheetId="2">Summary!$P$283:$P$292</definedName>
    <definedName name="OSRRefP22_23x_0" localSheetId="48">'300'!$P$250:$P$252</definedName>
    <definedName name="OSRRefP22_23x_0" localSheetId="49">'300 &amp; 317'!$P$275:$P$277</definedName>
    <definedName name="OSRRefP22_23x_0" localSheetId="68">'310'!$P$114</definedName>
    <definedName name="OSRRefP22_23x_0" localSheetId="76">'310 &amp; 491'!$P$130</definedName>
    <definedName name="OSRRefP22_23x_0" localSheetId="77">'491'!$P$124</definedName>
    <definedName name="OSRRefP22_23x_0" localSheetId="47">'Div 3'!$P$259:$P$260</definedName>
    <definedName name="OSRRefP22_23x_0" localSheetId="75">'Div 4'!$P$125</definedName>
    <definedName name="OSRRefP22_23x_0" localSheetId="2">Summary!$P$294:$P$295</definedName>
    <definedName name="OSRRefP22_24x_0" localSheetId="48">'300'!$P$254</definedName>
    <definedName name="OSRRefP22_24x_0" localSheetId="49">'300 &amp; 317'!$P$279</definedName>
    <definedName name="OSRRefP22_24x_0" localSheetId="76">'310 &amp; 491'!$P$132:$P$134</definedName>
    <definedName name="OSRRefP22_24x_0" localSheetId="47">'Div 3'!$P$262</definedName>
    <definedName name="OSRRefP22_24x_0" localSheetId="75">'Div 4'!$P$127:$P$129</definedName>
    <definedName name="OSRRefP22_24x_0" localSheetId="2">Summary!$P$297</definedName>
    <definedName name="OSRRefP22_25x_0" localSheetId="76">'310 &amp; 491'!$P$136</definedName>
    <definedName name="OSRRefP22_25x_0" localSheetId="47">'Div 3'!$P$264:$P$266</definedName>
    <definedName name="OSRRefP22_25x_0" localSheetId="75">'Div 4'!$P$131</definedName>
    <definedName name="OSRRefP22_25x_0" localSheetId="2">Summary!$P$299:$P$301</definedName>
    <definedName name="OSRRefP22_26x_0" localSheetId="47">'Div 3'!$P$268</definedName>
    <definedName name="OSRRefP22_26x_0" localSheetId="2">Summary!$P$303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'204'!$P$43</definedName>
    <definedName name="OSRRefP22_2x_0" localSheetId="45">'205'!$P$41</definedName>
    <definedName name="OSRRefP22_2x_0" localSheetId="46">'206'!$P$41</definedName>
    <definedName name="OSRRefP22_2x_0" localSheetId="48">'300'!$P$184</definedName>
    <definedName name="OSRRefP22_2x_0" localSheetId="49">'300 &amp; 317'!$P$209</definedName>
    <definedName name="OSRRefP22_2x_0" localSheetId="50">'301'!$P$41</definedName>
    <definedName name="OSRRefP22_2x_0" localSheetId="52">'306'!$P$41</definedName>
    <definedName name="OSRRefP22_2x_0" localSheetId="54">'307'!$P$94</definedName>
    <definedName name="OSRRefP22_2x_0" localSheetId="56">'308'!$P$87</definedName>
    <definedName name="OSRRefP22_2x_0" localSheetId="69">'309'!$P$47</definedName>
    <definedName name="OSRRefP22_2x_0" localSheetId="68">'310'!$P$55</definedName>
    <definedName name="OSRRefP22_2x_0" localSheetId="76">'310 &amp; 491'!$P$63</definedName>
    <definedName name="OSRRefP22_2x_0" localSheetId="57">'311'!$P$87</definedName>
    <definedName name="OSRRefP22_2x_0" localSheetId="70">'313'!$P$51</definedName>
    <definedName name="OSRRefP22_2x_0" localSheetId="55">'314'!$P$79</definedName>
    <definedName name="OSRRefP22_2x_0" localSheetId="61">'315'!$P$78</definedName>
    <definedName name="OSRRefP22_2x_0" localSheetId="64">'316'!$P$55</definedName>
    <definedName name="OSRRefP22_2x_0" localSheetId="67">'317'!$P$82</definedName>
    <definedName name="OSRRefP22_2x_0" localSheetId="65">'320'!$P$51</definedName>
    <definedName name="OSRRefP22_2x_0" localSheetId="71">'321'!$P$46</definedName>
    <definedName name="OSRRefP22_2x_0" localSheetId="72">'322'!$P$47</definedName>
    <definedName name="OSRRefP22_2x_0" localSheetId="73">'325'!$P$47</definedName>
    <definedName name="OSRRefP22_2x_0" localSheetId="62">'326'!$P$78</definedName>
    <definedName name="OSRRefP22_2x_0" localSheetId="74">'327'!$P$28</definedName>
    <definedName name="OSRRefP22_2x_0" localSheetId="53">'330'!$P$102</definedName>
    <definedName name="OSRRefP22_2x_0" localSheetId="60">'331'!$P$93</definedName>
    <definedName name="OSRRefP22_2x_0" localSheetId="63">'332'!$P$64</definedName>
    <definedName name="OSRRefP22_2x_0" localSheetId="78">'405'!$P$47</definedName>
    <definedName name="OSRRefP22_2x_0" localSheetId="79">'406'!$P$48</definedName>
    <definedName name="OSRRefP22_2x_0" localSheetId="80">'411'!$P$42</definedName>
    <definedName name="OSRRefP22_2x_0" localSheetId="81">'412'!$P$47</definedName>
    <definedName name="OSRRefP22_2x_0" localSheetId="83">'413'!$P$48</definedName>
    <definedName name="OSRRefP22_2x_0" localSheetId="84">'414'!$P$48</definedName>
    <definedName name="OSRRefP22_2x_0" localSheetId="85">'415'!$P$47</definedName>
    <definedName name="OSRRefP22_2x_0" localSheetId="86">'418'!$P$48</definedName>
    <definedName name="OSRRefP22_2x_0" localSheetId="82">'420'!$P$37</definedName>
    <definedName name="OSRRefP22_2x_0" localSheetId="87">'423'!$P$42</definedName>
    <definedName name="OSRRefP22_2x_0" localSheetId="88">'424'!$P$46</definedName>
    <definedName name="OSRRefP22_2x_0" localSheetId="89">'425'!$P$50</definedName>
    <definedName name="OSRRefP22_2x_0" localSheetId="92">'430'!$P$41</definedName>
    <definedName name="OSRRefP22_2x_0" localSheetId="93">'433'!$P$49</definedName>
    <definedName name="OSRRefP22_2x_0" localSheetId="94">'435'!$P$47</definedName>
    <definedName name="OSRRefP22_2x_0" localSheetId="95">'444'!$P$49</definedName>
    <definedName name="OSRRefP22_2x_0" localSheetId="96">'450'!$P$49</definedName>
    <definedName name="OSRRefP22_2x_0" localSheetId="77">'491'!$P$56</definedName>
    <definedName name="OSRRefP22_2x_0" localSheetId="91">'492'!$P$51</definedName>
    <definedName name="OSRRefP22_2x_0" localSheetId="98">'501'!$P$42</definedName>
    <definedName name="OSRRefP22_2x_0" localSheetId="39">'Div 2'!$P$44</definedName>
    <definedName name="OSRRefP22_2x_0" localSheetId="47">'Div 3'!$P$190</definedName>
    <definedName name="OSRRefP22_2x_0" localSheetId="75">'Div 4'!$P$57</definedName>
    <definedName name="OSRRefP22_2x_0" localSheetId="97">'Div 5'!$P$42</definedName>
    <definedName name="OSRRefP22_2x_0" localSheetId="66">'Div 6'!$P$82</definedName>
    <definedName name="OSRRefP22_2x_0" localSheetId="2">Summary!$P$222</definedName>
    <definedName name="OSRRefP22_3x_0" localSheetId="40">'200'!$P$26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'204'!$P$45:$P$46</definedName>
    <definedName name="OSRRefP22_3x_0" localSheetId="45">'205'!$P$43</definedName>
    <definedName name="OSRRefP22_3x_0" localSheetId="46">'206'!$P$43</definedName>
    <definedName name="OSRRefP22_3x_0" localSheetId="48">'300'!$P$186:$P$187</definedName>
    <definedName name="OSRRefP22_3x_0" localSheetId="49">'300 &amp; 317'!$P$211:$P$212</definedName>
    <definedName name="OSRRefP22_3x_0" localSheetId="50">'301'!$P$43:$P$44</definedName>
    <definedName name="OSRRefP22_3x_0" localSheetId="52">'306'!$P$43</definedName>
    <definedName name="OSRRefP22_3x_0" localSheetId="54">'307'!$P$96</definedName>
    <definedName name="OSRRefP22_3x_0" localSheetId="56">'308'!$P$89:$P$90</definedName>
    <definedName name="OSRRefP22_3x_0" localSheetId="69">'309'!$P$49</definedName>
    <definedName name="OSRRefP22_3x_0" localSheetId="68">'310'!$P$57</definedName>
    <definedName name="OSRRefP22_3x_0" localSheetId="76">'310 &amp; 491'!$P$65</definedName>
    <definedName name="OSRRefP22_3x_0" localSheetId="57">'311'!$P$89:$P$90</definedName>
    <definedName name="OSRRefP22_3x_0" localSheetId="70">'313'!$P$53</definedName>
    <definedName name="OSRRefP22_3x_0" localSheetId="55">'314'!$P$81:$P$82</definedName>
    <definedName name="OSRRefP22_3x_0" localSheetId="61">'315'!$P$80:$P$81</definedName>
    <definedName name="OSRRefP22_3x_0" localSheetId="64">'316'!$P$57</definedName>
    <definedName name="OSRRefP22_3x_0" localSheetId="67">'317'!$P$84</definedName>
    <definedName name="OSRRefP22_3x_0" localSheetId="65">'320'!$P$53</definedName>
    <definedName name="OSRRefP22_3x_0" localSheetId="71">'321'!$P$48</definedName>
    <definedName name="OSRRefP22_3x_0" localSheetId="72">'322'!$P$49</definedName>
    <definedName name="OSRRefP22_3x_0" localSheetId="73">'325'!$P$49</definedName>
    <definedName name="OSRRefP22_3x_0" localSheetId="62">'326'!$P$80:$P$81</definedName>
    <definedName name="OSRRefP22_3x_0" localSheetId="53">'330'!$P$104</definedName>
    <definedName name="OSRRefP22_3x_0" localSheetId="60">'331'!$P$95:$P$96</definedName>
    <definedName name="OSRRefP22_3x_0" localSheetId="63">'332'!$P$66</definedName>
    <definedName name="OSRRefP22_3x_0" localSheetId="78">'405'!$P$49</definedName>
    <definedName name="OSRRefP22_3x_0" localSheetId="79">'406'!$P$50</definedName>
    <definedName name="OSRRefP22_3x_0" localSheetId="80">'411'!$P$44:$P$47</definedName>
    <definedName name="OSRRefP22_3x_0" localSheetId="81">'412'!$P$49</definedName>
    <definedName name="OSRRefP22_3x_0" localSheetId="83">'413'!$P$50</definedName>
    <definedName name="OSRRefP22_3x_0" localSheetId="84">'414'!$P$50</definedName>
    <definedName name="OSRRefP22_3x_0" localSheetId="85">'415'!$P$49</definedName>
    <definedName name="OSRRefP22_3x_0" localSheetId="86">'418'!$P$50</definedName>
    <definedName name="OSRRefP22_3x_0" localSheetId="82">'420'!$P$39</definedName>
    <definedName name="OSRRefP22_3x_0" localSheetId="87">'423'!$P$44</definedName>
    <definedName name="OSRRefP22_3x_0" localSheetId="88">'424'!$P$48</definedName>
    <definedName name="OSRRefP22_3x_0" localSheetId="89">'425'!$P$52</definedName>
    <definedName name="OSRRefP22_3x_0" localSheetId="92">'430'!$P$43</definedName>
    <definedName name="OSRRefP22_3x_0" localSheetId="93">'433'!$P$51</definedName>
    <definedName name="OSRRefP22_3x_0" localSheetId="94">'435'!$P$49</definedName>
    <definedName name="OSRRefP22_3x_0" localSheetId="95">'444'!$P$51</definedName>
    <definedName name="OSRRefP22_3x_0" localSheetId="96">'450'!$P$51:$P$52</definedName>
    <definedName name="OSRRefP22_3x_0" localSheetId="77">'491'!$P$58</definedName>
    <definedName name="OSRRefP22_3x_0" localSheetId="91">'492'!$P$53:$P$54</definedName>
    <definedName name="OSRRefP22_3x_0" localSheetId="98">'501'!$P$44</definedName>
    <definedName name="OSRRefP22_3x_0" localSheetId="39">'Div 2'!$P$46</definedName>
    <definedName name="OSRRefP22_3x_0" localSheetId="47">'Div 3'!$P$192:$P$193</definedName>
    <definedName name="OSRRefP22_3x_0" localSheetId="75">'Div 4'!$P$59:$P$60</definedName>
    <definedName name="OSRRefP22_3x_0" localSheetId="97">'Div 5'!$P$44</definedName>
    <definedName name="OSRRefP22_3x_0" localSheetId="66">'Div 6'!$P$84</definedName>
    <definedName name="OSRRefP22_3x_0" localSheetId="2">Summary!$P$224:$P$225</definedName>
    <definedName name="OSRRefP22_4x_0" localSheetId="40">'200'!$P$28:$P$29</definedName>
    <definedName name="OSRRefP22_4x_0" localSheetId="41">'201'!$P$45:$P$46</definedName>
    <definedName name="OSRRefP22_4x_0" localSheetId="42">'202'!$P$45</definedName>
    <definedName name="OSRRefP22_4x_0" localSheetId="43">'203'!$P$46</definedName>
    <definedName name="OSRRefP22_4x_0" localSheetId="44">'204'!$P$48</definedName>
    <definedName name="OSRRefP22_4x_0" localSheetId="45">'205'!$P$45</definedName>
    <definedName name="OSRRefP22_4x_0" localSheetId="46">'206'!$P$45</definedName>
    <definedName name="OSRRefP22_4x_0" localSheetId="48">'300'!$P$189</definedName>
    <definedName name="OSRRefP22_4x_0" localSheetId="49">'300 &amp; 317'!$P$214</definedName>
    <definedName name="OSRRefP22_4x_0" localSheetId="50">'301'!$P$46</definedName>
    <definedName name="OSRRefP22_4x_0" localSheetId="52">'306'!$P$45</definedName>
    <definedName name="OSRRefP22_4x_0" localSheetId="54">'307'!$P$98:$P$99</definedName>
    <definedName name="OSRRefP22_4x_0" localSheetId="56">'308'!$P$92</definedName>
    <definedName name="OSRRefP22_4x_0" localSheetId="69">'309'!$P$51</definedName>
    <definedName name="OSRRefP22_4x_0" localSheetId="68">'310'!$P$59</definedName>
    <definedName name="OSRRefP22_4x_0" localSheetId="76">'310 &amp; 491'!$P$67</definedName>
    <definedName name="OSRRefP22_4x_0" localSheetId="57">'311'!$P$92</definedName>
    <definedName name="OSRRefP22_4x_0" localSheetId="70">'313'!$P$55</definedName>
    <definedName name="OSRRefP22_4x_0" localSheetId="55">'314'!$P$84</definedName>
    <definedName name="OSRRefP22_4x_0" localSheetId="61">'315'!$P$83</definedName>
    <definedName name="OSRRefP22_4x_0" localSheetId="64">'316'!$P$59</definedName>
    <definedName name="OSRRefP22_4x_0" localSheetId="67">'317'!$P$86</definedName>
    <definedName name="OSRRefP22_4x_0" localSheetId="65">'320'!$P$55:$P$56</definedName>
    <definedName name="OSRRefP22_4x_0" localSheetId="71">'321'!$P$50</definedName>
    <definedName name="OSRRefP22_4x_0" localSheetId="72">'322'!$P$51</definedName>
    <definedName name="OSRRefP22_4x_0" localSheetId="73">'325'!$P$51</definedName>
    <definedName name="OSRRefP22_4x_0" localSheetId="62">'326'!$P$83</definedName>
    <definedName name="OSRRefP22_4x_0" localSheetId="53">'330'!$P$106:$P$107</definedName>
    <definedName name="OSRRefP22_4x_0" localSheetId="60">'331'!$P$98</definedName>
    <definedName name="OSRRefP22_4x_0" localSheetId="63">'332'!$P$68</definedName>
    <definedName name="OSRRefP22_4x_0" localSheetId="78">'405'!$P$51</definedName>
    <definedName name="OSRRefP22_4x_0" localSheetId="79">'406'!$P$52</definedName>
    <definedName name="OSRRefP22_4x_0" localSheetId="80">'411'!$P$49</definedName>
    <definedName name="OSRRefP22_4x_0" localSheetId="81">'412'!$P$51</definedName>
    <definedName name="OSRRefP22_4x_0" localSheetId="83">'413'!$P$52</definedName>
    <definedName name="OSRRefP22_4x_0" localSheetId="84">'414'!$P$52</definedName>
    <definedName name="OSRRefP22_4x_0" localSheetId="85">'415'!$P$51</definedName>
    <definedName name="OSRRefP22_4x_0" localSheetId="86">'418'!$P$52</definedName>
    <definedName name="OSRRefP22_4x_0" localSheetId="82">'420'!$P$41</definedName>
    <definedName name="OSRRefP22_4x_0" localSheetId="87">'423'!$P$46</definedName>
    <definedName name="OSRRefP22_4x_0" localSheetId="88">'424'!$P$50</definedName>
    <definedName name="OSRRefP22_4x_0" localSheetId="89">'425'!$P$54</definedName>
    <definedName name="OSRRefP22_4x_0" localSheetId="92">'430'!$P$45</definedName>
    <definedName name="OSRRefP22_4x_0" localSheetId="93">'433'!$P$53</definedName>
    <definedName name="OSRRefP22_4x_0" localSheetId="94">'435'!$P$51</definedName>
    <definedName name="OSRRefP22_4x_0" localSheetId="95">'444'!$P$53</definedName>
    <definedName name="OSRRefP22_4x_0" localSheetId="96">'450'!$P$54</definedName>
    <definedName name="OSRRefP22_4x_0" localSheetId="77">'491'!$P$60</definedName>
    <definedName name="OSRRefP22_4x_0" localSheetId="91">'492'!$P$56</definedName>
    <definedName name="OSRRefP22_4x_0" localSheetId="98">'501'!$P$46</definedName>
    <definedName name="OSRRefP22_4x_0" localSheetId="39">'Div 2'!$P$48</definedName>
    <definedName name="OSRRefP22_4x_0" localSheetId="47">'Div 3'!$P$195</definedName>
    <definedName name="OSRRefP22_4x_0" localSheetId="75">'Div 4'!$P$62</definedName>
    <definedName name="OSRRefP22_4x_0" localSheetId="97">'Div 5'!$P$46</definedName>
    <definedName name="OSRRefP22_4x_0" localSheetId="66">'Div 6'!$P$86</definedName>
    <definedName name="OSRRefP22_4x_0" localSheetId="2">Summary!$P$227</definedName>
    <definedName name="OSRRefP22_5x_0" localSheetId="41">'201'!$P$48</definedName>
    <definedName name="OSRRefP22_5x_0" localSheetId="42">'202'!$P$47</definedName>
    <definedName name="OSRRefP22_5x_0" localSheetId="43">'203'!$P$48</definedName>
    <definedName name="OSRRefP22_5x_0" localSheetId="44">'204'!$P$50</definedName>
    <definedName name="OSRRefP22_5x_0" localSheetId="45">'205'!$P$47:$P$48</definedName>
    <definedName name="OSRRefP22_5x_0" localSheetId="46">'206'!$P$47</definedName>
    <definedName name="OSRRefP22_5x_0" localSheetId="48">'300'!$P$191:$P$194</definedName>
    <definedName name="OSRRefP22_5x_0" localSheetId="49">'300 &amp; 317'!$P$216:$P$219</definedName>
    <definedName name="OSRRefP22_5x_0" localSheetId="50">'301'!$P$48:$P$51</definedName>
    <definedName name="OSRRefP22_5x_0" localSheetId="52">'306'!$P$47</definedName>
    <definedName name="OSRRefP22_5x_0" localSheetId="54">'307'!$P$101</definedName>
    <definedName name="OSRRefP22_5x_0" localSheetId="56">'308'!$P$94</definedName>
    <definedName name="OSRRefP22_5x_0" localSheetId="69">'309'!$P$53:$P$54</definedName>
    <definedName name="OSRRefP22_5x_0" localSheetId="68">'310'!$P$61:$P$63</definedName>
    <definedName name="OSRRefP22_5x_0" localSheetId="76">'310 &amp; 491'!$P$69:$P$72</definedName>
    <definedName name="OSRRefP22_5x_0" localSheetId="57">'311'!$P$94</definedName>
    <definedName name="OSRRefP22_5x_0" localSheetId="70">'313'!$P$57</definedName>
    <definedName name="OSRRefP22_5x_0" localSheetId="55">'314'!$P$86</definedName>
    <definedName name="OSRRefP22_5x_0" localSheetId="61">'315'!$P$85:$P$86</definedName>
    <definedName name="OSRRefP22_5x_0" localSheetId="64">'316'!$P$61</definedName>
    <definedName name="OSRRefP22_5x_0" localSheetId="67">'317'!$P$88</definedName>
    <definedName name="OSRRefP22_5x_0" localSheetId="65">'320'!$P$58</definedName>
    <definedName name="OSRRefP22_5x_0" localSheetId="71">'321'!$P$52</definedName>
    <definedName name="OSRRefP22_5x_0" localSheetId="72">'322'!$P$53:$P$54</definedName>
    <definedName name="OSRRefP22_5x_0" localSheetId="73">'325'!$P$53:$P$55</definedName>
    <definedName name="OSRRefP22_5x_0" localSheetId="62">'326'!$P$85</definedName>
    <definedName name="OSRRefP22_5x_0" localSheetId="53">'330'!$P$109</definedName>
    <definedName name="OSRRefP22_5x_0" localSheetId="60">'331'!$P$100:$P$101</definedName>
    <definedName name="OSRRefP22_5x_0" localSheetId="63">'332'!$P$70</definedName>
    <definedName name="OSRRefP22_5x_0" localSheetId="78">'405'!$P$53:$P$55</definedName>
    <definedName name="OSRRefP22_5x_0" localSheetId="79">'406'!$P$54:$P$55</definedName>
    <definedName name="OSRRefP22_5x_0" localSheetId="80">'411'!$P$51</definedName>
    <definedName name="OSRRefP22_5x_0" localSheetId="81">'412'!$P$53:$P$55</definedName>
    <definedName name="OSRRefP22_5x_0" localSheetId="83">'413'!$P$54</definedName>
    <definedName name="OSRRefP22_5x_0" localSheetId="84">'414'!$P$54:$P$55</definedName>
    <definedName name="OSRRefP22_5x_0" localSheetId="85">'415'!$P$53:$P$55</definedName>
    <definedName name="OSRRefP22_5x_0" localSheetId="86">'418'!$P$54:$P$56</definedName>
    <definedName name="OSRRefP22_5x_0" localSheetId="82">'420'!$P$43:$P$44</definedName>
    <definedName name="OSRRefP22_5x_0" localSheetId="87">'423'!$P$48</definedName>
    <definedName name="OSRRefP22_5x_0" localSheetId="88">'424'!$P$52</definedName>
    <definedName name="OSRRefP22_5x_0" localSheetId="89">'425'!$P$56:$P$57</definedName>
    <definedName name="OSRRefP22_5x_0" localSheetId="92">'430'!$P$47</definedName>
    <definedName name="OSRRefP22_5x_0" localSheetId="93">'433'!$P$55</definedName>
    <definedName name="OSRRefP22_5x_0" localSheetId="94">'435'!$P$53</definedName>
    <definedName name="OSRRefP22_5x_0" localSheetId="95">'444'!$P$55</definedName>
    <definedName name="OSRRefP22_5x_0" localSheetId="96">'450'!$P$56</definedName>
    <definedName name="OSRRefP22_5x_0" localSheetId="77">'491'!$P$62:$P$65</definedName>
    <definedName name="OSRRefP22_5x_0" localSheetId="91">'492'!$P$58:$P$59</definedName>
    <definedName name="OSRRefP22_5x_0" localSheetId="98">'501'!$P$48</definedName>
    <definedName name="OSRRefP22_5x_0" localSheetId="39">'Div 2'!$P$50:$P$51</definedName>
    <definedName name="OSRRefP22_5x_0" localSheetId="47">'Div 3'!$P$197:$P$200</definedName>
    <definedName name="OSRRefP22_5x_0" localSheetId="75">'Div 4'!$P$64:$P$67</definedName>
    <definedName name="OSRRefP22_5x_0" localSheetId="97">'Div 5'!$P$48</definedName>
    <definedName name="OSRRefP22_5x_0" localSheetId="66">'Div 6'!$P$88</definedName>
    <definedName name="OSRRefP22_5x_0" localSheetId="2">Summary!$P$229:$P$232</definedName>
    <definedName name="OSRRefP22_6x_0" localSheetId="41">'201'!$P$50</definedName>
    <definedName name="OSRRefP22_6x_0" localSheetId="42">'202'!$P$49</definedName>
    <definedName name="OSRRefP22_6x_0" localSheetId="43">'203'!$P$50</definedName>
    <definedName name="OSRRefP22_6x_0" localSheetId="44">'204'!$P$52</definedName>
    <definedName name="OSRRefP22_6x_0" localSheetId="45">'205'!$P$50</definedName>
    <definedName name="OSRRefP22_6x_0" localSheetId="46">'206'!$P$49</definedName>
    <definedName name="OSRRefP22_6x_0" localSheetId="48">'300'!$P$196:$P$197</definedName>
    <definedName name="OSRRefP22_6x_0" localSheetId="49">'300 &amp; 317'!$P$221:$P$222</definedName>
    <definedName name="OSRRefP22_6x_0" localSheetId="50">'301'!$P$53:$P$54</definedName>
    <definedName name="OSRRefP22_6x_0" localSheetId="52">'306'!$P$49</definedName>
    <definedName name="OSRRefP22_6x_0" localSheetId="54">'307'!$P$103</definedName>
    <definedName name="OSRRefP22_6x_0" localSheetId="56">'308'!$P$96:$P$97</definedName>
    <definedName name="OSRRefP22_6x_0" localSheetId="69">'309'!$P$56</definedName>
    <definedName name="OSRRefP22_6x_0" localSheetId="68">'310'!$P$65</definedName>
    <definedName name="OSRRefP22_6x_0" localSheetId="76">'310 &amp; 491'!$P$74</definedName>
    <definedName name="OSRRefP22_6x_0" localSheetId="57">'311'!$P$96:$P$97</definedName>
    <definedName name="OSRRefP22_6x_0" localSheetId="70">'313'!$P$59</definedName>
    <definedName name="OSRRefP22_6x_0" localSheetId="55">'314'!$P$88</definedName>
    <definedName name="OSRRefP22_6x_0" localSheetId="61">'315'!$P$88</definedName>
    <definedName name="OSRRefP22_6x_0" localSheetId="64">'316'!$P$63</definedName>
    <definedName name="OSRRefP22_6x_0" localSheetId="67">'317'!$P$90</definedName>
    <definedName name="OSRRefP22_6x_0" localSheetId="65">'320'!$P$60</definedName>
    <definedName name="OSRRefP22_6x_0" localSheetId="71">'321'!$P$54</definedName>
    <definedName name="OSRRefP22_6x_0" localSheetId="72">'322'!$P$56</definedName>
    <definedName name="OSRRefP22_6x_0" localSheetId="73">'325'!$P$57</definedName>
    <definedName name="OSRRefP22_6x_0" localSheetId="62">'326'!$P$87</definedName>
    <definedName name="OSRRefP22_6x_0" localSheetId="53">'330'!$P$111</definedName>
    <definedName name="OSRRefP22_6x_0" localSheetId="60">'331'!$P$103</definedName>
    <definedName name="OSRRefP22_6x_0" localSheetId="63">'332'!$P$72</definedName>
    <definedName name="OSRRefP22_6x_0" localSheetId="78">'405'!$P$57</definedName>
    <definedName name="OSRRefP22_6x_0" localSheetId="79">'406'!$P$57</definedName>
    <definedName name="OSRRefP22_6x_0" localSheetId="80">'411'!$P$53</definedName>
    <definedName name="OSRRefP22_6x_0" localSheetId="81">'412'!$P$57</definedName>
    <definedName name="OSRRefP22_6x_0" localSheetId="83">'413'!$P$56</definedName>
    <definedName name="OSRRefP22_6x_0" localSheetId="84">'414'!$P$57</definedName>
    <definedName name="OSRRefP22_6x_0" localSheetId="85">'415'!$P$57</definedName>
    <definedName name="OSRRefP22_6x_0" localSheetId="86">'418'!$P$58</definedName>
    <definedName name="OSRRefP22_6x_0" localSheetId="82">'420'!$P$46</definedName>
    <definedName name="OSRRefP22_6x_0" localSheetId="88">'424'!$P$54</definedName>
    <definedName name="OSRRefP22_6x_0" localSheetId="89">'425'!$P$59</definedName>
    <definedName name="OSRRefP22_6x_0" localSheetId="92">'430'!$P$49</definedName>
    <definedName name="OSRRefP22_6x_0" localSheetId="93">'433'!$P$57</definedName>
    <definedName name="OSRRefP22_6x_0" localSheetId="94">'435'!$P$55</definedName>
    <definedName name="OSRRefP22_6x_0" localSheetId="95">'444'!$P$57</definedName>
    <definedName name="OSRRefP22_6x_0" localSheetId="96">'450'!$P$58</definedName>
    <definedName name="OSRRefP22_6x_0" localSheetId="77">'491'!$P$67</definedName>
    <definedName name="OSRRefP22_6x_0" localSheetId="91">'492'!$P$61</definedName>
    <definedName name="OSRRefP22_6x_0" localSheetId="98">'501'!$P$50</definedName>
    <definedName name="OSRRefP22_6x_0" localSheetId="39">'Div 2'!$P$53:$P$54</definedName>
    <definedName name="OSRRefP22_6x_0" localSheetId="47">'Div 3'!$P$202:$P$203</definedName>
    <definedName name="OSRRefP22_6x_0" localSheetId="75">'Div 4'!$P$69</definedName>
    <definedName name="OSRRefP22_6x_0" localSheetId="97">'Div 5'!$P$50</definedName>
    <definedName name="OSRRefP22_6x_0" localSheetId="66">'Div 6'!$P$90</definedName>
    <definedName name="OSRRefP22_6x_0" localSheetId="2">Summary!$P$234:$P$235</definedName>
    <definedName name="OSRRefP22_7x_0" localSheetId="41">'201'!$P$52</definedName>
    <definedName name="OSRRefP22_7x_0" localSheetId="42">'202'!$P$51</definedName>
    <definedName name="OSRRefP22_7x_0" localSheetId="43">'203'!$P$52</definedName>
    <definedName name="OSRRefP22_7x_0" localSheetId="44">'204'!$P$54:$P$57</definedName>
    <definedName name="OSRRefP22_7x_0" localSheetId="45">'205'!$P$52:$P$53</definedName>
    <definedName name="OSRRefP22_7x_0" localSheetId="46">'206'!$P$51:$P$52</definedName>
    <definedName name="OSRRefP22_7x_0" localSheetId="48">'300'!$P$199:$P$200</definedName>
    <definedName name="OSRRefP22_7x_0" localSheetId="49">'300 &amp; 317'!$P$224:$P$225</definedName>
    <definedName name="OSRRefP22_7x_0" localSheetId="50">'301'!$P$56:$P$57</definedName>
    <definedName name="OSRRefP22_7x_0" localSheetId="52">'306'!$P$51:$P$52</definedName>
    <definedName name="OSRRefP22_7x_0" localSheetId="54">'307'!$P$105</definedName>
    <definedName name="OSRRefP22_7x_0" localSheetId="56">'308'!$P$99</definedName>
    <definedName name="OSRRefP22_7x_0" localSheetId="69">'309'!$P$58</definedName>
    <definedName name="OSRRefP22_7x_0" localSheetId="68">'310'!$P$67</definedName>
    <definedName name="OSRRefP22_7x_0" localSheetId="76">'310 &amp; 491'!$P$76</definedName>
    <definedName name="OSRRefP22_7x_0" localSheetId="57">'311'!$P$99</definedName>
    <definedName name="OSRRefP22_7x_0" localSheetId="70">'313'!$P$61</definedName>
    <definedName name="OSRRefP22_7x_0" localSheetId="55">'314'!$P$90</definedName>
    <definedName name="OSRRefP22_7x_0" localSheetId="61">'315'!$P$90</definedName>
    <definedName name="OSRRefP22_7x_0" localSheetId="64">'316'!$P$65</definedName>
    <definedName name="OSRRefP22_7x_0" localSheetId="67">'317'!$P$92</definedName>
    <definedName name="OSRRefP22_7x_0" localSheetId="65">'320'!$P$62:$P$63</definedName>
    <definedName name="OSRRefP22_7x_0" localSheetId="71">'321'!$P$56</definedName>
    <definedName name="OSRRefP22_7x_0" localSheetId="72">'322'!$P$58</definedName>
    <definedName name="OSRRefP22_7x_0" localSheetId="73">'325'!$P$59</definedName>
    <definedName name="OSRRefP22_7x_0" localSheetId="62">'326'!$P$89</definedName>
    <definedName name="OSRRefP22_7x_0" localSheetId="53">'330'!$P$113</definedName>
    <definedName name="OSRRefP22_7x_0" localSheetId="60">'331'!$P$105</definedName>
    <definedName name="OSRRefP22_7x_0" localSheetId="63">'332'!$P$74:$P$75</definedName>
    <definedName name="OSRRefP22_7x_0" localSheetId="78">'405'!$P$59</definedName>
    <definedName name="OSRRefP22_7x_0" localSheetId="79">'406'!$P$59</definedName>
    <definedName name="OSRRefP22_7x_0" localSheetId="80">'411'!$P$55</definedName>
    <definedName name="OSRRefP22_7x_0" localSheetId="81">'412'!$P$59</definedName>
    <definedName name="OSRRefP22_7x_0" localSheetId="83">'413'!$P$58</definedName>
    <definedName name="OSRRefP22_7x_0" localSheetId="84">'414'!$P$59</definedName>
    <definedName name="OSRRefP22_7x_0" localSheetId="85">'415'!$P$59</definedName>
    <definedName name="OSRRefP22_7x_0" localSheetId="86">'418'!$P$60</definedName>
    <definedName name="OSRRefP22_7x_0" localSheetId="88">'424'!$P$56:$P$57</definedName>
    <definedName name="OSRRefP22_7x_0" localSheetId="89">'425'!$P$61</definedName>
    <definedName name="OSRRefP22_7x_0" localSheetId="92">'430'!$P$51:$P$53</definedName>
    <definedName name="OSRRefP22_7x_0" localSheetId="93">'433'!$P$59</definedName>
    <definedName name="OSRRefP22_7x_0" localSheetId="94">'435'!$P$57:$P$59</definedName>
    <definedName name="OSRRefP22_7x_0" localSheetId="95">'444'!$P$59</definedName>
    <definedName name="OSRRefP22_7x_0" localSheetId="96">'450'!$P$60</definedName>
    <definedName name="OSRRefP22_7x_0" localSheetId="77">'491'!$P$69</definedName>
    <definedName name="OSRRefP22_7x_0" localSheetId="91">'492'!$P$63</definedName>
    <definedName name="OSRRefP22_7x_0" localSheetId="98">'501'!$P$52</definedName>
    <definedName name="OSRRefP22_7x_0" localSheetId="39">'Div 2'!$P$56</definedName>
    <definedName name="OSRRefP22_7x_0" localSheetId="47">'Div 3'!$P$205:$P$206</definedName>
    <definedName name="OSRRefP22_7x_0" localSheetId="75">'Div 4'!$P$71:$P$72</definedName>
    <definedName name="OSRRefP22_7x_0" localSheetId="97">'Div 5'!$P$52</definedName>
    <definedName name="OSRRefP22_7x_0" localSheetId="66">'Div 6'!$P$92</definedName>
    <definedName name="OSRRefP22_7x_0" localSheetId="2">Summary!$P$237:$P$239</definedName>
    <definedName name="OSRRefP22_8x_0" localSheetId="41">'201'!$P$54</definedName>
    <definedName name="OSRRefP22_8x_0" localSheetId="42">'202'!$P$53</definedName>
    <definedName name="OSRRefP22_8x_0" localSheetId="43">'203'!$P$54</definedName>
    <definedName name="OSRRefP22_8x_0" localSheetId="44">'204'!$P$59</definedName>
    <definedName name="OSRRefP22_8x_0" localSheetId="45">'205'!$P$55</definedName>
    <definedName name="OSRRefP22_8x_0" localSheetId="46">'206'!$P$54</definedName>
    <definedName name="OSRRefP22_8x_0" localSheetId="48">'300'!$P$202</definedName>
    <definedName name="OSRRefP22_8x_0" localSheetId="49">'300 &amp; 317'!$P$227</definedName>
    <definedName name="OSRRefP22_8x_0" localSheetId="50">'301'!$P$59</definedName>
    <definedName name="OSRRefP22_8x_0" localSheetId="52">'306'!$P$54:$P$57</definedName>
    <definedName name="OSRRefP22_8x_0" localSheetId="54">'307'!$P$107:$P$108</definedName>
    <definedName name="OSRRefP22_8x_0" localSheetId="56">'308'!$P$101</definedName>
    <definedName name="OSRRefP22_8x_0" localSheetId="69">'309'!$P$60</definedName>
    <definedName name="OSRRefP22_8x_0" localSheetId="68">'310'!$P$69</definedName>
    <definedName name="OSRRefP22_8x_0" localSheetId="76">'310 &amp; 491'!$P$78</definedName>
    <definedName name="OSRRefP22_8x_0" localSheetId="57">'311'!$P$101</definedName>
    <definedName name="OSRRefP22_8x_0" localSheetId="70">'313'!$P$63</definedName>
    <definedName name="OSRRefP22_8x_0" localSheetId="55">'314'!$P$92</definedName>
    <definedName name="OSRRefP22_8x_0" localSheetId="61">'315'!$P$92</definedName>
    <definedName name="OSRRefP22_8x_0" localSheetId="64">'316'!$P$67</definedName>
    <definedName name="OSRRefP22_8x_0" localSheetId="67">'317'!$P$94</definedName>
    <definedName name="OSRRefP22_8x_0" localSheetId="65">'320'!$P$65</definedName>
    <definedName name="OSRRefP22_8x_0" localSheetId="71">'321'!$P$58</definedName>
    <definedName name="OSRRefP22_8x_0" localSheetId="72">'322'!$P$60</definedName>
    <definedName name="OSRRefP22_8x_0" localSheetId="73">'325'!$P$61</definedName>
    <definedName name="OSRRefP22_8x_0" localSheetId="62">'326'!$P$91</definedName>
    <definedName name="OSRRefP22_8x_0" localSheetId="53">'330'!$P$115</definedName>
    <definedName name="OSRRefP22_8x_0" localSheetId="60">'331'!$P$107:$P$108</definedName>
    <definedName name="OSRRefP22_8x_0" localSheetId="63">'332'!$P$77</definedName>
    <definedName name="OSRRefP22_8x_0" localSheetId="78">'405'!$P$61</definedName>
    <definedName name="OSRRefP22_8x_0" localSheetId="79">'406'!$P$61</definedName>
    <definedName name="OSRRefP22_8x_0" localSheetId="80">'411'!$P$57</definedName>
    <definedName name="OSRRefP22_8x_0" localSheetId="81">'412'!$P$61</definedName>
    <definedName name="OSRRefP22_8x_0" localSheetId="83">'413'!$P$60:$P$62</definedName>
    <definedName name="OSRRefP22_8x_0" localSheetId="84">'414'!$P$61</definedName>
    <definedName name="OSRRefP22_8x_0" localSheetId="85">'415'!$P$61</definedName>
    <definedName name="OSRRefP22_8x_0" localSheetId="86">'418'!$P$62</definedName>
    <definedName name="OSRRefP22_8x_0" localSheetId="88">'424'!$P$59:$P$60</definedName>
    <definedName name="OSRRefP22_8x_0" localSheetId="89">'425'!$P$63</definedName>
    <definedName name="OSRRefP22_8x_0" localSheetId="92">'430'!$P$55</definedName>
    <definedName name="OSRRefP22_8x_0" localSheetId="93">'433'!$P$61</definedName>
    <definedName name="OSRRefP22_8x_0" localSheetId="94">'435'!$P$61</definedName>
    <definedName name="OSRRefP22_8x_0" localSheetId="95">'444'!$P$61</definedName>
    <definedName name="OSRRefP22_8x_0" localSheetId="96">'450'!$P$62</definedName>
    <definedName name="OSRRefP22_8x_0" localSheetId="77">'491'!$P$71</definedName>
    <definedName name="OSRRefP22_8x_0" localSheetId="91">'492'!$P$65</definedName>
    <definedName name="OSRRefP22_8x_0" localSheetId="98">'501'!$P$54</definedName>
    <definedName name="OSRRefP22_8x_0" localSheetId="39">'Div 2'!$P$58</definedName>
    <definedName name="OSRRefP22_8x_0" localSheetId="47">'Div 3'!$P$208</definedName>
    <definedName name="OSRRefP22_8x_0" localSheetId="75">'Div 4'!$P$74</definedName>
    <definedName name="OSRRefP22_8x_0" localSheetId="97">'Div 5'!$P$54</definedName>
    <definedName name="OSRRefP22_8x_0" localSheetId="66">'Div 6'!$P$94</definedName>
    <definedName name="OSRRefP22_8x_0" localSheetId="2">Summary!$P$241</definedName>
    <definedName name="OSRRefP22_9x_0" localSheetId="41">'201'!$P$56</definedName>
    <definedName name="OSRRefP22_9x_0" localSheetId="42">'202'!$P$55:$P$57</definedName>
    <definedName name="OSRRefP22_9x_0" localSheetId="43">'203'!$P$56:$P$57</definedName>
    <definedName name="OSRRefP22_9x_0" localSheetId="44">'204'!$P$61:$P$62</definedName>
    <definedName name="OSRRefP22_9x_0" localSheetId="45">'205'!$P$57</definedName>
    <definedName name="OSRRefP22_9x_0" localSheetId="46">'206'!$P$56</definedName>
    <definedName name="OSRRefP22_9x_0" localSheetId="48">'300'!$P$204</definedName>
    <definedName name="OSRRefP22_9x_0" localSheetId="49">'300 &amp; 317'!$P$229</definedName>
    <definedName name="OSRRefP22_9x_0" localSheetId="50">'301'!$P$61</definedName>
    <definedName name="OSRRefP22_9x_0" localSheetId="52">'306'!$P$59</definedName>
    <definedName name="OSRRefP22_9x_0" localSheetId="54">'307'!$P$110:$P$111</definedName>
    <definedName name="OSRRefP22_9x_0" localSheetId="56">'308'!$P$103:$P$105</definedName>
    <definedName name="OSRRefP22_9x_0" localSheetId="69">'309'!$P$62:$P$63</definedName>
    <definedName name="OSRRefP22_9x_0" localSheetId="68">'310'!$P$71</definedName>
    <definedName name="OSRRefP22_9x_0" localSheetId="76">'310 &amp; 491'!$P$80</definedName>
    <definedName name="OSRRefP22_9x_0" localSheetId="57">'311'!$P$103:$P$105</definedName>
    <definedName name="OSRRefP22_9x_0" localSheetId="70">'313'!$P$65</definedName>
    <definedName name="OSRRefP22_9x_0" localSheetId="55">'314'!$P$94</definedName>
    <definedName name="OSRRefP22_9x_0" localSheetId="61">'315'!$P$94</definedName>
    <definedName name="OSRRefP22_9x_0" localSheetId="64">'316'!$P$69:$P$70</definedName>
    <definedName name="OSRRefP22_9x_0" localSheetId="67">'317'!$P$96:$P$97</definedName>
    <definedName name="OSRRefP22_9x_0" localSheetId="71">'321'!$P$60:$P$62</definedName>
    <definedName name="OSRRefP22_9x_0" localSheetId="72">'322'!$P$62:$P$64</definedName>
    <definedName name="OSRRefP22_9x_0" localSheetId="73">'325'!$P$63</definedName>
    <definedName name="OSRRefP22_9x_0" localSheetId="62">'326'!$P$93</definedName>
    <definedName name="OSRRefP22_9x_0" localSheetId="53">'330'!$P$117:$P$118</definedName>
    <definedName name="OSRRefP22_9x_0" localSheetId="60">'331'!$P$110</definedName>
    <definedName name="OSRRefP22_9x_0" localSheetId="63">'332'!$P$79</definedName>
    <definedName name="OSRRefP22_9x_0" localSheetId="78">'405'!$P$63</definedName>
    <definedName name="OSRRefP22_9x_0" localSheetId="79">'406'!$P$63:$P$65</definedName>
    <definedName name="OSRRefP22_9x_0" localSheetId="80">'411'!$P$59</definedName>
    <definedName name="OSRRefP22_9x_0" localSheetId="81">'412'!$P$63:$P$64</definedName>
    <definedName name="OSRRefP22_9x_0" localSheetId="83">'413'!$P$64:$P$65</definedName>
    <definedName name="OSRRefP22_9x_0" localSheetId="84">'414'!$P$63:$P$64</definedName>
    <definedName name="OSRRefP22_9x_0" localSheetId="85">'415'!$P$63</definedName>
    <definedName name="OSRRefP22_9x_0" localSheetId="86">'418'!$P$64</definedName>
    <definedName name="OSRRefP22_9x_0" localSheetId="88">'424'!$P$62</definedName>
    <definedName name="OSRRefP22_9x_0" localSheetId="89">'425'!$P$65:$P$67</definedName>
    <definedName name="OSRRefP22_9x_0" localSheetId="92">'430'!$P$57</definedName>
    <definedName name="OSRRefP22_9x_0" localSheetId="93">'433'!$P$63</definedName>
    <definedName name="OSRRefP22_9x_0" localSheetId="95">'444'!$P$63</definedName>
    <definedName name="OSRRefP22_9x_0" localSheetId="96">'450'!$P$64</definedName>
    <definedName name="OSRRefP22_9x_0" localSheetId="77">'491'!$P$73</definedName>
    <definedName name="OSRRefP22_9x_0" localSheetId="91">'492'!$P$67</definedName>
    <definedName name="OSRRefP22_9x_0" localSheetId="98">'501'!$P$56</definedName>
    <definedName name="OSRRefP22_9x_0" localSheetId="39">'Div 2'!$P$60</definedName>
    <definedName name="OSRRefP22_9x_0" localSheetId="47">'Div 3'!$P$210</definedName>
    <definedName name="OSRRefP22_9x_0" localSheetId="75">'Div 4'!$P$76</definedName>
    <definedName name="OSRRefP22_9x_0" localSheetId="97">'Div 5'!$P$56</definedName>
    <definedName name="OSRRefP22_9x_0" localSheetId="66">'Div 6'!$P$96:$P$97</definedName>
    <definedName name="OSRRefP22_9x_0" localSheetId="2">Summary!$P$243</definedName>
    <definedName name="OSRRefP22x_0" localSheetId="40">'200'!$P$20,'200'!$P$22,'200'!$P$24,'200'!$P$26,'200'!$P$28:$P$29</definedName>
    <definedName name="OSRRefP22x_0" localSheetId="41">'201'!$P$20:$P$28,'201'!$P$30:$P$39,'201'!$P$41,'201'!$P$43,'201'!$P$45:$P$46,'201'!$P$48,'201'!$P$50,'201'!$P$52,'201'!$P$54,'201'!$P$56,'201'!$P$58:$P$60,'201'!$P$62:$P$64,'201'!$P$66,'201'!$P$68:$P$70,'201'!$P$72,'201'!$P$74,'201'!$P$76:$P$77</definedName>
    <definedName name="OSRRefP22x_0" localSheetId="42">'202'!$P$20:$P$28,'202'!$P$30:$P$39,'202'!$P$41,'202'!$P$43,'202'!$P$45,'202'!$P$47,'202'!$P$49,'202'!$P$51,'202'!$P$53,'202'!$P$55:$P$57,'202'!$P$59,'202'!$P$61:$P$63,'202'!$P$65,'202'!$P$67,'202'!$P$69:$P$70,'202'!$P$72,'202'!$P$74</definedName>
    <definedName name="OSRRefP22x_0" localSheetId="43">'203'!$P$20:$P$29,'203'!$P$31:$P$40,'203'!$P$42,'203'!$P$44,'203'!$P$46,'203'!$P$48,'203'!$P$50,'203'!$P$52,'203'!$P$54,'203'!$P$56:$P$57,'203'!$P$59:$P$60,'203'!$P$62,'203'!$P$64:$P$66,'203'!$P$68,'203'!$P$70,'203'!$P$72</definedName>
    <definedName name="OSRRefP22x_0" localSheetId="44">'204'!$P$21:$P$30,'204'!$P$32:$P$41,'204'!$P$43,'204'!$P$45:$P$46,'204'!$P$48,'204'!$P$50,'204'!$P$52,'204'!$P$54:$P$57,'204'!$P$59,'204'!$P$61:$P$62,'204'!$P$64:$P$65,'204'!$P$67,'204'!$P$69:$P$70</definedName>
    <definedName name="OSRRefP22x_0" localSheetId="45">'205'!$P$20:$P$28,'205'!$P$30:$P$39,'205'!$P$41,'205'!$P$43,'205'!$P$45,'205'!$P$47:$P$48,'205'!$P$50,'205'!$P$52:$P$53,'205'!$P$55,'205'!$P$57</definedName>
    <definedName name="OSRRefP22x_0" localSheetId="46">'206'!$P$20:$P$28,'206'!$P$30:$P$39,'206'!$P$41,'206'!$P$43,'206'!$P$45,'206'!$P$47,'206'!$P$49,'206'!$P$51:$P$52,'206'!$P$54,'206'!$P$56,'206'!$P$58</definedName>
    <definedName name="OSRRefP22x_0" localSheetId="48">'300'!$P$162:$P$171,'300'!$P$173:$P$182,'300'!$P$184,'300'!$P$186:$P$187,'300'!$P$189,'300'!$P$191:$P$194,'300'!$P$196:$P$197,'300'!$P$199:$P$200,'300'!$P$202,'300'!$P$204,'300'!$P$206:$P$207,'300'!$P$209,'300'!$P$211,'300'!$P$213,'300'!$P$215,'300'!$P$217,'300'!$P$219:$P$222,'300'!$P$224:$P$227,'300'!$P$229:$P$232,'300'!$P$234:$P$235,'300'!$P$237:$P$243,'300'!$P$245:$P$246,'300'!$P$248,'300'!$P$250:$P$252,'300'!$P$254</definedName>
    <definedName name="OSRRefP22x_0" localSheetId="49">'300 &amp; 317'!$P$187:$P$196,'300 &amp; 317'!$P$198:$P$207,'300 &amp; 317'!$P$209,'300 &amp; 317'!$P$211:$P$212,'300 &amp; 317'!$P$214,'300 &amp; 317'!$P$216:$P$219,'300 &amp; 317'!$P$221:$P$222,'300 &amp; 317'!$P$224:$P$225,'300 &amp; 317'!$P$227,'300 &amp; 317'!$P$229,'300 &amp; 317'!$P$231:$P$232,'300 &amp; 317'!$P$234,'300 &amp; 317'!$P$236,'300 &amp; 317'!$P$238,'300 &amp; 317'!$P$240,'300 &amp; 317'!$P$242,'300 &amp; 317'!$P$244:$P$247,'300 &amp; 317'!$P$249:$P$252,'300 &amp; 317'!$P$254:$P$257,'300 &amp; 317'!$P$259:$P$260,'300 &amp; 317'!$P$262:$P$268,'300 &amp; 317'!$P$270:$P$271,'300 &amp; 317'!$P$273,'300 &amp; 317'!$P$275:$P$277,'300 &amp; 317'!$P$279</definedName>
    <definedName name="OSRRefP22x_0" localSheetId="50">'301'!$P$20:$P$28,'301'!$P$30:$P$39,'301'!$P$41,'301'!$P$43:$P$44,'301'!$P$46,'301'!$P$48:$P$51,'301'!$P$53:$P$54,'301'!$P$56:$P$57,'301'!$P$59,'301'!$P$61,'301'!$P$63,'301'!$P$65,'301'!$P$67,'301'!$P$69,'301'!$P$71,'301'!$P$73:$P$76,'301'!$P$78:$P$80,'301'!$P$82:$P$83,'301'!$P$85:$P$90,'301'!$P$92,'301'!$P$94,'301'!$P$96:$P$98,'301'!$P$100</definedName>
    <definedName name="OSRRefP22x_0" localSheetId="52">'306'!$P$20:$P$28,'306'!$P$30:$P$39,'306'!$P$41,'306'!$P$43,'306'!$P$45,'306'!$P$47,'306'!$P$49,'306'!$P$51:$P$52,'306'!$P$54:$P$57,'306'!$P$59,'306'!$P$61</definedName>
    <definedName name="OSRRefP22x_0" localSheetId="54">'307'!$P$73:$P$81,'307'!$P$83:$P$92,'307'!$P$94,'307'!$P$96,'307'!$P$98:$P$99,'307'!$P$101,'307'!$P$103,'307'!$P$105,'307'!$P$107:$P$108,'307'!$P$110:$P$111,'307'!$P$113:$P$115,'307'!$P$117,'307'!$P$119</definedName>
    <definedName name="OSRRefP22x_0" localSheetId="56">'308'!$P$65:$P$74,'308'!$P$76:$P$85,'308'!$P$87,'308'!$P$89:$P$90,'308'!$P$92,'308'!$P$94,'308'!$P$96:$P$97,'308'!$P$99,'308'!$P$101,'308'!$P$103:$P$105,'308'!$P$107,'308'!$P$109:$P$111,'308'!$P$113:$P$114,'308'!$P$116,'308'!$P$118:$P$119</definedName>
    <definedName name="OSRRefP22x_0" localSheetId="69">'309'!$P$26:$P$34,'309'!$P$36:$P$45,'309'!$P$47,'309'!$P$49,'309'!$P$51,'309'!$P$53:$P$54,'309'!$P$56,'309'!$P$58,'309'!$P$60,'309'!$P$62:$P$63,'309'!$P$65:$P$67,'309'!$P$69:$P$71,'309'!$P$73,'309'!$P$75</definedName>
    <definedName name="OSRRefP22x_0" localSheetId="68">'310'!$P$34:$P$42,'310'!$P$44:$P$53,'310'!$P$55,'310'!$P$57,'310'!$P$59,'310'!$P$61:$P$63,'310'!$P$65,'310'!$P$67,'310'!$P$69,'310'!$P$71,'310'!$P$73,'310'!$P$75,'310'!$P$77,'310'!$P$79,'310'!$P$81,'310'!$P$83:$P$85,'310'!$P$87:$P$88,'310'!$P$90:$P$94,'310'!$P$96,'310'!$P$98:$P$106,'310'!$P$108,'310'!$P$110,'310'!$P$112,'310'!$P$114</definedName>
    <definedName name="OSRRefP22x_0" localSheetId="76">'310 &amp; 491'!$P$41:$P$50,'310 &amp; 491'!$P$52:$P$61,'310 &amp; 491'!$P$63,'310 &amp; 491'!$P$65,'310 &amp; 491'!$P$67,'310 &amp; 491'!$P$69:$P$72,'310 &amp; 491'!$P$74,'310 &amp; 491'!$P$76,'310 &amp; 491'!$P$78,'310 &amp; 491'!$P$80,'310 &amp; 491'!$P$82,'310 &amp; 491'!$P$84:$P$85,'310 &amp; 491'!$P$87,'310 &amp; 491'!$P$89,'310 &amp; 491'!$P$91,'310 &amp; 491'!$P$93,'310 &amp; 491'!$P$95,'310 &amp; 491'!$P$97:$P$100,'310 &amp; 491'!$P$102:$P$104,'310 &amp; 491'!$P$106:$P$111,'310 &amp; 491'!$P$113:$P$114,'310 &amp; 491'!$P$116:$P$125,'310 &amp; 491'!$P$127:$P$128,'310 &amp; 491'!$P$130,'310 &amp; 491'!$P$132:$P$134,'310 &amp; 491'!$P$136</definedName>
    <definedName name="OSRRefP22x_0" localSheetId="57">'311'!$P$65:$P$74,'311'!$P$76:$P$85,'311'!$P$87,'311'!$P$89:$P$90,'311'!$P$92,'311'!$P$94,'311'!$P$96:$P$97,'311'!$P$99,'311'!$P$101,'311'!$P$103:$P$105,'311'!$P$107,'311'!$P$109:$P$111,'311'!$P$113:$P$114,'311'!$P$116,'311'!$P$118:$P$119</definedName>
    <definedName name="OSRRefP22x_0" localSheetId="70">'313'!$P$30:$P$38,'313'!$P$40:$P$49,'313'!$P$51,'313'!$P$53,'313'!$P$55,'313'!$P$57,'313'!$P$59,'313'!$P$61,'313'!$P$63,'313'!$P$65,'313'!$P$67:$P$69,'313'!$P$71,'313'!$P$73:$P$77,'313'!$P$79,'313'!$P$81</definedName>
    <definedName name="OSRRefP22x_0" localSheetId="55">'314'!$P$58:$P$66,'314'!$P$68:$P$77,'314'!$P$79,'314'!$P$81:$P$82,'314'!$P$84,'314'!$P$86,'314'!$P$88,'314'!$P$90,'314'!$P$92,'314'!$P$94</definedName>
    <definedName name="OSRRefP22x_0" localSheetId="61">'315'!$P$57:$P$65,'315'!$P$67:$P$76,'315'!$P$78,'315'!$P$80:$P$81,'315'!$P$83,'315'!$P$85:$P$86,'315'!$P$88,'315'!$P$90,'315'!$P$92,'315'!$P$94,'315'!$P$96:$P$98,'315'!$P$100:$P$101,'315'!$P$103:$P$107,'315'!$P$109,'315'!$P$111,'315'!$P$113:$P$114</definedName>
    <definedName name="OSRRefP22x_0" localSheetId="64">'316'!$P$34:$P$42,'316'!$P$44:$P$53,'316'!$P$55,'316'!$P$57,'316'!$P$59,'316'!$P$61,'316'!$P$63,'316'!$P$65,'316'!$P$67,'316'!$P$69:$P$70,'316'!$P$72:$P$73,'316'!$P$75:$P$79,'316'!$P$81:$P$82,'316'!$P$84</definedName>
    <definedName name="OSRRefP22x_0" localSheetId="67">'317'!$P$60:$P$69,'317'!$P$71:$P$80,'317'!$P$82,'317'!$P$84,'317'!$P$86,'317'!$P$88,'317'!$P$90,'317'!$P$92,'317'!$P$94,'317'!$P$96:$P$97,'317'!$P$99:$P$100,'317'!$P$102,'317'!$P$104</definedName>
    <definedName name="OSRRefP22x_0" localSheetId="65">'320'!$P$31:$P$38,'320'!$P$40:$P$49,'320'!$P$51,'320'!$P$53,'320'!$P$55:$P$56,'320'!$P$58,'320'!$P$60,'320'!$P$62:$P$63,'320'!$P$65</definedName>
    <definedName name="OSRRefP22x_0" localSheetId="71">'321'!$P$26:$P$33,'321'!$P$35:$P$44,'321'!$P$46,'321'!$P$48,'321'!$P$50,'321'!$P$52,'321'!$P$54,'321'!$P$56,'321'!$P$58,'321'!$P$60:$P$62,'321'!$P$64:$P$65,'321'!$P$67:$P$69,'321'!$P$71:$P$73,'321'!$P$75,'321'!$P$77</definedName>
    <definedName name="OSRRefP22x_0" localSheetId="72">'322'!$P$26:$P$34,'322'!$P$36:$P$45,'322'!$P$47,'322'!$P$49,'322'!$P$51,'322'!$P$53:$P$54,'322'!$P$56,'322'!$P$58,'322'!$P$60,'322'!$P$62:$P$64,'322'!$P$66:$P$68,'322'!$P$70:$P$75,'322'!$P$77,'322'!$P$79</definedName>
    <definedName name="OSRRefP22x_0" localSheetId="73">'325'!$P$26:$P$34,'325'!$P$36:$P$45,'325'!$P$47,'325'!$P$49,'325'!$P$51,'325'!$P$53:$P$55,'325'!$P$57,'325'!$P$59,'325'!$P$61,'325'!$P$63,'325'!$P$65,'325'!$P$67:$P$69,'325'!$P$71:$P$74,'325'!$P$76,'325'!$P$78:$P$84,'325'!$P$86,'325'!$P$88,'325'!$P$90,'325'!$P$92</definedName>
    <definedName name="OSRRefP22x_0" localSheetId="62">'326'!$P$57:$P$65,'326'!$P$67:$P$76,'326'!$P$78,'326'!$P$80:$P$81,'326'!$P$83,'326'!$P$85,'326'!$P$87,'326'!$P$89,'326'!$P$91,'326'!$P$93,'326'!$P$95,'326'!$P$97,'326'!$P$99,'326'!$P$101:$P$102,'326'!$P$104:$P$106,'326'!$P$108:$P$109,'326'!$P$111:$P$116,'326'!$P$118:$P$119,'326'!$P$121,'326'!$P$123,'326'!$P$125</definedName>
    <definedName name="OSRRefP22x_0" localSheetId="74">'327'!$P$24,'327'!$P$26,'327'!$P$28</definedName>
    <definedName name="OSRRefP22x_0" localSheetId="53">'330'!$P$81:$P$89,'330'!$P$91:$P$100,'330'!$P$102,'330'!$P$104,'330'!$P$106:$P$107,'330'!$P$109,'330'!$P$111,'330'!$P$113,'330'!$P$115,'330'!$P$117:$P$118,'330'!$P$120:$P$121,'330'!$P$123,'330'!$P$125:$P$127,'330'!$P$129,'330'!$P$131,'330'!$P$133</definedName>
    <definedName name="OSRRefP22x_0" localSheetId="60">'331'!$P$72:$P$80,'331'!$P$82:$P$91,'331'!$P$93,'331'!$P$95:$P$96,'331'!$P$98,'331'!$P$100:$P$101,'331'!$P$103,'331'!$P$105,'331'!$P$107:$P$108,'331'!$P$110,'331'!$P$112,'331'!$P$114,'331'!$P$116,'331'!$P$118,'331'!$P$120:$P$121,'331'!$P$123:$P$125,'331'!$P$127:$P$129,'331'!$P$131:$P$132,'331'!$P$134:$P$139,'331'!$P$141:$P$142,'331'!$P$144,'331'!$P$146:$P$147,'331'!$P$149</definedName>
    <definedName name="OSRRefP22x_0" localSheetId="63">'332'!$P$43:$P$51,'332'!$P$53:$P$62,'332'!$P$64,'332'!$P$66,'332'!$P$68,'332'!$P$70,'332'!$P$72,'332'!$P$74:$P$75,'332'!$P$77,'332'!$P$79,'332'!$P$81:$P$82,'332'!$P$84:$P$85,'332'!$P$87:$P$91,'332'!$P$93:$P$94,'332'!$P$96</definedName>
    <definedName name="OSRRefP22x_0" localSheetId="78">'405'!$P$26:$P$34,'405'!$P$36:$P$45,'405'!$P$47,'405'!$P$49,'405'!$P$51,'405'!$P$53:$P$55,'405'!$P$57,'405'!$P$59,'405'!$P$61,'405'!$P$63,'405'!$P$65,'405'!$P$67:$P$69,'405'!$P$71,'405'!$P$73:$P$75,'405'!$P$77:$P$78,'405'!$P$80:$P$88,'405'!$P$90,'405'!$P$92,'405'!$P$94,'405'!$P$96</definedName>
    <definedName name="OSRRefP22x_0" localSheetId="79">'406'!$P$27:$P$35,'406'!$P$37:$P$46,'406'!$P$48,'406'!$P$50,'406'!$P$52,'406'!$P$54:$P$55,'406'!$P$57,'406'!$P$59,'406'!$P$61,'406'!$P$63:$P$65,'406'!$P$67:$P$69,'406'!$P$71:$P$76,'406'!$P$78:$P$79,'406'!$P$81,'406'!$P$83</definedName>
    <definedName name="OSRRefP22x_0" localSheetId="80">'411'!$P$20:$P$29,'411'!$P$31:$P$40,'411'!$P$42,'411'!$P$44:$P$47,'411'!$P$49,'411'!$P$51,'411'!$P$53,'411'!$P$55,'411'!$P$57,'411'!$P$59,'411'!$P$61:$P$63,'411'!$P$65:$P$69,'411'!$P$71,'411'!$P$73:$P$79,'411'!$P$81,'411'!$P$83,'411'!$P$85:$P$87,'411'!$P$89</definedName>
    <definedName name="OSRRefP22x_0" localSheetId="81">'412'!$P$26:$P$34,'412'!$P$36:$P$45,'412'!$P$47,'412'!$P$49,'412'!$P$51,'412'!$P$53:$P$55,'412'!$P$57,'412'!$P$59,'412'!$P$61,'412'!$P$63:$P$64,'412'!$P$66,'412'!$P$68:$P$70,'412'!$P$72:$P$77,'412'!$P$79,'412'!$P$81</definedName>
    <definedName name="OSRRefP22x_0" localSheetId="83">'413'!$P$27:$P$35,'413'!$P$37:$P$46,'413'!$P$48,'413'!$P$50,'413'!$P$52,'413'!$P$54,'413'!$P$56,'413'!$P$58,'413'!$P$60:$P$62,'413'!$P$64:$P$65,'413'!$P$67:$P$73,'413'!$P$75:$P$76,'413'!$P$78</definedName>
    <definedName name="OSRRefP22x_0" localSheetId="84">'414'!$P$27:$P$35,'414'!$P$37:$P$46,'414'!$P$48,'414'!$P$50,'414'!$P$52,'414'!$P$54:$P$55,'414'!$P$57,'414'!$P$59,'414'!$P$61,'414'!$P$63:$P$64,'414'!$P$66,'414'!$P$68,'414'!$P$70,'414'!$P$72:$P$78,'414'!$P$80,'414'!$P$82</definedName>
    <definedName name="OSRRefP22x_0" localSheetId="85">'415'!$P$26:$P$34,'415'!$P$36:$P$45,'415'!$P$47,'415'!$P$49,'415'!$P$51,'415'!$P$53:$P$55,'415'!$P$57,'415'!$P$59,'415'!$P$61,'415'!$P$63,'415'!$P$65,'415'!$P$67:$P$70,'415'!$P$72:$P$76,'415'!$P$78:$P$79,'415'!$P$81:$P$88,'415'!$P$90,'415'!$P$92,'415'!$P$94:$P$95,'415'!$P$97</definedName>
    <definedName name="OSRRefP22x_0" localSheetId="86">'418'!$P$27:$P$35,'418'!$P$37:$P$46,'418'!$P$48,'418'!$P$50,'418'!$P$52,'418'!$P$54:$P$56,'418'!$P$58,'418'!$P$60,'418'!$P$62,'418'!$P$64,'418'!$P$66:$P$67,'418'!$P$69:$P$71,'418'!$P$73:$P$75,'418'!$P$77:$P$78,'418'!$P$80:$P$86,'418'!$P$88,'418'!$P$90,'418'!$P$92</definedName>
    <definedName name="OSRRefP22x_0" localSheetId="82">'420'!$P$23:$P$30,'420'!$P$32:$P$35,'420'!$P$37,'420'!$P$39,'420'!$P$41,'420'!$P$43:$P$44,'420'!$P$46</definedName>
    <definedName name="OSRRefP22x_0" localSheetId="87">'423'!$P$21:$P$29,'423'!$P$31:$P$40,'423'!$P$42,'423'!$P$44,'423'!$P$46,'423'!$P$48</definedName>
    <definedName name="OSRRefP22x_0" localSheetId="88">'424'!$P$26:$P$33,'424'!$P$35:$P$44,'424'!$P$46,'424'!$P$48,'424'!$P$50,'424'!$P$52,'424'!$P$54,'424'!$P$56:$P$57,'424'!$P$59:$P$60,'424'!$P$62,'424'!$P$64:$P$67,'424'!$P$69:$P$70</definedName>
    <definedName name="OSRRefP22x_0" localSheetId="89">'425'!$P$28:$P$37,'425'!$P$39:$P$48,'425'!$P$50,'425'!$P$52,'425'!$P$54,'425'!$P$56:$P$57,'425'!$P$59,'425'!$P$61,'425'!$P$63,'425'!$P$65:$P$67,'425'!$P$69:$P$70,'425'!$P$72:$P$73,'425'!$P$75:$P$81,'425'!$P$83:$P$84,'425'!$P$86,'425'!$P$88</definedName>
    <definedName name="OSRRefP22x_0" localSheetId="92">'430'!$P$20:$P$28,'430'!$P$30:$P$39,'430'!$P$41,'430'!$P$43,'430'!$P$45,'430'!$P$47,'430'!$P$49,'430'!$P$51:$P$53,'430'!$P$55,'430'!$P$57,'430'!$P$59</definedName>
    <definedName name="OSRRefP22x_0" localSheetId="93">'433'!$P$27:$P$36,'433'!$P$38:$P$47,'433'!$P$49,'433'!$P$51,'433'!$P$53,'433'!$P$55,'433'!$P$57,'433'!$P$59,'433'!$P$61,'433'!$P$63,'433'!$P$65:$P$67,'433'!$P$69:$P$72,'433'!$P$74:$P$81,'433'!$P$83,'433'!$P$85,'433'!$P$87:$P$88</definedName>
    <definedName name="OSRRefP22x_0" localSheetId="94">'435'!$P$27:$P$34,'435'!$P$36:$P$45,'435'!$P$47,'435'!$P$49,'435'!$P$51,'435'!$P$53,'435'!$P$55,'435'!$P$57:$P$59,'435'!$P$61</definedName>
    <definedName name="OSRRefP22x_0" localSheetId="95">'444'!$P$27:$P$36,'444'!$P$38:$P$47,'444'!$P$49,'444'!$P$51,'444'!$P$53,'444'!$P$55,'444'!$P$57,'444'!$P$59,'444'!$P$61,'444'!$P$63,'444'!$P$65,'444'!$P$67:$P$69,'444'!$P$71:$P$74,'444'!$P$76:$P$83,'444'!$P$85,'444'!$P$87,'444'!$P$89</definedName>
    <definedName name="OSRRefP22x_0" localSheetId="96">'450'!$P$27:$P$36,'450'!$P$38:$P$47,'450'!$P$49,'450'!$P$51:$P$52,'450'!$P$54,'450'!$P$56,'450'!$P$58,'450'!$P$60,'450'!$P$62,'450'!$P$64,'450'!$P$66,'450'!$P$68:$P$70,'450'!$P$72:$P$74,'450'!$P$76:$P$81,'450'!$P$83,'450'!$P$85,'450'!$P$87:$P$88</definedName>
    <definedName name="OSRRefP22x_0" localSheetId="90">'455'!$P$20:$P$27,'455'!$P$29:$P$38</definedName>
    <definedName name="OSRRefP22x_0" localSheetId="77">'491'!$P$34:$P$43,'491'!$P$45:$P$54,'491'!$P$56,'491'!$P$58,'491'!$P$60,'491'!$P$62:$P$65,'491'!$P$67,'491'!$P$69,'491'!$P$71,'491'!$P$73,'491'!$P$75:$P$76,'491'!$P$78,'491'!$P$80,'491'!$P$82,'491'!$P$84,'491'!$P$86:$P$89,'491'!$P$91:$P$93,'491'!$P$95:$P$99,'491'!$P$101:$P$102,'491'!$P$104:$P$113,'491'!$P$115:$P$116,'491'!$P$118,'491'!$P$120:$P$122,'491'!$P$124</definedName>
    <definedName name="OSRRefP22x_0" localSheetId="91">'492'!$P$29:$P$38,'492'!$P$40:$P$49,'492'!$P$51,'492'!$P$53:$P$54,'492'!$P$56,'492'!$P$58:$P$59,'492'!$P$61,'492'!$P$63,'492'!$P$65,'492'!$P$67,'492'!$P$69,'492'!$P$71,'492'!$P$73:$P$76,'492'!$P$78:$P$81,'492'!$P$83:$P$91,'492'!$P$93,'492'!$P$95,'492'!$P$97:$P$98</definedName>
    <definedName name="OSRRefP22x_0" localSheetId="98">'501'!$P$21:$P$29,'501'!$P$31:$P$40,'501'!$P$42,'501'!$P$44,'501'!$P$46,'501'!$P$48,'501'!$P$50,'501'!$P$52,'501'!$P$54,'501'!$P$56,'501'!$P$58:$P$60,'501'!$P$62,'501'!$P$64:$P$66,'501'!$P$68,'501'!$P$70</definedName>
    <definedName name="OSRRefP22x_0" localSheetId="39">'Div 2'!$P$21:$P$31,'Div 2'!$P$33:$P$42,'Div 2'!$P$44,'Div 2'!$P$46,'Div 2'!$P$48,'Div 2'!$P$50:$P$51,'Div 2'!$P$53:$P$54,'Div 2'!$P$56,'Div 2'!$P$58,'Div 2'!$P$60,'Div 2'!$P$62,'Div 2'!$P$64,'Div 2'!$P$66:$P$68,'Div 2'!$P$70:$P$73,'Div 2'!$P$75:$P$78,'Div 2'!$P$80:$P$81,'Div 2'!$P$83:$P$84,'Div 2'!$P$86:$P$90,'Div 2'!$P$92:$P$93,'Div 2'!$P$95,'Div 2'!$P$97:$P$98</definedName>
    <definedName name="OSRRefP22x_0" localSheetId="47">'Div 3'!$P$168:$P$177,'Div 3'!$P$179:$P$188,'Div 3'!$P$190,'Div 3'!$P$192:$P$193,'Div 3'!$P$195,'Div 3'!$P$197:$P$200,'Div 3'!$P$202:$P$203,'Div 3'!$P$205:$P$206,'Div 3'!$P$208,'Div 3'!$P$210,'Div 3'!$P$212:$P$213,'Div 3'!$P$215,'Div 3'!$P$217,'Div 3'!$P$219,'Div 3'!$P$221,'Div 3'!$P$223,'Div 3'!$P$225,'Div 3'!$P$227,'Div 3'!$P$229:$P$232,'Div 3'!$P$234:$P$237,'Div 3'!$P$239:$P$244,'Div 3'!$P$246:$P$247,'Div 3'!$P$249:$P$257,'Div 3'!$P$259:$P$260,'Div 3'!$P$262,'Div 3'!$P$264:$P$266,'Div 3'!$P$268</definedName>
    <definedName name="OSRRefP22x_0" localSheetId="75">'Div 4'!$P$35:$P$44,'Div 4'!$P$46:$P$55,'Div 4'!$P$57,'Div 4'!$P$59:$P$60,'Div 4'!$P$62,'Div 4'!$P$64:$P$67,'Div 4'!$P$69,'Div 4'!$P$71:$P$72,'Div 4'!$P$74,'Div 4'!$P$76,'Div 4'!$P$78,'Div 4'!$P$80:$P$81,'Div 4'!$P$83,'Div 4'!$P$85,'Div 4'!$P$87,'Div 4'!$P$89,'Div 4'!$P$91,'Div 4'!$P$93:$P$96,'Div 4'!$P$98:$P$100,'Div 4'!$P$102:$P$106,'Div 4'!$P$108:$P$109,'Div 4'!$P$111:$P$120,'Div 4'!$P$122:$P$123,'Div 4'!$P$125,'Div 4'!$P$127:$P$129,'Div 4'!$P$131</definedName>
    <definedName name="OSRRefP22x_0" localSheetId="97">'Div 5'!$P$21:$P$29,'Div 5'!$P$31:$P$40,'Div 5'!$P$42,'Div 5'!$P$44,'Div 5'!$P$46,'Div 5'!$P$48,'Div 5'!$P$50,'Div 5'!$P$52,'Div 5'!$P$54,'Div 5'!$P$56,'Div 5'!$P$58:$P$60,'Div 5'!$P$62,'Div 5'!$P$64:$P$66,'Div 5'!$P$68,'Div 5'!$P$70</definedName>
    <definedName name="OSRRefP22x_0" localSheetId="66">'Div 6'!$P$60:$P$69,'Div 6'!$P$71:$P$80,'Div 6'!$P$82,'Div 6'!$P$84,'Div 6'!$P$86,'Div 6'!$P$88,'Div 6'!$P$90,'Div 6'!$P$92,'Div 6'!$P$94,'Div 6'!$P$96:$P$97,'Div 6'!$P$99:$P$100,'Div 6'!$P$102,'Div 6'!$P$104</definedName>
    <definedName name="OSRRefP22x_0" localSheetId="2">Summary!$P$200:$P$209,Summary!$P$211:$P$220,Summary!$P$222,Summary!$P$224:$P$225,Summary!$P$227,Summary!$P$229:$P$232,Summary!$P$234:$P$235,Summary!$P$237:$P$239,Summary!$P$241,Summary!$P$243,Summary!$P$245:$P$246,Summary!$P$248:$P$249,Summary!$P$251,Summary!$P$253,Summary!$P$255,Summary!$P$257,Summary!$P$259,Summary!$P$261,Summary!$P$263:$P$266,Summary!$P$268:$P$271,Summary!$P$273:$P$278,Summary!$P$280:$P$281,Summary!$P$283:$P$292,Summary!$P$294:$P$295,Summary!$P$297,Summary!$P$299:$P$301,Summary!$P$303</definedName>
    <definedName name="OSRRefP25x_0" localSheetId="48">'300'!$P$257:$P$265</definedName>
    <definedName name="OSRRefP25x_0" localSheetId="49">'300 &amp; 317'!$P$282:$P$293</definedName>
    <definedName name="OSRRefP25x_0" localSheetId="50">'301'!$P$103:$P$106</definedName>
    <definedName name="OSRRefP25x_0" localSheetId="54">'307'!$P$122</definedName>
    <definedName name="OSRRefP25x_0" localSheetId="56">'308'!$P$122:$P$125</definedName>
    <definedName name="OSRRefP25x_0" localSheetId="76">'310 &amp; 491'!$P$139:$P$142</definedName>
    <definedName name="OSRRefP25x_0" localSheetId="57">'311'!$P$122:$P$125</definedName>
    <definedName name="OSRRefP25x_0" localSheetId="61">'315'!$P$117:$P$119</definedName>
    <definedName name="OSRRefP25x_0" localSheetId="64">'316'!$P$87:$P$88</definedName>
    <definedName name="OSRRefP25x_0" localSheetId="67">'317'!$P$107:$P$110</definedName>
    <definedName name="OSRRefP25x_0" localSheetId="65">'320'!$P$68:$P$72</definedName>
    <definedName name="OSRRefP25x_0" localSheetId="53">'330'!$P$136</definedName>
    <definedName name="OSRRefP25x_0" localSheetId="60">'331'!$P$152:$P$154</definedName>
    <definedName name="OSRRefP25x_0" localSheetId="63">'332'!$P$99:$P$105</definedName>
    <definedName name="OSRRefP25x_0" localSheetId="80">'411'!$P$92:$P$93</definedName>
    <definedName name="OSRRefP25x_0" localSheetId="83">'413'!$P$81</definedName>
    <definedName name="OSRRefP25x_0" localSheetId="85">'415'!$P$100</definedName>
    <definedName name="OSRRefP25x_0" localSheetId="87">'423'!$P$51</definedName>
    <definedName name="OSRRefP25x_0" localSheetId="88">'424'!$P$73</definedName>
    <definedName name="OSRRefP25x_0" localSheetId="89">'425'!$P$91</definedName>
    <definedName name="OSRRefP25x_0" localSheetId="90">'455'!$P$41:$P$44</definedName>
    <definedName name="OSRRefP25x_0" localSheetId="77">'491'!$P$127:$P$130</definedName>
    <definedName name="OSRRefP25x_0" localSheetId="98">'501'!$P$73</definedName>
    <definedName name="OSRRefP25x_0" localSheetId="47">'Div 3'!$P$271:$P$279</definedName>
    <definedName name="OSRRefP25x_0" localSheetId="75">'Div 4'!$P$134:$P$137</definedName>
    <definedName name="OSRRefP25x_0" localSheetId="97">'Div 5'!$P$73</definedName>
    <definedName name="OSRRefP25x_0" localSheetId="66">'Div 6'!$P$107:$P$110</definedName>
    <definedName name="OSRRefP25x_0" localSheetId="2">Summary!$P$306:$P$318</definedName>
    <definedName name="OSRRefT13x_0" localSheetId="44">'204'!$T$13</definedName>
    <definedName name="OSRRefT13x_0" localSheetId="48">'300'!$T$13:$T$103</definedName>
    <definedName name="OSRRefT13x_0" localSheetId="49">'300 &amp; 317'!$T$13:$T$121</definedName>
    <definedName name="OSRRefT13x_0" localSheetId="54">'307'!$T$13:$T$44</definedName>
    <definedName name="OSRRefT13x_0" localSheetId="56">'308'!$T$13:$T$40</definedName>
    <definedName name="OSRRefT13x_0" localSheetId="69">'309'!$T$13:$T$15</definedName>
    <definedName name="OSRRefT13x_0" localSheetId="68">'310'!$T$13:$T$23</definedName>
    <definedName name="OSRRefT13x_0" localSheetId="76">'310 &amp; 491'!$T$13:$T$30</definedName>
    <definedName name="OSRRefT13x_0" localSheetId="57">'311'!$T$13:$T$40</definedName>
    <definedName name="OSRRefT13x_0" localSheetId="70">'313'!$T$13:$T$19</definedName>
    <definedName name="OSRRefT13x_0" localSheetId="55">'314'!$T$13:$T$34</definedName>
    <definedName name="OSRRefT13x_0" localSheetId="61">'315'!$T$13:$T$33</definedName>
    <definedName name="OSRRefT13x_0" localSheetId="64">'316'!$T$13:$T$26</definedName>
    <definedName name="OSRRefT13x_0" localSheetId="67">'317'!$T$13:$T$38</definedName>
    <definedName name="OSRRefT13x_0" localSheetId="65">'320'!$T$13:$T$17</definedName>
    <definedName name="OSRRefT13x_0" localSheetId="71">'321'!$T$13:$T$15</definedName>
    <definedName name="OSRRefT13x_0" localSheetId="72">'322'!$T$13:$T$15</definedName>
    <definedName name="OSRRefT13x_0" localSheetId="58">'324'!$T$13:$T$15</definedName>
    <definedName name="OSRRefT13x_0" localSheetId="73">'325'!$T$13:$T$15</definedName>
    <definedName name="OSRRefT13x_0" localSheetId="62">'326'!$T$13:$T$33</definedName>
    <definedName name="OSRRefT13x_0" localSheetId="74">'327'!$T$13:$T$14</definedName>
    <definedName name="OSRRefT13x_0" localSheetId="53">'330'!$T$13:$T$49</definedName>
    <definedName name="OSRRefT13x_0" localSheetId="60">'331'!$T$13:$T$41</definedName>
    <definedName name="OSRRefT13x_0" localSheetId="63">'332'!$T$13:$T$29</definedName>
    <definedName name="OSRRefT13x_0" localSheetId="78">'405'!$T$13:$T$15</definedName>
    <definedName name="OSRRefT13x_0" localSheetId="79">'406'!$T$13:$T$16</definedName>
    <definedName name="OSRRefT13x_0" localSheetId="81">'412'!$T$13:$T$16</definedName>
    <definedName name="OSRRefT13x_0" localSheetId="83">'413'!$T$13:$T$16</definedName>
    <definedName name="OSRRefT13x_0" localSheetId="84">'414'!$T$13:$T$16</definedName>
    <definedName name="OSRRefT13x_0" localSheetId="85">'415'!$T$13:$T$15</definedName>
    <definedName name="OSRRefT13x_0" localSheetId="86">'418'!$T$13:$T$16</definedName>
    <definedName name="OSRRefT13x_0" localSheetId="82">'420'!$T$13:$T$14</definedName>
    <definedName name="OSRRefT13x_0" localSheetId="88">'424'!$T$13:$T$15</definedName>
    <definedName name="OSRRefT13x_0" localSheetId="89">'425'!$T$13:$T$17</definedName>
    <definedName name="OSRRefT13x_0" localSheetId="93">'433'!$T$13:$T$16</definedName>
    <definedName name="OSRRefT13x_0" localSheetId="94">'435'!$T$13:$T$16</definedName>
    <definedName name="OSRRefT13x_0" localSheetId="95">'444'!$T$13:$T$16</definedName>
    <definedName name="OSRRefT13x_0" localSheetId="96">'450'!$T$13:$T$16</definedName>
    <definedName name="OSRRefT13x_0" localSheetId="77">'491'!$T$13:$T$23</definedName>
    <definedName name="OSRRefT13x_0" localSheetId="91">'492'!$T$13:$T$18</definedName>
    <definedName name="OSRRefT13x_0" localSheetId="98">'501'!$T$13</definedName>
    <definedName name="OSRRefT13x_0" localSheetId="39">'Div 2'!$T$13</definedName>
    <definedName name="OSRRefT13x_0" localSheetId="47">'Div 3'!$T$13:$T$107</definedName>
    <definedName name="OSRRefT13x_0" localSheetId="75">'Div 4'!$T$13:$T$24</definedName>
    <definedName name="OSRRefT13x_0" localSheetId="97">'Div 5'!$T$13</definedName>
    <definedName name="OSRRefT13x_0" localSheetId="66">'Div 6'!$T$13:$T$38</definedName>
    <definedName name="OSRRefT13x_0" localSheetId="2">Summary!$T$13:$T$132</definedName>
    <definedName name="OSRRefT16x_0" localSheetId="48">'300'!$T$106:$T$156</definedName>
    <definedName name="OSRRefT16x_0" localSheetId="49">'300 &amp; 317'!$T$124:$T$181</definedName>
    <definedName name="OSRRefT16x_0" localSheetId="54">'307'!$T$47:$T$67</definedName>
    <definedName name="OSRRefT16x_0" localSheetId="56">'308'!$T$43:$T$59</definedName>
    <definedName name="OSRRefT16x_0" localSheetId="69">'309'!$T$18:$T$20</definedName>
    <definedName name="OSRRefT16x_0" localSheetId="68">'310'!$T$26:$T$28</definedName>
    <definedName name="OSRRefT16x_0" localSheetId="76">'310 &amp; 491'!$T$33:$T$35</definedName>
    <definedName name="OSRRefT16x_0" localSheetId="57">'311'!$T$43:$T$59</definedName>
    <definedName name="OSRRefT16x_0" localSheetId="70">'313'!$T$22:$T$24</definedName>
    <definedName name="OSRRefT16x_0" localSheetId="55">'314'!$T$37:$T$52</definedName>
    <definedName name="OSRRefT16x_0" localSheetId="61">'315'!$T$36:$T$51</definedName>
    <definedName name="OSRRefT16x_0" localSheetId="67">'317'!$T$41:$T$54</definedName>
    <definedName name="OSRRefT16x_0" localSheetId="65">'320'!$T$20:$T$25</definedName>
    <definedName name="OSRRefT16x_0" localSheetId="71">'321'!$T$18:$T$20</definedName>
    <definedName name="OSRRefT16x_0" localSheetId="72">'322'!$T$18:$T$20</definedName>
    <definedName name="OSRRefT16x_0" localSheetId="58">'324'!$T$18:$T$20</definedName>
    <definedName name="OSRRefT16x_0" localSheetId="73">'325'!$T$18:$T$20</definedName>
    <definedName name="OSRRefT16x_0" localSheetId="62">'326'!$T$36:$T$51</definedName>
    <definedName name="OSRRefT16x_0" localSheetId="74">'327'!$T$17:$T$18</definedName>
    <definedName name="OSRRefT16x_0" localSheetId="53">'330'!$T$52:$T$75</definedName>
    <definedName name="OSRRefT16x_0" localSheetId="60">'331'!$T$44:$T$66</definedName>
    <definedName name="OSRRefT16x_0" localSheetId="63">'332'!$T$32:$T$37</definedName>
    <definedName name="OSRRefT16x_0" localSheetId="78">'405'!$T$18:$T$20</definedName>
    <definedName name="OSRRefT16x_0" localSheetId="79">'406'!$T$19:$T$21</definedName>
    <definedName name="OSRRefT16x_0" localSheetId="81">'412'!$T$19:$T$20</definedName>
    <definedName name="OSRRefT16x_0" localSheetId="83">'413'!$T$19:$T$21</definedName>
    <definedName name="OSRRefT16x_0" localSheetId="84">'414'!$T$19:$T$21</definedName>
    <definedName name="OSRRefT16x_0" localSheetId="85">'415'!$T$18:$T$20</definedName>
    <definedName name="OSRRefT16x_0" localSheetId="86">'418'!$T$19:$T$21</definedName>
    <definedName name="OSRRefT16x_0" localSheetId="82">'420'!$T$17</definedName>
    <definedName name="OSRRefT16x_0" localSheetId="87">'423'!$T$15</definedName>
    <definedName name="OSRRefT16x_0" localSheetId="88">'424'!$T$18:$T$20</definedName>
    <definedName name="OSRRefT16x_0" localSheetId="89">'425'!$T$20:$T$22</definedName>
    <definedName name="OSRRefT16x_0" localSheetId="93">'433'!$T$19:$T$21</definedName>
    <definedName name="OSRRefT16x_0" localSheetId="94">'435'!$T$19:$T$21</definedName>
    <definedName name="OSRRefT16x_0" localSheetId="95">'444'!$T$19:$T$21</definedName>
    <definedName name="OSRRefT16x_0" localSheetId="96">'450'!$T$19:$T$21</definedName>
    <definedName name="OSRRefT16x_0" localSheetId="77">'491'!$T$26:$T$28</definedName>
    <definedName name="OSRRefT16x_0" localSheetId="91">'492'!$T$21:$T$23</definedName>
    <definedName name="OSRRefT16x_0" localSheetId="47">'Div 3'!$T$110:$T$162</definedName>
    <definedName name="OSRRefT16x_0" localSheetId="75">'Div 4'!$T$27:$T$29</definedName>
    <definedName name="OSRRefT16x_0" localSheetId="66">'Div 6'!$T$41:$T$54</definedName>
    <definedName name="OSRRefT16x_0" localSheetId="2">Summary!$T$135:$T$194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'204'!$T$21:$T$30</definedName>
    <definedName name="OSRRefT22_0x_0" localSheetId="45">'205'!$T$20:$T$28</definedName>
    <definedName name="OSRRefT22_0x_0" localSheetId="46">'206'!$T$20:$T$28</definedName>
    <definedName name="OSRRefT22_0x_0" localSheetId="48">'300'!$T$162:$T$171</definedName>
    <definedName name="OSRRefT22_0x_0" localSheetId="49">'300 &amp; 317'!$T$187:$T$196</definedName>
    <definedName name="OSRRefT22_0x_0" localSheetId="50">'301'!$T$20:$T$28</definedName>
    <definedName name="OSRRefT22_0x_0" localSheetId="52">'306'!$T$20:$T$28</definedName>
    <definedName name="OSRRefT22_0x_0" localSheetId="54">'307'!$T$73:$T$81</definedName>
    <definedName name="OSRRefT22_0x_0" localSheetId="56">'308'!$T$65:$T$74</definedName>
    <definedName name="OSRRefT22_0x_0" localSheetId="69">'309'!$T$26:$T$34</definedName>
    <definedName name="OSRRefT22_0x_0" localSheetId="68">'310'!$T$34:$T$42</definedName>
    <definedName name="OSRRefT22_0x_0" localSheetId="76">'310 &amp; 491'!$T$41:$T$50</definedName>
    <definedName name="OSRRefT22_0x_0" localSheetId="57">'311'!$T$65:$T$74</definedName>
    <definedName name="OSRRefT22_0x_0" localSheetId="70">'313'!$T$30:$T$38</definedName>
    <definedName name="OSRRefT22_0x_0" localSheetId="55">'314'!$T$58:$T$66</definedName>
    <definedName name="OSRRefT22_0x_0" localSheetId="61">'315'!$T$57:$T$65</definedName>
    <definedName name="OSRRefT22_0x_0" localSheetId="64">'316'!$T$34:$T$42</definedName>
    <definedName name="OSRRefT22_0x_0" localSheetId="67">'317'!$T$60:$T$69</definedName>
    <definedName name="OSRRefT22_0x_0" localSheetId="65">'320'!$T$31:$T$38</definedName>
    <definedName name="OSRRefT22_0x_0" localSheetId="71">'321'!$T$26:$T$33</definedName>
    <definedName name="OSRRefT22_0x_0" localSheetId="72">'322'!$T$26:$T$34</definedName>
    <definedName name="OSRRefT22_0x_0" localSheetId="73">'325'!$T$26:$T$34</definedName>
    <definedName name="OSRRefT22_0x_0" localSheetId="62">'326'!$T$57:$T$65</definedName>
    <definedName name="OSRRefT22_0x_0" localSheetId="74">'327'!$T$24</definedName>
    <definedName name="OSRRefT22_0x_0" localSheetId="53">'330'!$T$81:$T$89</definedName>
    <definedName name="OSRRefT22_0x_0" localSheetId="60">'331'!$T$72:$T$80</definedName>
    <definedName name="OSRRefT22_0x_0" localSheetId="63">'332'!$T$43:$T$51</definedName>
    <definedName name="OSRRefT22_0x_0" localSheetId="78">'405'!$T$26:$T$34</definedName>
    <definedName name="OSRRefT22_0x_0" localSheetId="79">'406'!$T$27:$T$35</definedName>
    <definedName name="OSRRefT22_0x_0" localSheetId="80">'411'!$T$20:$T$29</definedName>
    <definedName name="OSRRefT22_0x_0" localSheetId="81">'412'!$T$26:$T$34</definedName>
    <definedName name="OSRRefT22_0x_0" localSheetId="83">'413'!$T$27:$T$35</definedName>
    <definedName name="OSRRefT22_0x_0" localSheetId="84">'414'!$T$27:$T$35</definedName>
    <definedName name="OSRRefT22_0x_0" localSheetId="85">'415'!$T$26:$T$34</definedName>
    <definedName name="OSRRefT22_0x_0" localSheetId="86">'418'!$T$27:$T$35</definedName>
    <definedName name="OSRRefT22_0x_0" localSheetId="82">'420'!$T$23:$T$30</definedName>
    <definedName name="OSRRefT22_0x_0" localSheetId="87">'423'!$T$21:$T$29</definedName>
    <definedName name="OSRRefT22_0x_0" localSheetId="88">'424'!$T$26:$T$33</definedName>
    <definedName name="OSRRefT22_0x_0" localSheetId="89">'425'!$T$28:$T$37</definedName>
    <definedName name="OSRRefT22_0x_0" localSheetId="92">'430'!$T$20:$T$28</definedName>
    <definedName name="OSRRefT22_0x_0" localSheetId="93">'433'!$T$27:$T$36</definedName>
    <definedName name="OSRRefT22_0x_0" localSheetId="94">'435'!$T$27:$T$34</definedName>
    <definedName name="OSRRefT22_0x_0" localSheetId="95">'444'!$T$27:$T$36</definedName>
    <definedName name="OSRRefT22_0x_0" localSheetId="96">'450'!$T$27:$T$36</definedName>
    <definedName name="OSRRefT22_0x_0" localSheetId="90">'455'!$T$20:$T$27</definedName>
    <definedName name="OSRRefT22_0x_0" localSheetId="77">'491'!$T$34:$T$43</definedName>
    <definedName name="OSRRefT22_0x_0" localSheetId="91">'492'!$T$29:$T$38</definedName>
    <definedName name="OSRRefT22_0x_0" localSheetId="98">'501'!$T$21:$T$29</definedName>
    <definedName name="OSRRefT22_0x_0" localSheetId="39">'Div 2'!$T$21:$T$31</definedName>
    <definedName name="OSRRefT22_0x_0" localSheetId="47">'Div 3'!$T$168:$T$177</definedName>
    <definedName name="OSRRefT22_0x_0" localSheetId="75">'Div 4'!$T$35:$T$44</definedName>
    <definedName name="OSRRefT22_0x_0" localSheetId="97">'Div 5'!$T$21:$T$29</definedName>
    <definedName name="OSRRefT22_0x_0" localSheetId="66">'Div 6'!$T$60:$T$69</definedName>
    <definedName name="OSRRefT22_0x_0" localSheetId="2">Summary!$T$200:$T$209</definedName>
    <definedName name="OSRRefT22_10x_0" localSheetId="41">'201'!$T$58:$T$60</definedName>
    <definedName name="OSRRefT22_10x_0" localSheetId="42">'202'!$T$59</definedName>
    <definedName name="OSRRefT22_10x_0" localSheetId="43">'203'!$T$59:$T$60</definedName>
    <definedName name="OSRRefT22_10x_0" localSheetId="44">'204'!$T$64:$T$65</definedName>
    <definedName name="OSRRefT22_10x_0" localSheetId="46">'206'!$T$58</definedName>
    <definedName name="OSRRefT22_10x_0" localSheetId="48">'300'!$T$206:$T$207</definedName>
    <definedName name="OSRRefT22_10x_0" localSheetId="49">'300 &amp; 317'!$T$231:$T$232</definedName>
    <definedName name="OSRRefT22_10x_0" localSheetId="50">'301'!$T$63</definedName>
    <definedName name="OSRRefT22_10x_0" localSheetId="52">'306'!$T$61</definedName>
    <definedName name="OSRRefT22_10x_0" localSheetId="54">'307'!$T$113:$T$115</definedName>
    <definedName name="OSRRefT22_10x_0" localSheetId="56">'308'!$T$107</definedName>
    <definedName name="OSRRefT22_10x_0" localSheetId="69">'309'!$T$65:$T$67</definedName>
    <definedName name="OSRRefT22_10x_0" localSheetId="68">'310'!$T$73</definedName>
    <definedName name="OSRRefT22_10x_0" localSheetId="76">'310 &amp; 491'!$T$82</definedName>
    <definedName name="OSRRefT22_10x_0" localSheetId="57">'311'!$T$107</definedName>
    <definedName name="OSRRefT22_10x_0" localSheetId="70">'313'!$T$67:$T$69</definedName>
    <definedName name="OSRRefT22_10x_0" localSheetId="61">'315'!$T$96:$T$98</definedName>
    <definedName name="OSRRefT22_10x_0" localSheetId="64">'316'!$T$72:$T$73</definedName>
    <definedName name="OSRRefT22_10x_0" localSheetId="67">'317'!$T$99:$T$100</definedName>
    <definedName name="OSRRefT22_10x_0" localSheetId="71">'321'!$T$64:$T$65</definedName>
    <definedName name="OSRRefT22_10x_0" localSheetId="72">'322'!$T$66:$T$68</definedName>
    <definedName name="OSRRefT22_10x_0" localSheetId="73">'325'!$T$65</definedName>
    <definedName name="OSRRefT22_10x_0" localSheetId="62">'326'!$T$95</definedName>
    <definedName name="OSRRefT22_10x_0" localSheetId="53">'330'!$T$120:$T$121</definedName>
    <definedName name="OSRRefT22_10x_0" localSheetId="60">'331'!$T$112</definedName>
    <definedName name="OSRRefT22_10x_0" localSheetId="63">'332'!$T$81:$T$82</definedName>
    <definedName name="OSRRefT22_10x_0" localSheetId="78">'405'!$T$65</definedName>
    <definedName name="OSRRefT22_10x_0" localSheetId="79">'406'!$T$67:$T$69</definedName>
    <definedName name="OSRRefT22_10x_0" localSheetId="80">'411'!$T$61:$T$63</definedName>
    <definedName name="OSRRefT22_10x_0" localSheetId="81">'412'!$T$66</definedName>
    <definedName name="OSRRefT22_10x_0" localSheetId="83">'413'!$T$67:$T$73</definedName>
    <definedName name="OSRRefT22_10x_0" localSheetId="84">'414'!$T$66</definedName>
    <definedName name="OSRRefT22_10x_0" localSheetId="85">'415'!$T$65</definedName>
    <definedName name="OSRRefT22_10x_0" localSheetId="86">'418'!$T$66:$T$67</definedName>
    <definedName name="OSRRefT22_10x_0" localSheetId="88">'424'!$T$64:$T$67</definedName>
    <definedName name="OSRRefT22_10x_0" localSheetId="89">'425'!$T$69:$T$70</definedName>
    <definedName name="OSRRefT22_10x_0" localSheetId="92">'430'!$T$59</definedName>
    <definedName name="OSRRefT22_10x_0" localSheetId="93">'433'!$T$65:$T$67</definedName>
    <definedName name="OSRRefT22_10x_0" localSheetId="95">'444'!$T$65</definedName>
    <definedName name="OSRRefT22_10x_0" localSheetId="96">'450'!$T$66</definedName>
    <definedName name="OSRRefT22_10x_0" localSheetId="77">'491'!$T$75:$T$76</definedName>
    <definedName name="OSRRefT22_10x_0" localSheetId="91">'492'!$T$69</definedName>
    <definedName name="OSRRefT22_10x_0" localSheetId="98">'501'!$T$58:$T$60</definedName>
    <definedName name="OSRRefT22_10x_0" localSheetId="39">'Div 2'!$T$62</definedName>
    <definedName name="OSRRefT22_10x_0" localSheetId="47">'Div 3'!$T$212:$T$213</definedName>
    <definedName name="OSRRefT22_10x_0" localSheetId="75">'Div 4'!$T$78</definedName>
    <definedName name="OSRRefT22_10x_0" localSheetId="97">'Div 5'!$T$58:$T$60</definedName>
    <definedName name="OSRRefT22_10x_0" localSheetId="66">'Div 6'!$T$99:$T$100</definedName>
    <definedName name="OSRRefT22_10x_0" localSheetId="2">Summary!$T$245:$T$246</definedName>
    <definedName name="OSRRefT22_11x_0" localSheetId="41">'201'!$T$62:$T$64</definedName>
    <definedName name="OSRRefT22_11x_0" localSheetId="42">'202'!$T$61:$T$63</definedName>
    <definedName name="OSRRefT22_11x_0" localSheetId="43">'203'!$T$62</definedName>
    <definedName name="OSRRefT22_11x_0" localSheetId="44">'204'!$T$67</definedName>
    <definedName name="OSRRefT22_11x_0" localSheetId="48">'300'!$T$209</definedName>
    <definedName name="OSRRefT22_11x_0" localSheetId="49">'300 &amp; 317'!$T$234</definedName>
    <definedName name="OSRRefT22_11x_0" localSheetId="50">'301'!$T$65</definedName>
    <definedName name="OSRRefT22_11x_0" localSheetId="54">'307'!$T$117</definedName>
    <definedName name="OSRRefT22_11x_0" localSheetId="56">'308'!$T$109:$T$111</definedName>
    <definedName name="OSRRefT22_11x_0" localSheetId="69">'309'!$T$69:$T$71</definedName>
    <definedName name="OSRRefT22_11x_0" localSheetId="68">'310'!$T$75</definedName>
    <definedName name="OSRRefT22_11x_0" localSheetId="76">'310 &amp; 491'!$T$84:$T$85</definedName>
    <definedName name="OSRRefT22_11x_0" localSheetId="57">'311'!$T$109:$T$111</definedName>
    <definedName name="OSRRefT22_11x_0" localSheetId="70">'313'!$T$71</definedName>
    <definedName name="OSRRefT22_11x_0" localSheetId="61">'315'!$T$100:$T$101</definedName>
    <definedName name="OSRRefT22_11x_0" localSheetId="64">'316'!$T$75:$T$79</definedName>
    <definedName name="OSRRefT22_11x_0" localSheetId="67">'317'!$T$102</definedName>
    <definedName name="OSRRefT22_11x_0" localSheetId="71">'321'!$T$67:$T$69</definedName>
    <definedName name="OSRRefT22_11x_0" localSheetId="72">'322'!$T$70:$T$75</definedName>
    <definedName name="OSRRefT22_11x_0" localSheetId="73">'325'!$T$67:$T$69</definedName>
    <definedName name="OSRRefT22_11x_0" localSheetId="62">'326'!$T$97</definedName>
    <definedName name="OSRRefT22_11x_0" localSheetId="53">'330'!$T$123</definedName>
    <definedName name="OSRRefT22_11x_0" localSheetId="60">'331'!$T$114</definedName>
    <definedName name="OSRRefT22_11x_0" localSheetId="63">'332'!$T$84:$T$85</definedName>
    <definedName name="OSRRefT22_11x_0" localSheetId="78">'405'!$T$67:$T$69</definedName>
    <definedName name="OSRRefT22_11x_0" localSheetId="79">'406'!$T$71:$T$76</definedName>
    <definedName name="OSRRefT22_11x_0" localSheetId="80">'411'!$T$65:$T$69</definedName>
    <definedName name="OSRRefT22_11x_0" localSheetId="81">'412'!$T$68:$T$70</definedName>
    <definedName name="OSRRefT22_11x_0" localSheetId="83">'413'!$T$75:$T$76</definedName>
    <definedName name="OSRRefT22_11x_0" localSheetId="84">'414'!$T$68</definedName>
    <definedName name="OSRRefT22_11x_0" localSheetId="85">'415'!$T$67:$T$70</definedName>
    <definedName name="OSRRefT22_11x_0" localSheetId="86">'418'!$T$69:$T$71</definedName>
    <definedName name="OSRRefT22_11x_0" localSheetId="88">'424'!$T$69:$T$70</definedName>
    <definedName name="OSRRefT22_11x_0" localSheetId="89">'425'!$T$72:$T$73</definedName>
    <definedName name="OSRRefT22_11x_0" localSheetId="93">'433'!$T$69:$T$72</definedName>
    <definedName name="OSRRefT22_11x_0" localSheetId="95">'444'!$T$67:$T$69</definedName>
    <definedName name="OSRRefT22_11x_0" localSheetId="96">'450'!$T$68:$T$70</definedName>
    <definedName name="OSRRefT22_11x_0" localSheetId="77">'491'!$T$78</definedName>
    <definedName name="OSRRefT22_11x_0" localSheetId="91">'492'!$T$71</definedName>
    <definedName name="OSRRefT22_11x_0" localSheetId="98">'501'!$T$62</definedName>
    <definedName name="OSRRefT22_11x_0" localSheetId="39">'Div 2'!$T$64</definedName>
    <definedName name="OSRRefT22_11x_0" localSheetId="47">'Div 3'!$T$215</definedName>
    <definedName name="OSRRefT22_11x_0" localSheetId="75">'Div 4'!$T$80:$T$81</definedName>
    <definedName name="OSRRefT22_11x_0" localSheetId="97">'Div 5'!$T$62</definedName>
    <definedName name="OSRRefT22_11x_0" localSheetId="66">'Div 6'!$T$102</definedName>
    <definedName name="OSRRefT22_11x_0" localSheetId="2">Summary!$T$248:$T$249</definedName>
    <definedName name="OSRRefT22_12x_0" localSheetId="41">'201'!$T$66</definedName>
    <definedName name="OSRRefT22_12x_0" localSheetId="42">'202'!$T$65</definedName>
    <definedName name="OSRRefT22_12x_0" localSheetId="43">'203'!$T$64:$T$66</definedName>
    <definedName name="OSRRefT22_12x_0" localSheetId="44">'204'!$T$69:$T$70</definedName>
    <definedName name="OSRRefT22_12x_0" localSheetId="48">'300'!$T$211</definedName>
    <definedName name="OSRRefT22_12x_0" localSheetId="49">'300 &amp; 317'!$T$236</definedName>
    <definedName name="OSRRefT22_12x_0" localSheetId="50">'301'!$T$67</definedName>
    <definedName name="OSRRefT22_12x_0" localSheetId="54">'307'!$T$119</definedName>
    <definedName name="OSRRefT22_12x_0" localSheetId="56">'308'!$T$113:$T$114</definedName>
    <definedName name="OSRRefT22_12x_0" localSheetId="69">'309'!$T$73</definedName>
    <definedName name="OSRRefT22_12x_0" localSheetId="68">'310'!$T$77</definedName>
    <definedName name="OSRRefT22_12x_0" localSheetId="76">'310 &amp; 491'!$T$87</definedName>
    <definedName name="OSRRefT22_12x_0" localSheetId="57">'311'!$T$113:$T$114</definedName>
    <definedName name="OSRRefT22_12x_0" localSheetId="70">'313'!$T$73:$T$77</definedName>
    <definedName name="OSRRefT22_12x_0" localSheetId="61">'315'!$T$103:$T$107</definedName>
    <definedName name="OSRRefT22_12x_0" localSheetId="64">'316'!$T$81:$T$82</definedName>
    <definedName name="OSRRefT22_12x_0" localSheetId="67">'317'!$T$104</definedName>
    <definedName name="OSRRefT22_12x_0" localSheetId="71">'321'!$T$71:$T$73</definedName>
    <definedName name="OSRRefT22_12x_0" localSheetId="72">'322'!$T$77</definedName>
    <definedName name="OSRRefT22_12x_0" localSheetId="73">'325'!$T$71:$T$74</definedName>
    <definedName name="OSRRefT22_12x_0" localSheetId="62">'326'!$T$99</definedName>
    <definedName name="OSRRefT22_12x_0" localSheetId="53">'330'!$T$125:$T$127</definedName>
    <definedName name="OSRRefT22_12x_0" localSheetId="60">'331'!$T$116</definedName>
    <definedName name="OSRRefT22_12x_0" localSheetId="63">'332'!$T$87:$T$91</definedName>
    <definedName name="OSRRefT22_12x_0" localSheetId="78">'405'!$T$71</definedName>
    <definedName name="OSRRefT22_12x_0" localSheetId="79">'406'!$T$78:$T$79</definedName>
    <definedName name="OSRRefT22_12x_0" localSheetId="80">'411'!$T$71</definedName>
    <definedName name="OSRRefT22_12x_0" localSheetId="81">'412'!$T$72:$T$77</definedName>
    <definedName name="OSRRefT22_12x_0" localSheetId="83">'413'!$T$78</definedName>
    <definedName name="OSRRefT22_12x_0" localSheetId="84">'414'!$T$70</definedName>
    <definedName name="OSRRefT22_12x_0" localSheetId="85">'415'!$T$72:$T$76</definedName>
    <definedName name="OSRRefT22_12x_0" localSheetId="86">'418'!$T$73:$T$75</definedName>
    <definedName name="OSRRefT22_12x_0" localSheetId="89">'425'!$T$75:$T$81</definedName>
    <definedName name="OSRRefT22_12x_0" localSheetId="93">'433'!$T$74:$T$81</definedName>
    <definedName name="OSRRefT22_12x_0" localSheetId="95">'444'!$T$71:$T$74</definedName>
    <definedName name="OSRRefT22_12x_0" localSheetId="96">'450'!$T$72:$T$74</definedName>
    <definedName name="OSRRefT22_12x_0" localSheetId="77">'491'!$T$80</definedName>
    <definedName name="OSRRefT22_12x_0" localSheetId="91">'492'!$T$73:$T$76</definedName>
    <definedName name="OSRRefT22_12x_0" localSheetId="98">'501'!$T$64:$T$66</definedName>
    <definedName name="OSRRefT22_12x_0" localSheetId="39">'Div 2'!$T$66:$T$68</definedName>
    <definedName name="OSRRefT22_12x_0" localSheetId="47">'Div 3'!$T$217</definedName>
    <definedName name="OSRRefT22_12x_0" localSheetId="75">'Div 4'!$T$83</definedName>
    <definedName name="OSRRefT22_12x_0" localSheetId="97">'Div 5'!$T$64:$T$66</definedName>
    <definedName name="OSRRefT22_12x_0" localSheetId="66">'Div 6'!$T$104</definedName>
    <definedName name="OSRRefT22_12x_0" localSheetId="2">Summary!$T$251</definedName>
    <definedName name="OSRRefT22_13x_0" localSheetId="41">'201'!$T$68:$T$70</definedName>
    <definedName name="OSRRefT22_13x_0" localSheetId="42">'202'!$T$67</definedName>
    <definedName name="OSRRefT22_13x_0" localSheetId="43">'203'!$T$68</definedName>
    <definedName name="OSRRefT22_13x_0" localSheetId="48">'300'!$T$213</definedName>
    <definedName name="OSRRefT22_13x_0" localSheetId="49">'300 &amp; 317'!$T$238</definedName>
    <definedName name="OSRRefT22_13x_0" localSheetId="50">'301'!$T$69</definedName>
    <definedName name="OSRRefT22_13x_0" localSheetId="56">'308'!$T$116</definedName>
    <definedName name="OSRRefT22_13x_0" localSheetId="69">'309'!$T$75</definedName>
    <definedName name="OSRRefT22_13x_0" localSheetId="68">'310'!$T$79</definedName>
    <definedName name="OSRRefT22_13x_0" localSheetId="76">'310 &amp; 491'!$T$89</definedName>
    <definedName name="OSRRefT22_13x_0" localSheetId="57">'311'!$T$116</definedName>
    <definedName name="OSRRefT22_13x_0" localSheetId="70">'313'!$T$79</definedName>
    <definedName name="OSRRefT22_13x_0" localSheetId="61">'315'!$T$109</definedName>
    <definedName name="OSRRefT22_13x_0" localSheetId="64">'316'!$T$84</definedName>
    <definedName name="OSRRefT22_13x_0" localSheetId="71">'321'!$T$75</definedName>
    <definedName name="OSRRefT22_13x_0" localSheetId="72">'322'!$T$79</definedName>
    <definedName name="OSRRefT22_13x_0" localSheetId="73">'325'!$T$76</definedName>
    <definedName name="OSRRefT22_13x_0" localSheetId="62">'326'!$T$101:$T$102</definedName>
    <definedName name="OSRRefT22_13x_0" localSheetId="53">'330'!$T$129</definedName>
    <definedName name="OSRRefT22_13x_0" localSheetId="60">'331'!$T$118</definedName>
    <definedName name="OSRRefT22_13x_0" localSheetId="63">'332'!$T$93:$T$94</definedName>
    <definedName name="OSRRefT22_13x_0" localSheetId="78">'405'!$T$73:$T$75</definedName>
    <definedName name="OSRRefT22_13x_0" localSheetId="79">'406'!$T$81</definedName>
    <definedName name="OSRRefT22_13x_0" localSheetId="80">'411'!$T$73:$T$79</definedName>
    <definedName name="OSRRefT22_13x_0" localSheetId="81">'412'!$T$79</definedName>
    <definedName name="OSRRefT22_13x_0" localSheetId="84">'414'!$T$72:$T$78</definedName>
    <definedName name="OSRRefT22_13x_0" localSheetId="85">'415'!$T$78:$T$79</definedName>
    <definedName name="OSRRefT22_13x_0" localSheetId="86">'418'!$T$77:$T$78</definedName>
    <definedName name="OSRRefT22_13x_0" localSheetId="89">'425'!$T$83:$T$84</definedName>
    <definedName name="OSRRefT22_13x_0" localSheetId="93">'433'!$T$83</definedName>
    <definedName name="OSRRefT22_13x_0" localSheetId="95">'444'!$T$76:$T$83</definedName>
    <definedName name="OSRRefT22_13x_0" localSheetId="96">'450'!$T$76:$T$81</definedName>
    <definedName name="OSRRefT22_13x_0" localSheetId="77">'491'!$T$82</definedName>
    <definedName name="OSRRefT22_13x_0" localSheetId="91">'492'!$T$78:$T$81</definedName>
    <definedName name="OSRRefT22_13x_0" localSheetId="98">'501'!$T$68</definedName>
    <definedName name="OSRRefT22_13x_0" localSheetId="39">'Div 2'!$T$70:$T$73</definedName>
    <definedName name="OSRRefT22_13x_0" localSheetId="47">'Div 3'!$T$219</definedName>
    <definedName name="OSRRefT22_13x_0" localSheetId="75">'Div 4'!$T$85</definedName>
    <definedName name="OSRRefT22_13x_0" localSheetId="97">'Div 5'!$T$68</definedName>
    <definedName name="OSRRefT22_13x_0" localSheetId="2">Summary!$T$253</definedName>
    <definedName name="OSRRefT22_14x_0" localSheetId="41">'201'!$T$72</definedName>
    <definedName name="OSRRefT22_14x_0" localSheetId="42">'202'!$T$69:$T$70</definedName>
    <definedName name="OSRRefT22_14x_0" localSheetId="43">'203'!$T$70</definedName>
    <definedName name="OSRRefT22_14x_0" localSheetId="48">'300'!$T$215</definedName>
    <definedName name="OSRRefT22_14x_0" localSheetId="49">'300 &amp; 317'!$T$240</definedName>
    <definedName name="OSRRefT22_14x_0" localSheetId="50">'301'!$T$71</definedName>
    <definedName name="OSRRefT22_14x_0" localSheetId="56">'308'!$T$118:$T$119</definedName>
    <definedName name="OSRRefT22_14x_0" localSheetId="68">'310'!$T$81</definedName>
    <definedName name="OSRRefT22_14x_0" localSheetId="76">'310 &amp; 491'!$T$91</definedName>
    <definedName name="OSRRefT22_14x_0" localSheetId="57">'311'!$T$118:$T$119</definedName>
    <definedName name="OSRRefT22_14x_0" localSheetId="70">'313'!$T$81</definedName>
    <definedName name="OSRRefT22_14x_0" localSheetId="61">'315'!$T$111</definedName>
    <definedName name="OSRRefT22_14x_0" localSheetId="71">'321'!$T$77</definedName>
    <definedName name="OSRRefT22_14x_0" localSheetId="73">'325'!$T$78:$T$84</definedName>
    <definedName name="OSRRefT22_14x_0" localSheetId="62">'326'!$T$104:$T$106</definedName>
    <definedName name="OSRRefT22_14x_0" localSheetId="53">'330'!$T$131</definedName>
    <definedName name="OSRRefT22_14x_0" localSheetId="60">'331'!$T$120:$T$121</definedName>
    <definedName name="OSRRefT22_14x_0" localSheetId="63">'332'!$T$96</definedName>
    <definedName name="OSRRefT22_14x_0" localSheetId="78">'405'!$T$77:$T$78</definedName>
    <definedName name="OSRRefT22_14x_0" localSheetId="79">'406'!$T$83</definedName>
    <definedName name="OSRRefT22_14x_0" localSheetId="80">'411'!$T$81</definedName>
    <definedName name="OSRRefT22_14x_0" localSheetId="81">'412'!$T$81</definedName>
    <definedName name="OSRRefT22_14x_0" localSheetId="84">'414'!$T$80</definedName>
    <definedName name="OSRRefT22_14x_0" localSheetId="85">'415'!$T$81:$T$88</definedName>
    <definedName name="OSRRefT22_14x_0" localSheetId="86">'418'!$T$80:$T$86</definedName>
    <definedName name="OSRRefT22_14x_0" localSheetId="89">'425'!$T$86</definedName>
    <definedName name="OSRRefT22_14x_0" localSheetId="93">'433'!$T$85</definedName>
    <definedName name="OSRRefT22_14x_0" localSheetId="95">'444'!$T$85</definedName>
    <definedName name="OSRRefT22_14x_0" localSheetId="96">'450'!$T$83</definedName>
    <definedName name="OSRRefT22_14x_0" localSheetId="77">'491'!$T$84</definedName>
    <definedName name="OSRRefT22_14x_0" localSheetId="91">'492'!$T$83:$T$91</definedName>
    <definedName name="OSRRefT22_14x_0" localSheetId="98">'501'!$T$70</definedName>
    <definedName name="OSRRefT22_14x_0" localSheetId="39">'Div 2'!$T$75:$T$78</definedName>
    <definedName name="OSRRefT22_14x_0" localSheetId="47">'Div 3'!$T$221</definedName>
    <definedName name="OSRRefT22_14x_0" localSheetId="75">'Div 4'!$T$87</definedName>
    <definedName name="OSRRefT22_14x_0" localSheetId="97">'Div 5'!$T$70</definedName>
    <definedName name="OSRRefT22_14x_0" localSheetId="2">Summary!$T$255</definedName>
    <definedName name="OSRRefT22_15x_0" localSheetId="41">'201'!$T$74</definedName>
    <definedName name="OSRRefT22_15x_0" localSheetId="42">'202'!$T$72</definedName>
    <definedName name="OSRRefT22_15x_0" localSheetId="43">'203'!$T$72</definedName>
    <definedName name="OSRRefT22_15x_0" localSheetId="48">'300'!$T$217</definedName>
    <definedName name="OSRRefT22_15x_0" localSheetId="49">'300 &amp; 317'!$T$242</definedName>
    <definedName name="OSRRefT22_15x_0" localSheetId="50">'301'!$T$73:$T$76</definedName>
    <definedName name="OSRRefT22_15x_0" localSheetId="68">'310'!$T$83:$T$85</definedName>
    <definedName name="OSRRefT22_15x_0" localSheetId="76">'310 &amp; 491'!$T$93</definedName>
    <definedName name="OSRRefT22_15x_0" localSheetId="61">'315'!$T$113:$T$114</definedName>
    <definedName name="OSRRefT22_15x_0" localSheetId="73">'325'!$T$86</definedName>
    <definedName name="OSRRefT22_15x_0" localSheetId="62">'326'!$T$108:$T$109</definedName>
    <definedName name="OSRRefT22_15x_0" localSheetId="53">'330'!$T$133</definedName>
    <definedName name="OSRRefT22_15x_0" localSheetId="60">'331'!$T$123:$T$125</definedName>
    <definedName name="OSRRefT22_15x_0" localSheetId="78">'405'!$T$80:$T$88</definedName>
    <definedName name="OSRRefT22_15x_0" localSheetId="80">'411'!$T$83</definedName>
    <definedName name="OSRRefT22_15x_0" localSheetId="84">'414'!$T$82</definedName>
    <definedName name="OSRRefT22_15x_0" localSheetId="85">'415'!$T$90</definedName>
    <definedName name="OSRRefT22_15x_0" localSheetId="86">'418'!$T$88</definedName>
    <definedName name="OSRRefT22_15x_0" localSheetId="89">'425'!$T$88</definedName>
    <definedName name="OSRRefT22_15x_0" localSheetId="93">'433'!$T$87:$T$88</definedName>
    <definedName name="OSRRefT22_15x_0" localSheetId="95">'444'!$T$87</definedName>
    <definedName name="OSRRefT22_15x_0" localSheetId="96">'450'!$T$85</definedName>
    <definedName name="OSRRefT22_15x_0" localSheetId="77">'491'!$T$86:$T$89</definedName>
    <definedName name="OSRRefT22_15x_0" localSheetId="91">'492'!$T$93</definedName>
    <definedName name="OSRRefT22_15x_0" localSheetId="39">'Div 2'!$T$80:$T$81</definedName>
    <definedName name="OSRRefT22_15x_0" localSheetId="47">'Div 3'!$T$223</definedName>
    <definedName name="OSRRefT22_15x_0" localSheetId="75">'Div 4'!$T$89</definedName>
    <definedName name="OSRRefT22_15x_0" localSheetId="2">Summary!$T$257</definedName>
    <definedName name="OSRRefT22_16x_0" localSheetId="41">'201'!$T$76:$T$77</definedName>
    <definedName name="OSRRefT22_16x_0" localSheetId="42">'202'!$T$74</definedName>
    <definedName name="OSRRefT22_16x_0" localSheetId="48">'300'!$T$219:$T$222</definedName>
    <definedName name="OSRRefT22_16x_0" localSheetId="49">'300 &amp; 317'!$T$244:$T$247</definedName>
    <definedName name="OSRRefT22_16x_0" localSheetId="50">'301'!$T$78:$T$80</definedName>
    <definedName name="OSRRefT22_16x_0" localSheetId="68">'310'!$T$87:$T$88</definedName>
    <definedName name="OSRRefT22_16x_0" localSheetId="76">'310 &amp; 491'!$T$95</definedName>
    <definedName name="OSRRefT22_16x_0" localSheetId="73">'325'!$T$88</definedName>
    <definedName name="OSRRefT22_16x_0" localSheetId="62">'326'!$T$111:$T$116</definedName>
    <definedName name="OSRRefT22_16x_0" localSheetId="60">'331'!$T$127:$T$129</definedName>
    <definedName name="OSRRefT22_16x_0" localSheetId="78">'405'!$T$90</definedName>
    <definedName name="OSRRefT22_16x_0" localSheetId="80">'411'!$T$85:$T$87</definedName>
    <definedName name="OSRRefT22_16x_0" localSheetId="85">'415'!$T$92</definedName>
    <definedName name="OSRRefT22_16x_0" localSheetId="86">'418'!$T$90</definedName>
    <definedName name="OSRRefT22_16x_0" localSheetId="95">'444'!$T$89</definedName>
    <definedName name="OSRRefT22_16x_0" localSheetId="96">'450'!$T$87:$T$88</definedName>
    <definedName name="OSRRefT22_16x_0" localSheetId="77">'491'!$T$91:$T$93</definedName>
    <definedName name="OSRRefT22_16x_0" localSheetId="91">'492'!$T$95</definedName>
    <definedName name="OSRRefT22_16x_0" localSheetId="39">'Div 2'!$T$83:$T$84</definedName>
    <definedName name="OSRRefT22_16x_0" localSheetId="47">'Div 3'!$T$225</definedName>
    <definedName name="OSRRefT22_16x_0" localSheetId="75">'Div 4'!$T$91</definedName>
    <definedName name="OSRRefT22_16x_0" localSheetId="2">Summary!$T$259</definedName>
    <definedName name="OSRRefT22_17x_0" localSheetId="48">'300'!$T$224:$T$227</definedName>
    <definedName name="OSRRefT22_17x_0" localSheetId="49">'300 &amp; 317'!$T$249:$T$252</definedName>
    <definedName name="OSRRefT22_17x_0" localSheetId="50">'301'!$T$82:$T$83</definedName>
    <definedName name="OSRRefT22_17x_0" localSheetId="68">'310'!$T$90:$T$94</definedName>
    <definedName name="OSRRefT22_17x_0" localSheetId="76">'310 &amp; 491'!$T$97:$T$100</definedName>
    <definedName name="OSRRefT22_17x_0" localSheetId="73">'325'!$T$90</definedName>
    <definedName name="OSRRefT22_17x_0" localSheetId="62">'326'!$T$118:$T$119</definedName>
    <definedName name="OSRRefT22_17x_0" localSheetId="60">'331'!$T$131:$T$132</definedName>
    <definedName name="OSRRefT22_17x_0" localSheetId="78">'405'!$T$92</definedName>
    <definedName name="OSRRefT22_17x_0" localSheetId="80">'411'!$T$89</definedName>
    <definedName name="OSRRefT22_17x_0" localSheetId="85">'415'!$T$94:$T$95</definedName>
    <definedName name="OSRRefT22_17x_0" localSheetId="86">'418'!$T$92</definedName>
    <definedName name="OSRRefT22_17x_0" localSheetId="77">'491'!$T$95:$T$99</definedName>
    <definedName name="OSRRefT22_17x_0" localSheetId="91">'492'!$T$97:$T$98</definedName>
    <definedName name="OSRRefT22_17x_0" localSheetId="39">'Div 2'!$T$86:$T$90</definedName>
    <definedName name="OSRRefT22_17x_0" localSheetId="47">'Div 3'!$T$227</definedName>
    <definedName name="OSRRefT22_17x_0" localSheetId="75">'Div 4'!$T$93:$T$96</definedName>
    <definedName name="OSRRefT22_17x_0" localSheetId="2">Summary!$T$261</definedName>
    <definedName name="OSRRefT22_18x_0" localSheetId="48">'300'!$T$229:$T$232</definedName>
    <definedName name="OSRRefT22_18x_0" localSheetId="49">'300 &amp; 317'!$T$254:$T$257</definedName>
    <definedName name="OSRRefT22_18x_0" localSheetId="50">'301'!$T$85:$T$90</definedName>
    <definedName name="OSRRefT22_18x_0" localSheetId="68">'310'!$T$96</definedName>
    <definedName name="OSRRefT22_18x_0" localSheetId="76">'310 &amp; 491'!$T$102:$T$104</definedName>
    <definedName name="OSRRefT22_18x_0" localSheetId="73">'325'!$T$92</definedName>
    <definedName name="OSRRefT22_18x_0" localSheetId="62">'326'!$T$121</definedName>
    <definedName name="OSRRefT22_18x_0" localSheetId="60">'331'!$T$134:$T$139</definedName>
    <definedName name="OSRRefT22_18x_0" localSheetId="78">'405'!$T$94</definedName>
    <definedName name="OSRRefT22_18x_0" localSheetId="85">'415'!$T$97</definedName>
    <definedName name="OSRRefT22_18x_0" localSheetId="77">'491'!$T$101:$T$102</definedName>
    <definedName name="OSRRefT22_18x_0" localSheetId="39">'Div 2'!$T$92:$T$93</definedName>
    <definedName name="OSRRefT22_18x_0" localSheetId="47">'Div 3'!$T$229:$T$232</definedName>
    <definedName name="OSRRefT22_18x_0" localSheetId="75">'Div 4'!$T$98:$T$100</definedName>
    <definedName name="OSRRefT22_18x_0" localSheetId="2">Summary!$T$263:$T$266</definedName>
    <definedName name="OSRRefT22_19x_0" localSheetId="48">'300'!$T$234:$T$235</definedName>
    <definedName name="OSRRefT22_19x_0" localSheetId="49">'300 &amp; 317'!$T$259:$T$260</definedName>
    <definedName name="OSRRefT22_19x_0" localSheetId="50">'301'!$T$92</definedName>
    <definedName name="OSRRefT22_19x_0" localSheetId="68">'310'!$T$98:$T$106</definedName>
    <definedName name="OSRRefT22_19x_0" localSheetId="76">'310 &amp; 491'!$T$106:$T$111</definedName>
    <definedName name="OSRRefT22_19x_0" localSheetId="62">'326'!$T$123</definedName>
    <definedName name="OSRRefT22_19x_0" localSheetId="60">'331'!$T$141:$T$142</definedName>
    <definedName name="OSRRefT22_19x_0" localSheetId="78">'405'!$T$96</definedName>
    <definedName name="OSRRefT22_19x_0" localSheetId="77">'491'!$T$104:$T$113</definedName>
    <definedName name="OSRRefT22_19x_0" localSheetId="39">'Div 2'!$T$95</definedName>
    <definedName name="OSRRefT22_19x_0" localSheetId="47">'Div 3'!$T$234:$T$237</definedName>
    <definedName name="OSRRefT22_19x_0" localSheetId="75">'Div 4'!$T$102:$T$106</definedName>
    <definedName name="OSRRefT22_19x_0" localSheetId="2">Summary!$T$268:$T$271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'204'!$T$32:$T$41</definedName>
    <definedName name="OSRRefT22_1x_0" localSheetId="45">'205'!$T$30:$T$39</definedName>
    <definedName name="OSRRefT22_1x_0" localSheetId="46">'206'!$T$30:$T$39</definedName>
    <definedName name="OSRRefT22_1x_0" localSheetId="48">'300'!$T$173:$T$182</definedName>
    <definedName name="OSRRefT22_1x_0" localSheetId="49">'300 &amp; 317'!$T$198:$T$207</definedName>
    <definedName name="OSRRefT22_1x_0" localSheetId="50">'301'!$T$30:$T$39</definedName>
    <definedName name="OSRRefT22_1x_0" localSheetId="52">'306'!$T$30:$T$39</definedName>
    <definedName name="OSRRefT22_1x_0" localSheetId="54">'307'!$T$83:$T$92</definedName>
    <definedName name="OSRRefT22_1x_0" localSheetId="56">'308'!$T$76:$T$85</definedName>
    <definedName name="OSRRefT22_1x_0" localSheetId="69">'309'!$T$36:$T$45</definedName>
    <definedName name="OSRRefT22_1x_0" localSheetId="68">'310'!$T$44:$T$53</definedName>
    <definedName name="OSRRefT22_1x_0" localSheetId="76">'310 &amp; 491'!$T$52:$T$61</definedName>
    <definedName name="OSRRefT22_1x_0" localSheetId="57">'311'!$T$76:$T$85</definedName>
    <definedName name="OSRRefT22_1x_0" localSheetId="70">'313'!$T$40:$T$49</definedName>
    <definedName name="OSRRefT22_1x_0" localSheetId="55">'314'!$T$68:$T$77</definedName>
    <definedName name="OSRRefT22_1x_0" localSheetId="61">'315'!$T$67:$T$76</definedName>
    <definedName name="OSRRefT22_1x_0" localSheetId="64">'316'!$T$44:$T$53</definedName>
    <definedName name="OSRRefT22_1x_0" localSheetId="67">'317'!$T$71:$T$80</definedName>
    <definedName name="OSRRefT22_1x_0" localSheetId="65">'320'!$T$40:$T$49</definedName>
    <definedName name="OSRRefT22_1x_0" localSheetId="71">'321'!$T$35:$T$44</definedName>
    <definedName name="OSRRefT22_1x_0" localSheetId="72">'322'!$T$36:$T$45</definedName>
    <definedName name="OSRRefT22_1x_0" localSheetId="73">'325'!$T$36:$T$45</definedName>
    <definedName name="OSRRefT22_1x_0" localSheetId="62">'326'!$T$67:$T$76</definedName>
    <definedName name="OSRRefT22_1x_0" localSheetId="74">'327'!$T$26</definedName>
    <definedName name="OSRRefT22_1x_0" localSheetId="53">'330'!$T$91:$T$100</definedName>
    <definedName name="OSRRefT22_1x_0" localSheetId="60">'331'!$T$82:$T$91</definedName>
    <definedName name="OSRRefT22_1x_0" localSheetId="63">'332'!$T$53:$T$62</definedName>
    <definedName name="OSRRefT22_1x_0" localSheetId="78">'405'!$T$36:$T$45</definedName>
    <definedName name="OSRRefT22_1x_0" localSheetId="79">'406'!$T$37:$T$46</definedName>
    <definedName name="OSRRefT22_1x_0" localSheetId="80">'411'!$T$31:$T$40</definedName>
    <definedName name="OSRRefT22_1x_0" localSheetId="81">'412'!$T$36:$T$45</definedName>
    <definedName name="OSRRefT22_1x_0" localSheetId="83">'413'!$T$37:$T$46</definedName>
    <definedName name="OSRRefT22_1x_0" localSheetId="84">'414'!$T$37:$T$46</definedName>
    <definedName name="OSRRefT22_1x_0" localSheetId="85">'415'!$T$36:$T$45</definedName>
    <definedName name="OSRRefT22_1x_0" localSheetId="86">'418'!$T$37:$T$46</definedName>
    <definedName name="OSRRefT22_1x_0" localSheetId="82">'420'!$T$32:$T$35</definedName>
    <definedName name="OSRRefT22_1x_0" localSheetId="87">'423'!$T$31:$T$40</definedName>
    <definedName name="OSRRefT22_1x_0" localSheetId="88">'424'!$T$35:$T$44</definedName>
    <definedName name="OSRRefT22_1x_0" localSheetId="89">'425'!$T$39:$T$48</definedName>
    <definedName name="OSRRefT22_1x_0" localSheetId="92">'430'!$T$30:$T$39</definedName>
    <definedName name="OSRRefT22_1x_0" localSheetId="93">'433'!$T$38:$T$47</definedName>
    <definedName name="OSRRefT22_1x_0" localSheetId="94">'435'!$T$36:$T$45</definedName>
    <definedName name="OSRRefT22_1x_0" localSheetId="95">'444'!$T$38:$T$47</definedName>
    <definedName name="OSRRefT22_1x_0" localSheetId="96">'450'!$T$38:$T$47</definedName>
    <definedName name="OSRRefT22_1x_0" localSheetId="90">'455'!$T$29:$T$38</definedName>
    <definedName name="OSRRefT22_1x_0" localSheetId="77">'491'!$T$45:$T$54</definedName>
    <definedName name="OSRRefT22_1x_0" localSheetId="91">'492'!$T$40:$T$49</definedName>
    <definedName name="OSRRefT22_1x_0" localSheetId="98">'501'!$T$31:$T$40</definedName>
    <definedName name="OSRRefT22_1x_0" localSheetId="39">'Div 2'!$T$33:$T$42</definedName>
    <definedName name="OSRRefT22_1x_0" localSheetId="47">'Div 3'!$T$179:$T$188</definedName>
    <definedName name="OSRRefT22_1x_0" localSheetId="75">'Div 4'!$T$46:$T$55</definedName>
    <definedName name="OSRRefT22_1x_0" localSheetId="97">'Div 5'!$T$31:$T$40</definedName>
    <definedName name="OSRRefT22_1x_0" localSheetId="66">'Div 6'!$T$71:$T$80</definedName>
    <definedName name="OSRRefT22_1x_0" localSheetId="2">Summary!$T$211:$T$220</definedName>
    <definedName name="OSRRefT22_20x_0" localSheetId="48">'300'!$T$237:$T$243</definedName>
    <definedName name="OSRRefT22_20x_0" localSheetId="49">'300 &amp; 317'!$T$262:$T$268</definedName>
    <definedName name="OSRRefT22_20x_0" localSheetId="50">'301'!$T$94</definedName>
    <definedName name="OSRRefT22_20x_0" localSheetId="68">'310'!$T$108</definedName>
    <definedName name="OSRRefT22_20x_0" localSheetId="76">'310 &amp; 491'!$T$113:$T$114</definedName>
    <definedName name="OSRRefT22_20x_0" localSheetId="62">'326'!$T$125</definedName>
    <definedName name="OSRRefT22_20x_0" localSheetId="60">'331'!$T$144</definedName>
    <definedName name="OSRRefT22_20x_0" localSheetId="77">'491'!$T$115:$T$116</definedName>
    <definedName name="OSRRefT22_20x_0" localSheetId="39">'Div 2'!$T$97:$T$98</definedName>
    <definedName name="OSRRefT22_20x_0" localSheetId="47">'Div 3'!$T$239:$T$244</definedName>
    <definedName name="OSRRefT22_20x_0" localSheetId="75">'Div 4'!$T$108:$T$109</definedName>
    <definedName name="OSRRefT22_20x_0" localSheetId="2">Summary!$T$273:$T$278</definedName>
    <definedName name="OSRRefT22_21x_0" localSheetId="48">'300'!$T$245:$T$246</definedName>
    <definedName name="OSRRefT22_21x_0" localSheetId="49">'300 &amp; 317'!$T$270:$T$271</definedName>
    <definedName name="OSRRefT22_21x_0" localSheetId="50">'301'!$T$96:$T$98</definedName>
    <definedName name="OSRRefT22_21x_0" localSheetId="68">'310'!$T$110</definedName>
    <definedName name="OSRRefT22_21x_0" localSheetId="76">'310 &amp; 491'!$T$116:$T$125</definedName>
    <definedName name="OSRRefT22_21x_0" localSheetId="60">'331'!$T$146:$T$147</definedName>
    <definedName name="OSRRefT22_21x_0" localSheetId="77">'491'!$T$118</definedName>
    <definedName name="OSRRefT22_21x_0" localSheetId="47">'Div 3'!$T$246:$T$247</definedName>
    <definedName name="OSRRefT22_21x_0" localSheetId="75">'Div 4'!$T$111:$T$120</definedName>
    <definedName name="OSRRefT22_21x_0" localSheetId="2">Summary!$T$280:$T$281</definedName>
    <definedName name="OSRRefT22_22x_0" localSheetId="48">'300'!$T$248</definedName>
    <definedName name="OSRRefT22_22x_0" localSheetId="49">'300 &amp; 317'!$T$273</definedName>
    <definedName name="OSRRefT22_22x_0" localSheetId="50">'301'!$T$100</definedName>
    <definedName name="OSRRefT22_22x_0" localSheetId="68">'310'!$T$112</definedName>
    <definedName name="OSRRefT22_22x_0" localSheetId="76">'310 &amp; 491'!$T$127:$T$128</definedName>
    <definedName name="OSRRefT22_22x_0" localSheetId="60">'331'!$T$149</definedName>
    <definedName name="OSRRefT22_22x_0" localSheetId="77">'491'!$T$120:$T$122</definedName>
    <definedName name="OSRRefT22_22x_0" localSheetId="47">'Div 3'!$T$249:$T$257</definedName>
    <definedName name="OSRRefT22_22x_0" localSheetId="75">'Div 4'!$T$122:$T$123</definedName>
    <definedName name="OSRRefT22_22x_0" localSheetId="2">Summary!$T$283:$T$292</definedName>
    <definedName name="OSRRefT22_23x_0" localSheetId="48">'300'!$T$250:$T$252</definedName>
    <definedName name="OSRRefT22_23x_0" localSheetId="49">'300 &amp; 317'!$T$275:$T$277</definedName>
    <definedName name="OSRRefT22_23x_0" localSheetId="68">'310'!$T$114</definedName>
    <definedName name="OSRRefT22_23x_0" localSheetId="76">'310 &amp; 491'!$T$130</definedName>
    <definedName name="OSRRefT22_23x_0" localSheetId="77">'491'!$T$124</definedName>
    <definedName name="OSRRefT22_23x_0" localSheetId="47">'Div 3'!$T$259:$T$260</definedName>
    <definedName name="OSRRefT22_23x_0" localSheetId="75">'Div 4'!$T$125</definedName>
    <definedName name="OSRRefT22_23x_0" localSheetId="2">Summary!$T$294:$T$295</definedName>
    <definedName name="OSRRefT22_24x_0" localSheetId="48">'300'!$T$254</definedName>
    <definedName name="OSRRefT22_24x_0" localSheetId="49">'300 &amp; 317'!$T$279</definedName>
    <definedName name="OSRRefT22_24x_0" localSheetId="76">'310 &amp; 491'!$T$132:$T$134</definedName>
    <definedName name="OSRRefT22_24x_0" localSheetId="47">'Div 3'!$T$262</definedName>
    <definedName name="OSRRefT22_24x_0" localSheetId="75">'Div 4'!$T$127:$T$129</definedName>
    <definedName name="OSRRefT22_24x_0" localSheetId="2">Summary!$T$297</definedName>
    <definedName name="OSRRefT22_25x_0" localSheetId="76">'310 &amp; 491'!$T$136</definedName>
    <definedName name="OSRRefT22_25x_0" localSheetId="47">'Div 3'!$T$264:$T$266</definedName>
    <definedName name="OSRRefT22_25x_0" localSheetId="75">'Div 4'!$T$131</definedName>
    <definedName name="OSRRefT22_25x_0" localSheetId="2">Summary!$T$299:$T$301</definedName>
    <definedName name="OSRRefT22_26x_0" localSheetId="47">'Div 3'!$T$268</definedName>
    <definedName name="OSRRefT22_26x_0" localSheetId="2">Summary!$T$303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'204'!$T$43</definedName>
    <definedName name="OSRRefT22_2x_0" localSheetId="45">'205'!$T$41</definedName>
    <definedName name="OSRRefT22_2x_0" localSheetId="46">'206'!$T$41</definedName>
    <definedName name="OSRRefT22_2x_0" localSheetId="48">'300'!$T$184</definedName>
    <definedName name="OSRRefT22_2x_0" localSheetId="49">'300 &amp; 317'!$T$209</definedName>
    <definedName name="OSRRefT22_2x_0" localSheetId="50">'301'!$T$41</definedName>
    <definedName name="OSRRefT22_2x_0" localSheetId="52">'306'!$T$41</definedName>
    <definedName name="OSRRefT22_2x_0" localSheetId="54">'307'!$T$94</definedName>
    <definedName name="OSRRefT22_2x_0" localSheetId="56">'308'!$T$87</definedName>
    <definedName name="OSRRefT22_2x_0" localSheetId="69">'309'!$T$47</definedName>
    <definedName name="OSRRefT22_2x_0" localSheetId="68">'310'!$T$55</definedName>
    <definedName name="OSRRefT22_2x_0" localSheetId="76">'310 &amp; 491'!$T$63</definedName>
    <definedName name="OSRRefT22_2x_0" localSheetId="57">'311'!$T$87</definedName>
    <definedName name="OSRRefT22_2x_0" localSheetId="70">'313'!$T$51</definedName>
    <definedName name="OSRRefT22_2x_0" localSheetId="55">'314'!$T$79</definedName>
    <definedName name="OSRRefT22_2x_0" localSheetId="61">'315'!$T$78</definedName>
    <definedName name="OSRRefT22_2x_0" localSheetId="64">'316'!$T$55</definedName>
    <definedName name="OSRRefT22_2x_0" localSheetId="67">'317'!$T$82</definedName>
    <definedName name="OSRRefT22_2x_0" localSheetId="65">'320'!$T$51</definedName>
    <definedName name="OSRRefT22_2x_0" localSheetId="71">'321'!$T$46</definedName>
    <definedName name="OSRRefT22_2x_0" localSheetId="72">'322'!$T$47</definedName>
    <definedName name="OSRRefT22_2x_0" localSheetId="73">'325'!$T$47</definedName>
    <definedName name="OSRRefT22_2x_0" localSheetId="62">'326'!$T$78</definedName>
    <definedName name="OSRRefT22_2x_0" localSheetId="74">'327'!$T$28</definedName>
    <definedName name="OSRRefT22_2x_0" localSheetId="53">'330'!$T$102</definedName>
    <definedName name="OSRRefT22_2x_0" localSheetId="60">'331'!$T$93</definedName>
    <definedName name="OSRRefT22_2x_0" localSheetId="63">'332'!$T$64</definedName>
    <definedName name="OSRRefT22_2x_0" localSheetId="78">'405'!$T$47</definedName>
    <definedName name="OSRRefT22_2x_0" localSheetId="79">'406'!$T$48</definedName>
    <definedName name="OSRRefT22_2x_0" localSheetId="80">'411'!$T$42</definedName>
    <definedName name="OSRRefT22_2x_0" localSheetId="81">'412'!$T$47</definedName>
    <definedName name="OSRRefT22_2x_0" localSheetId="83">'413'!$T$48</definedName>
    <definedName name="OSRRefT22_2x_0" localSheetId="84">'414'!$T$48</definedName>
    <definedName name="OSRRefT22_2x_0" localSheetId="85">'415'!$T$47</definedName>
    <definedName name="OSRRefT22_2x_0" localSheetId="86">'418'!$T$48</definedName>
    <definedName name="OSRRefT22_2x_0" localSheetId="82">'420'!$T$37</definedName>
    <definedName name="OSRRefT22_2x_0" localSheetId="87">'423'!$T$42</definedName>
    <definedName name="OSRRefT22_2x_0" localSheetId="88">'424'!$T$46</definedName>
    <definedName name="OSRRefT22_2x_0" localSheetId="89">'425'!$T$50</definedName>
    <definedName name="OSRRefT22_2x_0" localSheetId="92">'430'!$T$41</definedName>
    <definedName name="OSRRefT22_2x_0" localSheetId="93">'433'!$T$49</definedName>
    <definedName name="OSRRefT22_2x_0" localSheetId="94">'435'!$T$47</definedName>
    <definedName name="OSRRefT22_2x_0" localSheetId="95">'444'!$T$49</definedName>
    <definedName name="OSRRefT22_2x_0" localSheetId="96">'450'!$T$49</definedName>
    <definedName name="OSRRefT22_2x_0" localSheetId="77">'491'!$T$56</definedName>
    <definedName name="OSRRefT22_2x_0" localSheetId="91">'492'!$T$51</definedName>
    <definedName name="OSRRefT22_2x_0" localSheetId="98">'501'!$T$42</definedName>
    <definedName name="OSRRefT22_2x_0" localSheetId="39">'Div 2'!$T$44</definedName>
    <definedName name="OSRRefT22_2x_0" localSheetId="47">'Div 3'!$T$190</definedName>
    <definedName name="OSRRefT22_2x_0" localSheetId="75">'Div 4'!$T$57</definedName>
    <definedName name="OSRRefT22_2x_0" localSheetId="97">'Div 5'!$T$42</definedName>
    <definedName name="OSRRefT22_2x_0" localSheetId="66">'Div 6'!$T$82</definedName>
    <definedName name="OSRRefT22_2x_0" localSheetId="2">Summary!$T$222</definedName>
    <definedName name="OSRRefT22_3x_0" localSheetId="40">'200'!$T$26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'204'!$T$45:$T$46</definedName>
    <definedName name="OSRRefT22_3x_0" localSheetId="45">'205'!$T$43</definedName>
    <definedName name="OSRRefT22_3x_0" localSheetId="46">'206'!$T$43</definedName>
    <definedName name="OSRRefT22_3x_0" localSheetId="48">'300'!$T$186:$T$187</definedName>
    <definedName name="OSRRefT22_3x_0" localSheetId="49">'300 &amp; 317'!$T$211:$T$212</definedName>
    <definedName name="OSRRefT22_3x_0" localSheetId="50">'301'!$T$43:$T$44</definedName>
    <definedName name="OSRRefT22_3x_0" localSheetId="52">'306'!$T$43</definedName>
    <definedName name="OSRRefT22_3x_0" localSheetId="54">'307'!$T$96</definedName>
    <definedName name="OSRRefT22_3x_0" localSheetId="56">'308'!$T$89:$T$90</definedName>
    <definedName name="OSRRefT22_3x_0" localSheetId="69">'309'!$T$49</definedName>
    <definedName name="OSRRefT22_3x_0" localSheetId="68">'310'!$T$57</definedName>
    <definedName name="OSRRefT22_3x_0" localSheetId="76">'310 &amp; 491'!$T$65</definedName>
    <definedName name="OSRRefT22_3x_0" localSheetId="57">'311'!$T$89:$T$90</definedName>
    <definedName name="OSRRefT22_3x_0" localSheetId="70">'313'!$T$53</definedName>
    <definedName name="OSRRefT22_3x_0" localSheetId="55">'314'!$T$81:$T$82</definedName>
    <definedName name="OSRRefT22_3x_0" localSheetId="61">'315'!$T$80:$T$81</definedName>
    <definedName name="OSRRefT22_3x_0" localSheetId="64">'316'!$T$57</definedName>
    <definedName name="OSRRefT22_3x_0" localSheetId="67">'317'!$T$84</definedName>
    <definedName name="OSRRefT22_3x_0" localSheetId="65">'320'!$T$53</definedName>
    <definedName name="OSRRefT22_3x_0" localSheetId="71">'321'!$T$48</definedName>
    <definedName name="OSRRefT22_3x_0" localSheetId="72">'322'!$T$49</definedName>
    <definedName name="OSRRefT22_3x_0" localSheetId="73">'325'!$T$49</definedName>
    <definedName name="OSRRefT22_3x_0" localSheetId="62">'326'!$T$80:$T$81</definedName>
    <definedName name="OSRRefT22_3x_0" localSheetId="53">'330'!$T$104</definedName>
    <definedName name="OSRRefT22_3x_0" localSheetId="60">'331'!$T$95:$T$96</definedName>
    <definedName name="OSRRefT22_3x_0" localSheetId="63">'332'!$T$66</definedName>
    <definedName name="OSRRefT22_3x_0" localSheetId="78">'405'!$T$49</definedName>
    <definedName name="OSRRefT22_3x_0" localSheetId="79">'406'!$T$50</definedName>
    <definedName name="OSRRefT22_3x_0" localSheetId="80">'411'!$T$44:$T$47</definedName>
    <definedName name="OSRRefT22_3x_0" localSheetId="81">'412'!$T$49</definedName>
    <definedName name="OSRRefT22_3x_0" localSheetId="83">'413'!$T$50</definedName>
    <definedName name="OSRRefT22_3x_0" localSheetId="84">'414'!$T$50</definedName>
    <definedName name="OSRRefT22_3x_0" localSheetId="85">'415'!$T$49</definedName>
    <definedName name="OSRRefT22_3x_0" localSheetId="86">'418'!$T$50</definedName>
    <definedName name="OSRRefT22_3x_0" localSheetId="82">'420'!$T$39</definedName>
    <definedName name="OSRRefT22_3x_0" localSheetId="87">'423'!$T$44</definedName>
    <definedName name="OSRRefT22_3x_0" localSheetId="88">'424'!$T$48</definedName>
    <definedName name="OSRRefT22_3x_0" localSheetId="89">'425'!$T$52</definedName>
    <definedName name="OSRRefT22_3x_0" localSheetId="92">'430'!$T$43</definedName>
    <definedName name="OSRRefT22_3x_0" localSheetId="93">'433'!$T$51</definedName>
    <definedName name="OSRRefT22_3x_0" localSheetId="94">'435'!$T$49</definedName>
    <definedName name="OSRRefT22_3x_0" localSheetId="95">'444'!$T$51</definedName>
    <definedName name="OSRRefT22_3x_0" localSheetId="96">'450'!$T$51:$T$52</definedName>
    <definedName name="OSRRefT22_3x_0" localSheetId="77">'491'!$T$58</definedName>
    <definedName name="OSRRefT22_3x_0" localSheetId="91">'492'!$T$53:$T$54</definedName>
    <definedName name="OSRRefT22_3x_0" localSheetId="98">'501'!$T$44</definedName>
    <definedName name="OSRRefT22_3x_0" localSheetId="39">'Div 2'!$T$46</definedName>
    <definedName name="OSRRefT22_3x_0" localSheetId="47">'Div 3'!$T$192:$T$193</definedName>
    <definedName name="OSRRefT22_3x_0" localSheetId="75">'Div 4'!$T$59:$T$60</definedName>
    <definedName name="OSRRefT22_3x_0" localSheetId="97">'Div 5'!$T$44</definedName>
    <definedName name="OSRRefT22_3x_0" localSheetId="66">'Div 6'!$T$84</definedName>
    <definedName name="OSRRefT22_3x_0" localSheetId="2">Summary!$T$224:$T$225</definedName>
    <definedName name="OSRRefT22_4x_0" localSheetId="40">'200'!$T$28:$T$29</definedName>
    <definedName name="OSRRefT22_4x_0" localSheetId="41">'201'!$T$45:$T$46</definedName>
    <definedName name="OSRRefT22_4x_0" localSheetId="42">'202'!$T$45</definedName>
    <definedName name="OSRRefT22_4x_0" localSheetId="43">'203'!$T$46</definedName>
    <definedName name="OSRRefT22_4x_0" localSheetId="44">'204'!$T$48</definedName>
    <definedName name="OSRRefT22_4x_0" localSheetId="45">'205'!$T$45</definedName>
    <definedName name="OSRRefT22_4x_0" localSheetId="46">'206'!$T$45</definedName>
    <definedName name="OSRRefT22_4x_0" localSheetId="48">'300'!$T$189</definedName>
    <definedName name="OSRRefT22_4x_0" localSheetId="49">'300 &amp; 317'!$T$214</definedName>
    <definedName name="OSRRefT22_4x_0" localSheetId="50">'301'!$T$46</definedName>
    <definedName name="OSRRefT22_4x_0" localSheetId="52">'306'!$T$45</definedName>
    <definedName name="OSRRefT22_4x_0" localSheetId="54">'307'!$T$98:$T$99</definedName>
    <definedName name="OSRRefT22_4x_0" localSheetId="56">'308'!$T$92</definedName>
    <definedName name="OSRRefT22_4x_0" localSheetId="69">'309'!$T$51</definedName>
    <definedName name="OSRRefT22_4x_0" localSheetId="68">'310'!$T$59</definedName>
    <definedName name="OSRRefT22_4x_0" localSheetId="76">'310 &amp; 491'!$T$67</definedName>
    <definedName name="OSRRefT22_4x_0" localSheetId="57">'311'!$T$92</definedName>
    <definedName name="OSRRefT22_4x_0" localSheetId="70">'313'!$T$55</definedName>
    <definedName name="OSRRefT22_4x_0" localSheetId="55">'314'!$T$84</definedName>
    <definedName name="OSRRefT22_4x_0" localSheetId="61">'315'!$T$83</definedName>
    <definedName name="OSRRefT22_4x_0" localSheetId="64">'316'!$T$59</definedName>
    <definedName name="OSRRefT22_4x_0" localSheetId="67">'317'!$T$86</definedName>
    <definedName name="OSRRefT22_4x_0" localSheetId="65">'320'!$T$55:$T$56</definedName>
    <definedName name="OSRRefT22_4x_0" localSheetId="71">'321'!$T$50</definedName>
    <definedName name="OSRRefT22_4x_0" localSheetId="72">'322'!$T$51</definedName>
    <definedName name="OSRRefT22_4x_0" localSheetId="73">'325'!$T$51</definedName>
    <definedName name="OSRRefT22_4x_0" localSheetId="62">'326'!$T$83</definedName>
    <definedName name="OSRRefT22_4x_0" localSheetId="53">'330'!$T$106:$T$107</definedName>
    <definedName name="OSRRefT22_4x_0" localSheetId="60">'331'!$T$98</definedName>
    <definedName name="OSRRefT22_4x_0" localSheetId="63">'332'!$T$68</definedName>
    <definedName name="OSRRefT22_4x_0" localSheetId="78">'405'!$T$51</definedName>
    <definedName name="OSRRefT22_4x_0" localSheetId="79">'406'!$T$52</definedName>
    <definedName name="OSRRefT22_4x_0" localSheetId="80">'411'!$T$49</definedName>
    <definedName name="OSRRefT22_4x_0" localSheetId="81">'412'!$T$51</definedName>
    <definedName name="OSRRefT22_4x_0" localSheetId="83">'413'!$T$52</definedName>
    <definedName name="OSRRefT22_4x_0" localSheetId="84">'414'!$T$52</definedName>
    <definedName name="OSRRefT22_4x_0" localSheetId="85">'415'!$T$51</definedName>
    <definedName name="OSRRefT22_4x_0" localSheetId="86">'418'!$T$52</definedName>
    <definedName name="OSRRefT22_4x_0" localSheetId="82">'420'!$T$41</definedName>
    <definedName name="OSRRefT22_4x_0" localSheetId="87">'423'!$T$46</definedName>
    <definedName name="OSRRefT22_4x_0" localSheetId="88">'424'!$T$50</definedName>
    <definedName name="OSRRefT22_4x_0" localSheetId="89">'425'!$T$54</definedName>
    <definedName name="OSRRefT22_4x_0" localSheetId="92">'430'!$T$45</definedName>
    <definedName name="OSRRefT22_4x_0" localSheetId="93">'433'!$T$53</definedName>
    <definedName name="OSRRefT22_4x_0" localSheetId="94">'435'!$T$51</definedName>
    <definedName name="OSRRefT22_4x_0" localSheetId="95">'444'!$T$53</definedName>
    <definedName name="OSRRefT22_4x_0" localSheetId="96">'450'!$T$54</definedName>
    <definedName name="OSRRefT22_4x_0" localSheetId="77">'491'!$T$60</definedName>
    <definedName name="OSRRefT22_4x_0" localSheetId="91">'492'!$T$56</definedName>
    <definedName name="OSRRefT22_4x_0" localSheetId="98">'501'!$T$46</definedName>
    <definedName name="OSRRefT22_4x_0" localSheetId="39">'Div 2'!$T$48</definedName>
    <definedName name="OSRRefT22_4x_0" localSheetId="47">'Div 3'!$T$195</definedName>
    <definedName name="OSRRefT22_4x_0" localSheetId="75">'Div 4'!$T$62</definedName>
    <definedName name="OSRRefT22_4x_0" localSheetId="97">'Div 5'!$T$46</definedName>
    <definedName name="OSRRefT22_4x_0" localSheetId="66">'Div 6'!$T$86</definedName>
    <definedName name="OSRRefT22_4x_0" localSheetId="2">Summary!$T$227</definedName>
    <definedName name="OSRRefT22_5x_0" localSheetId="41">'201'!$T$48</definedName>
    <definedName name="OSRRefT22_5x_0" localSheetId="42">'202'!$T$47</definedName>
    <definedName name="OSRRefT22_5x_0" localSheetId="43">'203'!$T$48</definedName>
    <definedName name="OSRRefT22_5x_0" localSheetId="44">'204'!$T$50</definedName>
    <definedName name="OSRRefT22_5x_0" localSheetId="45">'205'!$T$47:$T$48</definedName>
    <definedName name="OSRRefT22_5x_0" localSheetId="46">'206'!$T$47</definedName>
    <definedName name="OSRRefT22_5x_0" localSheetId="48">'300'!$T$191:$T$194</definedName>
    <definedName name="OSRRefT22_5x_0" localSheetId="49">'300 &amp; 317'!$T$216:$T$219</definedName>
    <definedName name="OSRRefT22_5x_0" localSheetId="50">'301'!$T$48:$T$51</definedName>
    <definedName name="OSRRefT22_5x_0" localSheetId="52">'306'!$T$47</definedName>
    <definedName name="OSRRefT22_5x_0" localSheetId="54">'307'!$T$101</definedName>
    <definedName name="OSRRefT22_5x_0" localSheetId="56">'308'!$T$94</definedName>
    <definedName name="OSRRefT22_5x_0" localSheetId="69">'309'!$T$53:$T$54</definedName>
    <definedName name="OSRRefT22_5x_0" localSheetId="68">'310'!$T$61:$T$63</definedName>
    <definedName name="OSRRefT22_5x_0" localSheetId="76">'310 &amp; 491'!$T$69:$T$72</definedName>
    <definedName name="OSRRefT22_5x_0" localSheetId="57">'311'!$T$94</definedName>
    <definedName name="OSRRefT22_5x_0" localSheetId="70">'313'!$T$57</definedName>
    <definedName name="OSRRefT22_5x_0" localSheetId="55">'314'!$T$86</definedName>
    <definedName name="OSRRefT22_5x_0" localSheetId="61">'315'!$T$85:$T$86</definedName>
    <definedName name="OSRRefT22_5x_0" localSheetId="64">'316'!$T$61</definedName>
    <definedName name="OSRRefT22_5x_0" localSheetId="67">'317'!$T$88</definedName>
    <definedName name="OSRRefT22_5x_0" localSheetId="65">'320'!$T$58</definedName>
    <definedName name="OSRRefT22_5x_0" localSheetId="71">'321'!$T$52</definedName>
    <definedName name="OSRRefT22_5x_0" localSheetId="72">'322'!$T$53:$T$54</definedName>
    <definedName name="OSRRefT22_5x_0" localSheetId="73">'325'!$T$53:$T$55</definedName>
    <definedName name="OSRRefT22_5x_0" localSheetId="62">'326'!$T$85</definedName>
    <definedName name="OSRRefT22_5x_0" localSheetId="53">'330'!$T$109</definedName>
    <definedName name="OSRRefT22_5x_0" localSheetId="60">'331'!$T$100:$T$101</definedName>
    <definedName name="OSRRefT22_5x_0" localSheetId="63">'332'!$T$70</definedName>
    <definedName name="OSRRefT22_5x_0" localSheetId="78">'405'!$T$53:$T$55</definedName>
    <definedName name="OSRRefT22_5x_0" localSheetId="79">'406'!$T$54:$T$55</definedName>
    <definedName name="OSRRefT22_5x_0" localSheetId="80">'411'!$T$51</definedName>
    <definedName name="OSRRefT22_5x_0" localSheetId="81">'412'!$T$53:$T$55</definedName>
    <definedName name="OSRRefT22_5x_0" localSheetId="83">'413'!$T$54</definedName>
    <definedName name="OSRRefT22_5x_0" localSheetId="84">'414'!$T$54:$T$55</definedName>
    <definedName name="OSRRefT22_5x_0" localSheetId="85">'415'!$T$53:$T$55</definedName>
    <definedName name="OSRRefT22_5x_0" localSheetId="86">'418'!$T$54:$T$56</definedName>
    <definedName name="OSRRefT22_5x_0" localSheetId="82">'420'!$T$43:$T$44</definedName>
    <definedName name="OSRRefT22_5x_0" localSheetId="87">'423'!$T$48</definedName>
    <definedName name="OSRRefT22_5x_0" localSheetId="88">'424'!$T$52</definedName>
    <definedName name="OSRRefT22_5x_0" localSheetId="89">'425'!$T$56:$T$57</definedName>
    <definedName name="OSRRefT22_5x_0" localSheetId="92">'430'!$T$47</definedName>
    <definedName name="OSRRefT22_5x_0" localSheetId="93">'433'!$T$55</definedName>
    <definedName name="OSRRefT22_5x_0" localSheetId="94">'435'!$T$53</definedName>
    <definedName name="OSRRefT22_5x_0" localSheetId="95">'444'!$T$55</definedName>
    <definedName name="OSRRefT22_5x_0" localSheetId="96">'450'!$T$56</definedName>
    <definedName name="OSRRefT22_5x_0" localSheetId="77">'491'!$T$62:$T$65</definedName>
    <definedName name="OSRRefT22_5x_0" localSheetId="91">'492'!$T$58:$T$59</definedName>
    <definedName name="OSRRefT22_5x_0" localSheetId="98">'501'!$T$48</definedName>
    <definedName name="OSRRefT22_5x_0" localSheetId="39">'Div 2'!$T$50:$T$51</definedName>
    <definedName name="OSRRefT22_5x_0" localSheetId="47">'Div 3'!$T$197:$T$200</definedName>
    <definedName name="OSRRefT22_5x_0" localSheetId="75">'Div 4'!$T$64:$T$67</definedName>
    <definedName name="OSRRefT22_5x_0" localSheetId="97">'Div 5'!$T$48</definedName>
    <definedName name="OSRRefT22_5x_0" localSheetId="66">'Div 6'!$T$88</definedName>
    <definedName name="OSRRefT22_5x_0" localSheetId="2">Summary!$T$229:$T$232</definedName>
    <definedName name="OSRRefT22_6x_0" localSheetId="41">'201'!$T$50</definedName>
    <definedName name="OSRRefT22_6x_0" localSheetId="42">'202'!$T$49</definedName>
    <definedName name="OSRRefT22_6x_0" localSheetId="43">'203'!$T$50</definedName>
    <definedName name="OSRRefT22_6x_0" localSheetId="44">'204'!$T$52</definedName>
    <definedName name="OSRRefT22_6x_0" localSheetId="45">'205'!$T$50</definedName>
    <definedName name="OSRRefT22_6x_0" localSheetId="46">'206'!$T$49</definedName>
    <definedName name="OSRRefT22_6x_0" localSheetId="48">'300'!$T$196:$T$197</definedName>
    <definedName name="OSRRefT22_6x_0" localSheetId="49">'300 &amp; 317'!$T$221:$T$222</definedName>
    <definedName name="OSRRefT22_6x_0" localSheetId="50">'301'!$T$53:$T$54</definedName>
    <definedName name="OSRRefT22_6x_0" localSheetId="52">'306'!$T$49</definedName>
    <definedName name="OSRRefT22_6x_0" localSheetId="54">'307'!$T$103</definedName>
    <definedName name="OSRRefT22_6x_0" localSheetId="56">'308'!$T$96:$T$97</definedName>
    <definedName name="OSRRefT22_6x_0" localSheetId="69">'309'!$T$56</definedName>
    <definedName name="OSRRefT22_6x_0" localSheetId="68">'310'!$T$65</definedName>
    <definedName name="OSRRefT22_6x_0" localSheetId="76">'310 &amp; 491'!$T$74</definedName>
    <definedName name="OSRRefT22_6x_0" localSheetId="57">'311'!$T$96:$T$97</definedName>
    <definedName name="OSRRefT22_6x_0" localSheetId="70">'313'!$T$59</definedName>
    <definedName name="OSRRefT22_6x_0" localSheetId="55">'314'!$T$88</definedName>
    <definedName name="OSRRefT22_6x_0" localSheetId="61">'315'!$T$88</definedName>
    <definedName name="OSRRefT22_6x_0" localSheetId="64">'316'!$T$63</definedName>
    <definedName name="OSRRefT22_6x_0" localSheetId="67">'317'!$T$90</definedName>
    <definedName name="OSRRefT22_6x_0" localSheetId="65">'320'!$T$60</definedName>
    <definedName name="OSRRefT22_6x_0" localSheetId="71">'321'!$T$54</definedName>
    <definedName name="OSRRefT22_6x_0" localSheetId="72">'322'!$T$56</definedName>
    <definedName name="OSRRefT22_6x_0" localSheetId="73">'325'!$T$57</definedName>
    <definedName name="OSRRefT22_6x_0" localSheetId="62">'326'!$T$87</definedName>
    <definedName name="OSRRefT22_6x_0" localSheetId="53">'330'!$T$111</definedName>
    <definedName name="OSRRefT22_6x_0" localSheetId="60">'331'!$T$103</definedName>
    <definedName name="OSRRefT22_6x_0" localSheetId="63">'332'!$T$72</definedName>
    <definedName name="OSRRefT22_6x_0" localSheetId="78">'405'!$T$57</definedName>
    <definedName name="OSRRefT22_6x_0" localSheetId="79">'406'!$T$57</definedName>
    <definedName name="OSRRefT22_6x_0" localSheetId="80">'411'!$T$53</definedName>
    <definedName name="OSRRefT22_6x_0" localSheetId="81">'412'!$T$57</definedName>
    <definedName name="OSRRefT22_6x_0" localSheetId="83">'413'!$T$56</definedName>
    <definedName name="OSRRefT22_6x_0" localSheetId="84">'414'!$T$57</definedName>
    <definedName name="OSRRefT22_6x_0" localSheetId="85">'415'!$T$57</definedName>
    <definedName name="OSRRefT22_6x_0" localSheetId="86">'418'!$T$58</definedName>
    <definedName name="OSRRefT22_6x_0" localSheetId="82">'420'!$T$46</definedName>
    <definedName name="OSRRefT22_6x_0" localSheetId="88">'424'!$T$54</definedName>
    <definedName name="OSRRefT22_6x_0" localSheetId="89">'425'!$T$59</definedName>
    <definedName name="OSRRefT22_6x_0" localSheetId="92">'430'!$T$49</definedName>
    <definedName name="OSRRefT22_6x_0" localSheetId="93">'433'!$T$57</definedName>
    <definedName name="OSRRefT22_6x_0" localSheetId="94">'435'!$T$55</definedName>
    <definedName name="OSRRefT22_6x_0" localSheetId="95">'444'!$T$57</definedName>
    <definedName name="OSRRefT22_6x_0" localSheetId="96">'450'!$T$58</definedName>
    <definedName name="OSRRefT22_6x_0" localSheetId="77">'491'!$T$67</definedName>
    <definedName name="OSRRefT22_6x_0" localSheetId="91">'492'!$T$61</definedName>
    <definedName name="OSRRefT22_6x_0" localSheetId="98">'501'!$T$50</definedName>
    <definedName name="OSRRefT22_6x_0" localSheetId="39">'Div 2'!$T$53:$T$54</definedName>
    <definedName name="OSRRefT22_6x_0" localSheetId="47">'Div 3'!$T$202:$T$203</definedName>
    <definedName name="OSRRefT22_6x_0" localSheetId="75">'Div 4'!$T$69</definedName>
    <definedName name="OSRRefT22_6x_0" localSheetId="97">'Div 5'!$T$50</definedName>
    <definedName name="OSRRefT22_6x_0" localSheetId="66">'Div 6'!$T$90</definedName>
    <definedName name="OSRRefT22_6x_0" localSheetId="2">Summary!$T$234:$T$235</definedName>
    <definedName name="OSRRefT22_7x_0" localSheetId="41">'201'!$T$52</definedName>
    <definedName name="OSRRefT22_7x_0" localSheetId="42">'202'!$T$51</definedName>
    <definedName name="OSRRefT22_7x_0" localSheetId="43">'203'!$T$52</definedName>
    <definedName name="OSRRefT22_7x_0" localSheetId="44">'204'!$T$54:$T$57</definedName>
    <definedName name="OSRRefT22_7x_0" localSheetId="45">'205'!$T$52:$T$53</definedName>
    <definedName name="OSRRefT22_7x_0" localSheetId="46">'206'!$T$51:$T$52</definedName>
    <definedName name="OSRRefT22_7x_0" localSheetId="48">'300'!$T$199:$T$200</definedName>
    <definedName name="OSRRefT22_7x_0" localSheetId="49">'300 &amp; 317'!$T$224:$T$225</definedName>
    <definedName name="OSRRefT22_7x_0" localSheetId="50">'301'!$T$56:$T$57</definedName>
    <definedName name="OSRRefT22_7x_0" localSheetId="52">'306'!$T$51:$T$52</definedName>
    <definedName name="OSRRefT22_7x_0" localSheetId="54">'307'!$T$105</definedName>
    <definedName name="OSRRefT22_7x_0" localSheetId="56">'308'!$T$99</definedName>
    <definedName name="OSRRefT22_7x_0" localSheetId="69">'309'!$T$58</definedName>
    <definedName name="OSRRefT22_7x_0" localSheetId="68">'310'!$T$67</definedName>
    <definedName name="OSRRefT22_7x_0" localSheetId="76">'310 &amp; 491'!$T$76</definedName>
    <definedName name="OSRRefT22_7x_0" localSheetId="57">'311'!$T$99</definedName>
    <definedName name="OSRRefT22_7x_0" localSheetId="70">'313'!$T$61</definedName>
    <definedName name="OSRRefT22_7x_0" localSheetId="55">'314'!$T$90</definedName>
    <definedName name="OSRRefT22_7x_0" localSheetId="61">'315'!$T$90</definedName>
    <definedName name="OSRRefT22_7x_0" localSheetId="64">'316'!$T$65</definedName>
    <definedName name="OSRRefT22_7x_0" localSheetId="67">'317'!$T$92</definedName>
    <definedName name="OSRRefT22_7x_0" localSheetId="65">'320'!$T$62:$T$63</definedName>
    <definedName name="OSRRefT22_7x_0" localSheetId="71">'321'!$T$56</definedName>
    <definedName name="OSRRefT22_7x_0" localSheetId="72">'322'!$T$58</definedName>
    <definedName name="OSRRefT22_7x_0" localSheetId="73">'325'!$T$59</definedName>
    <definedName name="OSRRefT22_7x_0" localSheetId="62">'326'!$T$89</definedName>
    <definedName name="OSRRefT22_7x_0" localSheetId="53">'330'!$T$113</definedName>
    <definedName name="OSRRefT22_7x_0" localSheetId="60">'331'!$T$105</definedName>
    <definedName name="OSRRefT22_7x_0" localSheetId="63">'332'!$T$74:$T$75</definedName>
    <definedName name="OSRRefT22_7x_0" localSheetId="78">'405'!$T$59</definedName>
    <definedName name="OSRRefT22_7x_0" localSheetId="79">'406'!$T$59</definedName>
    <definedName name="OSRRefT22_7x_0" localSheetId="80">'411'!$T$55</definedName>
    <definedName name="OSRRefT22_7x_0" localSheetId="81">'412'!$T$59</definedName>
    <definedName name="OSRRefT22_7x_0" localSheetId="83">'413'!$T$58</definedName>
    <definedName name="OSRRefT22_7x_0" localSheetId="84">'414'!$T$59</definedName>
    <definedName name="OSRRefT22_7x_0" localSheetId="85">'415'!$T$59</definedName>
    <definedName name="OSRRefT22_7x_0" localSheetId="86">'418'!$T$60</definedName>
    <definedName name="OSRRefT22_7x_0" localSheetId="88">'424'!$T$56:$T$57</definedName>
    <definedName name="OSRRefT22_7x_0" localSheetId="89">'425'!$T$61</definedName>
    <definedName name="OSRRefT22_7x_0" localSheetId="92">'430'!$T$51:$T$53</definedName>
    <definedName name="OSRRefT22_7x_0" localSheetId="93">'433'!$T$59</definedName>
    <definedName name="OSRRefT22_7x_0" localSheetId="94">'435'!$T$57:$T$59</definedName>
    <definedName name="OSRRefT22_7x_0" localSheetId="95">'444'!$T$59</definedName>
    <definedName name="OSRRefT22_7x_0" localSheetId="96">'450'!$T$60</definedName>
    <definedName name="OSRRefT22_7x_0" localSheetId="77">'491'!$T$69</definedName>
    <definedName name="OSRRefT22_7x_0" localSheetId="91">'492'!$T$63</definedName>
    <definedName name="OSRRefT22_7x_0" localSheetId="98">'501'!$T$52</definedName>
    <definedName name="OSRRefT22_7x_0" localSheetId="39">'Div 2'!$T$56</definedName>
    <definedName name="OSRRefT22_7x_0" localSheetId="47">'Div 3'!$T$205:$T$206</definedName>
    <definedName name="OSRRefT22_7x_0" localSheetId="75">'Div 4'!$T$71:$T$72</definedName>
    <definedName name="OSRRefT22_7x_0" localSheetId="97">'Div 5'!$T$52</definedName>
    <definedName name="OSRRefT22_7x_0" localSheetId="66">'Div 6'!$T$92</definedName>
    <definedName name="OSRRefT22_7x_0" localSheetId="2">Summary!$T$237:$T$239</definedName>
    <definedName name="OSRRefT22_8x_0" localSheetId="41">'201'!$T$54</definedName>
    <definedName name="OSRRefT22_8x_0" localSheetId="42">'202'!$T$53</definedName>
    <definedName name="OSRRefT22_8x_0" localSheetId="43">'203'!$T$54</definedName>
    <definedName name="OSRRefT22_8x_0" localSheetId="44">'204'!$T$59</definedName>
    <definedName name="OSRRefT22_8x_0" localSheetId="45">'205'!$T$55</definedName>
    <definedName name="OSRRefT22_8x_0" localSheetId="46">'206'!$T$54</definedName>
    <definedName name="OSRRefT22_8x_0" localSheetId="48">'300'!$T$202</definedName>
    <definedName name="OSRRefT22_8x_0" localSheetId="49">'300 &amp; 317'!$T$227</definedName>
    <definedName name="OSRRefT22_8x_0" localSheetId="50">'301'!$T$59</definedName>
    <definedName name="OSRRefT22_8x_0" localSheetId="52">'306'!$T$54:$T$57</definedName>
    <definedName name="OSRRefT22_8x_0" localSheetId="54">'307'!$T$107:$T$108</definedName>
    <definedName name="OSRRefT22_8x_0" localSheetId="56">'308'!$T$101</definedName>
    <definedName name="OSRRefT22_8x_0" localSheetId="69">'309'!$T$60</definedName>
    <definedName name="OSRRefT22_8x_0" localSheetId="68">'310'!$T$69</definedName>
    <definedName name="OSRRefT22_8x_0" localSheetId="76">'310 &amp; 491'!$T$78</definedName>
    <definedName name="OSRRefT22_8x_0" localSheetId="57">'311'!$T$101</definedName>
    <definedName name="OSRRefT22_8x_0" localSheetId="70">'313'!$T$63</definedName>
    <definedName name="OSRRefT22_8x_0" localSheetId="55">'314'!$T$92</definedName>
    <definedName name="OSRRefT22_8x_0" localSheetId="61">'315'!$T$92</definedName>
    <definedName name="OSRRefT22_8x_0" localSheetId="64">'316'!$T$67</definedName>
    <definedName name="OSRRefT22_8x_0" localSheetId="67">'317'!$T$94</definedName>
    <definedName name="OSRRefT22_8x_0" localSheetId="65">'320'!$T$65</definedName>
    <definedName name="OSRRefT22_8x_0" localSheetId="71">'321'!$T$58</definedName>
    <definedName name="OSRRefT22_8x_0" localSheetId="72">'322'!$T$60</definedName>
    <definedName name="OSRRefT22_8x_0" localSheetId="73">'325'!$T$61</definedName>
    <definedName name="OSRRefT22_8x_0" localSheetId="62">'326'!$T$91</definedName>
    <definedName name="OSRRefT22_8x_0" localSheetId="53">'330'!$T$115</definedName>
    <definedName name="OSRRefT22_8x_0" localSheetId="60">'331'!$T$107:$T$108</definedName>
    <definedName name="OSRRefT22_8x_0" localSheetId="63">'332'!$T$77</definedName>
    <definedName name="OSRRefT22_8x_0" localSheetId="78">'405'!$T$61</definedName>
    <definedName name="OSRRefT22_8x_0" localSheetId="79">'406'!$T$61</definedName>
    <definedName name="OSRRefT22_8x_0" localSheetId="80">'411'!$T$57</definedName>
    <definedName name="OSRRefT22_8x_0" localSheetId="81">'412'!$T$61</definedName>
    <definedName name="OSRRefT22_8x_0" localSheetId="83">'413'!$T$60:$T$62</definedName>
    <definedName name="OSRRefT22_8x_0" localSheetId="84">'414'!$T$61</definedName>
    <definedName name="OSRRefT22_8x_0" localSheetId="85">'415'!$T$61</definedName>
    <definedName name="OSRRefT22_8x_0" localSheetId="86">'418'!$T$62</definedName>
    <definedName name="OSRRefT22_8x_0" localSheetId="88">'424'!$T$59:$T$60</definedName>
    <definedName name="OSRRefT22_8x_0" localSheetId="89">'425'!$T$63</definedName>
    <definedName name="OSRRefT22_8x_0" localSheetId="92">'430'!$T$55</definedName>
    <definedName name="OSRRefT22_8x_0" localSheetId="93">'433'!$T$61</definedName>
    <definedName name="OSRRefT22_8x_0" localSheetId="94">'435'!$T$61</definedName>
    <definedName name="OSRRefT22_8x_0" localSheetId="95">'444'!$T$61</definedName>
    <definedName name="OSRRefT22_8x_0" localSheetId="96">'450'!$T$62</definedName>
    <definedName name="OSRRefT22_8x_0" localSheetId="77">'491'!$T$71</definedName>
    <definedName name="OSRRefT22_8x_0" localSheetId="91">'492'!$T$65</definedName>
    <definedName name="OSRRefT22_8x_0" localSheetId="98">'501'!$T$54</definedName>
    <definedName name="OSRRefT22_8x_0" localSheetId="39">'Div 2'!$T$58</definedName>
    <definedName name="OSRRefT22_8x_0" localSheetId="47">'Div 3'!$T$208</definedName>
    <definedName name="OSRRefT22_8x_0" localSheetId="75">'Div 4'!$T$74</definedName>
    <definedName name="OSRRefT22_8x_0" localSheetId="97">'Div 5'!$T$54</definedName>
    <definedName name="OSRRefT22_8x_0" localSheetId="66">'Div 6'!$T$94</definedName>
    <definedName name="OSRRefT22_8x_0" localSheetId="2">Summary!$T$241</definedName>
    <definedName name="OSRRefT22_9x_0" localSheetId="41">'201'!$T$56</definedName>
    <definedName name="OSRRefT22_9x_0" localSheetId="42">'202'!$T$55:$T$57</definedName>
    <definedName name="OSRRefT22_9x_0" localSheetId="43">'203'!$T$56:$T$57</definedName>
    <definedName name="OSRRefT22_9x_0" localSheetId="44">'204'!$T$61:$T$62</definedName>
    <definedName name="OSRRefT22_9x_0" localSheetId="45">'205'!$T$57</definedName>
    <definedName name="OSRRefT22_9x_0" localSheetId="46">'206'!$T$56</definedName>
    <definedName name="OSRRefT22_9x_0" localSheetId="48">'300'!$T$204</definedName>
    <definedName name="OSRRefT22_9x_0" localSheetId="49">'300 &amp; 317'!$T$229</definedName>
    <definedName name="OSRRefT22_9x_0" localSheetId="50">'301'!$T$61</definedName>
    <definedName name="OSRRefT22_9x_0" localSheetId="52">'306'!$T$59</definedName>
    <definedName name="OSRRefT22_9x_0" localSheetId="54">'307'!$T$110:$T$111</definedName>
    <definedName name="OSRRefT22_9x_0" localSheetId="56">'308'!$T$103:$T$105</definedName>
    <definedName name="OSRRefT22_9x_0" localSheetId="69">'309'!$T$62:$T$63</definedName>
    <definedName name="OSRRefT22_9x_0" localSheetId="68">'310'!$T$71</definedName>
    <definedName name="OSRRefT22_9x_0" localSheetId="76">'310 &amp; 491'!$T$80</definedName>
    <definedName name="OSRRefT22_9x_0" localSheetId="57">'311'!$T$103:$T$105</definedName>
    <definedName name="OSRRefT22_9x_0" localSheetId="70">'313'!$T$65</definedName>
    <definedName name="OSRRefT22_9x_0" localSheetId="55">'314'!$T$94</definedName>
    <definedName name="OSRRefT22_9x_0" localSheetId="61">'315'!$T$94</definedName>
    <definedName name="OSRRefT22_9x_0" localSheetId="64">'316'!$T$69:$T$70</definedName>
    <definedName name="OSRRefT22_9x_0" localSheetId="67">'317'!$T$96:$T$97</definedName>
    <definedName name="OSRRefT22_9x_0" localSheetId="71">'321'!$T$60:$T$62</definedName>
    <definedName name="OSRRefT22_9x_0" localSheetId="72">'322'!$T$62:$T$64</definedName>
    <definedName name="OSRRefT22_9x_0" localSheetId="73">'325'!$T$63</definedName>
    <definedName name="OSRRefT22_9x_0" localSheetId="62">'326'!$T$93</definedName>
    <definedName name="OSRRefT22_9x_0" localSheetId="53">'330'!$T$117:$T$118</definedName>
    <definedName name="OSRRefT22_9x_0" localSheetId="60">'331'!$T$110</definedName>
    <definedName name="OSRRefT22_9x_0" localSheetId="63">'332'!$T$79</definedName>
    <definedName name="OSRRefT22_9x_0" localSheetId="78">'405'!$T$63</definedName>
    <definedName name="OSRRefT22_9x_0" localSheetId="79">'406'!$T$63:$T$65</definedName>
    <definedName name="OSRRefT22_9x_0" localSheetId="80">'411'!$T$59</definedName>
    <definedName name="OSRRefT22_9x_0" localSheetId="81">'412'!$T$63:$T$64</definedName>
    <definedName name="OSRRefT22_9x_0" localSheetId="83">'413'!$T$64:$T$65</definedName>
    <definedName name="OSRRefT22_9x_0" localSheetId="84">'414'!$T$63:$T$64</definedName>
    <definedName name="OSRRefT22_9x_0" localSheetId="85">'415'!$T$63</definedName>
    <definedName name="OSRRefT22_9x_0" localSheetId="86">'418'!$T$64</definedName>
    <definedName name="OSRRefT22_9x_0" localSheetId="88">'424'!$T$62</definedName>
    <definedName name="OSRRefT22_9x_0" localSheetId="89">'425'!$T$65:$T$67</definedName>
    <definedName name="OSRRefT22_9x_0" localSheetId="92">'430'!$T$57</definedName>
    <definedName name="OSRRefT22_9x_0" localSheetId="93">'433'!$T$63</definedName>
    <definedName name="OSRRefT22_9x_0" localSheetId="95">'444'!$T$63</definedName>
    <definedName name="OSRRefT22_9x_0" localSheetId="96">'450'!$T$64</definedName>
    <definedName name="OSRRefT22_9x_0" localSheetId="77">'491'!$T$73</definedName>
    <definedName name="OSRRefT22_9x_0" localSheetId="91">'492'!$T$67</definedName>
    <definedName name="OSRRefT22_9x_0" localSheetId="98">'501'!$T$56</definedName>
    <definedName name="OSRRefT22_9x_0" localSheetId="39">'Div 2'!$T$60</definedName>
    <definedName name="OSRRefT22_9x_0" localSheetId="47">'Div 3'!$T$210</definedName>
    <definedName name="OSRRefT22_9x_0" localSheetId="75">'Div 4'!$T$76</definedName>
    <definedName name="OSRRefT22_9x_0" localSheetId="97">'Div 5'!$T$56</definedName>
    <definedName name="OSRRefT22_9x_0" localSheetId="66">'Div 6'!$T$96:$T$97</definedName>
    <definedName name="OSRRefT22_9x_0" localSheetId="2">Summary!$T$243</definedName>
    <definedName name="OSRRefT22x_0" localSheetId="40">'200'!$T$20,'200'!$T$22,'200'!$T$24,'200'!$T$26,'200'!$T$28:$T$29</definedName>
    <definedName name="OSRRefT22x_0" localSheetId="41">'201'!$T$20:$T$28,'201'!$T$30:$T$39,'201'!$T$41,'201'!$T$43,'201'!$T$45:$T$46,'201'!$T$48,'201'!$T$50,'201'!$T$52,'201'!$T$54,'201'!$T$56,'201'!$T$58:$T$60,'201'!$T$62:$T$64,'201'!$T$66,'201'!$T$68:$T$70,'201'!$T$72,'201'!$T$74,'201'!$T$76:$T$77</definedName>
    <definedName name="OSRRefT22x_0" localSheetId="42">'202'!$T$20:$T$28,'202'!$T$30:$T$39,'202'!$T$41,'202'!$T$43,'202'!$T$45,'202'!$T$47,'202'!$T$49,'202'!$T$51,'202'!$T$53,'202'!$T$55:$T$57,'202'!$T$59,'202'!$T$61:$T$63,'202'!$T$65,'202'!$T$67,'202'!$T$69:$T$70,'202'!$T$72,'202'!$T$74</definedName>
    <definedName name="OSRRefT22x_0" localSheetId="43">'203'!$T$20:$T$29,'203'!$T$31:$T$40,'203'!$T$42,'203'!$T$44,'203'!$T$46,'203'!$T$48,'203'!$T$50,'203'!$T$52,'203'!$T$54,'203'!$T$56:$T$57,'203'!$T$59:$T$60,'203'!$T$62,'203'!$T$64:$T$66,'203'!$T$68,'203'!$T$70,'203'!$T$72</definedName>
    <definedName name="OSRRefT22x_0" localSheetId="44">'204'!$T$21:$T$30,'204'!$T$32:$T$41,'204'!$T$43,'204'!$T$45:$T$46,'204'!$T$48,'204'!$T$50,'204'!$T$52,'204'!$T$54:$T$57,'204'!$T$59,'204'!$T$61:$T$62,'204'!$T$64:$T$65,'204'!$T$67,'204'!$T$69:$T$70</definedName>
    <definedName name="OSRRefT22x_0" localSheetId="45">'205'!$T$20:$T$28,'205'!$T$30:$T$39,'205'!$T$41,'205'!$T$43,'205'!$T$45,'205'!$T$47:$T$48,'205'!$T$50,'205'!$T$52:$T$53,'205'!$T$55,'205'!$T$57</definedName>
    <definedName name="OSRRefT22x_0" localSheetId="46">'206'!$T$20:$T$28,'206'!$T$30:$T$39,'206'!$T$41,'206'!$T$43,'206'!$T$45,'206'!$T$47,'206'!$T$49,'206'!$T$51:$T$52,'206'!$T$54,'206'!$T$56,'206'!$T$58</definedName>
    <definedName name="OSRRefT22x_0" localSheetId="48">'300'!$T$162:$T$171,'300'!$T$173:$T$182,'300'!$T$184,'300'!$T$186:$T$187,'300'!$T$189,'300'!$T$191:$T$194,'300'!$T$196:$T$197,'300'!$T$199:$T$200,'300'!$T$202,'300'!$T$204,'300'!$T$206:$T$207,'300'!$T$209,'300'!$T$211,'300'!$T$213,'300'!$T$215,'300'!$T$217,'300'!$T$219:$T$222,'300'!$T$224:$T$227,'300'!$T$229:$T$232,'300'!$T$234:$T$235,'300'!$T$237:$T$243,'300'!$T$245:$T$246,'300'!$T$248,'300'!$T$250:$T$252,'300'!$T$254</definedName>
    <definedName name="OSRRefT22x_0" localSheetId="49">'300 &amp; 317'!$T$187:$T$196,'300 &amp; 317'!$T$198:$T$207,'300 &amp; 317'!$T$209,'300 &amp; 317'!$T$211:$T$212,'300 &amp; 317'!$T$214,'300 &amp; 317'!$T$216:$T$219,'300 &amp; 317'!$T$221:$T$222,'300 &amp; 317'!$T$224:$T$225,'300 &amp; 317'!$T$227,'300 &amp; 317'!$T$229,'300 &amp; 317'!$T$231:$T$232,'300 &amp; 317'!$T$234,'300 &amp; 317'!$T$236,'300 &amp; 317'!$T$238,'300 &amp; 317'!$T$240,'300 &amp; 317'!$T$242,'300 &amp; 317'!$T$244:$T$247,'300 &amp; 317'!$T$249:$T$252,'300 &amp; 317'!$T$254:$T$257,'300 &amp; 317'!$T$259:$T$260,'300 &amp; 317'!$T$262:$T$268,'300 &amp; 317'!$T$270:$T$271,'300 &amp; 317'!$T$273,'300 &amp; 317'!$T$275:$T$277,'300 &amp; 317'!$T$279</definedName>
    <definedName name="OSRRefT22x_0" localSheetId="50">'301'!$T$20:$T$28,'301'!$T$30:$T$39,'301'!$T$41,'301'!$T$43:$T$44,'301'!$T$46,'301'!$T$48:$T$51,'301'!$T$53:$T$54,'301'!$T$56:$T$57,'301'!$T$59,'301'!$T$61,'301'!$T$63,'301'!$T$65,'301'!$T$67,'301'!$T$69,'301'!$T$71,'301'!$T$73:$T$76,'301'!$T$78:$T$80,'301'!$T$82:$T$83,'301'!$T$85:$T$90,'301'!$T$92,'301'!$T$94,'301'!$T$96:$T$98,'301'!$T$100</definedName>
    <definedName name="OSRRefT22x_0" localSheetId="52">'306'!$T$20:$T$28,'306'!$T$30:$T$39,'306'!$T$41,'306'!$T$43,'306'!$T$45,'306'!$T$47,'306'!$T$49,'306'!$T$51:$T$52,'306'!$T$54:$T$57,'306'!$T$59,'306'!$T$61</definedName>
    <definedName name="OSRRefT22x_0" localSheetId="54">'307'!$T$73:$T$81,'307'!$T$83:$T$92,'307'!$T$94,'307'!$T$96,'307'!$T$98:$T$99,'307'!$T$101,'307'!$T$103,'307'!$T$105,'307'!$T$107:$T$108,'307'!$T$110:$T$111,'307'!$T$113:$T$115,'307'!$T$117,'307'!$T$119</definedName>
    <definedName name="OSRRefT22x_0" localSheetId="56">'308'!$T$65:$T$74,'308'!$T$76:$T$85,'308'!$T$87,'308'!$T$89:$T$90,'308'!$T$92,'308'!$T$94,'308'!$T$96:$T$97,'308'!$T$99,'308'!$T$101,'308'!$T$103:$T$105,'308'!$T$107,'308'!$T$109:$T$111,'308'!$T$113:$T$114,'308'!$T$116,'308'!$T$118:$T$119</definedName>
    <definedName name="OSRRefT22x_0" localSheetId="69">'309'!$T$26:$T$34,'309'!$T$36:$T$45,'309'!$T$47,'309'!$T$49,'309'!$T$51,'309'!$T$53:$T$54,'309'!$T$56,'309'!$T$58,'309'!$T$60,'309'!$T$62:$T$63,'309'!$T$65:$T$67,'309'!$T$69:$T$71,'309'!$T$73,'309'!$T$75</definedName>
    <definedName name="OSRRefT22x_0" localSheetId="68">'310'!$T$34:$T$42,'310'!$T$44:$T$53,'310'!$T$55,'310'!$T$57,'310'!$T$59,'310'!$T$61:$T$63,'310'!$T$65,'310'!$T$67,'310'!$T$69,'310'!$T$71,'310'!$T$73,'310'!$T$75,'310'!$T$77,'310'!$T$79,'310'!$T$81,'310'!$T$83:$T$85,'310'!$T$87:$T$88,'310'!$T$90:$T$94,'310'!$T$96,'310'!$T$98:$T$106,'310'!$T$108,'310'!$T$110,'310'!$T$112,'310'!$T$114</definedName>
    <definedName name="OSRRefT22x_0" localSheetId="76">'310 &amp; 491'!$T$41:$T$50,'310 &amp; 491'!$T$52:$T$61,'310 &amp; 491'!$T$63,'310 &amp; 491'!$T$65,'310 &amp; 491'!$T$67,'310 &amp; 491'!$T$69:$T$72,'310 &amp; 491'!$T$74,'310 &amp; 491'!$T$76,'310 &amp; 491'!$T$78,'310 &amp; 491'!$T$80,'310 &amp; 491'!$T$82,'310 &amp; 491'!$T$84:$T$85,'310 &amp; 491'!$T$87,'310 &amp; 491'!$T$89,'310 &amp; 491'!$T$91,'310 &amp; 491'!$T$93,'310 &amp; 491'!$T$95,'310 &amp; 491'!$T$97:$T$100,'310 &amp; 491'!$T$102:$T$104,'310 &amp; 491'!$T$106:$T$111,'310 &amp; 491'!$T$113:$T$114,'310 &amp; 491'!$T$116:$T$125,'310 &amp; 491'!$T$127:$T$128,'310 &amp; 491'!$T$130,'310 &amp; 491'!$T$132:$T$134,'310 &amp; 491'!$T$136</definedName>
    <definedName name="OSRRefT22x_0" localSheetId="57">'311'!$T$65:$T$74,'311'!$T$76:$T$85,'311'!$T$87,'311'!$T$89:$T$90,'311'!$T$92,'311'!$T$94,'311'!$T$96:$T$97,'311'!$T$99,'311'!$T$101,'311'!$T$103:$T$105,'311'!$T$107,'311'!$T$109:$T$111,'311'!$T$113:$T$114,'311'!$T$116,'311'!$T$118:$T$119</definedName>
    <definedName name="OSRRefT22x_0" localSheetId="70">'313'!$T$30:$T$38,'313'!$T$40:$T$49,'313'!$T$51,'313'!$T$53,'313'!$T$55,'313'!$T$57,'313'!$T$59,'313'!$T$61,'313'!$T$63,'313'!$T$65,'313'!$T$67:$T$69,'313'!$T$71,'313'!$T$73:$T$77,'313'!$T$79,'313'!$T$81</definedName>
    <definedName name="OSRRefT22x_0" localSheetId="55">'314'!$T$58:$T$66,'314'!$T$68:$T$77,'314'!$T$79,'314'!$T$81:$T$82,'314'!$T$84,'314'!$T$86,'314'!$T$88,'314'!$T$90,'314'!$T$92,'314'!$T$94</definedName>
    <definedName name="OSRRefT22x_0" localSheetId="61">'315'!$T$57:$T$65,'315'!$T$67:$T$76,'315'!$T$78,'315'!$T$80:$T$81,'315'!$T$83,'315'!$T$85:$T$86,'315'!$T$88,'315'!$T$90,'315'!$T$92,'315'!$T$94,'315'!$T$96:$T$98,'315'!$T$100:$T$101,'315'!$T$103:$T$107,'315'!$T$109,'315'!$T$111,'315'!$T$113:$T$114</definedName>
    <definedName name="OSRRefT22x_0" localSheetId="64">'316'!$T$34:$T$42,'316'!$T$44:$T$53,'316'!$T$55,'316'!$T$57,'316'!$T$59,'316'!$T$61,'316'!$T$63,'316'!$T$65,'316'!$T$67,'316'!$T$69:$T$70,'316'!$T$72:$T$73,'316'!$T$75:$T$79,'316'!$T$81:$T$82,'316'!$T$84</definedName>
    <definedName name="OSRRefT22x_0" localSheetId="67">'317'!$T$60:$T$69,'317'!$T$71:$T$80,'317'!$T$82,'317'!$T$84,'317'!$T$86,'317'!$T$88,'317'!$T$90,'317'!$T$92,'317'!$T$94,'317'!$T$96:$T$97,'317'!$T$99:$T$100,'317'!$T$102,'317'!$T$104</definedName>
    <definedName name="OSRRefT22x_0" localSheetId="65">'320'!$T$31:$T$38,'320'!$T$40:$T$49,'320'!$T$51,'320'!$T$53,'320'!$T$55:$T$56,'320'!$T$58,'320'!$T$60,'320'!$T$62:$T$63,'320'!$T$65</definedName>
    <definedName name="OSRRefT22x_0" localSheetId="71">'321'!$T$26:$T$33,'321'!$T$35:$T$44,'321'!$T$46,'321'!$T$48,'321'!$T$50,'321'!$T$52,'321'!$T$54,'321'!$T$56,'321'!$T$58,'321'!$T$60:$T$62,'321'!$T$64:$T$65,'321'!$T$67:$T$69,'321'!$T$71:$T$73,'321'!$T$75,'321'!$T$77</definedName>
    <definedName name="OSRRefT22x_0" localSheetId="72">'322'!$T$26:$T$34,'322'!$T$36:$T$45,'322'!$T$47,'322'!$T$49,'322'!$T$51,'322'!$T$53:$T$54,'322'!$T$56,'322'!$T$58,'322'!$T$60,'322'!$T$62:$T$64,'322'!$T$66:$T$68,'322'!$T$70:$T$75,'322'!$T$77,'322'!$T$79</definedName>
    <definedName name="OSRRefT22x_0" localSheetId="73">'325'!$T$26:$T$34,'325'!$T$36:$T$45,'325'!$T$47,'325'!$T$49,'325'!$T$51,'325'!$T$53:$T$55,'325'!$T$57,'325'!$T$59,'325'!$T$61,'325'!$T$63,'325'!$T$65,'325'!$T$67:$T$69,'325'!$T$71:$T$74,'325'!$T$76,'325'!$T$78:$T$84,'325'!$T$86,'325'!$T$88,'325'!$T$90,'325'!$T$92</definedName>
    <definedName name="OSRRefT22x_0" localSheetId="62">'326'!$T$57:$T$65,'326'!$T$67:$T$76,'326'!$T$78,'326'!$T$80:$T$81,'326'!$T$83,'326'!$T$85,'326'!$T$87,'326'!$T$89,'326'!$T$91,'326'!$T$93,'326'!$T$95,'326'!$T$97,'326'!$T$99,'326'!$T$101:$T$102,'326'!$T$104:$T$106,'326'!$T$108:$T$109,'326'!$T$111:$T$116,'326'!$T$118:$T$119,'326'!$T$121,'326'!$T$123,'326'!$T$125</definedName>
    <definedName name="OSRRefT22x_0" localSheetId="74">'327'!$T$24,'327'!$T$26,'327'!$T$28</definedName>
    <definedName name="OSRRefT22x_0" localSheetId="53">'330'!$T$81:$T$89,'330'!$T$91:$T$100,'330'!$T$102,'330'!$T$104,'330'!$T$106:$T$107,'330'!$T$109,'330'!$T$111,'330'!$T$113,'330'!$T$115,'330'!$T$117:$T$118,'330'!$T$120:$T$121,'330'!$T$123,'330'!$T$125:$T$127,'330'!$T$129,'330'!$T$131,'330'!$T$133</definedName>
    <definedName name="OSRRefT22x_0" localSheetId="60">'331'!$T$72:$T$80,'331'!$T$82:$T$91,'331'!$T$93,'331'!$T$95:$T$96,'331'!$T$98,'331'!$T$100:$T$101,'331'!$T$103,'331'!$T$105,'331'!$T$107:$T$108,'331'!$T$110,'331'!$T$112,'331'!$T$114,'331'!$T$116,'331'!$T$118,'331'!$T$120:$T$121,'331'!$T$123:$T$125,'331'!$T$127:$T$129,'331'!$T$131:$T$132,'331'!$T$134:$T$139,'331'!$T$141:$T$142,'331'!$T$144,'331'!$T$146:$T$147,'331'!$T$149</definedName>
    <definedName name="OSRRefT22x_0" localSheetId="63">'332'!$T$43:$T$51,'332'!$T$53:$T$62,'332'!$T$64,'332'!$T$66,'332'!$T$68,'332'!$T$70,'332'!$T$72,'332'!$T$74:$T$75,'332'!$T$77,'332'!$T$79,'332'!$T$81:$T$82,'332'!$T$84:$T$85,'332'!$T$87:$T$91,'332'!$T$93:$T$94,'332'!$T$96</definedName>
    <definedName name="OSRRefT22x_0" localSheetId="78">'405'!$T$26:$T$34,'405'!$T$36:$T$45,'405'!$T$47,'405'!$T$49,'405'!$T$51,'405'!$T$53:$T$55,'405'!$T$57,'405'!$T$59,'405'!$T$61,'405'!$T$63,'405'!$T$65,'405'!$T$67:$T$69,'405'!$T$71,'405'!$T$73:$T$75,'405'!$T$77:$T$78,'405'!$T$80:$T$88,'405'!$T$90,'405'!$T$92,'405'!$T$94,'405'!$T$96</definedName>
    <definedName name="OSRRefT22x_0" localSheetId="79">'406'!$T$27:$T$35,'406'!$T$37:$T$46,'406'!$T$48,'406'!$T$50,'406'!$T$52,'406'!$T$54:$T$55,'406'!$T$57,'406'!$T$59,'406'!$T$61,'406'!$T$63:$T$65,'406'!$T$67:$T$69,'406'!$T$71:$T$76,'406'!$T$78:$T$79,'406'!$T$81,'406'!$T$83</definedName>
    <definedName name="OSRRefT22x_0" localSheetId="80">'411'!$T$20:$T$29,'411'!$T$31:$T$40,'411'!$T$42,'411'!$T$44:$T$47,'411'!$T$49,'411'!$T$51,'411'!$T$53,'411'!$T$55,'411'!$T$57,'411'!$T$59,'411'!$T$61:$T$63,'411'!$T$65:$T$69,'411'!$T$71,'411'!$T$73:$T$79,'411'!$T$81,'411'!$T$83,'411'!$T$85:$T$87,'411'!$T$89</definedName>
    <definedName name="OSRRefT22x_0" localSheetId="81">'412'!$T$26:$T$34,'412'!$T$36:$T$45,'412'!$T$47,'412'!$T$49,'412'!$T$51,'412'!$T$53:$T$55,'412'!$T$57,'412'!$T$59,'412'!$T$61,'412'!$T$63:$T$64,'412'!$T$66,'412'!$T$68:$T$70,'412'!$T$72:$T$77,'412'!$T$79,'412'!$T$81</definedName>
    <definedName name="OSRRefT22x_0" localSheetId="83">'413'!$T$27:$T$35,'413'!$T$37:$T$46,'413'!$T$48,'413'!$T$50,'413'!$T$52,'413'!$T$54,'413'!$T$56,'413'!$T$58,'413'!$T$60:$T$62,'413'!$T$64:$T$65,'413'!$T$67:$T$73,'413'!$T$75:$T$76,'413'!$T$78</definedName>
    <definedName name="OSRRefT22x_0" localSheetId="84">'414'!$T$27:$T$35,'414'!$T$37:$T$46,'414'!$T$48,'414'!$T$50,'414'!$T$52,'414'!$T$54:$T$55,'414'!$T$57,'414'!$T$59,'414'!$T$61,'414'!$T$63:$T$64,'414'!$T$66,'414'!$T$68,'414'!$T$70,'414'!$T$72:$T$78,'414'!$T$80,'414'!$T$82</definedName>
    <definedName name="OSRRefT22x_0" localSheetId="85">'415'!$T$26:$T$34,'415'!$T$36:$T$45,'415'!$T$47,'415'!$T$49,'415'!$T$51,'415'!$T$53:$T$55,'415'!$T$57,'415'!$T$59,'415'!$T$61,'415'!$T$63,'415'!$T$65,'415'!$T$67:$T$70,'415'!$T$72:$T$76,'415'!$T$78:$T$79,'415'!$T$81:$T$88,'415'!$T$90,'415'!$T$92,'415'!$T$94:$T$95,'415'!$T$97</definedName>
    <definedName name="OSRRefT22x_0" localSheetId="86">'418'!$T$27:$T$35,'418'!$T$37:$T$46,'418'!$T$48,'418'!$T$50,'418'!$T$52,'418'!$T$54:$T$56,'418'!$T$58,'418'!$T$60,'418'!$T$62,'418'!$T$64,'418'!$T$66:$T$67,'418'!$T$69:$T$71,'418'!$T$73:$T$75,'418'!$T$77:$T$78,'418'!$T$80:$T$86,'418'!$T$88,'418'!$T$90,'418'!$T$92</definedName>
    <definedName name="OSRRefT22x_0" localSheetId="82">'420'!$T$23:$T$30,'420'!$T$32:$T$35,'420'!$T$37,'420'!$T$39,'420'!$T$41,'420'!$T$43:$T$44,'420'!$T$46</definedName>
    <definedName name="OSRRefT22x_0" localSheetId="87">'423'!$T$21:$T$29,'423'!$T$31:$T$40,'423'!$T$42,'423'!$T$44,'423'!$T$46,'423'!$T$48</definedName>
    <definedName name="OSRRefT22x_0" localSheetId="88">'424'!$T$26:$T$33,'424'!$T$35:$T$44,'424'!$T$46,'424'!$T$48,'424'!$T$50,'424'!$T$52,'424'!$T$54,'424'!$T$56:$T$57,'424'!$T$59:$T$60,'424'!$T$62,'424'!$T$64:$T$67,'424'!$T$69:$T$70</definedName>
    <definedName name="OSRRefT22x_0" localSheetId="89">'425'!$T$28:$T$37,'425'!$T$39:$T$48,'425'!$T$50,'425'!$T$52,'425'!$T$54,'425'!$T$56:$T$57,'425'!$T$59,'425'!$T$61,'425'!$T$63,'425'!$T$65:$T$67,'425'!$T$69:$T$70,'425'!$T$72:$T$73,'425'!$T$75:$T$81,'425'!$T$83:$T$84,'425'!$T$86,'425'!$T$88</definedName>
    <definedName name="OSRRefT22x_0" localSheetId="92">'430'!$T$20:$T$28,'430'!$T$30:$T$39,'430'!$T$41,'430'!$T$43,'430'!$T$45,'430'!$T$47,'430'!$T$49,'430'!$T$51:$T$53,'430'!$T$55,'430'!$T$57,'430'!$T$59</definedName>
    <definedName name="OSRRefT22x_0" localSheetId="93">'433'!$T$27:$T$36,'433'!$T$38:$T$47,'433'!$T$49,'433'!$T$51,'433'!$T$53,'433'!$T$55,'433'!$T$57,'433'!$T$59,'433'!$T$61,'433'!$T$63,'433'!$T$65:$T$67,'433'!$T$69:$T$72,'433'!$T$74:$T$81,'433'!$T$83,'433'!$T$85,'433'!$T$87:$T$88</definedName>
    <definedName name="OSRRefT22x_0" localSheetId="94">'435'!$T$27:$T$34,'435'!$T$36:$T$45,'435'!$T$47,'435'!$T$49,'435'!$T$51,'435'!$T$53,'435'!$T$55,'435'!$T$57:$T$59,'435'!$T$61</definedName>
    <definedName name="OSRRefT22x_0" localSheetId="95">'444'!$T$27:$T$36,'444'!$T$38:$T$47,'444'!$T$49,'444'!$T$51,'444'!$T$53,'444'!$T$55,'444'!$T$57,'444'!$T$59,'444'!$T$61,'444'!$T$63,'444'!$T$65,'444'!$T$67:$T$69,'444'!$T$71:$T$74,'444'!$T$76:$T$83,'444'!$T$85,'444'!$T$87,'444'!$T$89</definedName>
    <definedName name="OSRRefT22x_0" localSheetId="96">'450'!$T$27:$T$36,'450'!$T$38:$T$47,'450'!$T$49,'450'!$T$51:$T$52,'450'!$T$54,'450'!$T$56,'450'!$T$58,'450'!$T$60,'450'!$T$62,'450'!$T$64,'450'!$T$66,'450'!$T$68:$T$70,'450'!$T$72:$T$74,'450'!$T$76:$T$81,'450'!$T$83,'450'!$T$85,'450'!$T$87:$T$88</definedName>
    <definedName name="OSRRefT22x_0" localSheetId="90">'455'!$T$20:$T$27,'455'!$T$29:$T$38</definedName>
    <definedName name="OSRRefT22x_0" localSheetId="77">'491'!$T$34:$T$43,'491'!$T$45:$T$54,'491'!$T$56,'491'!$T$58,'491'!$T$60,'491'!$T$62:$T$65,'491'!$T$67,'491'!$T$69,'491'!$T$71,'491'!$T$73,'491'!$T$75:$T$76,'491'!$T$78,'491'!$T$80,'491'!$T$82,'491'!$T$84,'491'!$T$86:$T$89,'491'!$T$91:$T$93,'491'!$T$95:$T$99,'491'!$T$101:$T$102,'491'!$T$104:$T$113,'491'!$T$115:$T$116,'491'!$T$118,'491'!$T$120:$T$122,'491'!$T$124</definedName>
    <definedName name="OSRRefT22x_0" localSheetId="91">'492'!$T$29:$T$38,'492'!$T$40:$T$49,'492'!$T$51,'492'!$T$53:$T$54,'492'!$T$56,'492'!$T$58:$T$59,'492'!$T$61,'492'!$T$63,'492'!$T$65,'492'!$T$67,'492'!$T$69,'492'!$T$71,'492'!$T$73:$T$76,'492'!$T$78:$T$81,'492'!$T$83:$T$91,'492'!$T$93,'492'!$T$95,'492'!$T$97:$T$98</definedName>
    <definedName name="OSRRefT22x_0" localSheetId="98">'501'!$T$21:$T$29,'501'!$T$31:$T$40,'501'!$T$42,'501'!$T$44,'501'!$T$46,'501'!$T$48,'501'!$T$50,'501'!$T$52,'501'!$T$54,'501'!$T$56,'501'!$T$58:$T$60,'501'!$T$62,'501'!$T$64:$T$66,'501'!$T$68,'501'!$T$70</definedName>
    <definedName name="OSRRefT22x_0" localSheetId="39">'Div 2'!$T$21:$T$31,'Div 2'!$T$33:$T$42,'Div 2'!$T$44,'Div 2'!$T$46,'Div 2'!$T$48,'Div 2'!$T$50:$T$51,'Div 2'!$T$53:$T$54,'Div 2'!$T$56,'Div 2'!$T$58,'Div 2'!$T$60,'Div 2'!$T$62,'Div 2'!$T$64,'Div 2'!$T$66:$T$68,'Div 2'!$T$70:$T$73,'Div 2'!$T$75:$T$78,'Div 2'!$T$80:$T$81,'Div 2'!$T$83:$T$84,'Div 2'!$T$86:$T$90,'Div 2'!$T$92:$T$93,'Div 2'!$T$95,'Div 2'!$T$97:$T$98</definedName>
    <definedName name="OSRRefT22x_0" localSheetId="47">'Div 3'!$T$168:$T$177,'Div 3'!$T$179:$T$188,'Div 3'!$T$190,'Div 3'!$T$192:$T$193,'Div 3'!$T$195,'Div 3'!$T$197:$T$200,'Div 3'!$T$202:$T$203,'Div 3'!$T$205:$T$206,'Div 3'!$T$208,'Div 3'!$T$210,'Div 3'!$T$212:$T$213,'Div 3'!$T$215,'Div 3'!$T$217,'Div 3'!$T$219,'Div 3'!$T$221,'Div 3'!$T$223,'Div 3'!$T$225,'Div 3'!$T$227,'Div 3'!$T$229:$T$232,'Div 3'!$T$234:$T$237,'Div 3'!$T$239:$T$244,'Div 3'!$T$246:$T$247,'Div 3'!$T$249:$T$257,'Div 3'!$T$259:$T$260,'Div 3'!$T$262,'Div 3'!$T$264:$T$266,'Div 3'!$T$268</definedName>
    <definedName name="OSRRefT22x_0" localSheetId="75">'Div 4'!$T$35:$T$44,'Div 4'!$T$46:$T$55,'Div 4'!$T$57,'Div 4'!$T$59:$T$60,'Div 4'!$T$62,'Div 4'!$T$64:$T$67,'Div 4'!$T$69,'Div 4'!$T$71:$T$72,'Div 4'!$T$74,'Div 4'!$T$76,'Div 4'!$T$78,'Div 4'!$T$80:$T$81,'Div 4'!$T$83,'Div 4'!$T$85,'Div 4'!$T$87,'Div 4'!$T$89,'Div 4'!$T$91,'Div 4'!$T$93:$T$96,'Div 4'!$T$98:$T$100,'Div 4'!$T$102:$T$106,'Div 4'!$T$108:$T$109,'Div 4'!$T$111:$T$120,'Div 4'!$T$122:$T$123,'Div 4'!$T$125,'Div 4'!$T$127:$T$129,'Div 4'!$T$131</definedName>
    <definedName name="OSRRefT22x_0" localSheetId="97">'Div 5'!$T$21:$T$29,'Div 5'!$T$31:$T$40,'Div 5'!$T$42,'Div 5'!$T$44,'Div 5'!$T$46,'Div 5'!$T$48,'Div 5'!$T$50,'Div 5'!$T$52,'Div 5'!$T$54,'Div 5'!$T$56,'Div 5'!$T$58:$T$60,'Div 5'!$T$62,'Div 5'!$T$64:$T$66,'Div 5'!$T$68,'Div 5'!$T$70</definedName>
    <definedName name="OSRRefT22x_0" localSheetId="66">'Div 6'!$T$60:$T$69,'Div 6'!$T$71:$T$80,'Div 6'!$T$82,'Div 6'!$T$84,'Div 6'!$T$86,'Div 6'!$T$88,'Div 6'!$T$90,'Div 6'!$T$92,'Div 6'!$T$94,'Div 6'!$T$96:$T$97,'Div 6'!$T$99:$T$100,'Div 6'!$T$102,'Div 6'!$T$104</definedName>
    <definedName name="OSRRefT22x_0" localSheetId="2">Summary!$T$200:$T$209,Summary!$T$211:$T$220,Summary!$T$222,Summary!$T$224:$T$225,Summary!$T$227,Summary!$T$229:$T$232,Summary!$T$234:$T$235,Summary!$T$237:$T$239,Summary!$T$241,Summary!$T$243,Summary!$T$245:$T$246,Summary!$T$248:$T$249,Summary!$T$251,Summary!$T$253,Summary!$T$255,Summary!$T$257,Summary!$T$259,Summary!$T$261,Summary!$T$263:$T$266,Summary!$T$268:$T$271,Summary!$T$273:$T$278,Summary!$T$280:$T$281,Summary!$T$283:$T$292,Summary!$T$294:$T$295,Summary!$T$297,Summary!$T$299:$T$301,Summary!$T$303</definedName>
    <definedName name="OSRRefT25x_0" localSheetId="48">'300'!$T$257:$T$265</definedName>
    <definedName name="OSRRefT25x_0" localSheetId="49">'300 &amp; 317'!$T$282:$T$293</definedName>
    <definedName name="OSRRefT25x_0" localSheetId="50">'301'!$T$103:$T$106</definedName>
    <definedName name="OSRRefT25x_0" localSheetId="54">'307'!$T$122</definedName>
    <definedName name="OSRRefT25x_0" localSheetId="56">'308'!$T$122:$T$125</definedName>
    <definedName name="OSRRefT25x_0" localSheetId="76">'310 &amp; 491'!$T$139:$T$142</definedName>
    <definedName name="OSRRefT25x_0" localSheetId="57">'311'!$T$122:$T$125</definedName>
    <definedName name="OSRRefT25x_0" localSheetId="61">'315'!$T$117:$T$119</definedName>
    <definedName name="OSRRefT25x_0" localSheetId="64">'316'!$T$87:$T$88</definedName>
    <definedName name="OSRRefT25x_0" localSheetId="67">'317'!$T$107:$T$110</definedName>
    <definedName name="OSRRefT25x_0" localSheetId="65">'320'!$T$68:$T$72</definedName>
    <definedName name="OSRRefT25x_0" localSheetId="53">'330'!$T$136</definedName>
    <definedName name="OSRRefT25x_0" localSheetId="60">'331'!$T$152:$T$154</definedName>
    <definedName name="OSRRefT25x_0" localSheetId="63">'332'!$T$99:$T$105</definedName>
    <definedName name="OSRRefT25x_0" localSheetId="80">'411'!$T$92:$T$93</definedName>
    <definedName name="OSRRefT25x_0" localSheetId="83">'413'!$T$81</definedName>
    <definedName name="OSRRefT25x_0" localSheetId="85">'415'!$T$100</definedName>
    <definedName name="OSRRefT25x_0" localSheetId="87">'423'!$T$51</definedName>
    <definedName name="OSRRefT25x_0" localSheetId="88">'424'!$T$73</definedName>
    <definedName name="OSRRefT25x_0" localSheetId="89">'425'!$T$91</definedName>
    <definedName name="OSRRefT25x_0" localSheetId="90">'455'!$T$41:$T$44</definedName>
    <definedName name="OSRRefT25x_0" localSheetId="77">'491'!$T$127:$T$130</definedName>
    <definedName name="OSRRefT25x_0" localSheetId="98">'501'!$T$73</definedName>
    <definedName name="OSRRefT25x_0" localSheetId="47">'Div 3'!$T$271:$T$279</definedName>
    <definedName name="OSRRefT25x_0" localSheetId="75">'Div 4'!$T$134:$T$137</definedName>
    <definedName name="OSRRefT25x_0" localSheetId="97">'Div 5'!$T$73</definedName>
    <definedName name="OSRRefT25x_0" localSheetId="66">'Div 6'!$T$107:$T$110</definedName>
    <definedName name="OSRRefT25x_0" localSheetId="2">Summary!$T$306:$T$318</definedName>
    <definedName name="_xlnm.Print_Area" localSheetId="38">'100'!$A$1:$Z$34</definedName>
    <definedName name="_xlnm.Print_Area" localSheetId="40">'200'!$A$1:$Z$43</definedName>
    <definedName name="_xlnm.Print_Area" localSheetId="41">'201'!$A$1:$Z$91</definedName>
    <definedName name="_xlnm.Print_Area" localSheetId="42">'202'!$A$1:$Z$88</definedName>
    <definedName name="_xlnm.Print_Area" localSheetId="43">'203'!$A$1:$Z$86</definedName>
    <definedName name="_xlnm.Print_Area" localSheetId="44">'204'!$A$1:$Z$84</definedName>
    <definedName name="_xlnm.Print_Area" localSheetId="45">'205'!$A$1:$Z$71</definedName>
    <definedName name="_xlnm.Print_Area" localSheetId="46">'206'!$A$1:$Z$72</definedName>
    <definedName name="_xlnm.Print_Area" localSheetId="48">'300'!$A$1:$Z$277</definedName>
    <definedName name="_xlnm.Print_Area" localSheetId="49">'300 &amp; 317'!$A$1:$Z$305</definedName>
    <definedName name="_xlnm.Print_Area" localSheetId="50">'301'!$A$1:$Z$118</definedName>
    <definedName name="_xlnm.Print_Area" localSheetId="51">'302'!$A$1:$Z$32</definedName>
    <definedName name="_xlnm.Print_Area" localSheetId="52">'306'!$A$1:$Z$75</definedName>
    <definedName name="_xlnm.Print_Area" localSheetId="54">'307'!$A$1:$Z$134</definedName>
    <definedName name="_xlnm.Print_Area" localSheetId="56">'308'!$A$1:$Z$137</definedName>
    <definedName name="_xlnm.Print_Area" localSheetId="69">'309'!$A$1:$Z$89</definedName>
    <definedName name="_xlnm.Print_Area" localSheetId="68">'310'!$A$1:$Z$128</definedName>
    <definedName name="_xlnm.Print_Area" localSheetId="76">'310 &amp; 491'!$A$1:$Z$154</definedName>
    <definedName name="_xlnm.Print_Area" localSheetId="57">'311'!$A$1:$Z$137</definedName>
    <definedName name="_xlnm.Print_Area" localSheetId="59">'312'!$A$1:$Z$32</definedName>
    <definedName name="_xlnm.Print_Area" localSheetId="70">'313'!$A$1:$Z$95</definedName>
    <definedName name="_xlnm.Print_Area" localSheetId="55">'314'!$A$1:$Z$108</definedName>
    <definedName name="_xlnm.Print_Area" localSheetId="61">'315'!$A$1:$Z$131</definedName>
    <definedName name="_xlnm.Print_Area" localSheetId="64">'316'!$A$1:$Z$100</definedName>
    <definedName name="_xlnm.Print_Area" localSheetId="67">'317'!$A$1:$Z$122</definedName>
    <definedName name="_xlnm.Print_Area" localSheetId="65">'320'!$A$1:$Z$84</definedName>
    <definedName name="_xlnm.Print_Area" localSheetId="71">'321'!$A$1:$Z$91</definedName>
    <definedName name="_xlnm.Print_Area" localSheetId="72">'322'!$A$1:$Z$93</definedName>
    <definedName name="_xlnm.Print_Area" localSheetId="58">'324'!$A$1:$Z$38</definedName>
    <definedName name="_xlnm.Print_Area" localSheetId="73">'325'!$A$1:$Z$106</definedName>
    <definedName name="_xlnm.Print_Area" localSheetId="62">'326'!$A$1:$Z$139</definedName>
    <definedName name="_xlnm.Print_Area" localSheetId="74">'327'!$A$1:$Z$42</definedName>
    <definedName name="_xlnm.Print_Area" localSheetId="53">'330'!$A$1:$Z$148</definedName>
    <definedName name="_xlnm.Print_Area" localSheetId="60">'331'!$A$1:$Z$166</definedName>
    <definedName name="_xlnm.Print_Area" localSheetId="63">'332'!$A$1:$Z$117</definedName>
    <definedName name="_xlnm.Print_Area" localSheetId="78">'405'!$A$1:$Z$110</definedName>
    <definedName name="_xlnm.Print_Area" localSheetId="79">'406'!$A$1:$Z$97</definedName>
    <definedName name="_xlnm.Print_Area" localSheetId="80">'411'!$A$1:$Z$105</definedName>
    <definedName name="_xlnm.Print_Area" localSheetId="81">'412'!$A$1:$Z$95</definedName>
    <definedName name="_xlnm.Print_Area" localSheetId="83">'413'!$A$1:$Z$93</definedName>
    <definedName name="_xlnm.Print_Area" localSheetId="84">'414'!$A$1:$Z$96</definedName>
    <definedName name="_xlnm.Print_Area" localSheetId="85">'415'!$A$1:$Z$112</definedName>
    <definedName name="_xlnm.Print_Area" localSheetId="86">'418'!$A$1:$Z$106</definedName>
    <definedName name="_xlnm.Print_Area" localSheetId="82">'420'!$A$1:$Z$60</definedName>
    <definedName name="_xlnm.Print_Area" localSheetId="87">'423'!$A$1:$Z$63</definedName>
    <definedName name="_xlnm.Print_Area" localSheetId="88">'424'!$A$1:$Z$85</definedName>
    <definedName name="_xlnm.Print_Area" localSheetId="89">'425'!$A$1:$Z$103</definedName>
    <definedName name="_xlnm.Print_Area" localSheetId="92">'430'!$A$1:$Z$73</definedName>
    <definedName name="_xlnm.Print_Area" localSheetId="93">'433'!$A$1:$Z$102</definedName>
    <definedName name="_xlnm.Print_Area" localSheetId="94">'435'!$A$1:$Z$75</definedName>
    <definedName name="_xlnm.Print_Area" localSheetId="95">'444'!$A$1:$Z$103</definedName>
    <definedName name="_xlnm.Print_Area" localSheetId="96">'450'!$A$1:$Z$102</definedName>
    <definedName name="_xlnm.Print_Area" localSheetId="90">'455'!$A$1:$Z$56</definedName>
    <definedName name="_xlnm.Print_Area" localSheetId="77">'491'!$A$1:$Z$142</definedName>
    <definedName name="_xlnm.Print_Area" localSheetId="91">'492'!$A$1:$Z$112</definedName>
    <definedName name="_xlnm.Print_Area" localSheetId="98">'501'!$A$1:$Z$85</definedName>
    <definedName name="_xlnm.Print_Area" localSheetId="99">Dept!$A$1:$Z$39</definedName>
    <definedName name="_xlnm.Print_Area" localSheetId="37">'Div 1'!$A$1:$Z$34</definedName>
    <definedName name="_xlnm.Print_Area" localSheetId="39">'Div 2'!$A$1:$Z$112</definedName>
    <definedName name="_xlnm.Print_Area" localSheetId="47">'Div 3'!$A$1:$Z$291</definedName>
    <definedName name="_xlnm.Print_Area" localSheetId="75">'Div 4'!$A$1:$Z$149</definedName>
    <definedName name="_xlnm.Print_Area" localSheetId="97">'Div 5'!$A$1:$Z$85</definedName>
    <definedName name="_xlnm.Print_Area" localSheetId="66">'Div 6'!$A$1:$Z$122</definedName>
    <definedName name="_xlnm.Print_Area" localSheetId="13">'OSR_300 &amp; 317_1C00ID4'!$A$1:$Z$39</definedName>
    <definedName name="_xlnm.Print_Area" localSheetId="14">'OSR_300 (2)_...6aa5a22d_14M6XO4'!$A$1:$Z$39</definedName>
    <definedName name="_xlnm.Print_Area" localSheetId="10">'OSR_300 (2)_7...54cb56fc_UFX0O2'!$A$1:$Z$39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2">'OSR_310 (2)_5...3d931dee_QNK8R2'!$A$1:$Z$39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(2)_...853a34aa_1UNC34K'!$A$1:$Z$39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100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(2)...32d16c57_IVJ1QO'!$A$1:$Z$39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101">'OSR_Summary (...56e5d78f_5JEYZH'!$A$1:$Z$39</definedName>
    <definedName name="_xlnm.Print_Area" localSheetId="3">OSR_Summary_18VAVWG!$A$1:$Z$39</definedName>
    <definedName name="_xlnm.Print_Area" localSheetId="2">Summary!$A$1:$Z$332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'302'!$A:$C,'302'!$1:$10</definedName>
    <definedName name="_xlnm.Print_Titles" localSheetId="52">'306'!$A:$C,'306'!$1:$10</definedName>
    <definedName name="_xlnm.Print_Titles" localSheetId="54">'307'!$A:$C,'307'!$1:$10</definedName>
    <definedName name="_xlnm.Print_Titles" localSheetId="56">'308'!$A:$C,'308'!$1:$10</definedName>
    <definedName name="_xlnm.Print_Titles" localSheetId="69">'309'!$A:$C,'309'!$1:$10</definedName>
    <definedName name="_xlnm.Print_Titles" localSheetId="68">'310'!$A:$C,'310'!$1:$10</definedName>
    <definedName name="_xlnm.Print_Titles" localSheetId="76">'310 &amp; 491'!$A:$C,'310 &amp; 491'!$1:$10</definedName>
    <definedName name="_xlnm.Print_Titles" localSheetId="57">'311'!$A:$C,'311'!$1:$10</definedName>
    <definedName name="_xlnm.Print_Titles" localSheetId="59">'312'!$A:$C,'312'!$1:$10</definedName>
    <definedName name="_xlnm.Print_Titles" localSheetId="70">'313'!$A:$C,'313'!$1:$10</definedName>
    <definedName name="_xlnm.Print_Titles" localSheetId="55">'314'!$A:$C,'314'!$1:$10</definedName>
    <definedName name="_xlnm.Print_Titles" localSheetId="61">'315'!$A:$C,'315'!$1:$10</definedName>
    <definedName name="_xlnm.Print_Titles" localSheetId="64">'316'!$A:$C,'316'!$1:$10</definedName>
    <definedName name="_xlnm.Print_Titles" localSheetId="67">'317'!$A:$C,'317'!$1:$10</definedName>
    <definedName name="_xlnm.Print_Titles" localSheetId="65">'320'!$A:$C,'320'!$1:$10</definedName>
    <definedName name="_xlnm.Print_Titles" localSheetId="71">'321'!$A:$C,'321'!$1:$10</definedName>
    <definedName name="_xlnm.Print_Titles" localSheetId="72">'322'!$A:$C,'322'!$1:$10</definedName>
    <definedName name="_xlnm.Print_Titles" localSheetId="58">'324'!$A:$C,'324'!$1:$10</definedName>
    <definedName name="_xlnm.Print_Titles" localSheetId="73">'325'!$A:$C,'325'!$1:$10</definedName>
    <definedName name="_xlnm.Print_Titles" localSheetId="62">'326'!$A:$C,'326'!$1:$10</definedName>
    <definedName name="_xlnm.Print_Titles" localSheetId="74">'327'!$A:$C,'327'!$1:$10</definedName>
    <definedName name="_xlnm.Print_Titles" localSheetId="53">'330'!$A:$C,'330'!$1:$10</definedName>
    <definedName name="_xlnm.Print_Titles" localSheetId="60">'331'!$A:$C,'331'!$1:$10</definedName>
    <definedName name="_xlnm.Print_Titles" localSheetId="63">'332'!$A:$C,'332'!$1:$10</definedName>
    <definedName name="_xlnm.Print_Titles" localSheetId="78">'405'!$A:$C,'405'!$1:$10</definedName>
    <definedName name="_xlnm.Print_Titles" localSheetId="79">'406'!$A:$C,'406'!$1:$10</definedName>
    <definedName name="_xlnm.Print_Titles" localSheetId="80">'411'!$A:$C,'411'!$1:$10</definedName>
    <definedName name="_xlnm.Print_Titles" localSheetId="81">'412'!$A:$C,'412'!$1:$10</definedName>
    <definedName name="_xlnm.Print_Titles" localSheetId="83">'413'!$A:$C,'413'!$1:$10</definedName>
    <definedName name="_xlnm.Print_Titles" localSheetId="84">'414'!$A:$C,'414'!$1:$10</definedName>
    <definedName name="_xlnm.Print_Titles" localSheetId="85">'415'!$A:$C,'415'!$1:$10</definedName>
    <definedName name="_xlnm.Print_Titles" localSheetId="86">'418'!$A:$C,'418'!$1:$10</definedName>
    <definedName name="_xlnm.Print_Titles" localSheetId="82">'420'!$A:$C,'420'!$1:$10</definedName>
    <definedName name="_xlnm.Print_Titles" localSheetId="87">'423'!$A:$C,'423'!$1:$10</definedName>
    <definedName name="_xlnm.Print_Titles" localSheetId="88">'424'!$A:$C,'424'!$1:$10</definedName>
    <definedName name="_xlnm.Print_Titles" localSheetId="89">'425'!$A:$C,'425'!$1:$10</definedName>
    <definedName name="_xlnm.Print_Titles" localSheetId="92">'430'!$A:$C,'430'!$1:$10</definedName>
    <definedName name="_xlnm.Print_Titles" localSheetId="93">'433'!$A:$C,'433'!$1:$10</definedName>
    <definedName name="_xlnm.Print_Titles" localSheetId="94">'435'!$A:$C,'435'!$1:$10</definedName>
    <definedName name="_xlnm.Print_Titles" localSheetId="95">'444'!$A:$C,'444'!$1:$10</definedName>
    <definedName name="_xlnm.Print_Titles" localSheetId="96">'450'!$A:$C,'450'!$1:$10</definedName>
    <definedName name="_xlnm.Print_Titles" localSheetId="90">'455'!$A:$C,'455'!$1:$10</definedName>
    <definedName name="_xlnm.Print_Titles" localSheetId="77">'491'!$A:$C,'491'!$1:$10</definedName>
    <definedName name="_xlnm.Print_Titles" localSheetId="91">'492'!$A:$C,'492'!$1:$10</definedName>
    <definedName name="_xlnm.Print_Titles" localSheetId="98">'501'!$A:$C,'501'!$1:$10</definedName>
    <definedName name="_xlnm.Print_Titles" localSheetId="99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5">'Div 4'!$A:$C,'Div 4'!$1:$10</definedName>
    <definedName name="_xlnm.Print_Titles" localSheetId="97">'Div 5'!$A:$C,'Div 5'!$1:$10</definedName>
    <definedName name="_xlnm.Print_Titles" localSheetId="66">'Div 6'!$A:$C,'Div 6'!$1:$10</definedName>
    <definedName name="_xlnm.Print_Titles" localSheetId="13">'OSR_300 &amp; 317_1C00ID4'!$A:$C,'OSR_300 &amp; 317_1C00ID4'!$1:$10</definedName>
    <definedName name="_xlnm.Print_Titles" localSheetId="14">'OSR_300 (2)_...6aa5a22d_14M6XO4'!$A:$C,'OSR_300 (2)_...6aa5a22d_14M6XO4'!$1:$10</definedName>
    <definedName name="_xlnm.Print_Titles" localSheetId="10">'OSR_300 (2)_7...54cb56fc_UFX0O2'!$A:$C,'OSR_300 (2)_7...54cb56fc_UFX0O2'!$1:$10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2">'OSR_310 (2)_5...3d931dee_QNK8R2'!$A:$C,'OSR_310 (2)_5...3d931dee_QNK8R2'!$1:$10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(2)_...853a34aa_1UNC34K'!$A:$C,'OSR_491 (2)_...853a34aa_1UNC34K'!$1:$10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100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(2)...32d16c57_IVJ1QO'!$A:$C,'OSR_Div 5 (2)...32d16c57_IVJ1QO'!$1:$10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101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7" i="110" l="1"/>
  <c r="X77" i="110"/>
  <c r="N77" i="110"/>
  <c r="L77" i="110"/>
  <c r="P73" i="110"/>
  <c r="X73" i="110" s="1"/>
  <c r="Z73" i="110" s="1"/>
  <c r="D73" i="110"/>
  <c r="L73" i="110" s="1"/>
  <c r="N73" i="110" s="1"/>
  <c r="B73" i="110"/>
  <c r="T72" i="110"/>
  <c r="Z72" i="110" s="1"/>
  <c r="P72" i="110"/>
  <c r="X72" i="110" s="1"/>
  <c r="H72" i="110"/>
  <c r="D72" i="110"/>
  <c r="L72" i="110" s="1"/>
  <c r="X70" i="110"/>
  <c r="Z70" i="110" s="1"/>
  <c r="N70" i="110"/>
  <c r="L70" i="110"/>
  <c r="B70" i="110"/>
  <c r="T69" i="110"/>
  <c r="P69" i="110"/>
  <c r="X69" i="110" s="1"/>
  <c r="Z69" i="110" s="1"/>
  <c r="N69" i="110"/>
  <c r="L69" i="110"/>
  <c r="H69" i="110"/>
  <c r="D69" i="110"/>
  <c r="B69" i="110"/>
  <c r="X68" i="110"/>
  <c r="Z68" i="110" s="1"/>
  <c r="L68" i="110"/>
  <c r="N68" i="110" s="1"/>
  <c r="B68" i="110"/>
  <c r="X67" i="110"/>
  <c r="T67" i="110"/>
  <c r="Z67" i="110" s="1"/>
  <c r="P67" i="110"/>
  <c r="H67" i="110"/>
  <c r="D67" i="110"/>
  <c r="L67" i="110" s="1"/>
  <c r="B67" i="110"/>
  <c r="Z66" i="110"/>
  <c r="X66" i="110"/>
  <c r="N66" i="110"/>
  <c r="L66" i="110"/>
  <c r="B66" i="110"/>
  <c r="Z65" i="110"/>
  <c r="X65" i="110"/>
  <c r="N65" i="110"/>
  <c r="L65" i="110"/>
  <c r="B65" i="110"/>
  <c r="X64" i="110"/>
  <c r="Z64" i="110" s="1"/>
  <c r="N64" i="110"/>
  <c r="L64" i="110"/>
  <c r="B64" i="110"/>
  <c r="X63" i="110"/>
  <c r="Z63" i="110" s="1"/>
  <c r="T63" i="110"/>
  <c r="P63" i="110"/>
  <c r="L63" i="110"/>
  <c r="N63" i="110" s="1"/>
  <c r="H63" i="110"/>
  <c r="D63" i="110"/>
  <c r="B63" i="110"/>
  <c r="Z62" i="110"/>
  <c r="X62" i="110"/>
  <c r="N62" i="110"/>
  <c r="L62" i="110"/>
  <c r="B62" i="110"/>
  <c r="X61" i="110"/>
  <c r="T61" i="110"/>
  <c r="Z61" i="110" s="1"/>
  <c r="P61" i="110"/>
  <c r="H61" i="110"/>
  <c r="N61" i="110" s="1"/>
  <c r="D61" i="110"/>
  <c r="B61" i="110"/>
  <c r="Z60" i="110"/>
  <c r="X60" i="110"/>
  <c r="N60" i="110"/>
  <c r="L60" i="110"/>
  <c r="B60" i="110"/>
  <c r="X59" i="110"/>
  <c r="Z59" i="110" s="1"/>
  <c r="L59" i="110"/>
  <c r="N59" i="110" s="1"/>
  <c r="B59" i="110"/>
  <c r="X58" i="110"/>
  <c r="Z58" i="110" s="1"/>
  <c r="N58" i="110"/>
  <c r="L58" i="110"/>
  <c r="B58" i="110"/>
  <c r="Z57" i="110"/>
  <c r="T57" i="110"/>
  <c r="P57" i="110"/>
  <c r="X57" i="110" s="1"/>
  <c r="L57" i="110"/>
  <c r="H57" i="110"/>
  <c r="D57" i="110"/>
  <c r="B57" i="110"/>
  <c r="X56" i="110"/>
  <c r="Z56" i="110" s="1"/>
  <c r="N56" i="110"/>
  <c r="L56" i="110"/>
  <c r="B56" i="110"/>
  <c r="X55" i="110"/>
  <c r="T55" i="110"/>
  <c r="P55" i="110"/>
  <c r="H55" i="110"/>
  <c r="D55" i="110"/>
  <c r="B55" i="110"/>
  <c r="X54" i="110"/>
  <c r="Z54" i="110" s="1"/>
  <c r="N54" i="110"/>
  <c r="L54" i="110"/>
  <c r="B54" i="110"/>
  <c r="T53" i="110"/>
  <c r="P53" i="110"/>
  <c r="H53" i="110"/>
  <c r="N53" i="110" s="1"/>
  <c r="D53" i="110"/>
  <c r="L53" i="110" s="1"/>
  <c r="B53" i="110"/>
  <c r="Z52" i="110"/>
  <c r="X52" i="110"/>
  <c r="L52" i="110"/>
  <c r="N52" i="110" s="1"/>
  <c r="B52" i="110"/>
  <c r="X51" i="110"/>
  <c r="T51" i="110"/>
  <c r="P51" i="110"/>
  <c r="H51" i="110"/>
  <c r="D51" i="110"/>
  <c r="B51" i="110"/>
  <c r="Z50" i="110"/>
  <c r="X50" i="110"/>
  <c r="L50" i="110"/>
  <c r="N50" i="110" s="1"/>
  <c r="B50" i="110"/>
  <c r="T49" i="110"/>
  <c r="P49" i="110"/>
  <c r="H49" i="110"/>
  <c r="D49" i="110"/>
  <c r="L49" i="110" s="1"/>
  <c r="B49" i="110"/>
  <c r="Z48" i="110"/>
  <c r="X48" i="110"/>
  <c r="N48" i="110"/>
  <c r="L48" i="110"/>
  <c r="B48" i="110"/>
  <c r="T47" i="110"/>
  <c r="Z47" i="110" s="1"/>
  <c r="P47" i="110"/>
  <c r="X47" i="110" s="1"/>
  <c r="L47" i="110"/>
  <c r="H47" i="110"/>
  <c r="D47" i="110"/>
  <c r="B47" i="110"/>
  <c r="Z46" i="110"/>
  <c r="X46" i="110"/>
  <c r="N46" i="110"/>
  <c r="L46" i="110"/>
  <c r="B46" i="110"/>
  <c r="T45" i="110"/>
  <c r="P45" i="110"/>
  <c r="H45" i="110"/>
  <c r="N45" i="110" s="1"/>
  <c r="D45" i="110"/>
  <c r="L45" i="110" s="1"/>
  <c r="B45" i="110"/>
  <c r="X44" i="110"/>
  <c r="Z44" i="110" s="1"/>
  <c r="L44" i="110"/>
  <c r="N44" i="110" s="1"/>
  <c r="B44" i="110"/>
  <c r="T43" i="110"/>
  <c r="P43" i="110"/>
  <c r="X43" i="110" s="1"/>
  <c r="H43" i="110"/>
  <c r="N43" i="110" s="1"/>
  <c r="D43" i="110"/>
  <c r="L43" i="110" s="1"/>
  <c r="B43" i="110"/>
  <c r="Z42" i="110"/>
  <c r="X42" i="110"/>
  <c r="L42" i="110"/>
  <c r="N42" i="110" s="1"/>
  <c r="B42" i="110"/>
  <c r="T41" i="110"/>
  <c r="P41" i="110"/>
  <c r="H41" i="110"/>
  <c r="D41" i="110"/>
  <c r="L41" i="110" s="1"/>
  <c r="N41" i="110" s="1"/>
  <c r="B41" i="110"/>
  <c r="Z40" i="110"/>
  <c r="X40" i="110"/>
  <c r="N40" i="110"/>
  <c r="L40" i="110"/>
  <c r="B40" i="110"/>
  <c r="Z39" i="110"/>
  <c r="X39" i="110"/>
  <c r="N39" i="110"/>
  <c r="L39" i="110"/>
  <c r="B39" i="110"/>
  <c r="Z38" i="110"/>
  <c r="X38" i="110"/>
  <c r="N38" i="110"/>
  <c r="L38" i="110"/>
  <c r="B38" i="110"/>
  <c r="X37" i="110"/>
  <c r="Z37" i="110" s="1"/>
  <c r="N37" i="110"/>
  <c r="L37" i="110"/>
  <c r="B37" i="110"/>
  <c r="Z36" i="110"/>
  <c r="X36" i="110"/>
  <c r="N36" i="110"/>
  <c r="L36" i="110"/>
  <c r="B36" i="110"/>
  <c r="Z35" i="110"/>
  <c r="X35" i="110"/>
  <c r="N35" i="110"/>
  <c r="L35" i="110"/>
  <c r="B35" i="110"/>
  <c r="Z34" i="110"/>
  <c r="X34" i="110"/>
  <c r="L34" i="110"/>
  <c r="N34" i="110" s="1"/>
  <c r="B34" i="110"/>
  <c r="Z33" i="110"/>
  <c r="X33" i="110"/>
  <c r="N33" i="110"/>
  <c r="L33" i="110"/>
  <c r="B33" i="110"/>
  <c r="Z32" i="110"/>
  <c r="X32" i="110"/>
  <c r="N32" i="110"/>
  <c r="L32" i="110"/>
  <c r="B32" i="110"/>
  <c r="Z31" i="110"/>
  <c r="X31" i="110"/>
  <c r="N31" i="110"/>
  <c r="L31" i="110"/>
  <c r="B31" i="110"/>
  <c r="X30" i="110"/>
  <c r="Z30" i="110" s="1"/>
  <c r="T30" i="110"/>
  <c r="P30" i="110"/>
  <c r="H30" i="110"/>
  <c r="D30" i="110"/>
  <c r="B30" i="110"/>
  <c r="X29" i="110"/>
  <c r="Z29" i="110" s="1"/>
  <c r="L29" i="110"/>
  <c r="N29" i="110" s="1"/>
  <c r="B29" i="110"/>
  <c r="Z28" i="110"/>
  <c r="X28" i="110"/>
  <c r="L28" i="110"/>
  <c r="N28" i="110" s="1"/>
  <c r="B28" i="110"/>
  <c r="X27" i="110"/>
  <c r="Z27" i="110" s="1"/>
  <c r="N27" i="110"/>
  <c r="L27" i="110"/>
  <c r="B27" i="110"/>
  <c r="Z26" i="110"/>
  <c r="X26" i="110"/>
  <c r="N26" i="110"/>
  <c r="L26" i="110"/>
  <c r="B26" i="110"/>
  <c r="X25" i="110"/>
  <c r="Z25" i="110" s="1"/>
  <c r="N25" i="110"/>
  <c r="L25" i="110"/>
  <c r="B25" i="110"/>
  <c r="X24" i="110"/>
  <c r="Z24" i="110" s="1"/>
  <c r="L24" i="110"/>
  <c r="N24" i="110" s="1"/>
  <c r="B24" i="110"/>
  <c r="X23" i="110"/>
  <c r="Z23" i="110" s="1"/>
  <c r="L23" i="110"/>
  <c r="N23" i="110" s="1"/>
  <c r="B23" i="110"/>
  <c r="Z22" i="110"/>
  <c r="X22" i="110"/>
  <c r="N22" i="110"/>
  <c r="L22" i="110"/>
  <c r="B22" i="110"/>
  <c r="Z21" i="110"/>
  <c r="X21" i="110"/>
  <c r="N21" i="110"/>
  <c r="L21" i="110"/>
  <c r="B21" i="110"/>
  <c r="T20" i="110"/>
  <c r="P20" i="110"/>
  <c r="X20" i="110" s="1"/>
  <c r="H20" i="110"/>
  <c r="D20" i="110"/>
  <c r="L20" i="110" s="1"/>
  <c r="N20" i="110" s="1"/>
  <c r="B20" i="110"/>
  <c r="T19" i="110"/>
  <c r="P19" i="110"/>
  <c r="X19" i="110" s="1"/>
  <c r="H19" i="110"/>
  <c r="D19" i="110"/>
  <c r="L19" i="110" s="1"/>
  <c r="Z15" i="110"/>
  <c r="T15" i="110"/>
  <c r="P15" i="110"/>
  <c r="X15" i="110" s="1"/>
  <c r="N15" i="110"/>
  <c r="L15" i="110"/>
  <c r="H15" i="110"/>
  <c r="D15" i="110"/>
  <c r="X13" i="110"/>
  <c r="Z13" i="110" s="1"/>
  <c r="P13" i="110"/>
  <c r="P12" i="110" s="1"/>
  <c r="D13" i="110"/>
  <c r="L13" i="110" s="1"/>
  <c r="N13" i="110" s="1"/>
  <c r="B13" i="110"/>
  <c r="T12" i="110"/>
  <c r="H12" i="110"/>
  <c r="D12" i="110"/>
  <c r="D6" i="110"/>
  <c r="D4" i="110"/>
  <c r="V53" i="109"/>
  <c r="J53" i="109"/>
  <c r="R50" i="109"/>
  <c r="Z48" i="109"/>
  <c r="X48" i="109"/>
  <c r="N48" i="109"/>
  <c r="L48" i="109"/>
  <c r="V46" i="109"/>
  <c r="Z44" i="109"/>
  <c r="V44" i="109"/>
  <c r="P44" i="109"/>
  <c r="X44" i="109" s="1"/>
  <c r="N44" i="109"/>
  <c r="D44" i="109"/>
  <c r="L44" i="109" s="1"/>
  <c r="B44" i="109"/>
  <c r="Z43" i="109"/>
  <c r="P43" i="109"/>
  <c r="X43" i="109" s="1"/>
  <c r="N43" i="109"/>
  <c r="L43" i="109"/>
  <c r="J43" i="109"/>
  <c r="D43" i="109"/>
  <c r="B43" i="109"/>
  <c r="X42" i="109"/>
  <c r="Z42" i="109" s="1"/>
  <c r="P42" i="109"/>
  <c r="P40" i="109" s="1"/>
  <c r="X40" i="109" s="1"/>
  <c r="L42" i="109"/>
  <c r="N42" i="109" s="1"/>
  <c r="D42" i="109"/>
  <c r="B42" i="109"/>
  <c r="Z41" i="109"/>
  <c r="X41" i="109"/>
  <c r="V41" i="109"/>
  <c r="P41" i="109"/>
  <c r="N41" i="109"/>
  <c r="L41" i="109"/>
  <c r="J41" i="109"/>
  <c r="D41" i="109"/>
  <c r="B41" i="109"/>
  <c r="T40" i="109"/>
  <c r="J40" i="109"/>
  <c r="H40" i="109"/>
  <c r="Z38" i="109"/>
  <c r="X38" i="109"/>
  <c r="R38" i="109"/>
  <c r="N38" i="109"/>
  <c r="L38" i="109"/>
  <c r="J38" i="109"/>
  <c r="B38" i="109"/>
  <c r="Z37" i="109"/>
  <c r="X37" i="109"/>
  <c r="N37" i="109"/>
  <c r="L37" i="109"/>
  <c r="J37" i="109"/>
  <c r="B37" i="109"/>
  <c r="Z36" i="109"/>
  <c r="X36" i="109"/>
  <c r="V36" i="109"/>
  <c r="N36" i="109"/>
  <c r="L36" i="109"/>
  <c r="B36" i="109"/>
  <c r="Z35" i="109"/>
  <c r="X35" i="109"/>
  <c r="N35" i="109"/>
  <c r="L35" i="109"/>
  <c r="B35" i="109"/>
  <c r="Z34" i="109"/>
  <c r="X34" i="109"/>
  <c r="R34" i="109"/>
  <c r="N34" i="109"/>
  <c r="L34" i="109"/>
  <c r="J34" i="109"/>
  <c r="B34" i="109"/>
  <c r="Z33" i="109"/>
  <c r="X33" i="109"/>
  <c r="N33" i="109"/>
  <c r="L33" i="109"/>
  <c r="J33" i="109"/>
  <c r="B33" i="109"/>
  <c r="Z32" i="109"/>
  <c r="X32" i="109"/>
  <c r="V32" i="109"/>
  <c r="N32" i="109"/>
  <c r="L32" i="109"/>
  <c r="B32" i="109"/>
  <c r="Z31" i="109"/>
  <c r="X31" i="109"/>
  <c r="N31" i="109"/>
  <c r="L31" i="109"/>
  <c r="B31" i="109"/>
  <c r="Z30" i="109"/>
  <c r="X30" i="109"/>
  <c r="R30" i="109"/>
  <c r="N30" i="109"/>
  <c r="L30" i="109"/>
  <c r="J30" i="109"/>
  <c r="B30" i="109"/>
  <c r="X29" i="109"/>
  <c r="Z29" i="109" s="1"/>
  <c r="N29" i="109"/>
  <c r="L29" i="109"/>
  <c r="J29" i="109"/>
  <c r="B29" i="109"/>
  <c r="Z28" i="109"/>
  <c r="X28" i="109"/>
  <c r="V28" i="109"/>
  <c r="T28" i="109"/>
  <c r="P28" i="109"/>
  <c r="H28" i="109"/>
  <c r="D28" i="109"/>
  <c r="B28" i="109"/>
  <c r="Z27" i="109"/>
  <c r="X27" i="109"/>
  <c r="N27" i="109"/>
  <c r="L27" i="109"/>
  <c r="J27" i="109"/>
  <c r="B27" i="109"/>
  <c r="X26" i="109"/>
  <c r="Z26" i="109" s="1"/>
  <c r="V26" i="109"/>
  <c r="N26" i="109"/>
  <c r="L26" i="109"/>
  <c r="J26" i="109"/>
  <c r="B26" i="109"/>
  <c r="Z25" i="109"/>
  <c r="X25" i="109"/>
  <c r="V25" i="109"/>
  <c r="N25" i="109"/>
  <c r="L25" i="109"/>
  <c r="J25" i="109"/>
  <c r="B25" i="109"/>
  <c r="Z24" i="109"/>
  <c r="X24" i="109"/>
  <c r="R24" i="109"/>
  <c r="L24" i="109"/>
  <c r="N24" i="109" s="1"/>
  <c r="B24" i="109"/>
  <c r="X23" i="109"/>
  <c r="Z23" i="109" s="1"/>
  <c r="N23" i="109"/>
  <c r="L23" i="109"/>
  <c r="J23" i="109"/>
  <c r="B23" i="109"/>
  <c r="Z22" i="109"/>
  <c r="X22" i="109"/>
  <c r="V22" i="109"/>
  <c r="N22" i="109"/>
  <c r="L22" i="109"/>
  <c r="J22" i="109"/>
  <c r="B22" i="109"/>
  <c r="Z21" i="109"/>
  <c r="X21" i="109"/>
  <c r="V21" i="109"/>
  <c r="N21" i="109"/>
  <c r="L21" i="109"/>
  <c r="J21" i="109"/>
  <c r="B21" i="109"/>
  <c r="Z20" i="109"/>
  <c r="X20" i="109"/>
  <c r="R20" i="109"/>
  <c r="L20" i="109"/>
  <c r="N20" i="109" s="1"/>
  <c r="B20" i="109"/>
  <c r="X19" i="109"/>
  <c r="Z19" i="109" s="1"/>
  <c r="T19" i="109"/>
  <c r="P19" i="109"/>
  <c r="N19" i="109"/>
  <c r="J19" i="109"/>
  <c r="H19" i="109"/>
  <c r="D19" i="109"/>
  <c r="L19" i="109" s="1"/>
  <c r="B19" i="109"/>
  <c r="Z18" i="109"/>
  <c r="T18" i="109"/>
  <c r="P18" i="109"/>
  <c r="X18" i="109" s="1"/>
  <c r="L18" i="109"/>
  <c r="H18" i="109"/>
  <c r="N18" i="109" s="1"/>
  <c r="D18" i="109"/>
  <c r="Z16" i="109"/>
  <c r="P16" i="109"/>
  <c r="Z14" i="109"/>
  <c r="T14" i="109"/>
  <c r="T16" i="109" s="1"/>
  <c r="T46" i="109" s="1"/>
  <c r="P14" i="109"/>
  <c r="X14" i="109" s="1"/>
  <c r="L14" i="109"/>
  <c r="H14" i="109"/>
  <c r="N14" i="109" s="1"/>
  <c r="D14" i="109"/>
  <c r="Z12" i="109"/>
  <c r="T12" i="109"/>
  <c r="V27" i="109" s="1"/>
  <c r="P12" i="109"/>
  <c r="R48" i="109" s="1"/>
  <c r="N12" i="109"/>
  <c r="H12" i="109"/>
  <c r="J42" i="109" s="1"/>
  <c r="D12" i="109"/>
  <c r="F48" i="109" s="1"/>
  <c r="D6" i="109"/>
  <c r="D4" i="109"/>
  <c r="Z94" i="108"/>
  <c r="X94" i="108"/>
  <c r="L94" i="108"/>
  <c r="N94" i="108" s="1"/>
  <c r="T90" i="108"/>
  <c r="Z90" i="108" s="1"/>
  <c r="P90" i="108"/>
  <c r="X90" i="108" s="1"/>
  <c r="N90" i="108"/>
  <c r="H90" i="108"/>
  <c r="D90" i="108"/>
  <c r="L90" i="108" s="1"/>
  <c r="X88" i="108"/>
  <c r="Z88" i="108" s="1"/>
  <c r="L88" i="108"/>
  <c r="N88" i="108" s="1"/>
  <c r="J88" i="108"/>
  <c r="B88" i="108"/>
  <c r="Z87" i="108"/>
  <c r="X87" i="108"/>
  <c r="N87" i="108"/>
  <c r="L87" i="108"/>
  <c r="J87" i="108"/>
  <c r="B87" i="108"/>
  <c r="T86" i="108"/>
  <c r="P86" i="108"/>
  <c r="X86" i="108" s="1"/>
  <c r="Z86" i="108" s="1"/>
  <c r="L86" i="108"/>
  <c r="H86" i="108"/>
  <c r="D86" i="108"/>
  <c r="B86" i="108"/>
  <c r="X85" i="108"/>
  <c r="Z85" i="108" s="1"/>
  <c r="N85" i="108"/>
  <c r="L85" i="108"/>
  <c r="J85" i="108"/>
  <c r="B85" i="108"/>
  <c r="Z84" i="108"/>
  <c r="X84" i="108"/>
  <c r="T84" i="108"/>
  <c r="P84" i="108"/>
  <c r="H84" i="108"/>
  <c r="D84" i="108"/>
  <c r="B84" i="108"/>
  <c r="X83" i="108"/>
  <c r="Z83" i="108" s="1"/>
  <c r="N83" i="108"/>
  <c r="L83" i="108"/>
  <c r="J83" i="108"/>
  <c r="B83" i="108"/>
  <c r="T82" i="108"/>
  <c r="P82" i="108"/>
  <c r="L82" i="108"/>
  <c r="H82" i="108"/>
  <c r="D82" i="108"/>
  <c r="B82" i="108"/>
  <c r="X81" i="108"/>
  <c r="Z81" i="108" s="1"/>
  <c r="L81" i="108"/>
  <c r="N81" i="108" s="1"/>
  <c r="J81" i="108"/>
  <c r="B81" i="108"/>
  <c r="Z80" i="108"/>
  <c r="X80" i="108"/>
  <c r="N80" i="108"/>
  <c r="L80" i="108"/>
  <c r="J80" i="108"/>
  <c r="B80" i="108"/>
  <c r="Z79" i="108"/>
  <c r="X79" i="108"/>
  <c r="N79" i="108"/>
  <c r="L79" i="108"/>
  <c r="J79" i="108"/>
  <c r="B79" i="108"/>
  <c r="Z78" i="108"/>
  <c r="X78" i="108"/>
  <c r="L78" i="108"/>
  <c r="N78" i="108" s="1"/>
  <c r="B78" i="108"/>
  <c r="X77" i="108"/>
  <c r="Z77" i="108" s="1"/>
  <c r="V77" i="108"/>
  <c r="L77" i="108"/>
  <c r="N77" i="108" s="1"/>
  <c r="J77" i="108"/>
  <c r="B77" i="108"/>
  <c r="X76" i="108"/>
  <c r="Z76" i="108" s="1"/>
  <c r="N76" i="108"/>
  <c r="L76" i="108"/>
  <c r="J76" i="108"/>
  <c r="B76" i="108"/>
  <c r="Z75" i="108"/>
  <c r="V75" i="108"/>
  <c r="T75" i="108"/>
  <c r="P75" i="108"/>
  <c r="X75" i="108" s="1"/>
  <c r="H75" i="108"/>
  <c r="D75" i="108"/>
  <c r="B75" i="108"/>
  <c r="X74" i="108"/>
  <c r="Z74" i="108" s="1"/>
  <c r="L74" i="108"/>
  <c r="N74" i="108" s="1"/>
  <c r="J74" i="108"/>
  <c r="B74" i="108"/>
  <c r="X73" i="108"/>
  <c r="Z73" i="108" s="1"/>
  <c r="N73" i="108"/>
  <c r="L73" i="108"/>
  <c r="J73" i="108"/>
  <c r="B73" i="108"/>
  <c r="X72" i="108"/>
  <c r="Z72" i="108" s="1"/>
  <c r="V72" i="108"/>
  <c r="L72" i="108"/>
  <c r="N72" i="108" s="1"/>
  <c r="B72" i="108"/>
  <c r="T71" i="108"/>
  <c r="P71" i="108"/>
  <c r="L71" i="108"/>
  <c r="J71" i="108"/>
  <c r="H71" i="108"/>
  <c r="N71" i="108" s="1"/>
  <c r="D71" i="108"/>
  <c r="B71" i="108"/>
  <c r="Z70" i="108"/>
  <c r="X70" i="108"/>
  <c r="N70" i="108"/>
  <c r="L70" i="108"/>
  <c r="B70" i="108"/>
  <c r="Z69" i="108"/>
  <c r="X69" i="108"/>
  <c r="N69" i="108"/>
  <c r="L69" i="108"/>
  <c r="J69" i="108"/>
  <c r="B69" i="108"/>
  <c r="X68" i="108"/>
  <c r="Z68" i="108" s="1"/>
  <c r="L68" i="108"/>
  <c r="N68" i="108" s="1"/>
  <c r="B68" i="108"/>
  <c r="Z67" i="108"/>
  <c r="X67" i="108"/>
  <c r="T67" i="108"/>
  <c r="P67" i="108"/>
  <c r="J67" i="108"/>
  <c r="H67" i="108"/>
  <c r="D67" i="108"/>
  <c r="L67" i="108" s="1"/>
  <c r="N67" i="108" s="1"/>
  <c r="B67" i="108"/>
  <c r="Z66" i="108"/>
  <c r="X66" i="108"/>
  <c r="L66" i="108"/>
  <c r="N66" i="108" s="1"/>
  <c r="B66" i="108"/>
  <c r="X65" i="108"/>
  <c r="V65" i="108"/>
  <c r="T65" i="108"/>
  <c r="P65" i="108"/>
  <c r="J65" i="108"/>
  <c r="H65" i="108"/>
  <c r="D65" i="108"/>
  <c r="L65" i="108" s="1"/>
  <c r="N65" i="108" s="1"/>
  <c r="B65" i="108"/>
  <c r="Z64" i="108"/>
  <c r="X64" i="108"/>
  <c r="V64" i="108"/>
  <c r="L64" i="108"/>
  <c r="N64" i="108" s="1"/>
  <c r="B64" i="108"/>
  <c r="T63" i="108"/>
  <c r="P63" i="108"/>
  <c r="L63" i="108"/>
  <c r="J63" i="108"/>
  <c r="H63" i="108"/>
  <c r="N63" i="108" s="1"/>
  <c r="D63" i="108"/>
  <c r="B63" i="108"/>
  <c r="X62" i="108"/>
  <c r="Z62" i="108" s="1"/>
  <c r="N62" i="108"/>
  <c r="L62" i="108"/>
  <c r="B62" i="108"/>
  <c r="T61" i="108"/>
  <c r="P61" i="108"/>
  <c r="X61" i="108" s="1"/>
  <c r="Z61" i="108" s="1"/>
  <c r="L61" i="108"/>
  <c r="N61" i="108" s="1"/>
  <c r="H61" i="108"/>
  <c r="D61" i="108"/>
  <c r="B61" i="108"/>
  <c r="Z60" i="108"/>
  <c r="X60" i="108"/>
  <c r="N60" i="108"/>
  <c r="L60" i="108"/>
  <c r="J60" i="108"/>
  <c r="B60" i="108"/>
  <c r="Z59" i="108"/>
  <c r="T59" i="108"/>
  <c r="P59" i="108"/>
  <c r="X59" i="108" s="1"/>
  <c r="H59" i="108"/>
  <c r="D59" i="108"/>
  <c r="B59" i="108"/>
  <c r="X58" i="108"/>
  <c r="Z58" i="108" s="1"/>
  <c r="L58" i="108"/>
  <c r="N58" i="108" s="1"/>
  <c r="J58" i="108"/>
  <c r="B58" i="108"/>
  <c r="X57" i="108"/>
  <c r="T57" i="108"/>
  <c r="Z57" i="108" s="1"/>
  <c r="P57" i="108"/>
  <c r="H57" i="108"/>
  <c r="J57" i="108" s="1"/>
  <c r="D57" i="108"/>
  <c r="L57" i="108" s="1"/>
  <c r="N57" i="108" s="1"/>
  <c r="B57" i="108"/>
  <c r="X56" i="108"/>
  <c r="Z56" i="108" s="1"/>
  <c r="L56" i="108"/>
  <c r="N56" i="108" s="1"/>
  <c r="B56" i="108"/>
  <c r="X55" i="108"/>
  <c r="Z55" i="108" s="1"/>
  <c r="T55" i="108"/>
  <c r="P55" i="108"/>
  <c r="N55" i="108"/>
  <c r="J55" i="108"/>
  <c r="H55" i="108"/>
  <c r="D55" i="108"/>
  <c r="L55" i="108" s="1"/>
  <c r="B55" i="108"/>
  <c r="Z54" i="108"/>
  <c r="X54" i="108"/>
  <c r="L54" i="108"/>
  <c r="N54" i="108" s="1"/>
  <c r="B54" i="108"/>
  <c r="Z53" i="108"/>
  <c r="X53" i="108"/>
  <c r="T53" i="108"/>
  <c r="P53" i="108"/>
  <c r="N53" i="108"/>
  <c r="J53" i="108"/>
  <c r="H53" i="108"/>
  <c r="D53" i="108"/>
  <c r="L53" i="108" s="1"/>
  <c r="B53" i="108"/>
  <c r="X52" i="108"/>
  <c r="Z52" i="108" s="1"/>
  <c r="L52" i="108"/>
  <c r="N52" i="108" s="1"/>
  <c r="B52" i="108"/>
  <c r="Z51" i="108"/>
  <c r="X51" i="108"/>
  <c r="V51" i="108"/>
  <c r="L51" i="108"/>
  <c r="N51" i="108" s="1"/>
  <c r="B51" i="108"/>
  <c r="X50" i="108"/>
  <c r="T50" i="108"/>
  <c r="P50" i="108"/>
  <c r="J50" i="108"/>
  <c r="H50" i="108"/>
  <c r="D50" i="108"/>
  <c r="L50" i="108" s="1"/>
  <c r="N50" i="108" s="1"/>
  <c r="B50" i="108"/>
  <c r="Z49" i="108"/>
  <c r="X49" i="108"/>
  <c r="N49" i="108"/>
  <c r="L49" i="108"/>
  <c r="J49" i="108"/>
  <c r="B49" i="108"/>
  <c r="T48" i="108"/>
  <c r="P48" i="108"/>
  <c r="X48" i="108" s="1"/>
  <c r="L48" i="108"/>
  <c r="H48" i="108"/>
  <c r="D48" i="108"/>
  <c r="B48" i="108"/>
  <c r="Z47" i="108"/>
  <c r="X47" i="108"/>
  <c r="N47" i="108"/>
  <c r="L47" i="108"/>
  <c r="J47" i="108"/>
  <c r="B47" i="108"/>
  <c r="Z46" i="108"/>
  <c r="X46" i="108"/>
  <c r="N46" i="108"/>
  <c r="L46" i="108"/>
  <c r="B46" i="108"/>
  <c r="X45" i="108"/>
  <c r="Z45" i="108" s="1"/>
  <c r="V45" i="108"/>
  <c r="N45" i="108"/>
  <c r="L45" i="108"/>
  <c r="J45" i="108"/>
  <c r="B45" i="108"/>
  <c r="X44" i="108"/>
  <c r="Z44" i="108" s="1"/>
  <c r="L44" i="108"/>
  <c r="N44" i="108" s="1"/>
  <c r="J44" i="108"/>
  <c r="B44" i="108"/>
  <c r="Z43" i="108"/>
  <c r="X43" i="108"/>
  <c r="N43" i="108"/>
  <c r="L43" i="108"/>
  <c r="J43" i="108"/>
  <c r="B43" i="108"/>
  <c r="Z42" i="108"/>
  <c r="X42" i="108"/>
  <c r="L42" i="108"/>
  <c r="N42" i="108" s="1"/>
  <c r="B42" i="108"/>
  <c r="Z41" i="108"/>
  <c r="X41" i="108"/>
  <c r="V41" i="108"/>
  <c r="L41" i="108"/>
  <c r="N41" i="108" s="1"/>
  <c r="J41" i="108"/>
  <c r="B41" i="108"/>
  <c r="Z40" i="108"/>
  <c r="X40" i="108"/>
  <c r="N40" i="108"/>
  <c r="L40" i="108"/>
  <c r="J40" i="108"/>
  <c r="B40" i="108"/>
  <c r="Z39" i="108"/>
  <c r="X39" i="108"/>
  <c r="N39" i="108"/>
  <c r="L39" i="108"/>
  <c r="J39" i="108"/>
  <c r="B39" i="108"/>
  <c r="Z38" i="108"/>
  <c r="X38" i="108"/>
  <c r="N38" i="108"/>
  <c r="L38" i="108"/>
  <c r="B38" i="108"/>
  <c r="T37" i="108"/>
  <c r="P37" i="108"/>
  <c r="X37" i="108" s="1"/>
  <c r="J37" i="108"/>
  <c r="H37" i="108"/>
  <c r="D37" i="108"/>
  <c r="L37" i="108" s="1"/>
  <c r="N37" i="108" s="1"/>
  <c r="B37" i="108"/>
  <c r="Z36" i="108"/>
  <c r="X36" i="108"/>
  <c r="N36" i="108"/>
  <c r="L36" i="108"/>
  <c r="B36" i="108"/>
  <c r="Z35" i="108"/>
  <c r="X35" i="108"/>
  <c r="V35" i="108"/>
  <c r="N35" i="108"/>
  <c r="L35" i="108"/>
  <c r="B35" i="108"/>
  <c r="X34" i="108"/>
  <c r="Z34" i="108" s="1"/>
  <c r="L34" i="108"/>
  <c r="N34" i="108" s="1"/>
  <c r="J34" i="108"/>
  <c r="B34" i="108"/>
  <c r="Z33" i="108"/>
  <c r="X33" i="108"/>
  <c r="N33" i="108"/>
  <c r="L33" i="108"/>
  <c r="J33" i="108"/>
  <c r="B33" i="108"/>
  <c r="Z32" i="108"/>
  <c r="X32" i="108"/>
  <c r="N32" i="108"/>
  <c r="L32" i="108"/>
  <c r="B32" i="108"/>
  <c r="Z31" i="108"/>
  <c r="X31" i="108"/>
  <c r="N31" i="108"/>
  <c r="L31" i="108"/>
  <c r="B31" i="108"/>
  <c r="X30" i="108"/>
  <c r="Z30" i="108" s="1"/>
  <c r="L30" i="108"/>
  <c r="N30" i="108" s="1"/>
  <c r="J30" i="108"/>
  <c r="B30" i="108"/>
  <c r="X29" i="108"/>
  <c r="Z29" i="108" s="1"/>
  <c r="N29" i="108"/>
  <c r="L29" i="108"/>
  <c r="J29" i="108"/>
  <c r="B29" i="108"/>
  <c r="Z28" i="108"/>
  <c r="X28" i="108"/>
  <c r="V28" i="108"/>
  <c r="L28" i="108"/>
  <c r="N28" i="108" s="1"/>
  <c r="B28" i="108"/>
  <c r="Z27" i="108"/>
  <c r="X27" i="108"/>
  <c r="V27" i="108"/>
  <c r="L27" i="108"/>
  <c r="N27" i="108" s="1"/>
  <c r="B27" i="108"/>
  <c r="T26" i="108"/>
  <c r="P26" i="108"/>
  <c r="J26" i="108"/>
  <c r="H26" i="108"/>
  <c r="D26" i="108"/>
  <c r="L26" i="108" s="1"/>
  <c r="N26" i="108" s="1"/>
  <c r="B26" i="108"/>
  <c r="V25" i="108"/>
  <c r="T25" i="108"/>
  <c r="P25" i="108"/>
  <c r="X25" i="108" s="1"/>
  <c r="Z25" i="108" s="1"/>
  <c r="H25" i="108"/>
  <c r="D25" i="108"/>
  <c r="H23" i="108"/>
  <c r="Z21" i="108"/>
  <c r="X21" i="108"/>
  <c r="V21" i="108"/>
  <c r="N21" i="108"/>
  <c r="L21" i="108"/>
  <c r="J21" i="108"/>
  <c r="B21" i="108"/>
  <c r="Z20" i="108"/>
  <c r="X20" i="108"/>
  <c r="N20" i="108"/>
  <c r="L20" i="108"/>
  <c r="J20" i="108"/>
  <c r="B20" i="108"/>
  <c r="X19" i="108"/>
  <c r="Z19" i="108" s="1"/>
  <c r="N19" i="108"/>
  <c r="L19" i="108"/>
  <c r="J19" i="108"/>
  <c r="B19" i="108"/>
  <c r="T18" i="108"/>
  <c r="P18" i="108"/>
  <c r="H18" i="108"/>
  <c r="J18" i="108" s="1"/>
  <c r="D18" i="108"/>
  <c r="L18" i="108" s="1"/>
  <c r="Z16" i="108"/>
  <c r="P16" i="108"/>
  <c r="X16" i="108" s="1"/>
  <c r="N16" i="108"/>
  <c r="L16" i="108"/>
  <c r="D16" i="108"/>
  <c r="B16" i="108"/>
  <c r="Z15" i="108"/>
  <c r="P15" i="108"/>
  <c r="X15" i="108" s="1"/>
  <c r="N15" i="108"/>
  <c r="L15" i="108"/>
  <c r="D15" i="108"/>
  <c r="B15" i="108"/>
  <c r="X14" i="108"/>
  <c r="Z14" i="108" s="1"/>
  <c r="P14" i="108"/>
  <c r="D14" i="108"/>
  <c r="L14" i="108" s="1"/>
  <c r="N14" i="108" s="1"/>
  <c r="B14" i="108"/>
  <c r="Z13" i="108"/>
  <c r="P13" i="108"/>
  <c r="X13" i="108" s="1"/>
  <c r="N13" i="108"/>
  <c r="D13" i="108"/>
  <c r="L13" i="108" s="1"/>
  <c r="B13" i="108"/>
  <c r="T12" i="108"/>
  <c r="H12" i="108"/>
  <c r="J61" i="108" s="1"/>
  <c r="D6" i="108"/>
  <c r="D4" i="108"/>
  <c r="X95" i="106"/>
  <c r="Z95" i="106" s="1"/>
  <c r="N95" i="106"/>
  <c r="L95" i="106"/>
  <c r="T91" i="106"/>
  <c r="Z91" i="106" s="1"/>
  <c r="P91" i="106"/>
  <c r="X91" i="106" s="1"/>
  <c r="H91" i="106"/>
  <c r="N91" i="106" s="1"/>
  <c r="D91" i="106"/>
  <c r="L91" i="106" s="1"/>
  <c r="Z89" i="106"/>
  <c r="X89" i="106"/>
  <c r="N89" i="106"/>
  <c r="L89" i="106"/>
  <c r="B89" i="106"/>
  <c r="Z88" i="106"/>
  <c r="X88" i="106"/>
  <c r="T88" i="106"/>
  <c r="P88" i="106"/>
  <c r="N88" i="106"/>
  <c r="H88" i="106"/>
  <c r="D88" i="106"/>
  <c r="L88" i="106" s="1"/>
  <c r="B88" i="106"/>
  <c r="Z87" i="106"/>
  <c r="X87" i="106"/>
  <c r="N87" i="106"/>
  <c r="L87" i="106"/>
  <c r="B87" i="106"/>
  <c r="X86" i="106"/>
  <c r="T86" i="106"/>
  <c r="P86" i="106"/>
  <c r="L86" i="106"/>
  <c r="H86" i="106"/>
  <c r="D86" i="106"/>
  <c r="B86" i="106"/>
  <c r="X85" i="106"/>
  <c r="Z85" i="106" s="1"/>
  <c r="N85" i="106"/>
  <c r="L85" i="106"/>
  <c r="B85" i="106"/>
  <c r="T84" i="106"/>
  <c r="P84" i="106"/>
  <c r="H84" i="106"/>
  <c r="D84" i="106"/>
  <c r="B84" i="106"/>
  <c r="X83" i="106"/>
  <c r="Z83" i="106" s="1"/>
  <c r="N83" i="106"/>
  <c r="L83" i="106"/>
  <c r="B83" i="106"/>
  <c r="Z82" i="106"/>
  <c r="X82" i="106"/>
  <c r="N82" i="106"/>
  <c r="L82" i="106"/>
  <c r="J82" i="106"/>
  <c r="F82" i="106"/>
  <c r="B82" i="106"/>
  <c r="Z81" i="106"/>
  <c r="X81" i="106"/>
  <c r="N81" i="106"/>
  <c r="L81" i="106"/>
  <c r="B81" i="106"/>
  <c r="Z80" i="106"/>
  <c r="X80" i="106"/>
  <c r="L80" i="106"/>
  <c r="N80" i="106" s="1"/>
  <c r="B80" i="106"/>
  <c r="X79" i="106"/>
  <c r="Z79" i="106" s="1"/>
  <c r="N79" i="106"/>
  <c r="L79" i="106"/>
  <c r="B79" i="106"/>
  <c r="Z78" i="106"/>
  <c r="X78" i="106"/>
  <c r="L78" i="106"/>
  <c r="N78" i="106" s="1"/>
  <c r="J78" i="106"/>
  <c r="B78" i="106"/>
  <c r="Z77" i="106"/>
  <c r="X77" i="106"/>
  <c r="L77" i="106"/>
  <c r="N77" i="106" s="1"/>
  <c r="B77" i="106"/>
  <c r="Z76" i="106"/>
  <c r="X76" i="106"/>
  <c r="N76" i="106"/>
  <c r="L76" i="106"/>
  <c r="B76" i="106"/>
  <c r="X75" i="106"/>
  <c r="T75" i="106"/>
  <c r="P75" i="106"/>
  <c r="H75" i="106"/>
  <c r="D75" i="106"/>
  <c r="L75" i="106" s="1"/>
  <c r="B75" i="106"/>
  <c r="X74" i="106"/>
  <c r="Z74" i="106" s="1"/>
  <c r="L74" i="106"/>
  <c r="N74" i="106" s="1"/>
  <c r="B74" i="106"/>
  <c r="X73" i="106"/>
  <c r="Z73" i="106" s="1"/>
  <c r="N73" i="106"/>
  <c r="L73" i="106"/>
  <c r="J73" i="106"/>
  <c r="B73" i="106"/>
  <c r="Z72" i="106"/>
  <c r="X72" i="106"/>
  <c r="N72" i="106"/>
  <c r="L72" i="106"/>
  <c r="B72" i="106"/>
  <c r="Z71" i="106"/>
  <c r="X71" i="106"/>
  <c r="N71" i="106"/>
  <c r="L71" i="106"/>
  <c r="B71" i="106"/>
  <c r="T70" i="106"/>
  <c r="X70" i="106" s="1"/>
  <c r="Z70" i="106" s="1"/>
  <c r="P70" i="106"/>
  <c r="H70" i="106"/>
  <c r="D70" i="106"/>
  <c r="L70" i="106" s="1"/>
  <c r="B70" i="106"/>
  <c r="Z69" i="106"/>
  <c r="X69" i="106"/>
  <c r="N69" i="106"/>
  <c r="L69" i="106"/>
  <c r="B69" i="106"/>
  <c r="Z68" i="106"/>
  <c r="X68" i="106"/>
  <c r="N68" i="106"/>
  <c r="L68" i="106"/>
  <c r="B68" i="106"/>
  <c r="Z67" i="106"/>
  <c r="X67" i="106"/>
  <c r="L67" i="106"/>
  <c r="N67" i="106" s="1"/>
  <c r="B67" i="106"/>
  <c r="T66" i="106"/>
  <c r="P66" i="106"/>
  <c r="N66" i="106"/>
  <c r="L66" i="106"/>
  <c r="J66" i="106"/>
  <c r="H66" i="106"/>
  <c r="D66" i="106"/>
  <c r="B66" i="106"/>
  <c r="Z65" i="106"/>
  <c r="X65" i="106"/>
  <c r="L65" i="106"/>
  <c r="N65" i="106" s="1"/>
  <c r="J65" i="106"/>
  <c r="B65" i="106"/>
  <c r="T64" i="106"/>
  <c r="P64" i="106"/>
  <c r="X64" i="106" s="1"/>
  <c r="Z64" i="106" s="1"/>
  <c r="J64" i="106"/>
  <c r="H64" i="106"/>
  <c r="D64" i="106"/>
  <c r="L64" i="106" s="1"/>
  <c r="B64" i="106"/>
  <c r="Z63" i="106"/>
  <c r="X63" i="106"/>
  <c r="N63" i="106"/>
  <c r="L63" i="106"/>
  <c r="B63" i="106"/>
  <c r="X62" i="106"/>
  <c r="T62" i="106"/>
  <c r="Z62" i="106" s="1"/>
  <c r="P62" i="106"/>
  <c r="H62" i="106"/>
  <c r="N62" i="106" s="1"/>
  <c r="F62" i="106"/>
  <c r="D62" i="106"/>
  <c r="L62" i="106" s="1"/>
  <c r="B62" i="106"/>
  <c r="X61" i="106"/>
  <c r="Z61" i="106" s="1"/>
  <c r="N61" i="106"/>
  <c r="L61" i="106"/>
  <c r="B61" i="106"/>
  <c r="X60" i="106"/>
  <c r="V60" i="106"/>
  <c r="T60" i="106"/>
  <c r="Z60" i="106" s="1"/>
  <c r="P60" i="106"/>
  <c r="H60" i="106"/>
  <c r="D60" i="106"/>
  <c r="B60" i="106"/>
  <c r="Z59" i="106"/>
  <c r="X59" i="106"/>
  <c r="N59" i="106"/>
  <c r="L59" i="106"/>
  <c r="B59" i="106"/>
  <c r="T58" i="106"/>
  <c r="P58" i="106"/>
  <c r="X58" i="106" s="1"/>
  <c r="H58" i="106"/>
  <c r="D58" i="106"/>
  <c r="L58" i="106" s="1"/>
  <c r="N58" i="106" s="1"/>
  <c r="B58" i="106"/>
  <c r="X57" i="106"/>
  <c r="Z57" i="106" s="1"/>
  <c r="N57" i="106"/>
  <c r="L57" i="106"/>
  <c r="B57" i="106"/>
  <c r="X56" i="106"/>
  <c r="T56" i="106"/>
  <c r="P56" i="106"/>
  <c r="N56" i="106"/>
  <c r="L56" i="106"/>
  <c r="H56" i="106"/>
  <c r="D56" i="106"/>
  <c r="B56" i="106"/>
  <c r="X55" i="106"/>
  <c r="Z55" i="106" s="1"/>
  <c r="L55" i="106"/>
  <c r="N55" i="106" s="1"/>
  <c r="F55" i="106"/>
  <c r="B55" i="106"/>
  <c r="T54" i="106"/>
  <c r="P54" i="106"/>
  <c r="L54" i="106"/>
  <c r="H54" i="106"/>
  <c r="N54" i="106" s="1"/>
  <c r="D54" i="106"/>
  <c r="B54" i="106"/>
  <c r="X53" i="106"/>
  <c r="Z53" i="106" s="1"/>
  <c r="L53" i="106"/>
  <c r="N53" i="106" s="1"/>
  <c r="B53" i="106"/>
  <c r="T52" i="106"/>
  <c r="P52" i="106"/>
  <c r="X52" i="106" s="1"/>
  <c r="Z52" i="106" s="1"/>
  <c r="H52" i="106"/>
  <c r="D52" i="106"/>
  <c r="B52" i="106"/>
  <c r="Z51" i="106"/>
  <c r="X51" i="106"/>
  <c r="N51" i="106"/>
  <c r="L51" i="106"/>
  <c r="F51" i="106"/>
  <c r="B51" i="106"/>
  <c r="X50" i="106"/>
  <c r="Z50" i="106" s="1"/>
  <c r="T50" i="106"/>
  <c r="P50" i="106"/>
  <c r="H50" i="106"/>
  <c r="D50" i="106"/>
  <c r="L50" i="106" s="1"/>
  <c r="N50" i="106" s="1"/>
  <c r="B50" i="106"/>
  <c r="X49" i="106"/>
  <c r="Z49" i="106" s="1"/>
  <c r="L49" i="106"/>
  <c r="N49" i="106" s="1"/>
  <c r="B49" i="106"/>
  <c r="T48" i="106"/>
  <c r="P48" i="106"/>
  <c r="J48" i="106"/>
  <c r="H48" i="106"/>
  <c r="D48" i="106"/>
  <c r="B48" i="106"/>
  <c r="Z47" i="106"/>
  <c r="X47" i="106"/>
  <c r="N47" i="106"/>
  <c r="L47" i="106"/>
  <c r="B47" i="106"/>
  <c r="Z46" i="106"/>
  <c r="X46" i="106"/>
  <c r="N46" i="106"/>
  <c r="L46" i="106"/>
  <c r="B46" i="106"/>
  <c r="X45" i="106"/>
  <c r="Z45" i="106" s="1"/>
  <c r="L45" i="106"/>
  <c r="N45" i="106" s="1"/>
  <c r="B45" i="106"/>
  <c r="Z44" i="106"/>
  <c r="X44" i="106"/>
  <c r="N44" i="106"/>
  <c r="L44" i="106"/>
  <c r="J44" i="106"/>
  <c r="B44" i="106"/>
  <c r="Z43" i="106"/>
  <c r="X43" i="106"/>
  <c r="N43" i="106"/>
  <c r="L43" i="106"/>
  <c r="B43" i="106"/>
  <c r="Z42" i="106"/>
  <c r="X42" i="106"/>
  <c r="V42" i="106"/>
  <c r="L42" i="106"/>
  <c r="N42" i="106" s="1"/>
  <c r="B42" i="106"/>
  <c r="X41" i="106"/>
  <c r="Z41" i="106" s="1"/>
  <c r="L41" i="106"/>
  <c r="N41" i="106" s="1"/>
  <c r="B41" i="106"/>
  <c r="Z40" i="106"/>
  <c r="X40" i="106"/>
  <c r="N40" i="106"/>
  <c r="L40" i="106"/>
  <c r="B40" i="106"/>
  <c r="X39" i="106"/>
  <c r="Z39" i="106" s="1"/>
  <c r="N39" i="106"/>
  <c r="L39" i="106"/>
  <c r="B39" i="106"/>
  <c r="Z38" i="106"/>
  <c r="X38" i="106"/>
  <c r="N38" i="106"/>
  <c r="L38" i="106"/>
  <c r="B38" i="106"/>
  <c r="X37" i="106"/>
  <c r="T37" i="106"/>
  <c r="P37" i="106"/>
  <c r="J37" i="106"/>
  <c r="H37" i="106"/>
  <c r="D37" i="106"/>
  <c r="B37" i="106"/>
  <c r="Z36" i="106"/>
  <c r="X36" i="106"/>
  <c r="N36" i="106"/>
  <c r="L36" i="106"/>
  <c r="B36" i="106"/>
  <c r="Z35" i="106"/>
  <c r="X35" i="106"/>
  <c r="L35" i="106"/>
  <c r="N35" i="106" s="1"/>
  <c r="B35" i="106"/>
  <c r="X34" i="106"/>
  <c r="Z34" i="106" s="1"/>
  <c r="L34" i="106"/>
  <c r="N34" i="106" s="1"/>
  <c r="B34" i="106"/>
  <c r="Z33" i="106"/>
  <c r="X33" i="106"/>
  <c r="N33" i="106"/>
  <c r="L33" i="106"/>
  <c r="B33" i="106"/>
  <c r="Z32" i="106"/>
  <c r="X32" i="106"/>
  <c r="N32" i="106"/>
  <c r="L32" i="106"/>
  <c r="J32" i="106"/>
  <c r="B32" i="106"/>
  <c r="Z31" i="106"/>
  <c r="X31" i="106"/>
  <c r="N31" i="106"/>
  <c r="L31" i="106"/>
  <c r="B31" i="106"/>
  <c r="X30" i="106"/>
  <c r="Z30" i="106" s="1"/>
  <c r="L30" i="106"/>
  <c r="N30" i="106" s="1"/>
  <c r="B30" i="106"/>
  <c r="X29" i="106"/>
  <c r="Z29" i="106" s="1"/>
  <c r="L29" i="106"/>
  <c r="N29" i="106" s="1"/>
  <c r="J29" i="106"/>
  <c r="B29" i="106"/>
  <c r="Z28" i="106"/>
  <c r="X28" i="106"/>
  <c r="L28" i="106"/>
  <c r="N28" i="106" s="1"/>
  <c r="B28" i="106"/>
  <c r="Z27" i="106"/>
  <c r="X27" i="106"/>
  <c r="V27" i="106"/>
  <c r="N27" i="106"/>
  <c r="L27" i="106"/>
  <c r="B27" i="106"/>
  <c r="T26" i="106"/>
  <c r="X26" i="106" s="1"/>
  <c r="Z26" i="106" s="1"/>
  <c r="P26" i="106"/>
  <c r="L26" i="106"/>
  <c r="N26" i="106" s="1"/>
  <c r="J26" i="106"/>
  <c r="H26" i="106"/>
  <c r="D26" i="106"/>
  <c r="B26" i="106"/>
  <c r="T25" i="106"/>
  <c r="P25" i="106"/>
  <c r="X25" i="106" s="1"/>
  <c r="Z25" i="106" s="1"/>
  <c r="H25" i="106"/>
  <c r="D25" i="106"/>
  <c r="L25" i="106" s="1"/>
  <c r="N25" i="106" s="1"/>
  <c r="D23" i="106"/>
  <c r="D93" i="106" s="1"/>
  <c r="Z21" i="106"/>
  <c r="X21" i="106"/>
  <c r="N21" i="106"/>
  <c r="L21" i="106"/>
  <c r="B21" i="106"/>
  <c r="Z20" i="106"/>
  <c r="X20" i="106"/>
  <c r="N20" i="106"/>
  <c r="L20" i="106"/>
  <c r="B20" i="106"/>
  <c r="Z19" i="106"/>
  <c r="X19" i="106"/>
  <c r="L19" i="106"/>
  <c r="N19" i="106" s="1"/>
  <c r="J19" i="106"/>
  <c r="B19" i="106"/>
  <c r="T18" i="106"/>
  <c r="P18" i="106"/>
  <c r="H18" i="106"/>
  <c r="F18" i="106"/>
  <c r="D18" i="106"/>
  <c r="L18" i="106" s="1"/>
  <c r="Z16" i="106"/>
  <c r="P16" i="106"/>
  <c r="X16" i="106" s="1"/>
  <c r="N16" i="106"/>
  <c r="L16" i="106"/>
  <c r="D16" i="106"/>
  <c r="B16" i="106"/>
  <c r="Z15" i="106"/>
  <c r="P15" i="106"/>
  <c r="X15" i="106" s="1"/>
  <c r="N15" i="106"/>
  <c r="L15" i="106"/>
  <c r="D15" i="106"/>
  <c r="B15" i="106"/>
  <c r="P14" i="106"/>
  <c r="X14" i="106" s="1"/>
  <c r="Z14" i="106" s="1"/>
  <c r="L14" i="106"/>
  <c r="N14" i="106" s="1"/>
  <c r="D14" i="106"/>
  <c r="B14" i="106"/>
  <c r="Z13" i="106"/>
  <c r="P13" i="106"/>
  <c r="N13" i="106"/>
  <c r="L13" i="106"/>
  <c r="D13" i="106"/>
  <c r="B13" i="106"/>
  <c r="T12" i="106"/>
  <c r="V57" i="106" s="1"/>
  <c r="H12" i="106"/>
  <c r="J56" i="106" s="1"/>
  <c r="D12" i="106"/>
  <c r="F65" i="106" s="1"/>
  <c r="D6" i="106"/>
  <c r="D4" i="106"/>
  <c r="X67" i="105"/>
  <c r="Z67" i="105" s="1"/>
  <c r="V67" i="105"/>
  <c r="L67" i="105"/>
  <c r="N67" i="105" s="1"/>
  <c r="X63" i="105"/>
  <c r="T63" i="105"/>
  <c r="Z63" i="105" s="1"/>
  <c r="P63" i="105"/>
  <c r="H63" i="105"/>
  <c r="N63" i="105" s="1"/>
  <c r="D63" i="105"/>
  <c r="L63" i="105" s="1"/>
  <c r="Z61" i="105"/>
  <c r="X61" i="105"/>
  <c r="N61" i="105"/>
  <c r="L61" i="105"/>
  <c r="J61" i="105"/>
  <c r="B61" i="105"/>
  <c r="T60" i="105"/>
  <c r="P60" i="105"/>
  <c r="N60" i="105"/>
  <c r="H60" i="105"/>
  <c r="D60" i="105"/>
  <c r="L60" i="105" s="1"/>
  <c r="B60" i="105"/>
  <c r="Z59" i="105"/>
  <c r="X59" i="105"/>
  <c r="N59" i="105"/>
  <c r="L59" i="105"/>
  <c r="B59" i="105"/>
  <c r="X58" i="105"/>
  <c r="Z58" i="105" s="1"/>
  <c r="V58" i="105"/>
  <c r="L58" i="105"/>
  <c r="N58" i="105" s="1"/>
  <c r="B58" i="105"/>
  <c r="Z57" i="105"/>
  <c r="X57" i="105"/>
  <c r="V57" i="105"/>
  <c r="N57" i="105"/>
  <c r="L57" i="105"/>
  <c r="B57" i="105"/>
  <c r="T56" i="105"/>
  <c r="Z56" i="105" s="1"/>
  <c r="P56" i="105"/>
  <c r="X56" i="105" s="1"/>
  <c r="L56" i="105"/>
  <c r="J56" i="105"/>
  <c r="H56" i="105"/>
  <c r="D56" i="105"/>
  <c r="B56" i="105"/>
  <c r="X55" i="105"/>
  <c r="Z55" i="105" s="1"/>
  <c r="N55" i="105"/>
  <c r="L55" i="105"/>
  <c r="B55" i="105"/>
  <c r="X54" i="105"/>
  <c r="Z54" i="105" s="1"/>
  <c r="T54" i="105"/>
  <c r="P54" i="105"/>
  <c r="H54" i="105"/>
  <c r="D54" i="105"/>
  <c r="B54" i="105"/>
  <c r="X53" i="105"/>
  <c r="Z53" i="105" s="1"/>
  <c r="N53" i="105"/>
  <c r="L53" i="105"/>
  <c r="B53" i="105"/>
  <c r="X52" i="105"/>
  <c r="V52" i="105"/>
  <c r="T52" i="105"/>
  <c r="P52" i="105"/>
  <c r="H52" i="105"/>
  <c r="D52" i="105"/>
  <c r="L52" i="105" s="1"/>
  <c r="N52" i="105" s="1"/>
  <c r="B52" i="105"/>
  <c r="Z51" i="105"/>
  <c r="X51" i="105"/>
  <c r="V51" i="105"/>
  <c r="N51" i="105"/>
  <c r="L51" i="105"/>
  <c r="B51" i="105"/>
  <c r="T50" i="105"/>
  <c r="Z50" i="105" s="1"/>
  <c r="P50" i="105"/>
  <c r="X50" i="105" s="1"/>
  <c r="N50" i="105"/>
  <c r="H50" i="105"/>
  <c r="D50" i="105"/>
  <c r="B50" i="105"/>
  <c r="Z49" i="105"/>
  <c r="X49" i="105"/>
  <c r="L49" i="105"/>
  <c r="N49" i="105" s="1"/>
  <c r="B49" i="105"/>
  <c r="T48" i="105"/>
  <c r="P48" i="105"/>
  <c r="X48" i="105" s="1"/>
  <c r="Z48" i="105" s="1"/>
  <c r="H48" i="105"/>
  <c r="D48" i="105"/>
  <c r="L48" i="105" s="1"/>
  <c r="N48" i="105" s="1"/>
  <c r="B48" i="105"/>
  <c r="Z47" i="105"/>
  <c r="X47" i="105"/>
  <c r="N47" i="105"/>
  <c r="L47" i="105"/>
  <c r="B47" i="105"/>
  <c r="T46" i="105"/>
  <c r="V46" i="105" s="1"/>
  <c r="P46" i="105"/>
  <c r="H46" i="105"/>
  <c r="L46" i="105" s="1"/>
  <c r="N46" i="105" s="1"/>
  <c r="D46" i="105"/>
  <c r="B46" i="105"/>
  <c r="Z45" i="105"/>
  <c r="X45" i="105"/>
  <c r="V45" i="105"/>
  <c r="N45" i="105"/>
  <c r="L45" i="105"/>
  <c r="B45" i="105"/>
  <c r="Z44" i="105"/>
  <c r="X44" i="105"/>
  <c r="N44" i="105"/>
  <c r="L44" i="105"/>
  <c r="B44" i="105"/>
  <c r="X43" i="105"/>
  <c r="Z43" i="105" s="1"/>
  <c r="L43" i="105"/>
  <c r="N43" i="105" s="1"/>
  <c r="B43" i="105"/>
  <c r="Z42" i="105"/>
  <c r="X42" i="105"/>
  <c r="V42" i="105"/>
  <c r="N42" i="105"/>
  <c r="L42" i="105"/>
  <c r="B42" i="105"/>
  <c r="Z41" i="105"/>
  <c r="X41" i="105"/>
  <c r="N41" i="105"/>
  <c r="L41" i="105"/>
  <c r="B41" i="105"/>
  <c r="Z40" i="105"/>
  <c r="X40" i="105"/>
  <c r="V40" i="105"/>
  <c r="N40" i="105"/>
  <c r="L40" i="105"/>
  <c r="B40" i="105"/>
  <c r="Z39" i="105"/>
  <c r="X39" i="105"/>
  <c r="V39" i="105"/>
  <c r="N39" i="105"/>
  <c r="L39" i="105"/>
  <c r="B39" i="105"/>
  <c r="Z38" i="105"/>
  <c r="X38" i="105"/>
  <c r="V38" i="105"/>
  <c r="N38" i="105"/>
  <c r="L38" i="105"/>
  <c r="B38" i="105"/>
  <c r="Z37" i="105"/>
  <c r="X37" i="105"/>
  <c r="N37" i="105"/>
  <c r="L37" i="105"/>
  <c r="J37" i="105"/>
  <c r="B37" i="105"/>
  <c r="Z36" i="105"/>
  <c r="X36" i="105"/>
  <c r="N36" i="105"/>
  <c r="L36" i="105"/>
  <c r="B36" i="105"/>
  <c r="X35" i="105"/>
  <c r="V35" i="105"/>
  <c r="T35" i="105"/>
  <c r="Z35" i="105" s="1"/>
  <c r="P35" i="105"/>
  <c r="J35" i="105"/>
  <c r="H35" i="105"/>
  <c r="D35" i="105"/>
  <c r="L35" i="105" s="1"/>
  <c r="N35" i="105" s="1"/>
  <c r="B35" i="105"/>
  <c r="X34" i="105"/>
  <c r="Z34" i="105" s="1"/>
  <c r="V34" i="105"/>
  <c r="L34" i="105"/>
  <c r="N34" i="105" s="1"/>
  <c r="B34" i="105"/>
  <c r="Z33" i="105"/>
  <c r="X33" i="105"/>
  <c r="N33" i="105"/>
  <c r="L33" i="105"/>
  <c r="B33" i="105"/>
  <c r="Z32" i="105"/>
  <c r="X32" i="105"/>
  <c r="N32" i="105"/>
  <c r="L32" i="105"/>
  <c r="B32" i="105"/>
  <c r="Z31" i="105"/>
  <c r="X31" i="105"/>
  <c r="N31" i="105"/>
  <c r="L31" i="105"/>
  <c r="B31" i="105"/>
  <c r="X30" i="105"/>
  <c r="Z30" i="105" s="1"/>
  <c r="V30" i="105"/>
  <c r="N30" i="105"/>
  <c r="L30" i="105"/>
  <c r="B30" i="105"/>
  <c r="Z29" i="105"/>
  <c r="X29" i="105"/>
  <c r="N29" i="105"/>
  <c r="L29" i="105"/>
  <c r="B29" i="105"/>
  <c r="Z28" i="105"/>
  <c r="X28" i="105"/>
  <c r="V28" i="105"/>
  <c r="L28" i="105"/>
  <c r="N28" i="105" s="1"/>
  <c r="B28" i="105"/>
  <c r="Z27" i="105"/>
  <c r="X27" i="105"/>
  <c r="N27" i="105"/>
  <c r="L27" i="105"/>
  <c r="B27" i="105"/>
  <c r="X26" i="105"/>
  <c r="V26" i="105"/>
  <c r="T26" i="105"/>
  <c r="Z26" i="105" s="1"/>
  <c r="P26" i="105"/>
  <c r="J26" i="105"/>
  <c r="H26" i="105"/>
  <c r="D26" i="105"/>
  <c r="L26" i="105" s="1"/>
  <c r="N26" i="105" s="1"/>
  <c r="B26" i="105"/>
  <c r="T25" i="105"/>
  <c r="V25" i="105" s="1"/>
  <c r="P25" i="105"/>
  <c r="L25" i="105"/>
  <c r="H25" i="105"/>
  <c r="N25" i="105" s="1"/>
  <c r="D25" i="105"/>
  <c r="T23" i="105"/>
  <c r="Z21" i="105"/>
  <c r="X21" i="105"/>
  <c r="V21" i="105"/>
  <c r="N21" i="105"/>
  <c r="L21" i="105"/>
  <c r="B21" i="105"/>
  <c r="Z20" i="105"/>
  <c r="X20" i="105"/>
  <c r="N20" i="105"/>
  <c r="L20" i="105"/>
  <c r="J20" i="105"/>
  <c r="B20" i="105"/>
  <c r="X19" i="105"/>
  <c r="Z19" i="105" s="1"/>
  <c r="V19" i="105"/>
  <c r="N19" i="105"/>
  <c r="L19" i="105"/>
  <c r="B19" i="105"/>
  <c r="Z18" i="105"/>
  <c r="V18" i="105"/>
  <c r="T18" i="105"/>
  <c r="P18" i="105"/>
  <c r="X18" i="105" s="1"/>
  <c r="H18" i="105"/>
  <c r="D18" i="105"/>
  <c r="Z16" i="105"/>
  <c r="P16" i="105"/>
  <c r="X16" i="105" s="1"/>
  <c r="N16" i="105"/>
  <c r="L16" i="105"/>
  <c r="D16" i="105"/>
  <c r="B16" i="105"/>
  <c r="Z15" i="105"/>
  <c r="P15" i="105"/>
  <c r="X15" i="105" s="1"/>
  <c r="N15" i="105"/>
  <c r="D15" i="105"/>
  <c r="B15" i="105"/>
  <c r="P14" i="105"/>
  <c r="X14" i="105" s="1"/>
  <c r="Z14" i="105" s="1"/>
  <c r="D14" i="105"/>
  <c r="L14" i="105" s="1"/>
  <c r="N14" i="105" s="1"/>
  <c r="B14" i="105"/>
  <c r="Z13" i="105"/>
  <c r="X13" i="105"/>
  <c r="P13" i="105"/>
  <c r="N13" i="105"/>
  <c r="D13" i="105"/>
  <c r="L13" i="105" s="1"/>
  <c r="B13" i="105"/>
  <c r="T12" i="105"/>
  <c r="V56" i="105" s="1"/>
  <c r="H12" i="105"/>
  <c r="J19" i="105" s="1"/>
  <c r="D6" i="105"/>
  <c r="D4" i="105"/>
  <c r="Z94" i="104"/>
  <c r="X94" i="104"/>
  <c r="V94" i="104"/>
  <c r="L94" i="104"/>
  <c r="N94" i="104" s="1"/>
  <c r="V92" i="104"/>
  <c r="Z90" i="104"/>
  <c r="X90" i="104"/>
  <c r="T90" i="104"/>
  <c r="P90" i="104"/>
  <c r="N90" i="104"/>
  <c r="H90" i="104"/>
  <c r="D90" i="104"/>
  <c r="L90" i="104" s="1"/>
  <c r="Z88" i="104"/>
  <c r="X88" i="104"/>
  <c r="N88" i="104"/>
  <c r="L88" i="104"/>
  <c r="B88" i="104"/>
  <c r="Z87" i="104"/>
  <c r="X87" i="104"/>
  <c r="V87" i="104"/>
  <c r="N87" i="104"/>
  <c r="L87" i="104"/>
  <c r="B87" i="104"/>
  <c r="T86" i="104"/>
  <c r="P86" i="104"/>
  <c r="X86" i="104" s="1"/>
  <c r="Z86" i="104" s="1"/>
  <c r="L86" i="104"/>
  <c r="N86" i="104" s="1"/>
  <c r="H86" i="104"/>
  <c r="D86" i="104"/>
  <c r="B86" i="104"/>
  <c r="Z85" i="104"/>
  <c r="X85" i="104"/>
  <c r="N85" i="104"/>
  <c r="L85" i="104"/>
  <c r="B85" i="104"/>
  <c r="T84" i="104"/>
  <c r="P84" i="104"/>
  <c r="X84" i="104" s="1"/>
  <c r="Z84" i="104" s="1"/>
  <c r="L84" i="104"/>
  <c r="H84" i="104"/>
  <c r="D84" i="104"/>
  <c r="B84" i="104"/>
  <c r="X83" i="104"/>
  <c r="Z83" i="104" s="1"/>
  <c r="N83" i="104"/>
  <c r="L83" i="104"/>
  <c r="B83" i="104"/>
  <c r="T82" i="104"/>
  <c r="P82" i="104"/>
  <c r="X82" i="104" s="1"/>
  <c r="Z82" i="104" s="1"/>
  <c r="H82" i="104"/>
  <c r="D82" i="104"/>
  <c r="B82" i="104"/>
  <c r="X81" i="104"/>
  <c r="Z81" i="104" s="1"/>
  <c r="N81" i="104"/>
  <c r="L81" i="104"/>
  <c r="B81" i="104"/>
  <c r="Z80" i="104"/>
  <c r="X80" i="104"/>
  <c r="V80" i="104"/>
  <c r="N80" i="104"/>
  <c r="L80" i="104"/>
  <c r="B80" i="104"/>
  <c r="Z79" i="104"/>
  <c r="X79" i="104"/>
  <c r="V79" i="104"/>
  <c r="N79" i="104"/>
  <c r="L79" i="104"/>
  <c r="B79" i="104"/>
  <c r="Z78" i="104"/>
  <c r="X78" i="104"/>
  <c r="L78" i="104"/>
  <c r="N78" i="104" s="1"/>
  <c r="B78" i="104"/>
  <c r="X77" i="104"/>
  <c r="Z77" i="104" s="1"/>
  <c r="N77" i="104"/>
  <c r="L77" i="104"/>
  <c r="B77" i="104"/>
  <c r="X76" i="104"/>
  <c r="Z76" i="104" s="1"/>
  <c r="V76" i="104"/>
  <c r="N76" i="104"/>
  <c r="L76" i="104"/>
  <c r="B76" i="104"/>
  <c r="Z75" i="104"/>
  <c r="X75" i="104"/>
  <c r="L75" i="104"/>
  <c r="N75" i="104" s="1"/>
  <c r="B75" i="104"/>
  <c r="Z74" i="104"/>
  <c r="X74" i="104"/>
  <c r="L74" i="104"/>
  <c r="N74" i="104" s="1"/>
  <c r="B74" i="104"/>
  <c r="T73" i="104"/>
  <c r="P73" i="104"/>
  <c r="H73" i="104"/>
  <c r="D73" i="104"/>
  <c r="L73" i="104" s="1"/>
  <c r="B73" i="104"/>
  <c r="Z72" i="104"/>
  <c r="X72" i="104"/>
  <c r="V72" i="104"/>
  <c r="N72" i="104"/>
  <c r="L72" i="104"/>
  <c r="B72" i="104"/>
  <c r="Z71" i="104"/>
  <c r="X71" i="104"/>
  <c r="L71" i="104"/>
  <c r="N71" i="104" s="1"/>
  <c r="B71" i="104"/>
  <c r="X70" i="104"/>
  <c r="Z70" i="104" s="1"/>
  <c r="N70" i="104"/>
  <c r="L70" i="104"/>
  <c r="B70" i="104"/>
  <c r="X69" i="104"/>
  <c r="Z69" i="104" s="1"/>
  <c r="L69" i="104"/>
  <c r="N69" i="104" s="1"/>
  <c r="B69" i="104"/>
  <c r="V68" i="104"/>
  <c r="T68" i="104"/>
  <c r="P68" i="104"/>
  <c r="X68" i="104" s="1"/>
  <c r="Z68" i="104" s="1"/>
  <c r="L68" i="104"/>
  <c r="H68" i="104"/>
  <c r="D68" i="104"/>
  <c r="B68" i="104"/>
  <c r="X67" i="104"/>
  <c r="Z67" i="104" s="1"/>
  <c r="N67" i="104"/>
  <c r="L67" i="104"/>
  <c r="B67" i="104"/>
  <c r="Z66" i="104"/>
  <c r="X66" i="104"/>
  <c r="N66" i="104"/>
  <c r="L66" i="104"/>
  <c r="B66" i="104"/>
  <c r="Z65" i="104"/>
  <c r="X65" i="104"/>
  <c r="N65" i="104"/>
  <c r="L65" i="104"/>
  <c r="B65" i="104"/>
  <c r="T64" i="104"/>
  <c r="P64" i="104"/>
  <c r="X64" i="104" s="1"/>
  <c r="H64" i="104"/>
  <c r="D64" i="104"/>
  <c r="L64" i="104" s="1"/>
  <c r="N64" i="104" s="1"/>
  <c r="B64" i="104"/>
  <c r="Z63" i="104"/>
  <c r="X63" i="104"/>
  <c r="V63" i="104"/>
  <c r="L63" i="104"/>
  <c r="N63" i="104" s="1"/>
  <c r="B63" i="104"/>
  <c r="T62" i="104"/>
  <c r="P62" i="104"/>
  <c r="X62" i="104" s="1"/>
  <c r="Z62" i="104" s="1"/>
  <c r="N62" i="104"/>
  <c r="L62" i="104"/>
  <c r="H62" i="104"/>
  <c r="D62" i="104"/>
  <c r="B62" i="104"/>
  <c r="Z61" i="104"/>
  <c r="X61" i="104"/>
  <c r="L61" i="104"/>
  <c r="N61" i="104" s="1"/>
  <c r="B61" i="104"/>
  <c r="Z60" i="104"/>
  <c r="V60" i="104"/>
  <c r="T60" i="104"/>
  <c r="X60" i="104" s="1"/>
  <c r="P60" i="104"/>
  <c r="H60" i="104"/>
  <c r="D60" i="104"/>
  <c r="B60" i="104"/>
  <c r="X59" i="104"/>
  <c r="Z59" i="104" s="1"/>
  <c r="N59" i="104"/>
  <c r="L59" i="104"/>
  <c r="B59" i="104"/>
  <c r="V58" i="104"/>
  <c r="T58" i="104"/>
  <c r="P58" i="104"/>
  <c r="X58" i="104" s="1"/>
  <c r="Z58" i="104" s="1"/>
  <c r="H58" i="104"/>
  <c r="D58" i="104"/>
  <c r="B58" i="104"/>
  <c r="X57" i="104"/>
  <c r="Z57" i="104" s="1"/>
  <c r="N57" i="104"/>
  <c r="L57" i="104"/>
  <c r="B57" i="104"/>
  <c r="X56" i="104"/>
  <c r="Z56" i="104" s="1"/>
  <c r="V56" i="104"/>
  <c r="T56" i="104"/>
  <c r="P56" i="104"/>
  <c r="H56" i="104"/>
  <c r="D56" i="104"/>
  <c r="L56" i="104" s="1"/>
  <c r="N56" i="104" s="1"/>
  <c r="B56" i="104"/>
  <c r="Z55" i="104"/>
  <c r="X55" i="104"/>
  <c r="L55" i="104"/>
  <c r="N55" i="104" s="1"/>
  <c r="B55" i="104"/>
  <c r="X54" i="104"/>
  <c r="V54" i="104"/>
  <c r="T54" i="104"/>
  <c r="P54" i="104"/>
  <c r="H54" i="104"/>
  <c r="D54" i="104"/>
  <c r="L54" i="104" s="1"/>
  <c r="N54" i="104" s="1"/>
  <c r="B54" i="104"/>
  <c r="X53" i="104"/>
  <c r="Z53" i="104" s="1"/>
  <c r="V53" i="104"/>
  <c r="L53" i="104"/>
  <c r="N53" i="104" s="1"/>
  <c r="B53" i="104"/>
  <c r="T52" i="104"/>
  <c r="P52" i="104"/>
  <c r="X52" i="104" s="1"/>
  <c r="H52" i="104"/>
  <c r="D52" i="104"/>
  <c r="B52" i="104"/>
  <c r="Z51" i="104"/>
  <c r="X51" i="104"/>
  <c r="L51" i="104"/>
  <c r="N51" i="104" s="1"/>
  <c r="B51" i="104"/>
  <c r="Z50" i="104"/>
  <c r="T50" i="104"/>
  <c r="X50" i="104" s="1"/>
  <c r="P50" i="104"/>
  <c r="H50" i="104"/>
  <c r="D50" i="104"/>
  <c r="L50" i="104" s="1"/>
  <c r="N50" i="104" s="1"/>
  <c r="B50" i="104"/>
  <c r="Z49" i="104"/>
  <c r="X49" i="104"/>
  <c r="N49" i="104"/>
  <c r="L49" i="104"/>
  <c r="B49" i="104"/>
  <c r="Z48" i="104"/>
  <c r="X48" i="104"/>
  <c r="T48" i="104"/>
  <c r="P48" i="104"/>
  <c r="L48" i="104"/>
  <c r="H48" i="104"/>
  <c r="F48" i="104"/>
  <c r="D48" i="104"/>
  <c r="B48" i="104"/>
  <c r="Z47" i="104"/>
  <c r="X47" i="104"/>
  <c r="N47" i="104"/>
  <c r="L47" i="104"/>
  <c r="B47" i="104"/>
  <c r="Z46" i="104"/>
  <c r="X46" i="104"/>
  <c r="N46" i="104"/>
  <c r="L46" i="104"/>
  <c r="F46" i="104"/>
  <c r="B46" i="104"/>
  <c r="X45" i="104"/>
  <c r="Z45" i="104" s="1"/>
  <c r="L45" i="104"/>
  <c r="N45" i="104" s="1"/>
  <c r="B45" i="104"/>
  <c r="X44" i="104"/>
  <c r="Z44" i="104" s="1"/>
  <c r="N44" i="104"/>
  <c r="L44" i="104"/>
  <c r="B44" i="104"/>
  <c r="Z43" i="104"/>
  <c r="X43" i="104"/>
  <c r="N43" i="104"/>
  <c r="L43" i="104"/>
  <c r="B43" i="104"/>
  <c r="Z42" i="104"/>
  <c r="X42" i="104"/>
  <c r="N42" i="104"/>
  <c r="L42" i="104"/>
  <c r="B42" i="104"/>
  <c r="X41" i="104"/>
  <c r="Z41" i="104" s="1"/>
  <c r="L41" i="104"/>
  <c r="N41" i="104" s="1"/>
  <c r="B41" i="104"/>
  <c r="Z40" i="104"/>
  <c r="X40" i="104"/>
  <c r="N40" i="104"/>
  <c r="L40" i="104"/>
  <c r="B40" i="104"/>
  <c r="Z39" i="104"/>
  <c r="X39" i="104"/>
  <c r="N39" i="104"/>
  <c r="L39" i="104"/>
  <c r="B39" i="104"/>
  <c r="Z38" i="104"/>
  <c r="X38" i="104"/>
  <c r="N38" i="104"/>
  <c r="L38" i="104"/>
  <c r="F38" i="104"/>
  <c r="B38" i="104"/>
  <c r="X37" i="104"/>
  <c r="T37" i="104"/>
  <c r="P37" i="104"/>
  <c r="N37" i="104"/>
  <c r="L37" i="104"/>
  <c r="H37" i="104"/>
  <c r="D37" i="104"/>
  <c r="B37" i="104"/>
  <c r="Z36" i="104"/>
  <c r="X36" i="104"/>
  <c r="V36" i="104"/>
  <c r="N36" i="104"/>
  <c r="L36" i="104"/>
  <c r="B36" i="104"/>
  <c r="Z35" i="104"/>
  <c r="X35" i="104"/>
  <c r="L35" i="104"/>
  <c r="N35" i="104" s="1"/>
  <c r="B35" i="104"/>
  <c r="Z34" i="104"/>
  <c r="X34" i="104"/>
  <c r="V34" i="104"/>
  <c r="N34" i="104"/>
  <c r="L34" i="104"/>
  <c r="B34" i="104"/>
  <c r="Z33" i="104"/>
  <c r="X33" i="104"/>
  <c r="V33" i="104"/>
  <c r="N33" i="104"/>
  <c r="L33" i="104"/>
  <c r="B33" i="104"/>
  <c r="Z32" i="104"/>
  <c r="X32" i="104"/>
  <c r="V32" i="104"/>
  <c r="N32" i="104"/>
  <c r="L32" i="104"/>
  <c r="B32" i="104"/>
  <c r="Z31" i="104"/>
  <c r="X31" i="104"/>
  <c r="L31" i="104"/>
  <c r="N31" i="104" s="1"/>
  <c r="B31" i="104"/>
  <c r="Z30" i="104"/>
  <c r="X30" i="104"/>
  <c r="V30" i="104"/>
  <c r="N30" i="104"/>
  <c r="L30" i="104"/>
  <c r="B30" i="104"/>
  <c r="X29" i="104"/>
  <c r="Z29" i="104" s="1"/>
  <c r="V29" i="104"/>
  <c r="L29" i="104"/>
  <c r="N29" i="104" s="1"/>
  <c r="B29" i="104"/>
  <c r="Z28" i="104"/>
  <c r="X28" i="104"/>
  <c r="V28" i="104"/>
  <c r="L28" i="104"/>
  <c r="N28" i="104" s="1"/>
  <c r="B28" i="104"/>
  <c r="Z27" i="104"/>
  <c r="X27" i="104"/>
  <c r="V27" i="104"/>
  <c r="L27" i="104"/>
  <c r="N27" i="104" s="1"/>
  <c r="B27" i="104"/>
  <c r="V26" i="104"/>
  <c r="T26" i="104"/>
  <c r="P26" i="104"/>
  <c r="H26" i="104"/>
  <c r="D26" i="104"/>
  <c r="L26" i="104" s="1"/>
  <c r="N26" i="104" s="1"/>
  <c r="B26" i="104"/>
  <c r="X25" i="104"/>
  <c r="V25" i="104"/>
  <c r="T25" i="104"/>
  <c r="P25" i="104"/>
  <c r="H25" i="104"/>
  <c r="D25" i="104"/>
  <c r="L25" i="104" s="1"/>
  <c r="V23" i="104"/>
  <c r="T23" i="104"/>
  <c r="T92" i="104" s="1"/>
  <c r="T96" i="104" s="1"/>
  <c r="Z21" i="104"/>
  <c r="X21" i="104"/>
  <c r="V21" i="104"/>
  <c r="N21" i="104"/>
  <c r="L21" i="104"/>
  <c r="B21" i="104"/>
  <c r="Z20" i="104"/>
  <c r="X20" i="104"/>
  <c r="V20" i="104"/>
  <c r="N20" i="104"/>
  <c r="L20" i="104"/>
  <c r="B20" i="104"/>
  <c r="X19" i="104"/>
  <c r="Z19" i="104" s="1"/>
  <c r="N19" i="104"/>
  <c r="L19" i="104"/>
  <c r="B19" i="104"/>
  <c r="Z18" i="104"/>
  <c r="X18" i="104"/>
  <c r="V18" i="104"/>
  <c r="T18" i="104"/>
  <c r="P18" i="104"/>
  <c r="L18" i="104"/>
  <c r="N18" i="104" s="1"/>
  <c r="H18" i="104"/>
  <c r="D18" i="104"/>
  <c r="Z16" i="104"/>
  <c r="P16" i="104"/>
  <c r="X16" i="104" s="1"/>
  <c r="N16" i="104"/>
  <c r="L16" i="104"/>
  <c r="D16" i="104"/>
  <c r="B16" i="104"/>
  <c r="Z15" i="104"/>
  <c r="X15" i="104"/>
  <c r="P15" i="104"/>
  <c r="N15" i="104"/>
  <c r="L15" i="104"/>
  <c r="D15" i="104"/>
  <c r="B15" i="104"/>
  <c r="P14" i="104"/>
  <c r="X14" i="104" s="1"/>
  <c r="Z14" i="104" s="1"/>
  <c r="D14" i="104"/>
  <c r="L14" i="104" s="1"/>
  <c r="N14" i="104" s="1"/>
  <c r="B14" i="104"/>
  <c r="Z13" i="104"/>
  <c r="P13" i="104"/>
  <c r="X13" i="104" s="1"/>
  <c r="N13" i="104"/>
  <c r="D13" i="104"/>
  <c r="L13" i="104" s="1"/>
  <c r="B13" i="104"/>
  <c r="T12" i="104"/>
  <c r="V88" i="104" s="1"/>
  <c r="H12" i="104"/>
  <c r="D12" i="104"/>
  <c r="D6" i="104"/>
  <c r="D4" i="104"/>
  <c r="V70" i="103"/>
  <c r="J70" i="103"/>
  <c r="V67" i="103"/>
  <c r="J67" i="103"/>
  <c r="Z65" i="103"/>
  <c r="X65" i="103"/>
  <c r="V65" i="103"/>
  <c r="N65" i="103"/>
  <c r="L65" i="103"/>
  <c r="J65" i="103"/>
  <c r="V63" i="103"/>
  <c r="R63" i="103"/>
  <c r="F63" i="103"/>
  <c r="Z61" i="103"/>
  <c r="X61" i="103"/>
  <c r="V61" i="103"/>
  <c r="T61" i="103"/>
  <c r="R61" i="103"/>
  <c r="P61" i="103"/>
  <c r="N61" i="103"/>
  <c r="H61" i="103"/>
  <c r="F61" i="103"/>
  <c r="D61" i="103"/>
  <c r="X59" i="103"/>
  <c r="Z59" i="103" s="1"/>
  <c r="V59" i="103"/>
  <c r="N59" i="103"/>
  <c r="L59" i="103"/>
  <c r="J59" i="103"/>
  <c r="B59" i="103"/>
  <c r="X58" i="103"/>
  <c r="T58" i="103"/>
  <c r="R58" i="103"/>
  <c r="P58" i="103"/>
  <c r="H58" i="103"/>
  <c r="D58" i="103"/>
  <c r="B58" i="103"/>
  <c r="Z57" i="103"/>
  <c r="X57" i="103"/>
  <c r="V57" i="103"/>
  <c r="R57" i="103"/>
  <c r="N57" i="103"/>
  <c r="L57" i="103"/>
  <c r="J57" i="103"/>
  <c r="B57" i="103"/>
  <c r="V56" i="103"/>
  <c r="T56" i="103"/>
  <c r="P56" i="103"/>
  <c r="H56" i="103"/>
  <c r="D56" i="103"/>
  <c r="L56" i="103" s="1"/>
  <c r="N56" i="103" s="1"/>
  <c r="B56" i="103"/>
  <c r="X55" i="103"/>
  <c r="Z55" i="103" s="1"/>
  <c r="V55" i="103"/>
  <c r="L55" i="103"/>
  <c r="N55" i="103" s="1"/>
  <c r="J55" i="103"/>
  <c r="B55" i="103"/>
  <c r="X54" i="103"/>
  <c r="T54" i="103"/>
  <c r="R54" i="103"/>
  <c r="P54" i="103"/>
  <c r="J54" i="103"/>
  <c r="H54" i="103"/>
  <c r="D54" i="103"/>
  <c r="L54" i="103" s="1"/>
  <c r="B54" i="103"/>
  <c r="Z53" i="103"/>
  <c r="X53" i="103"/>
  <c r="R53" i="103"/>
  <c r="N53" i="103"/>
  <c r="L53" i="103"/>
  <c r="J53" i="103"/>
  <c r="B53" i="103"/>
  <c r="X52" i="103"/>
  <c r="Z52" i="103" s="1"/>
  <c r="R52" i="103"/>
  <c r="L52" i="103"/>
  <c r="N52" i="103" s="1"/>
  <c r="J52" i="103"/>
  <c r="F52" i="103"/>
  <c r="B52" i="103"/>
  <c r="X51" i="103"/>
  <c r="Z51" i="103" s="1"/>
  <c r="V51" i="103"/>
  <c r="N51" i="103"/>
  <c r="L51" i="103"/>
  <c r="J51" i="103"/>
  <c r="B51" i="103"/>
  <c r="X50" i="103"/>
  <c r="T50" i="103"/>
  <c r="R50" i="103"/>
  <c r="P50" i="103"/>
  <c r="H50" i="103"/>
  <c r="D50" i="103"/>
  <c r="B50" i="103"/>
  <c r="Z49" i="103"/>
  <c r="X49" i="103"/>
  <c r="V49" i="103"/>
  <c r="R49" i="103"/>
  <c r="N49" i="103"/>
  <c r="L49" i="103"/>
  <c r="J49" i="103"/>
  <c r="B49" i="103"/>
  <c r="V48" i="103"/>
  <c r="T48" i="103"/>
  <c r="Z48" i="103" s="1"/>
  <c r="P48" i="103"/>
  <c r="H48" i="103"/>
  <c r="N48" i="103" s="1"/>
  <c r="D48" i="103"/>
  <c r="L48" i="103" s="1"/>
  <c r="B48" i="103"/>
  <c r="X47" i="103"/>
  <c r="Z47" i="103" s="1"/>
  <c r="V47" i="103"/>
  <c r="N47" i="103"/>
  <c r="L47" i="103"/>
  <c r="J47" i="103"/>
  <c r="B47" i="103"/>
  <c r="T46" i="103"/>
  <c r="R46" i="103"/>
  <c r="P46" i="103"/>
  <c r="X46" i="103" s="1"/>
  <c r="J46" i="103"/>
  <c r="H46" i="103"/>
  <c r="D46" i="103"/>
  <c r="L46" i="103" s="1"/>
  <c r="B46" i="103"/>
  <c r="Z45" i="103"/>
  <c r="X45" i="103"/>
  <c r="R45" i="103"/>
  <c r="N45" i="103"/>
  <c r="L45" i="103"/>
  <c r="J45" i="103"/>
  <c r="F45" i="103"/>
  <c r="B45" i="103"/>
  <c r="T44" i="103"/>
  <c r="P44" i="103"/>
  <c r="N44" i="103"/>
  <c r="L44" i="103"/>
  <c r="H44" i="103"/>
  <c r="F44" i="103"/>
  <c r="D44" i="103"/>
  <c r="B44" i="103"/>
  <c r="Z43" i="103"/>
  <c r="X43" i="103"/>
  <c r="V43" i="103"/>
  <c r="L43" i="103"/>
  <c r="N43" i="103" s="1"/>
  <c r="J43" i="103"/>
  <c r="B43" i="103"/>
  <c r="Z42" i="103"/>
  <c r="V42" i="103"/>
  <c r="T42" i="103"/>
  <c r="X42" i="103" s="1"/>
  <c r="P42" i="103"/>
  <c r="J42" i="103"/>
  <c r="H42" i="103"/>
  <c r="D42" i="103"/>
  <c r="L42" i="103" s="1"/>
  <c r="B42" i="103"/>
  <c r="Z41" i="103"/>
  <c r="X41" i="103"/>
  <c r="V41" i="103"/>
  <c r="N41" i="103"/>
  <c r="L41" i="103"/>
  <c r="B41" i="103"/>
  <c r="V40" i="103"/>
  <c r="T40" i="103"/>
  <c r="P40" i="103"/>
  <c r="X40" i="103" s="1"/>
  <c r="H40" i="103"/>
  <c r="F40" i="103"/>
  <c r="D40" i="103"/>
  <c r="L40" i="103" s="1"/>
  <c r="B40" i="103"/>
  <c r="Z39" i="103"/>
  <c r="X39" i="103"/>
  <c r="V39" i="103"/>
  <c r="N39" i="103"/>
  <c r="L39" i="103"/>
  <c r="J39" i="103"/>
  <c r="B39" i="103"/>
  <c r="Z38" i="103"/>
  <c r="X38" i="103"/>
  <c r="R38" i="103"/>
  <c r="N38" i="103"/>
  <c r="L38" i="103"/>
  <c r="J38" i="103"/>
  <c r="B38" i="103"/>
  <c r="Z37" i="103"/>
  <c r="X37" i="103"/>
  <c r="R37" i="103"/>
  <c r="N37" i="103"/>
  <c r="L37" i="103"/>
  <c r="J37" i="103"/>
  <c r="F37" i="103"/>
  <c r="B37" i="103"/>
  <c r="Z36" i="103"/>
  <c r="X36" i="103"/>
  <c r="R36" i="103"/>
  <c r="N36" i="103"/>
  <c r="L36" i="103"/>
  <c r="J36" i="103"/>
  <c r="B36" i="103"/>
  <c r="Z35" i="103"/>
  <c r="X35" i="103"/>
  <c r="V35" i="103"/>
  <c r="N35" i="103"/>
  <c r="L35" i="103"/>
  <c r="J35" i="103"/>
  <c r="B35" i="103"/>
  <c r="Z34" i="103"/>
  <c r="X34" i="103"/>
  <c r="R34" i="103"/>
  <c r="N34" i="103"/>
  <c r="L34" i="103"/>
  <c r="J34" i="103"/>
  <c r="F34" i="103"/>
  <c r="B34" i="103"/>
  <c r="Z33" i="103"/>
  <c r="X33" i="103"/>
  <c r="V33" i="103"/>
  <c r="R33" i="103"/>
  <c r="N33" i="103"/>
  <c r="L33" i="103"/>
  <c r="J33" i="103"/>
  <c r="B33" i="103"/>
  <c r="Z32" i="103"/>
  <c r="X32" i="103"/>
  <c r="R32" i="103"/>
  <c r="N32" i="103"/>
  <c r="L32" i="103"/>
  <c r="J32" i="103"/>
  <c r="B32" i="103"/>
  <c r="Z31" i="103"/>
  <c r="X31" i="103"/>
  <c r="V31" i="103"/>
  <c r="N31" i="103"/>
  <c r="L31" i="103"/>
  <c r="J31" i="103"/>
  <c r="B31" i="103"/>
  <c r="Z30" i="103"/>
  <c r="X30" i="103"/>
  <c r="R30" i="103"/>
  <c r="N30" i="103"/>
  <c r="L30" i="103"/>
  <c r="J30" i="103"/>
  <c r="B30" i="103"/>
  <c r="V29" i="103"/>
  <c r="T29" i="103"/>
  <c r="Z29" i="103" s="1"/>
  <c r="R29" i="103"/>
  <c r="P29" i="103"/>
  <c r="X29" i="103" s="1"/>
  <c r="N29" i="103"/>
  <c r="L29" i="103"/>
  <c r="J29" i="103"/>
  <c r="H29" i="103"/>
  <c r="D29" i="103"/>
  <c r="B29" i="103"/>
  <c r="Z28" i="103"/>
  <c r="X28" i="103"/>
  <c r="V28" i="103"/>
  <c r="R28" i="103"/>
  <c r="N28" i="103"/>
  <c r="L28" i="103"/>
  <c r="J28" i="103"/>
  <c r="B28" i="103"/>
  <c r="Z27" i="103"/>
  <c r="X27" i="103"/>
  <c r="V27" i="103"/>
  <c r="L27" i="103"/>
  <c r="N27" i="103" s="1"/>
  <c r="J27" i="103"/>
  <c r="B27" i="103"/>
  <c r="Z26" i="103"/>
  <c r="X26" i="103"/>
  <c r="V26" i="103"/>
  <c r="R26" i="103"/>
  <c r="L26" i="103"/>
  <c r="N26" i="103" s="1"/>
  <c r="B26" i="103"/>
  <c r="Z25" i="103"/>
  <c r="X25" i="103"/>
  <c r="V25" i="103"/>
  <c r="R25" i="103"/>
  <c r="N25" i="103"/>
  <c r="L25" i="103"/>
  <c r="J25" i="103"/>
  <c r="B25" i="103"/>
  <c r="X24" i="103"/>
  <c r="Z24" i="103" s="1"/>
  <c r="V24" i="103"/>
  <c r="R24" i="103"/>
  <c r="L24" i="103"/>
  <c r="N24" i="103" s="1"/>
  <c r="J24" i="103"/>
  <c r="B24" i="103"/>
  <c r="Z23" i="103"/>
  <c r="X23" i="103"/>
  <c r="V23" i="103"/>
  <c r="L23" i="103"/>
  <c r="N23" i="103" s="1"/>
  <c r="J23" i="103"/>
  <c r="B23" i="103"/>
  <c r="Z22" i="103"/>
  <c r="X22" i="103"/>
  <c r="V22" i="103"/>
  <c r="R22" i="103"/>
  <c r="L22" i="103"/>
  <c r="N22" i="103" s="1"/>
  <c r="B22" i="103"/>
  <c r="Z21" i="103"/>
  <c r="X21" i="103"/>
  <c r="V21" i="103"/>
  <c r="R21" i="103"/>
  <c r="N21" i="103"/>
  <c r="L21" i="103"/>
  <c r="J21" i="103"/>
  <c r="B21" i="103"/>
  <c r="X20" i="103"/>
  <c r="Z20" i="103" s="1"/>
  <c r="V20" i="103"/>
  <c r="R20" i="103"/>
  <c r="L20" i="103"/>
  <c r="N20" i="103" s="1"/>
  <c r="J20" i="103"/>
  <c r="F20" i="103"/>
  <c r="B20" i="103"/>
  <c r="Z19" i="103"/>
  <c r="V19" i="103"/>
  <c r="T19" i="103"/>
  <c r="P19" i="103"/>
  <c r="X19" i="103" s="1"/>
  <c r="J19" i="103"/>
  <c r="H19" i="103"/>
  <c r="D19" i="103"/>
  <c r="B19" i="103"/>
  <c r="T18" i="103"/>
  <c r="R18" i="103"/>
  <c r="P18" i="103"/>
  <c r="X18" i="103" s="1"/>
  <c r="L18" i="103"/>
  <c r="J18" i="103"/>
  <c r="H18" i="103"/>
  <c r="F18" i="103"/>
  <c r="D18" i="103"/>
  <c r="R16" i="103"/>
  <c r="P16" i="103"/>
  <c r="J16" i="103"/>
  <c r="H16" i="103"/>
  <c r="F16" i="103"/>
  <c r="D16" i="103"/>
  <c r="T14" i="103"/>
  <c r="Z14" i="103" s="1"/>
  <c r="R14" i="103"/>
  <c r="P14" i="103"/>
  <c r="X14" i="103" s="1"/>
  <c r="J14" i="103"/>
  <c r="H14" i="103"/>
  <c r="N14" i="103" s="1"/>
  <c r="F14" i="103"/>
  <c r="D14" i="103"/>
  <c r="L14" i="103" s="1"/>
  <c r="Z12" i="103"/>
  <c r="X12" i="103"/>
  <c r="T12" i="103"/>
  <c r="V52" i="103" s="1"/>
  <c r="P12" i="103"/>
  <c r="R59" i="103" s="1"/>
  <c r="N12" i="103"/>
  <c r="L12" i="103"/>
  <c r="H12" i="103"/>
  <c r="J56" i="103" s="1"/>
  <c r="D12" i="103"/>
  <c r="F53" i="103" s="1"/>
  <c r="D6" i="103"/>
  <c r="D4" i="103"/>
  <c r="Z95" i="102"/>
  <c r="X95" i="102"/>
  <c r="L95" i="102"/>
  <c r="N95" i="102" s="1"/>
  <c r="X91" i="102"/>
  <c r="Z91" i="102" s="1"/>
  <c r="P91" i="102"/>
  <c r="N91" i="102"/>
  <c r="D91" i="102"/>
  <c r="B91" i="102"/>
  <c r="Z90" i="102"/>
  <c r="V90" i="102"/>
  <c r="T90" i="102"/>
  <c r="P90" i="102"/>
  <c r="X90" i="102" s="1"/>
  <c r="N90" i="102"/>
  <c r="H90" i="102"/>
  <c r="Z88" i="102"/>
  <c r="X88" i="102"/>
  <c r="V88" i="102"/>
  <c r="N88" i="102"/>
  <c r="L88" i="102"/>
  <c r="B88" i="102"/>
  <c r="T87" i="102"/>
  <c r="P87" i="102"/>
  <c r="X87" i="102" s="1"/>
  <c r="N87" i="102"/>
  <c r="H87" i="102"/>
  <c r="L87" i="102" s="1"/>
  <c r="D87" i="102"/>
  <c r="B87" i="102"/>
  <c r="Z86" i="102"/>
  <c r="X86" i="102"/>
  <c r="N86" i="102"/>
  <c r="L86" i="102"/>
  <c r="B86" i="102"/>
  <c r="X85" i="102"/>
  <c r="T85" i="102"/>
  <c r="P85" i="102"/>
  <c r="L85" i="102"/>
  <c r="H85" i="102"/>
  <c r="N85" i="102" s="1"/>
  <c r="D85" i="102"/>
  <c r="B85" i="102"/>
  <c r="Z84" i="102"/>
  <c r="X84" i="102"/>
  <c r="V84" i="102"/>
  <c r="N84" i="102"/>
  <c r="L84" i="102"/>
  <c r="B84" i="102"/>
  <c r="X83" i="102"/>
  <c r="Z83" i="102" s="1"/>
  <c r="L83" i="102"/>
  <c r="N83" i="102" s="1"/>
  <c r="B83" i="102"/>
  <c r="V82" i="102"/>
  <c r="T82" i="102"/>
  <c r="X82" i="102" s="1"/>
  <c r="P82" i="102"/>
  <c r="H82" i="102"/>
  <c r="D82" i="102"/>
  <c r="B82" i="102"/>
  <c r="Z81" i="102"/>
  <c r="X81" i="102"/>
  <c r="V81" i="102"/>
  <c r="L81" i="102"/>
  <c r="N81" i="102" s="1"/>
  <c r="B81" i="102"/>
  <c r="Z80" i="102"/>
  <c r="X80" i="102"/>
  <c r="V80" i="102"/>
  <c r="N80" i="102"/>
  <c r="L80" i="102"/>
  <c r="B80" i="102"/>
  <c r="X79" i="102"/>
  <c r="Z79" i="102" s="1"/>
  <c r="L79" i="102"/>
  <c r="N79" i="102" s="1"/>
  <c r="B79" i="102"/>
  <c r="Z78" i="102"/>
  <c r="X78" i="102"/>
  <c r="N78" i="102"/>
  <c r="L78" i="102"/>
  <c r="B78" i="102"/>
  <c r="X77" i="102"/>
  <c r="Z77" i="102" s="1"/>
  <c r="V77" i="102"/>
  <c r="N77" i="102"/>
  <c r="L77" i="102"/>
  <c r="B77" i="102"/>
  <c r="Z76" i="102"/>
  <c r="X76" i="102"/>
  <c r="N76" i="102"/>
  <c r="L76" i="102"/>
  <c r="B76" i="102"/>
  <c r="Z75" i="102"/>
  <c r="X75" i="102"/>
  <c r="V75" i="102"/>
  <c r="N75" i="102"/>
  <c r="L75" i="102"/>
  <c r="B75" i="102"/>
  <c r="V74" i="102"/>
  <c r="T74" i="102"/>
  <c r="P74" i="102"/>
  <c r="X74" i="102" s="1"/>
  <c r="Z74" i="102" s="1"/>
  <c r="N74" i="102"/>
  <c r="H74" i="102"/>
  <c r="D74" i="102"/>
  <c r="L74" i="102" s="1"/>
  <c r="B74" i="102"/>
  <c r="X73" i="102"/>
  <c r="Z73" i="102" s="1"/>
  <c r="L73" i="102"/>
  <c r="N73" i="102" s="1"/>
  <c r="B73" i="102"/>
  <c r="Z72" i="102"/>
  <c r="X72" i="102"/>
  <c r="N72" i="102"/>
  <c r="L72" i="102"/>
  <c r="B72" i="102"/>
  <c r="X71" i="102"/>
  <c r="V71" i="102"/>
  <c r="T71" i="102"/>
  <c r="P71" i="102"/>
  <c r="H71" i="102"/>
  <c r="D71" i="102"/>
  <c r="L71" i="102" s="1"/>
  <c r="B71" i="102"/>
  <c r="Z70" i="102"/>
  <c r="X70" i="102"/>
  <c r="V70" i="102"/>
  <c r="N70" i="102"/>
  <c r="L70" i="102"/>
  <c r="B70" i="102"/>
  <c r="Z69" i="102"/>
  <c r="X69" i="102"/>
  <c r="L69" i="102"/>
  <c r="N69" i="102" s="1"/>
  <c r="J69" i="102"/>
  <c r="B69" i="102"/>
  <c r="T68" i="102"/>
  <c r="Z68" i="102" s="1"/>
  <c r="P68" i="102"/>
  <c r="X68" i="102" s="1"/>
  <c r="H68" i="102"/>
  <c r="D68" i="102"/>
  <c r="L68" i="102" s="1"/>
  <c r="B68" i="102"/>
  <c r="Z67" i="102"/>
  <c r="X67" i="102"/>
  <c r="V67" i="102"/>
  <c r="N67" i="102"/>
  <c r="L67" i="102"/>
  <c r="B67" i="102"/>
  <c r="Z66" i="102"/>
  <c r="X66" i="102"/>
  <c r="V66" i="102"/>
  <c r="N66" i="102"/>
  <c r="L66" i="102"/>
  <c r="B66" i="102"/>
  <c r="X65" i="102"/>
  <c r="Z65" i="102" s="1"/>
  <c r="V65" i="102"/>
  <c r="L65" i="102"/>
  <c r="N65" i="102" s="1"/>
  <c r="B65" i="102"/>
  <c r="T64" i="102"/>
  <c r="Z64" i="102" s="1"/>
  <c r="P64" i="102"/>
  <c r="X64" i="102" s="1"/>
  <c r="L64" i="102"/>
  <c r="N64" i="102" s="1"/>
  <c r="J64" i="102"/>
  <c r="H64" i="102"/>
  <c r="D64" i="102"/>
  <c r="B64" i="102"/>
  <c r="Z63" i="102"/>
  <c r="X63" i="102"/>
  <c r="V63" i="102"/>
  <c r="N63" i="102"/>
  <c r="L63" i="102"/>
  <c r="B63" i="102"/>
  <c r="X62" i="102"/>
  <c r="V62" i="102"/>
  <c r="T62" i="102"/>
  <c r="P62" i="102"/>
  <c r="N62" i="102"/>
  <c r="L62" i="102"/>
  <c r="H62" i="102"/>
  <c r="D62" i="102"/>
  <c r="B62" i="102"/>
  <c r="Z61" i="102"/>
  <c r="X61" i="102"/>
  <c r="L61" i="102"/>
  <c r="N61" i="102" s="1"/>
  <c r="J61" i="102"/>
  <c r="B61" i="102"/>
  <c r="T60" i="102"/>
  <c r="P60" i="102"/>
  <c r="H60" i="102"/>
  <c r="D60" i="102"/>
  <c r="L60" i="102" s="1"/>
  <c r="B60" i="102"/>
  <c r="Z59" i="102"/>
  <c r="X59" i="102"/>
  <c r="V59" i="102"/>
  <c r="N59" i="102"/>
  <c r="L59" i="102"/>
  <c r="B59" i="102"/>
  <c r="V58" i="102"/>
  <c r="T58" i="102"/>
  <c r="P58" i="102"/>
  <c r="X58" i="102" s="1"/>
  <c r="Z58" i="102" s="1"/>
  <c r="H58" i="102"/>
  <c r="N58" i="102" s="1"/>
  <c r="D58" i="102"/>
  <c r="L58" i="102" s="1"/>
  <c r="B58" i="102"/>
  <c r="Z57" i="102"/>
  <c r="X57" i="102"/>
  <c r="N57" i="102"/>
  <c r="L57" i="102"/>
  <c r="B57" i="102"/>
  <c r="X56" i="102"/>
  <c r="Z56" i="102" s="1"/>
  <c r="V56" i="102"/>
  <c r="N56" i="102"/>
  <c r="L56" i="102"/>
  <c r="B56" i="102"/>
  <c r="T55" i="102"/>
  <c r="P55" i="102"/>
  <c r="L55" i="102"/>
  <c r="N55" i="102" s="1"/>
  <c r="H55" i="102"/>
  <c r="D55" i="102"/>
  <c r="B55" i="102"/>
  <c r="X54" i="102"/>
  <c r="Z54" i="102" s="1"/>
  <c r="V54" i="102"/>
  <c r="N54" i="102"/>
  <c r="L54" i="102"/>
  <c r="B54" i="102"/>
  <c r="Z53" i="102"/>
  <c r="V53" i="102"/>
  <c r="T53" i="102"/>
  <c r="P53" i="102"/>
  <c r="X53" i="102" s="1"/>
  <c r="H53" i="102"/>
  <c r="J53" i="102" s="1"/>
  <c r="D53" i="102"/>
  <c r="B53" i="102"/>
  <c r="Z52" i="102"/>
  <c r="X52" i="102"/>
  <c r="L52" i="102"/>
  <c r="N52" i="102" s="1"/>
  <c r="J52" i="102"/>
  <c r="B52" i="102"/>
  <c r="V51" i="102"/>
  <c r="T51" i="102"/>
  <c r="X51" i="102" s="1"/>
  <c r="P51" i="102"/>
  <c r="H51" i="102"/>
  <c r="D51" i="102"/>
  <c r="L51" i="102" s="1"/>
  <c r="B51" i="102"/>
  <c r="X50" i="102"/>
  <c r="Z50" i="102" s="1"/>
  <c r="V50" i="102"/>
  <c r="L50" i="102"/>
  <c r="N50" i="102" s="1"/>
  <c r="B50" i="102"/>
  <c r="Z49" i="102"/>
  <c r="X49" i="102"/>
  <c r="V49" i="102"/>
  <c r="T49" i="102"/>
  <c r="P49" i="102"/>
  <c r="H49" i="102"/>
  <c r="D49" i="102"/>
  <c r="B49" i="102"/>
  <c r="Z48" i="102"/>
  <c r="X48" i="102"/>
  <c r="N48" i="102"/>
  <c r="L48" i="102"/>
  <c r="B48" i="102"/>
  <c r="Z47" i="102"/>
  <c r="X47" i="102"/>
  <c r="V47" i="102"/>
  <c r="N47" i="102"/>
  <c r="L47" i="102"/>
  <c r="J47" i="102"/>
  <c r="B47" i="102"/>
  <c r="X46" i="102"/>
  <c r="Z46" i="102" s="1"/>
  <c r="V46" i="102"/>
  <c r="L46" i="102"/>
  <c r="N46" i="102" s="1"/>
  <c r="J46" i="102"/>
  <c r="B46" i="102"/>
  <c r="Z45" i="102"/>
  <c r="X45" i="102"/>
  <c r="V45" i="102"/>
  <c r="L45" i="102"/>
  <c r="N45" i="102" s="1"/>
  <c r="J45" i="102"/>
  <c r="B45" i="102"/>
  <c r="Z44" i="102"/>
  <c r="X44" i="102"/>
  <c r="N44" i="102"/>
  <c r="L44" i="102"/>
  <c r="B44" i="102"/>
  <c r="Z43" i="102"/>
  <c r="X43" i="102"/>
  <c r="V43" i="102"/>
  <c r="N43" i="102"/>
  <c r="L43" i="102"/>
  <c r="B43" i="102"/>
  <c r="X42" i="102"/>
  <c r="Z42" i="102" s="1"/>
  <c r="V42" i="102"/>
  <c r="L42" i="102"/>
  <c r="N42" i="102" s="1"/>
  <c r="B42" i="102"/>
  <c r="Z41" i="102"/>
  <c r="X41" i="102"/>
  <c r="V41" i="102"/>
  <c r="N41" i="102"/>
  <c r="L41" i="102"/>
  <c r="J41" i="102"/>
  <c r="B41" i="102"/>
  <c r="Z40" i="102"/>
  <c r="X40" i="102"/>
  <c r="N40" i="102"/>
  <c r="L40" i="102"/>
  <c r="B40" i="102"/>
  <c r="Z39" i="102"/>
  <c r="X39" i="102"/>
  <c r="V39" i="102"/>
  <c r="N39" i="102"/>
  <c r="L39" i="102"/>
  <c r="B39" i="102"/>
  <c r="T38" i="102"/>
  <c r="V38" i="102" s="1"/>
  <c r="P38" i="102"/>
  <c r="H38" i="102"/>
  <c r="N38" i="102" s="1"/>
  <c r="D38" i="102"/>
  <c r="L38" i="102" s="1"/>
  <c r="B38" i="102"/>
  <c r="X37" i="102"/>
  <c r="Z37" i="102" s="1"/>
  <c r="V37" i="102"/>
  <c r="N37" i="102"/>
  <c r="L37" i="102"/>
  <c r="B37" i="102"/>
  <c r="Z36" i="102"/>
  <c r="X36" i="102"/>
  <c r="L36" i="102"/>
  <c r="N36" i="102" s="1"/>
  <c r="B36" i="102"/>
  <c r="Z35" i="102"/>
  <c r="X35" i="102"/>
  <c r="V35" i="102"/>
  <c r="N35" i="102"/>
  <c r="L35" i="102"/>
  <c r="B35" i="102"/>
  <c r="Z34" i="102"/>
  <c r="X34" i="102"/>
  <c r="V34" i="102"/>
  <c r="N34" i="102"/>
  <c r="L34" i="102"/>
  <c r="B34" i="102"/>
  <c r="Z33" i="102"/>
  <c r="X33" i="102"/>
  <c r="V33" i="102"/>
  <c r="N33" i="102"/>
  <c r="L33" i="102"/>
  <c r="B33" i="102"/>
  <c r="Z32" i="102"/>
  <c r="X32" i="102"/>
  <c r="L32" i="102"/>
  <c r="N32" i="102" s="1"/>
  <c r="J32" i="102"/>
  <c r="B32" i="102"/>
  <c r="Z31" i="102"/>
  <c r="X31" i="102"/>
  <c r="V31" i="102"/>
  <c r="N31" i="102"/>
  <c r="L31" i="102"/>
  <c r="B31" i="102"/>
  <c r="X30" i="102"/>
  <c r="Z30" i="102" s="1"/>
  <c r="V30" i="102"/>
  <c r="L30" i="102"/>
  <c r="N30" i="102" s="1"/>
  <c r="B30" i="102"/>
  <c r="X29" i="102"/>
  <c r="Z29" i="102" s="1"/>
  <c r="V29" i="102"/>
  <c r="N29" i="102"/>
  <c r="L29" i="102"/>
  <c r="B29" i="102"/>
  <c r="Z28" i="102"/>
  <c r="X28" i="102"/>
  <c r="L28" i="102"/>
  <c r="N28" i="102" s="1"/>
  <c r="B28" i="102"/>
  <c r="V27" i="102"/>
  <c r="T27" i="102"/>
  <c r="Z27" i="102" s="1"/>
  <c r="P27" i="102"/>
  <c r="X27" i="102" s="1"/>
  <c r="H27" i="102"/>
  <c r="D27" i="102"/>
  <c r="L27" i="102" s="1"/>
  <c r="B27" i="102"/>
  <c r="X26" i="102"/>
  <c r="T26" i="102"/>
  <c r="Z26" i="102" s="1"/>
  <c r="P26" i="102"/>
  <c r="L26" i="102"/>
  <c r="N26" i="102" s="1"/>
  <c r="H26" i="102"/>
  <c r="D26" i="102"/>
  <c r="T24" i="102"/>
  <c r="H24" i="102"/>
  <c r="H93" i="102" s="1"/>
  <c r="Z22" i="102"/>
  <c r="X22" i="102"/>
  <c r="V22" i="102"/>
  <c r="N22" i="102"/>
  <c r="L22" i="102"/>
  <c r="J22" i="102"/>
  <c r="B22" i="102"/>
  <c r="Z21" i="102"/>
  <c r="X21" i="102"/>
  <c r="V21" i="102"/>
  <c r="N21" i="102"/>
  <c r="L21" i="102"/>
  <c r="B21" i="102"/>
  <c r="X20" i="102"/>
  <c r="Z20" i="102" s="1"/>
  <c r="V20" i="102"/>
  <c r="N20" i="102"/>
  <c r="L20" i="102"/>
  <c r="B20" i="102"/>
  <c r="V19" i="102"/>
  <c r="T19" i="102"/>
  <c r="P19" i="102"/>
  <c r="X19" i="102" s="1"/>
  <c r="Z19" i="102" s="1"/>
  <c r="L19" i="102"/>
  <c r="N19" i="102" s="1"/>
  <c r="H19" i="102"/>
  <c r="D19" i="102"/>
  <c r="Z17" i="102"/>
  <c r="P17" i="102"/>
  <c r="X17" i="102" s="1"/>
  <c r="N17" i="102"/>
  <c r="L17" i="102"/>
  <c r="D17" i="102"/>
  <c r="B17" i="102"/>
  <c r="Z16" i="102"/>
  <c r="X16" i="102"/>
  <c r="P16" i="102"/>
  <c r="L16" i="102"/>
  <c r="N16" i="102" s="1"/>
  <c r="D16" i="102"/>
  <c r="B16" i="102"/>
  <c r="Z15" i="102"/>
  <c r="P15" i="102"/>
  <c r="X15" i="102" s="1"/>
  <c r="N15" i="102"/>
  <c r="D15" i="102"/>
  <c r="L15" i="102" s="1"/>
  <c r="B15" i="102"/>
  <c r="Z14" i="102"/>
  <c r="P14" i="102"/>
  <c r="N14" i="102"/>
  <c r="D14" i="102"/>
  <c r="L14" i="102" s="1"/>
  <c r="B14" i="102"/>
  <c r="X13" i="102"/>
  <c r="Z13" i="102" s="1"/>
  <c r="P13" i="102"/>
  <c r="N13" i="102"/>
  <c r="L13" i="102"/>
  <c r="D13" i="102"/>
  <c r="B13" i="102"/>
  <c r="T12" i="102"/>
  <c r="H12" i="102"/>
  <c r="J60" i="102" s="1"/>
  <c r="D6" i="102"/>
  <c r="D4" i="102"/>
  <c r="X77" i="101"/>
  <c r="Z77" i="101" s="1"/>
  <c r="L77" i="101"/>
  <c r="N77" i="101" s="1"/>
  <c r="Z73" i="101"/>
  <c r="X73" i="101"/>
  <c r="V73" i="101"/>
  <c r="P73" i="101"/>
  <c r="N73" i="101"/>
  <c r="L73" i="101"/>
  <c r="D73" i="101"/>
  <c r="B73" i="101"/>
  <c r="T72" i="101"/>
  <c r="Z72" i="101" s="1"/>
  <c r="R72" i="101"/>
  <c r="P72" i="101"/>
  <c r="N72" i="101"/>
  <c r="H72" i="101"/>
  <c r="D72" i="101"/>
  <c r="L72" i="101" s="1"/>
  <c r="Z70" i="101"/>
  <c r="X70" i="101"/>
  <c r="N70" i="101"/>
  <c r="L70" i="101"/>
  <c r="B70" i="101"/>
  <c r="X69" i="101"/>
  <c r="Z69" i="101" s="1"/>
  <c r="L69" i="101"/>
  <c r="N69" i="101" s="1"/>
  <c r="B69" i="101"/>
  <c r="X68" i="101"/>
  <c r="Z68" i="101" s="1"/>
  <c r="T68" i="101"/>
  <c r="P68" i="101"/>
  <c r="H68" i="101"/>
  <c r="D68" i="101"/>
  <c r="B68" i="101"/>
  <c r="Z67" i="101"/>
  <c r="X67" i="101"/>
  <c r="N67" i="101"/>
  <c r="L67" i="101"/>
  <c r="B67" i="101"/>
  <c r="Z66" i="101"/>
  <c r="X66" i="101"/>
  <c r="V66" i="101"/>
  <c r="N66" i="101"/>
  <c r="L66" i="101"/>
  <c r="B66" i="101"/>
  <c r="Z65" i="101"/>
  <c r="X65" i="101"/>
  <c r="N65" i="101"/>
  <c r="L65" i="101"/>
  <c r="B65" i="101"/>
  <c r="Z64" i="101"/>
  <c r="X64" i="101"/>
  <c r="N64" i="101"/>
  <c r="L64" i="101"/>
  <c r="B64" i="101"/>
  <c r="T63" i="101"/>
  <c r="Z63" i="101" s="1"/>
  <c r="P63" i="101"/>
  <c r="X63" i="101" s="1"/>
  <c r="N63" i="101"/>
  <c r="L63" i="101"/>
  <c r="H63" i="101"/>
  <c r="D63" i="101"/>
  <c r="B63" i="101"/>
  <c r="Z62" i="101"/>
  <c r="X62" i="101"/>
  <c r="R62" i="101"/>
  <c r="N62" i="101"/>
  <c r="L62" i="101"/>
  <c r="B62" i="101"/>
  <c r="T61" i="101"/>
  <c r="P61" i="101"/>
  <c r="X61" i="101" s="1"/>
  <c r="N61" i="101"/>
  <c r="J61" i="101"/>
  <c r="H61" i="101"/>
  <c r="D61" i="101"/>
  <c r="L61" i="101" s="1"/>
  <c r="B61" i="101"/>
  <c r="Z60" i="101"/>
  <c r="X60" i="101"/>
  <c r="N60" i="101"/>
  <c r="L60" i="101"/>
  <c r="B60" i="101"/>
  <c r="X59" i="101"/>
  <c r="Z59" i="101" s="1"/>
  <c r="N59" i="101"/>
  <c r="L59" i="101"/>
  <c r="B59" i="101"/>
  <c r="X58" i="101"/>
  <c r="Z58" i="101" s="1"/>
  <c r="V58" i="101"/>
  <c r="T58" i="101"/>
  <c r="R58" i="101"/>
  <c r="P58" i="101"/>
  <c r="N58" i="101"/>
  <c r="L58" i="101"/>
  <c r="H58" i="101"/>
  <c r="D58" i="101"/>
  <c r="B58" i="101"/>
  <c r="X57" i="101"/>
  <c r="Z57" i="101" s="1"/>
  <c r="R57" i="101"/>
  <c r="N57" i="101"/>
  <c r="L57" i="101"/>
  <c r="B57" i="101"/>
  <c r="Z56" i="101"/>
  <c r="X56" i="101"/>
  <c r="N56" i="101"/>
  <c r="L56" i="101"/>
  <c r="J56" i="101"/>
  <c r="B56" i="101"/>
  <c r="X55" i="101"/>
  <c r="Z55" i="101" s="1"/>
  <c r="T55" i="101"/>
  <c r="P55" i="101"/>
  <c r="H55" i="101"/>
  <c r="D55" i="101"/>
  <c r="B55" i="101"/>
  <c r="Z54" i="101"/>
  <c r="X54" i="101"/>
  <c r="V54" i="101"/>
  <c r="N54" i="101"/>
  <c r="L54" i="101"/>
  <c r="B54" i="101"/>
  <c r="T53" i="101"/>
  <c r="Z53" i="101" s="1"/>
  <c r="P53" i="101"/>
  <c r="N53" i="101"/>
  <c r="L53" i="101"/>
  <c r="H53" i="101"/>
  <c r="D53" i="101"/>
  <c r="B53" i="101"/>
  <c r="X52" i="101"/>
  <c r="Z52" i="101" s="1"/>
  <c r="N52" i="101"/>
  <c r="L52" i="101"/>
  <c r="B52" i="101"/>
  <c r="T51" i="101"/>
  <c r="P51" i="101"/>
  <c r="X51" i="101" s="1"/>
  <c r="Z51" i="101" s="1"/>
  <c r="L51" i="101"/>
  <c r="H51" i="101"/>
  <c r="N51" i="101" s="1"/>
  <c r="D51" i="101"/>
  <c r="B51" i="101"/>
  <c r="Z50" i="101"/>
  <c r="X50" i="101"/>
  <c r="N50" i="101"/>
  <c r="L50" i="101"/>
  <c r="B50" i="101"/>
  <c r="X49" i="101"/>
  <c r="V49" i="101"/>
  <c r="T49" i="101"/>
  <c r="Z49" i="101" s="1"/>
  <c r="P49" i="101"/>
  <c r="H49" i="101"/>
  <c r="N49" i="101" s="1"/>
  <c r="D49" i="101"/>
  <c r="L49" i="101" s="1"/>
  <c r="B49" i="101"/>
  <c r="Z48" i="101"/>
  <c r="X48" i="101"/>
  <c r="N48" i="101"/>
  <c r="L48" i="101"/>
  <c r="B48" i="101"/>
  <c r="T47" i="101"/>
  <c r="P47" i="101"/>
  <c r="H47" i="101"/>
  <c r="N47" i="101" s="1"/>
  <c r="D47" i="101"/>
  <c r="B47" i="101"/>
  <c r="X46" i="101"/>
  <c r="Z46" i="101" s="1"/>
  <c r="R46" i="101"/>
  <c r="N46" i="101"/>
  <c r="L46" i="101"/>
  <c r="J46" i="101"/>
  <c r="B46" i="101"/>
  <c r="X45" i="101"/>
  <c r="T45" i="101"/>
  <c r="P45" i="101"/>
  <c r="L45" i="101"/>
  <c r="H45" i="101"/>
  <c r="N45" i="101" s="1"/>
  <c r="D45" i="101"/>
  <c r="B45" i="101"/>
  <c r="Z44" i="101"/>
  <c r="X44" i="101"/>
  <c r="N44" i="101"/>
  <c r="L44" i="101"/>
  <c r="B44" i="101"/>
  <c r="Z43" i="101"/>
  <c r="X43" i="101"/>
  <c r="R43" i="101"/>
  <c r="N43" i="101"/>
  <c r="L43" i="101"/>
  <c r="B43" i="101"/>
  <c r="Z42" i="101"/>
  <c r="X42" i="101"/>
  <c r="R42" i="101"/>
  <c r="N42" i="101"/>
  <c r="L42" i="101"/>
  <c r="J42" i="101"/>
  <c r="B42" i="101"/>
  <c r="Z41" i="101"/>
  <c r="X41" i="101"/>
  <c r="N41" i="101"/>
  <c r="L41" i="101"/>
  <c r="B41" i="101"/>
  <c r="Z40" i="101"/>
  <c r="X40" i="101"/>
  <c r="R40" i="101"/>
  <c r="N40" i="101"/>
  <c r="L40" i="101"/>
  <c r="B40" i="101"/>
  <c r="X39" i="101"/>
  <c r="Z39" i="101" s="1"/>
  <c r="L39" i="101"/>
  <c r="N39" i="101" s="1"/>
  <c r="B39" i="101"/>
  <c r="Z38" i="101"/>
  <c r="X38" i="101"/>
  <c r="N38" i="101"/>
  <c r="L38" i="101"/>
  <c r="J38" i="101"/>
  <c r="B38" i="101"/>
  <c r="Z37" i="101"/>
  <c r="X37" i="101"/>
  <c r="V37" i="101"/>
  <c r="N37" i="101"/>
  <c r="L37" i="101"/>
  <c r="B37" i="101"/>
  <c r="Z36" i="101"/>
  <c r="X36" i="101"/>
  <c r="V36" i="101"/>
  <c r="N36" i="101"/>
  <c r="L36" i="101"/>
  <c r="B36" i="101"/>
  <c r="Z35" i="101"/>
  <c r="X35" i="101"/>
  <c r="N35" i="101"/>
  <c r="L35" i="101"/>
  <c r="B35" i="101"/>
  <c r="V34" i="101"/>
  <c r="T34" i="101"/>
  <c r="P34" i="101"/>
  <c r="J34" i="101"/>
  <c r="H34" i="101"/>
  <c r="D34" i="101"/>
  <c r="L34" i="101" s="1"/>
  <c r="B34" i="101"/>
  <c r="X33" i="101"/>
  <c r="Z33" i="101" s="1"/>
  <c r="V33" i="101"/>
  <c r="L33" i="101"/>
  <c r="N33" i="101" s="1"/>
  <c r="B33" i="101"/>
  <c r="Z32" i="101"/>
  <c r="X32" i="101"/>
  <c r="N32" i="101"/>
  <c r="L32" i="101"/>
  <c r="B32" i="101"/>
  <c r="Z31" i="101"/>
  <c r="X31" i="101"/>
  <c r="N31" i="101"/>
  <c r="L31" i="101"/>
  <c r="B31" i="101"/>
  <c r="Z30" i="101"/>
  <c r="X30" i="101"/>
  <c r="R30" i="101"/>
  <c r="N30" i="101"/>
  <c r="L30" i="101"/>
  <c r="B30" i="101"/>
  <c r="X29" i="101"/>
  <c r="Z29" i="101" s="1"/>
  <c r="V29" i="101"/>
  <c r="N29" i="101"/>
  <c r="L29" i="101"/>
  <c r="B29" i="101"/>
  <c r="Z28" i="101"/>
  <c r="X28" i="101"/>
  <c r="N28" i="101"/>
  <c r="L28" i="101"/>
  <c r="J28" i="101"/>
  <c r="B28" i="101"/>
  <c r="Z27" i="101"/>
  <c r="X27" i="101"/>
  <c r="V27" i="101"/>
  <c r="N27" i="101"/>
  <c r="L27" i="101"/>
  <c r="B27" i="101"/>
  <c r="Z26" i="101"/>
  <c r="X26" i="101"/>
  <c r="R26" i="101"/>
  <c r="N26" i="101"/>
  <c r="L26" i="101"/>
  <c r="J26" i="101"/>
  <c r="B26" i="101"/>
  <c r="T25" i="101"/>
  <c r="R25" i="101"/>
  <c r="P25" i="101"/>
  <c r="X25" i="101" s="1"/>
  <c r="L25" i="101"/>
  <c r="H25" i="101"/>
  <c r="D25" i="101"/>
  <c r="B25" i="101"/>
  <c r="T24" i="101"/>
  <c r="R24" i="101"/>
  <c r="P24" i="101"/>
  <c r="X24" i="101" s="1"/>
  <c r="H24" i="101"/>
  <c r="D24" i="101"/>
  <c r="T22" i="101"/>
  <c r="Z20" i="101"/>
  <c r="X20" i="101"/>
  <c r="R20" i="101"/>
  <c r="N20" i="101"/>
  <c r="L20" i="101"/>
  <c r="J20" i="101"/>
  <c r="B20" i="101"/>
  <c r="Z19" i="101"/>
  <c r="X19" i="101"/>
  <c r="N19" i="101"/>
  <c r="L19" i="101"/>
  <c r="B19" i="101"/>
  <c r="Z18" i="101"/>
  <c r="X18" i="101"/>
  <c r="R18" i="101"/>
  <c r="N18" i="101"/>
  <c r="L18" i="101"/>
  <c r="B18" i="101"/>
  <c r="X17" i="101"/>
  <c r="Z17" i="101" s="1"/>
  <c r="T17" i="101"/>
  <c r="P17" i="101"/>
  <c r="N17" i="101"/>
  <c r="H17" i="101"/>
  <c r="D17" i="101"/>
  <c r="L17" i="101" s="1"/>
  <c r="X15" i="101"/>
  <c r="Z15" i="101" s="1"/>
  <c r="P15" i="101"/>
  <c r="N15" i="101"/>
  <c r="D15" i="101"/>
  <c r="L15" i="101" s="1"/>
  <c r="B15" i="101"/>
  <c r="Z14" i="101"/>
  <c r="X14" i="101"/>
  <c r="P14" i="101"/>
  <c r="N14" i="101"/>
  <c r="D14" i="101"/>
  <c r="L14" i="101" s="1"/>
  <c r="B14" i="101"/>
  <c r="X13" i="101"/>
  <c r="Z13" i="101" s="1"/>
  <c r="P13" i="101"/>
  <c r="N13" i="101"/>
  <c r="L13" i="101"/>
  <c r="D13" i="101"/>
  <c r="D12" i="101" s="1"/>
  <c r="B13" i="101"/>
  <c r="T12" i="101"/>
  <c r="V62" i="101" s="1"/>
  <c r="P12" i="101"/>
  <c r="H12" i="101"/>
  <c r="J70" i="101" s="1"/>
  <c r="D6" i="101"/>
  <c r="D4" i="101"/>
  <c r="J60" i="100"/>
  <c r="F60" i="100"/>
  <c r="J57" i="100"/>
  <c r="Z55" i="100"/>
  <c r="X55" i="100"/>
  <c r="N55" i="100"/>
  <c r="L55" i="100"/>
  <c r="J55" i="100"/>
  <c r="V53" i="100"/>
  <c r="J53" i="100"/>
  <c r="V51" i="100"/>
  <c r="P51" i="100"/>
  <c r="X51" i="100" s="1"/>
  <c r="Z51" i="100" s="1"/>
  <c r="D51" i="100"/>
  <c r="L51" i="100" s="1"/>
  <c r="N51" i="100" s="1"/>
  <c r="B51" i="100"/>
  <c r="X50" i="100"/>
  <c r="T50" i="100"/>
  <c r="P50" i="100"/>
  <c r="H50" i="100"/>
  <c r="D50" i="100"/>
  <c r="L50" i="100" s="1"/>
  <c r="X48" i="100"/>
  <c r="Z48" i="100" s="1"/>
  <c r="N48" i="100"/>
  <c r="L48" i="100"/>
  <c r="B48" i="100"/>
  <c r="Z47" i="100"/>
  <c r="X47" i="100"/>
  <c r="V47" i="100"/>
  <c r="T47" i="100"/>
  <c r="P47" i="100"/>
  <c r="N47" i="100"/>
  <c r="L47" i="100"/>
  <c r="H47" i="100"/>
  <c r="D47" i="100"/>
  <c r="B47" i="100"/>
  <c r="Z46" i="100"/>
  <c r="X46" i="100"/>
  <c r="N46" i="100"/>
  <c r="L46" i="100"/>
  <c r="J46" i="100"/>
  <c r="B46" i="100"/>
  <c r="V45" i="100"/>
  <c r="T45" i="100"/>
  <c r="Z45" i="100" s="1"/>
  <c r="P45" i="100"/>
  <c r="X45" i="100" s="1"/>
  <c r="J45" i="100"/>
  <c r="H45" i="100"/>
  <c r="N45" i="100" s="1"/>
  <c r="D45" i="100"/>
  <c r="B45" i="100"/>
  <c r="X44" i="100"/>
  <c r="Z44" i="100" s="1"/>
  <c r="V44" i="100"/>
  <c r="N44" i="100"/>
  <c r="L44" i="100"/>
  <c r="B44" i="100"/>
  <c r="T43" i="100"/>
  <c r="R43" i="100"/>
  <c r="P43" i="100"/>
  <c r="X43" i="100" s="1"/>
  <c r="Z43" i="100" s="1"/>
  <c r="N43" i="100"/>
  <c r="J43" i="100"/>
  <c r="H43" i="100"/>
  <c r="D43" i="100"/>
  <c r="L43" i="100" s="1"/>
  <c r="B43" i="100"/>
  <c r="Z42" i="100"/>
  <c r="X42" i="100"/>
  <c r="N42" i="100"/>
  <c r="L42" i="100"/>
  <c r="F42" i="100"/>
  <c r="B42" i="100"/>
  <c r="Z41" i="100"/>
  <c r="X41" i="100"/>
  <c r="V41" i="100"/>
  <c r="T41" i="100"/>
  <c r="P41" i="100"/>
  <c r="N41" i="100"/>
  <c r="L41" i="100"/>
  <c r="J41" i="100"/>
  <c r="H41" i="100"/>
  <c r="F41" i="100"/>
  <c r="D41" i="100"/>
  <c r="B41" i="100"/>
  <c r="Z40" i="100"/>
  <c r="X40" i="100"/>
  <c r="V40" i="100"/>
  <c r="N40" i="100"/>
  <c r="L40" i="100"/>
  <c r="J40" i="100"/>
  <c r="B40" i="100"/>
  <c r="Z39" i="100"/>
  <c r="X39" i="100"/>
  <c r="V39" i="100"/>
  <c r="N39" i="100"/>
  <c r="L39" i="100"/>
  <c r="B39" i="100"/>
  <c r="Z38" i="100"/>
  <c r="X38" i="100"/>
  <c r="N38" i="100"/>
  <c r="L38" i="100"/>
  <c r="J38" i="100"/>
  <c r="B38" i="100"/>
  <c r="Z37" i="100"/>
  <c r="X37" i="100"/>
  <c r="V37" i="100"/>
  <c r="N37" i="100"/>
  <c r="L37" i="100"/>
  <c r="J37" i="100"/>
  <c r="B37" i="100"/>
  <c r="Z36" i="100"/>
  <c r="X36" i="100"/>
  <c r="V36" i="100"/>
  <c r="N36" i="100"/>
  <c r="L36" i="100"/>
  <c r="J36" i="100"/>
  <c r="B36" i="100"/>
  <c r="Z35" i="100"/>
  <c r="X35" i="100"/>
  <c r="V35" i="100"/>
  <c r="N35" i="100"/>
  <c r="L35" i="100"/>
  <c r="B35" i="100"/>
  <c r="Z34" i="100"/>
  <c r="X34" i="100"/>
  <c r="N34" i="100"/>
  <c r="L34" i="100"/>
  <c r="J34" i="100"/>
  <c r="B34" i="100"/>
  <c r="Z33" i="100"/>
  <c r="X33" i="100"/>
  <c r="V33" i="100"/>
  <c r="N33" i="100"/>
  <c r="L33" i="100"/>
  <c r="J33" i="100"/>
  <c r="B33" i="100"/>
  <c r="Z32" i="100"/>
  <c r="X32" i="100"/>
  <c r="V32" i="100"/>
  <c r="N32" i="100"/>
  <c r="L32" i="100"/>
  <c r="J32" i="100"/>
  <c r="B32" i="100"/>
  <c r="Z31" i="100"/>
  <c r="X31" i="100"/>
  <c r="V31" i="100"/>
  <c r="L31" i="100"/>
  <c r="N31" i="100" s="1"/>
  <c r="B31" i="100"/>
  <c r="X30" i="100"/>
  <c r="T30" i="100"/>
  <c r="P30" i="100"/>
  <c r="J30" i="100"/>
  <c r="H30" i="100"/>
  <c r="D30" i="100"/>
  <c r="L30" i="100" s="1"/>
  <c r="N30" i="100" s="1"/>
  <c r="B30" i="100"/>
  <c r="Z29" i="100"/>
  <c r="X29" i="100"/>
  <c r="V29" i="100"/>
  <c r="L29" i="100"/>
  <c r="N29" i="100" s="1"/>
  <c r="J29" i="100"/>
  <c r="B29" i="100"/>
  <c r="Z28" i="100"/>
  <c r="X28" i="100"/>
  <c r="V28" i="100"/>
  <c r="N28" i="100"/>
  <c r="L28" i="100"/>
  <c r="B28" i="100"/>
  <c r="X27" i="100"/>
  <c r="Z27" i="100" s="1"/>
  <c r="N27" i="100"/>
  <c r="L27" i="100"/>
  <c r="J27" i="100"/>
  <c r="B27" i="100"/>
  <c r="Z26" i="100"/>
  <c r="X26" i="100"/>
  <c r="V26" i="100"/>
  <c r="N26" i="100"/>
  <c r="L26" i="100"/>
  <c r="B26" i="100"/>
  <c r="Z25" i="100"/>
  <c r="X25" i="100"/>
  <c r="V25" i="100"/>
  <c r="N25" i="100"/>
  <c r="L25" i="100"/>
  <c r="J25" i="100"/>
  <c r="F25" i="100"/>
  <c r="B25" i="100"/>
  <c r="X24" i="100"/>
  <c r="Z24" i="100" s="1"/>
  <c r="V24" i="100"/>
  <c r="L24" i="100"/>
  <c r="N24" i="100" s="1"/>
  <c r="F24" i="100"/>
  <c r="B24" i="100"/>
  <c r="X23" i="100"/>
  <c r="Z23" i="100" s="1"/>
  <c r="L23" i="100"/>
  <c r="N23" i="100" s="1"/>
  <c r="J23" i="100"/>
  <c r="B23" i="100"/>
  <c r="X22" i="100"/>
  <c r="Z22" i="100" s="1"/>
  <c r="V22" i="100"/>
  <c r="N22" i="100"/>
  <c r="L22" i="100"/>
  <c r="B22" i="100"/>
  <c r="Z21" i="100"/>
  <c r="X21" i="100"/>
  <c r="V21" i="100"/>
  <c r="N21" i="100"/>
  <c r="L21" i="100"/>
  <c r="J21" i="100"/>
  <c r="B21" i="100"/>
  <c r="X20" i="100"/>
  <c r="V20" i="100"/>
  <c r="T20" i="100"/>
  <c r="P20" i="100"/>
  <c r="J20" i="100"/>
  <c r="H20" i="100"/>
  <c r="F20" i="100"/>
  <c r="D20" i="100"/>
  <c r="B20" i="100"/>
  <c r="X19" i="100"/>
  <c r="Z19" i="100" s="1"/>
  <c r="V19" i="100"/>
  <c r="T19" i="100"/>
  <c r="P19" i="100"/>
  <c r="J19" i="100"/>
  <c r="H19" i="100"/>
  <c r="D19" i="100"/>
  <c r="Z17" i="100"/>
  <c r="V17" i="100"/>
  <c r="J17" i="100"/>
  <c r="Z15" i="100"/>
  <c r="X15" i="100"/>
  <c r="V15" i="100"/>
  <c r="N15" i="100"/>
  <c r="L15" i="100"/>
  <c r="J15" i="100"/>
  <c r="B15" i="100"/>
  <c r="Z14" i="100"/>
  <c r="T14" i="100"/>
  <c r="T17" i="100" s="1"/>
  <c r="T53" i="100" s="1"/>
  <c r="T57" i="100" s="1"/>
  <c r="P14" i="100"/>
  <c r="X14" i="100" s="1"/>
  <c r="J14" i="100"/>
  <c r="H14" i="100"/>
  <c r="D14" i="100"/>
  <c r="Z12" i="100"/>
  <c r="T12" i="100"/>
  <c r="V60" i="100" s="1"/>
  <c r="P12" i="100"/>
  <c r="N12" i="100"/>
  <c r="H12" i="100"/>
  <c r="J47" i="100" s="1"/>
  <c r="D12" i="100"/>
  <c r="F14" i="100" s="1"/>
  <c r="D6" i="100"/>
  <c r="D4" i="100"/>
  <c r="Z52" i="99"/>
  <c r="X52" i="99"/>
  <c r="N52" i="99"/>
  <c r="L52" i="99"/>
  <c r="T48" i="99"/>
  <c r="Z48" i="99" s="1"/>
  <c r="P48" i="99"/>
  <c r="X48" i="99" s="1"/>
  <c r="H48" i="99"/>
  <c r="N48" i="99" s="1"/>
  <c r="D48" i="99"/>
  <c r="Z46" i="99"/>
  <c r="X46" i="99"/>
  <c r="N46" i="99"/>
  <c r="L46" i="99"/>
  <c r="B46" i="99"/>
  <c r="Z45" i="99"/>
  <c r="X45" i="99"/>
  <c r="V45" i="99"/>
  <c r="T45" i="99"/>
  <c r="P45" i="99"/>
  <c r="L45" i="99"/>
  <c r="H45" i="99"/>
  <c r="N45" i="99" s="1"/>
  <c r="D45" i="99"/>
  <c r="B45" i="99"/>
  <c r="Z44" i="99"/>
  <c r="X44" i="99"/>
  <c r="R44" i="99"/>
  <c r="N44" i="99"/>
  <c r="L44" i="99"/>
  <c r="B44" i="99"/>
  <c r="Z43" i="99"/>
  <c r="X43" i="99"/>
  <c r="N43" i="99"/>
  <c r="L43" i="99"/>
  <c r="J43" i="99"/>
  <c r="B43" i="99"/>
  <c r="Z42" i="99"/>
  <c r="T42" i="99"/>
  <c r="P42" i="99"/>
  <c r="X42" i="99" s="1"/>
  <c r="H42" i="99"/>
  <c r="N42" i="99" s="1"/>
  <c r="D42" i="99"/>
  <c r="L42" i="99" s="1"/>
  <c r="B42" i="99"/>
  <c r="Z41" i="99"/>
  <c r="X41" i="99"/>
  <c r="N41" i="99"/>
  <c r="L41" i="99"/>
  <c r="B41" i="99"/>
  <c r="X40" i="99"/>
  <c r="T40" i="99"/>
  <c r="Z40" i="99" s="1"/>
  <c r="P40" i="99"/>
  <c r="J40" i="99"/>
  <c r="H40" i="99"/>
  <c r="N40" i="99" s="1"/>
  <c r="D40" i="99"/>
  <c r="L40" i="99" s="1"/>
  <c r="B40" i="99"/>
  <c r="Z39" i="99"/>
  <c r="X39" i="99"/>
  <c r="N39" i="99"/>
  <c r="L39" i="99"/>
  <c r="F39" i="99"/>
  <c r="B39" i="99"/>
  <c r="T38" i="99"/>
  <c r="Z38" i="99" s="1"/>
  <c r="P38" i="99"/>
  <c r="X38" i="99" s="1"/>
  <c r="N38" i="99"/>
  <c r="H38" i="99"/>
  <c r="D38" i="99"/>
  <c r="L38" i="99" s="1"/>
  <c r="B38" i="99"/>
  <c r="Z37" i="99"/>
  <c r="X37" i="99"/>
  <c r="R37" i="99"/>
  <c r="N37" i="99"/>
  <c r="L37" i="99"/>
  <c r="B37" i="99"/>
  <c r="Z36" i="99"/>
  <c r="T36" i="99"/>
  <c r="R36" i="99"/>
  <c r="P36" i="99"/>
  <c r="X36" i="99" s="1"/>
  <c r="N36" i="99"/>
  <c r="L36" i="99"/>
  <c r="H36" i="99"/>
  <c r="D36" i="99"/>
  <c r="B36" i="99"/>
  <c r="Z35" i="99"/>
  <c r="X35" i="99"/>
  <c r="N35" i="99"/>
  <c r="L35" i="99"/>
  <c r="B35" i="99"/>
  <c r="Z34" i="99"/>
  <c r="X34" i="99"/>
  <c r="N34" i="99"/>
  <c r="L34" i="99"/>
  <c r="F34" i="99"/>
  <c r="B34" i="99"/>
  <c r="Z33" i="99"/>
  <c r="X33" i="99"/>
  <c r="N33" i="99"/>
  <c r="L33" i="99"/>
  <c r="B33" i="99"/>
  <c r="Z32" i="99"/>
  <c r="X32" i="99"/>
  <c r="N32" i="99"/>
  <c r="L32" i="99"/>
  <c r="B32" i="99"/>
  <c r="Z31" i="99"/>
  <c r="T31" i="99"/>
  <c r="P31" i="99"/>
  <c r="X31" i="99" s="1"/>
  <c r="N31" i="99"/>
  <c r="H31" i="99"/>
  <c r="D31" i="99"/>
  <c r="L31" i="99" s="1"/>
  <c r="B31" i="99"/>
  <c r="Z30" i="99"/>
  <c r="X30" i="99"/>
  <c r="V30" i="99"/>
  <c r="N30" i="99"/>
  <c r="L30" i="99"/>
  <c r="J30" i="99"/>
  <c r="B30" i="99"/>
  <c r="Z29" i="99"/>
  <c r="X29" i="99"/>
  <c r="N29" i="99"/>
  <c r="L29" i="99"/>
  <c r="B29" i="99"/>
  <c r="Z28" i="99"/>
  <c r="X28" i="99"/>
  <c r="R28" i="99"/>
  <c r="N28" i="99"/>
  <c r="L28" i="99"/>
  <c r="J28" i="99"/>
  <c r="B28" i="99"/>
  <c r="Z27" i="99"/>
  <c r="X27" i="99"/>
  <c r="R27" i="99"/>
  <c r="N27" i="99"/>
  <c r="L27" i="99"/>
  <c r="B27" i="99"/>
  <c r="Z26" i="99"/>
  <c r="X26" i="99"/>
  <c r="V26" i="99"/>
  <c r="N26" i="99"/>
  <c r="L26" i="99"/>
  <c r="B26" i="99"/>
  <c r="Z25" i="99"/>
  <c r="X25" i="99"/>
  <c r="V25" i="99"/>
  <c r="N25" i="99"/>
  <c r="L25" i="99"/>
  <c r="B25" i="99"/>
  <c r="Z24" i="99"/>
  <c r="X24" i="99"/>
  <c r="R24" i="99"/>
  <c r="N24" i="99"/>
  <c r="L24" i="99"/>
  <c r="J24" i="99"/>
  <c r="B24" i="99"/>
  <c r="Z23" i="99"/>
  <c r="X23" i="99"/>
  <c r="R23" i="99"/>
  <c r="N23" i="99"/>
  <c r="L23" i="99"/>
  <c r="B23" i="99"/>
  <c r="Z22" i="99"/>
  <c r="T22" i="99"/>
  <c r="P22" i="99"/>
  <c r="X22" i="99" s="1"/>
  <c r="N22" i="99"/>
  <c r="H22" i="99"/>
  <c r="D22" i="99"/>
  <c r="L22" i="99" s="1"/>
  <c r="B22" i="99"/>
  <c r="Z21" i="99"/>
  <c r="X21" i="99"/>
  <c r="T21" i="99"/>
  <c r="R21" i="99"/>
  <c r="P21" i="99"/>
  <c r="H21" i="99"/>
  <c r="N21" i="99" s="1"/>
  <c r="D21" i="99"/>
  <c r="L21" i="99" s="1"/>
  <c r="P19" i="99"/>
  <c r="P50" i="99" s="1"/>
  <c r="P54" i="99" s="1"/>
  <c r="Z17" i="99"/>
  <c r="X17" i="99"/>
  <c r="N17" i="99"/>
  <c r="L17" i="99"/>
  <c r="B17" i="99"/>
  <c r="Z16" i="99"/>
  <c r="X16" i="99"/>
  <c r="T16" i="99"/>
  <c r="P16" i="99"/>
  <c r="N16" i="99"/>
  <c r="J16" i="99"/>
  <c r="H16" i="99"/>
  <c r="D16" i="99"/>
  <c r="L16" i="99" s="1"/>
  <c r="Z14" i="99"/>
  <c r="X14" i="99"/>
  <c r="P14" i="99"/>
  <c r="N14" i="99"/>
  <c r="L14" i="99"/>
  <c r="D14" i="99"/>
  <c r="B14" i="99"/>
  <c r="Z13" i="99"/>
  <c r="X13" i="99"/>
  <c r="P13" i="99"/>
  <c r="P12" i="99" s="1"/>
  <c r="R34" i="99" s="1"/>
  <c r="N13" i="99"/>
  <c r="L13" i="99"/>
  <c r="D13" i="99"/>
  <c r="D12" i="99" s="1"/>
  <c r="B13" i="99"/>
  <c r="T12" i="99"/>
  <c r="V29" i="99" s="1"/>
  <c r="H12" i="99"/>
  <c r="J23" i="99" s="1"/>
  <c r="D6" i="99"/>
  <c r="D4" i="99"/>
  <c r="X98" i="98"/>
  <c r="Z98" i="98" s="1"/>
  <c r="N98" i="98"/>
  <c r="L98" i="98"/>
  <c r="T94" i="98"/>
  <c r="Z94" i="98" s="1"/>
  <c r="P94" i="98"/>
  <c r="N94" i="98"/>
  <c r="J94" i="98"/>
  <c r="H94" i="98"/>
  <c r="D94" i="98"/>
  <c r="L94" i="98" s="1"/>
  <c r="Z92" i="98"/>
  <c r="X92" i="98"/>
  <c r="N92" i="98"/>
  <c r="L92" i="98"/>
  <c r="J92" i="98"/>
  <c r="B92" i="98"/>
  <c r="T91" i="98"/>
  <c r="P91" i="98"/>
  <c r="X91" i="98" s="1"/>
  <c r="N91" i="98"/>
  <c r="J91" i="98"/>
  <c r="H91" i="98"/>
  <c r="D91" i="98"/>
  <c r="L91" i="98" s="1"/>
  <c r="B91" i="98"/>
  <c r="X90" i="98"/>
  <c r="Z90" i="98" s="1"/>
  <c r="N90" i="98"/>
  <c r="L90" i="98"/>
  <c r="B90" i="98"/>
  <c r="X89" i="98"/>
  <c r="T89" i="98"/>
  <c r="P89" i="98"/>
  <c r="J89" i="98"/>
  <c r="H89" i="98"/>
  <c r="N89" i="98" s="1"/>
  <c r="D89" i="98"/>
  <c r="L89" i="98" s="1"/>
  <c r="B89" i="98"/>
  <c r="Z88" i="98"/>
  <c r="X88" i="98"/>
  <c r="N88" i="98"/>
  <c r="L88" i="98"/>
  <c r="F88" i="98"/>
  <c r="B88" i="98"/>
  <c r="X87" i="98"/>
  <c r="Z87" i="98" s="1"/>
  <c r="T87" i="98"/>
  <c r="P87" i="98"/>
  <c r="L87" i="98"/>
  <c r="N87" i="98" s="1"/>
  <c r="H87" i="98"/>
  <c r="D87" i="98"/>
  <c r="B87" i="98"/>
  <c r="Z86" i="98"/>
  <c r="X86" i="98"/>
  <c r="N86" i="98"/>
  <c r="L86" i="98"/>
  <c r="J86" i="98"/>
  <c r="B86" i="98"/>
  <c r="Z85" i="98"/>
  <c r="X85" i="98"/>
  <c r="N85" i="98"/>
  <c r="L85" i="98"/>
  <c r="B85" i="98"/>
  <c r="Z84" i="98"/>
  <c r="X84" i="98"/>
  <c r="N84" i="98"/>
  <c r="L84" i="98"/>
  <c r="J84" i="98"/>
  <c r="B84" i="98"/>
  <c r="X83" i="98"/>
  <c r="Z83" i="98" s="1"/>
  <c r="L83" i="98"/>
  <c r="N83" i="98" s="1"/>
  <c r="J83" i="98"/>
  <c r="B83" i="98"/>
  <c r="Z82" i="98"/>
  <c r="X82" i="98"/>
  <c r="N82" i="98"/>
  <c r="L82" i="98"/>
  <c r="J82" i="98"/>
  <c r="B82" i="98"/>
  <c r="Z81" i="98"/>
  <c r="X81" i="98"/>
  <c r="L81" i="98"/>
  <c r="N81" i="98" s="1"/>
  <c r="B81" i="98"/>
  <c r="Z80" i="98"/>
  <c r="X80" i="98"/>
  <c r="L80" i="98"/>
  <c r="N80" i="98" s="1"/>
  <c r="J80" i="98"/>
  <c r="B80" i="98"/>
  <c r="V79" i="98"/>
  <c r="T79" i="98"/>
  <c r="P79" i="98"/>
  <c r="X79" i="98" s="1"/>
  <c r="H79" i="98"/>
  <c r="J79" i="98" s="1"/>
  <c r="D79" i="98"/>
  <c r="B79" i="98"/>
  <c r="X78" i="98"/>
  <c r="Z78" i="98" s="1"/>
  <c r="L78" i="98"/>
  <c r="N78" i="98" s="1"/>
  <c r="B78" i="98"/>
  <c r="Z77" i="98"/>
  <c r="X77" i="98"/>
  <c r="N77" i="98"/>
  <c r="L77" i="98"/>
  <c r="B77" i="98"/>
  <c r="X76" i="98"/>
  <c r="Z76" i="98" s="1"/>
  <c r="T76" i="98"/>
  <c r="P76" i="98"/>
  <c r="J76" i="98"/>
  <c r="H76" i="98"/>
  <c r="D76" i="98"/>
  <c r="L76" i="98" s="1"/>
  <c r="N76" i="98" s="1"/>
  <c r="B76" i="98"/>
  <c r="X75" i="98"/>
  <c r="Z75" i="98" s="1"/>
  <c r="L75" i="98"/>
  <c r="N75" i="98" s="1"/>
  <c r="J75" i="98"/>
  <c r="B75" i="98"/>
  <c r="X74" i="98"/>
  <c r="Z74" i="98" s="1"/>
  <c r="N74" i="98"/>
  <c r="L74" i="98"/>
  <c r="J74" i="98"/>
  <c r="B74" i="98"/>
  <c r="Z73" i="98"/>
  <c r="X73" i="98"/>
  <c r="N73" i="98"/>
  <c r="L73" i="98"/>
  <c r="J73" i="98"/>
  <c r="B73" i="98"/>
  <c r="T72" i="98"/>
  <c r="P72" i="98"/>
  <c r="H72" i="98"/>
  <c r="D72" i="98"/>
  <c r="B72" i="98"/>
  <c r="X71" i="98"/>
  <c r="Z71" i="98" s="1"/>
  <c r="L71" i="98"/>
  <c r="N71" i="98" s="1"/>
  <c r="J71" i="98"/>
  <c r="B71" i="98"/>
  <c r="Z70" i="98"/>
  <c r="X70" i="98"/>
  <c r="N70" i="98"/>
  <c r="L70" i="98"/>
  <c r="J70" i="98"/>
  <c r="B70" i="98"/>
  <c r="Z69" i="98"/>
  <c r="X69" i="98"/>
  <c r="N69" i="98"/>
  <c r="L69" i="98"/>
  <c r="B69" i="98"/>
  <c r="T68" i="98"/>
  <c r="P68" i="98"/>
  <c r="X68" i="98" s="1"/>
  <c r="Z68" i="98" s="1"/>
  <c r="J68" i="98"/>
  <c r="H68" i="98"/>
  <c r="D68" i="98"/>
  <c r="L68" i="98" s="1"/>
  <c r="N68" i="98" s="1"/>
  <c r="B68" i="98"/>
  <c r="Z67" i="98"/>
  <c r="X67" i="98"/>
  <c r="N67" i="98"/>
  <c r="L67" i="98"/>
  <c r="B67" i="98"/>
  <c r="X66" i="98"/>
  <c r="Z66" i="98" s="1"/>
  <c r="L66" i="98"/>
  <c r="N66" i="98" s="1"/>
  <c r="B66" i="98"/>
  <c r="X65" i="98"/>
  <c r="Z65" i="98" s="1"/>
  <c r="T65" i="98"/>
  <c r="P65" i="98"/>
  <c r="J65" i="98"/>
  <c r="H65" i="98"/>
  <c r="D65" i="98"/>
  <c r="L65" i="98" s="1"/>
  <c r="B65" i="98"/>
  <c r="Z64" i="98"/>
  <c r="X64" i="98"/>
  <c r="N64" i="98"/>
  <c r="L64" i="98"/>
  <c r="B64" i="98"/>
  <c r="T63" i="98"/>
  <c r="P63" i="98"/>
  <c r="N63" i="98"/>
  <c r="L63" i="98"/>
  <c r="H63" i="98"/>
  <c r="F63" i="98"/>
  <c r="D63" i="98"/>
  <c r="B63" i="98"/>
  <c r="Z62" i="98"/>
  <c r="X62" i="98"/>
  <c r="L62" i="98"/>
  <c r="N62" i="98" s="1"/>
  <c r="J62" i="98"/>
  <c r="B62" i="98"/>
  <c r="T61" i="98"/>
  <c r="P61" i="98"/>
  <c r="X61" i="98" s="1"/>
  <c r="Z61" i="98" s="1"/>
  <c r="J61" i="98"/>
  <c r="H61" i="98"/>
  <c r="D61" i="98"/>
  <c r="B61" i="98"/>
  <c r="Z60" i="98"/>
  <c r="X60" i="98"/>
  <c r="N60" i="98"/>
  <c r="L60" i="98"/>
  <c r="B60" i="98"/>
  <c r="T59" i="98"/>
  <c r="Z59" i="98" s="1"/>
  <c r="P59" i="98"/>
  <c r="X59" i="98" s="1"/>
  <c r="N59" i="98"/>
  <c r="L59" i="98"/>
  <c r="H59" i="98"/>
  <c r="D59" i="98"/>
  <c r="B59" i="98"/>
  <c r="Z58" i="98"/>
  <c r="X58" i="98"/>
  <c r="N58" i="98"/>
  <c r="L58" i="98"/>
  <c r="J58" i="98"/>
  <c r="B58" i="98"/>
  <c r="Z57" i="98"/>
  <c r="X57" i="98"/>
  <c r="T57" i="98"/>
  <c r="P57" i="98"/>
  <c r="H57" i="98"/>
  <c r="D57" i="98"/>
  <c r="B57" i="98"/>
  <c r="Z56" i="98"/>
  <c r="X56" i="98"/>
  <c r="L56" i="98"/>
  <c r="N56" i="98" s="1"/>
  <c r="J56" i="98"/>
  <c r="B56" i="98"/>
  <c r="X55" i="98"/>
  <c r="Z55" i="98" s="1"/>
  <c r="L55" i="98"/>
  <c r="N55" i="98" s="1"/>
  <c r="J55" i="98"/>
  <c r="B55" i="98"/>
  <c r="Z54" i="98"/>
  <c r="X54" i="98"/>
  <c r="L54" i="98"/>
  <c r="N54" i="98" s="1"/>
  <c r="J54" i="98"/>
  <c r="B54" i="98"/>
  <c r="T53" i="98"/>
  <c r="P53" i="98"/>
  <c r="X53" i="98" s="1"/>
  <c r="Z53" i="98" s="1"/>
  <c r="J53" i="98"/>
  <c r="H53" i="98"/>
  <c r="D53" i="98"/>
  <c r="B53" i="98"/>
  <c r="X52" i="98"/>
  <c r="Z52" i="98" s="1"/>
  <c r="N52" i="98"/>
  <c r="L52" i="98"/>
  <c r="B52" i="98"/>
  <c r="T51" i="98"/>
  <c r="P51" i="98"/>
  <c r="X51" i="98" s="1"/>
  <c r="H51" i="98"/>
  <c r="D51" i="98"/>
  <c r="L51" i="98" s="1"/>
  <c r="B51" i="98"/>
  <c r="X50" i="98"/>
  <c r="Z50" i="98" s="1"/>
  <c r="N50" i="98"/>
  <c r="L50" i="98"/>
  <c r="J50" i="98"/>
  <c r="B50" i="98"/>
  <c r="Z49" i="98"/>
  <c r="X49" i="98"/>
  <c r="T49" i="98"/>
  <c r="P49" i="98"/>
  <c r="H49" i="98"/>
  <c r="L49" i="98" s="1"/>
  <c r="N49" i="98" s="1"/>
  <c r="D49" i="98"/>
  <c r="B49" i="98"/>
  <c r="Z48" i="98"/>
  <c r="X48" i="98"/>
  <c r="L48" i="98"/>
  <c r="N48" i="98" s="1"/>
  <c r="J48" i="98"/>
  <c r="B48" i="98"/>
  <c r="T47" i="98"/>
  <c r="P47" i="98"/>
  <c r="J47" i="98"/>
  <c r="H47" i="98"/>
  <c r="D47" i="98"/>
  <c r="L47" i="98" s="1"/>
  <c r="N47" i="98" s="1"/>
  <c r="B47" i="98"/>
  <c r="Z46" i="98"/>
  <c r="X46" i="98"/>
  <c r="N46" i="98"/>
  <c r="L46" i="98"/>
  <c r="F46" i="98"/>
  <c r="B46" i="98"/>
  <c r="Z45" i="98"/>
  <c r="X45" i="98"/>
  <c r="N45" i="98"/>
  <c r="L45" i="98"/>
  <c r="B45" i="98"/>
  <c r="X44" i="98"/>
  <c r="Z44" i="98" s="1"/>
  <c r="N44" i="98"/>
  <c r="L44" i="98"/>
  <c r="B44" i="98"/>
  <c r="X43" i="98"/>
  <c r="Z43" i="98" s="1"/>
  <c r="N43" i="98"/>
  <c r="L43" i="98"/>
  <c r="F43" i="98"/>
  <c r="B43" i="98"/>
  <c r="Z42" i="98"/>
  <c r="X42" i="98"/>
  <c r="N42" i="98"/>
  <c r="L42" i="98"/>
  <c r="F42" i="98"/>
  <c r="B42" i="98"/>
  <c r="X41" i="98"/>
  <c r="Z41" i="98" s="1"/>
  <c r="N41" i="98"/>
  <c r="L41" i="98"/>
  <c r="B41" i="98"/>
  <c r="X40" i="98"/>
  <c r="Z40" i="98" s="1"/>
  <c r="N40" i="98"/>
  <c r="L40" i="98"/>
  <c r="B40" i="98"/>
  <c r="Z39" i="98"/>
  <c r="X39" i="98"/>
  <c r="N39" i="98"/>
  <c r="L39" i="98"/>
  <c r="F39" i="98"/>
  <c r="B39" i="98"/>
  <c r="X38" i="98"/>
  <c r="Z38" i="98" s="1"/>
  <c r="L38" i="98"/>
  <c r="N38" i="98" s="1"/>
  <c r="B38" i="98"/>
  <c r="Z37" i="98"/>
  <c r="X37" i="98"/>
  <c r="N37" i="98"/>
  <c r="L37" i="98"/>
  <c r="B37" i="98"/>
  <c r="X36" i="98"/>
  <c r="Z36" i="98" s="1"/>
  <c r="T36" i="98"/>
  <c r="P36" i="98"/>
  <c r="L36" i="98"/>
  <c r="N36" i="98" s="1"/>
  <c r="J36" i="98"/>
  <c r="H36" i="98"/>
  <c r="D36" i="98"/>
  <c r="B36" i="98"/>
  <c r="Z35" i="98"/>
  <c r="X35" i="98"/>
  <c r="L35" i="98"/>
  <c r="N35" i="98" s="1"/>
  <c r="J35" i="98"/>
  <c r="B35" i="98"/>
  <c r="X34" i="98"/>
  <c r="Z34" i="98" s="1"/>
  <c r="N34" i="98"/>
  <c r="L34" i="98"/>
  <c r="J34" i="98"/>
  <c r="B34" i="98"/>
  <c r="X33" i="98"/>
  <c r="Z33" i="98" s="1"/>
  <c r="N33" i="98"/>
  <c r="L33" i="98"/>
  <c r="J33" i="98"/>
  <c r="B33" i="98"/>
  <c r="Z32" i="98"/>
  <c r="X32" i="98"/>
  <c r="N32" i="98"/>
  <c r="L32" i="98"/>
  <c r="B32" i="98"/>
  <c r="X31" i="98"/>
  <c r="Z31" i="98" s="1"/>
  <c r="L31" i="98"/>
  <c r="N31" i="98" s="1"/>
  <c r="J31" i="98"/>
  <c r="B31" i="98"/>
  <c r="X30" i="98"/>
  <c r="Z30" i="98" s="1"/>
  <c r="N30" i="98"/>
  <c r="L30" i="98"/>
  <c r="J30" i="98"/>
  <c r="B30" i="98"/>
  <c r="Z29" i="98"/>
  <c r="X29" i="98"/>
  <c r="N29" i="98"/>
  <c r="L29" i="98"/>
  <c r="J29" i="98"/>
  <c r="F29" i="98"/>
  <c r="B29" i="98"/>
  <c r="Z28" i="98"/>
  <c r="X28" i="98"/>
  <c r="N28" i="98"/>
  <c r="L28" i="98"/>
  <c r="F28" i="98"/>
  <c r="B28" i="98"/>
  <c r="X27" i="98"/>
  <c r="Z27" i="98" s="1"/>
  <c r="L27" i="98"/>
  <c r="N27" i="98" s="1"/>
  <c r="J27" i="98"/>
  <c r="B27" i="98"/>
  <c r="T26" i="98"/>
  <c r="P26" i="98"/>
  <c r="H26" i="98"/>
  <c r="D26" i="98"/>
  <c r="B26" i="98"/>
  <c r="T25" i="98"/>
  <c r="P25" i="98"/>
  <c r="H25" i="98"/>
  <c r="D25" i="98"/>
  <c r="L25" i="98" s="1"/>
  <c r="Z21" i="98"/>
  <c r="X21" i="98"/>
  <c r="N21" i="98"/>
  <c r="L21" i="98"/>
  <c r="B21" i="98"/>
  <c r="Z20" i="98"/>
  <c r="X20" i="98"/>
  <c r="N20" i="98"/>
  <c r="L20" i="98"/>
  <c r="J20" i="98"/>
  <c r="B20" i="98"/>
  <c r="X19" i="98"/>
  <c r="Z19" i="98" s="1"/>
  <c r="V19" i="98"/>
  <c r="L19" i="98"/>
  <c r="N19" i="98" s="1"/>
  <c r="J19" i="98"/>
  <c r="B19" i="98"/>
  <c r="Z18" i="98"/>
  <c r="T18" i="98"/>
  <c r="P18" i="98"/>
  <c r="X18" i="98" s="1"/>
  <c r="J18" i="98"/>
  <c r="H18" i="98"/>
  <c r="D18" i="98"/>
  <c r="L18" i="98" s="1"/>
  <c r="Z16" i="98"/>
  <c r="P16" i="98"/>
  <c r="X16" i="98" s="1"/>
  <c r="N16" i="98"/>
  <c r="D16" i="98"/>
  <c r="L16" i="98" s="1"/>
  <c r="B16" i="98"/>
  <c r="P15" i="98"/>
  <c r="X15" i="98" s="1"/>
  <c r="Z15" i="98" s="1"/>
  <c r="L15" i="98"/>
  <c r="N15" i="98" s="1"/>
  <c r="D15" i="98"/>
  <c r="B15" i="98"/>
  <c r="Z14" i="98"/>
  <c r="P14" i="98"/>
  <c r="X14" i="98" s="1"/>
  <c r="N14" i="98"/>
  <c r="L14" i="98"/>
  <c r="D14" i="98"/>
  <c r="B14" i="98"/>
  <c r="P13" i="98"/>
  <c r="N13" i="98"/>
  <c r="D13" i="98"/>
  <c r="L13" i="98" s="1"/>
  <c r="B13" i="98"/>
  <c r="T12" i="98"/>
  <c r="H12" i="98"/>
  <c r="J85" i="98" s="1"/>
  <c r="D12" i="98"/>
  <c r="F89" i="98" s="1"/>
  <c r="D6" i="98"/>
  <c r="D4" i="98"/>
  <c r="X104" i="96"/>
  <c r="Z104" i="96" s="1"/>
  <c r="L104" i="96"/>
  <c r="N104" i="96" s="1"/>
  <c r="Z100" i="96"/>
  <c r="X100" i="96"/>
  <c r="P100" i="96"/>
  <c r="P99" i="96" s="1"/>
  <c r="N100" i="96"/>
  <c r="D100" i="96"/>
  <c r="L100" i="96" s="1"/>
  <c r="B100" i="96"/>
  <c r="T99" i="96"/>
  <c r="Z99" i="96" s="1"/>
  <c r="L99" i="96"/>
  <c r="H99" i="96"/>
  <c r="N99" i="96" s="1"/>
  <c r="D99" i="96"/>
  <c r="X97" i="96"/>
  <c r="Z97" i="96" s="1"/>
  <c r="N97" i="96"/>
  <c r="L97" i="96"/>
  <c r="B97" i="96"/>
  <c r="X96" i="96"/>
  <c r="T96" i="96"/>
  <c r="P96" i="96"/>
  <c r="H96" i="96"/>
  <c r="D96" i="96"/>
  <c r="L96" i="96" s="1"/>
  <c r="N96" i="96" s="1"/>
  <c r="B96" i="96"/>
  <c r="Z95" i="96"/>
  <c r="X95" i="96"/>
  <c r="N95" i="96"/>
  <c r="L95" i="96"/>
  <c r="F95" i="96"/>
  <c r="B95" i="96"/>
  <c r="X94" i="96"/>
  <c r="Z94" i="96" s="1"/>
  <c r="N94" i="96"/>
  <c r="L94" i="96"/>
  <c r="B94" i="96"/>
  <c r="Z93" i="96"/>
  <c r="X93" i="96"/>
  <c r="T93" i="96"/>
  <c r="P93" i="96"/>
  <c r="N93" i="96"/>
  <c r="H93" i="96"/>
  <c r="D93" i="96"/>
  <c r="L93" i="96" s="1"/>
  <c r="B93" i="96"/>
  <c r="Z92" i="96"/>
  <c r="X92" i="96"/>
  <c r="N92" i="96"/>
  <c r="L92" i="96"/>
  <c r="B92" i="96"/>
  <c r="T91" i="96"/>
  <c r="Z91" i="96" s="1"/>
  <c r="P91" i="96"/>
  <c r="N91" i="96"/>
  <c r="H91" i="96"/>
  <c r="D91" i="96"/>
  <c r="L91" i="96" s="1"/>
  <c r="B91" i="96"/>
  <c r="Z90" i="96"/>
  <c r="X90" i="96"/>
  <c r="L90" i="96"/>
  <c r="N90" i="96" s="1"/>
  <c r="B90" i="96"/>
  <c r="T89" i="96"/>
  <c r="P89" i="96"/>
  <c r="X89" i="96" s="1"/>
  <c r="L89" i="96"/>
  <c r="J89" i="96"/>
  <c r="H89" i="96"/>
  <c r="N89" i="96" s="1"/>
  <c r="D89" i="96"/>
  <c r="B89" i="96"/>
  <c r="Z88" i="96"/>
  <c r="X88" i="96"/>
  <c r="V88" i="96"/>
  <c r="N88" i="96"/>
  <c r="L88" i="96"/>
  <c r="B88" i="96"/>
  <c r="Z87" i="96"/>
  <c r="X87" i="96"/>
  <c r="L87" i="96"/>
  <c r="N87" i="96" s="1"/>
  <c r="F87" i="96"/>
  <c r="B87" i="96"/>
  <c r="X86" i="96"/>
  <c r="Z86" i="96" s="1"/>
  <c r="L86" i="96"/>
  <c r="N86" i="96" s="1"/>
  <c r="B86" i="96"/>
  <c r="X85" i="96"/>
  <c r="Z85" i="96" s="1"/>
  <c r="N85" i="96"/>
  <c r="L85" i="96"/>
  <c r="B85" i="96"/>
  <c r="Z84" i="96"/>
  <c r="X84" i="96"/>
  <c r="V84" i="96"/>
  <c r="N84" i="96"/>
  <c r="L84" i="96"/>
  <c r="B84" i="96"/>
  <c r="Z83" i="96"/>
  <c r="X83" i="96"/>
  <c r="L83" i="96"/>
  <c r="N83" i="96" s="1"/>
  <c r="F83" i="96"/>
  <c r="B83" i="96"/>
  <c r="X82" i="96"/>
  <c r="Z82" i="96" s="1"/>
  <c r="L82" i="96"/>
  <c r="N82" i="96" s="1"/>
  <c r="B82" i="96"/>
  <c r="X81" i="96"/>
  <c r="Z81" i="96" s="1"/>
  <c r="N81" i="96"/>
  <c r="L81" i="96"/>
  <c r="B81" i="96"/>
  <c r="V80" i="96"/>
  <c r="T80" i="96"/>
  <c r="P80" i="96"/>
  <c r="L80" i="96"/>
  <c r="H80" i="96"/>
  <c r="D80" i="96"/>
  <c r="B80" i="96"/>
  <c r="X79" i="96"/>
  <c r="Z79" i="96" s="1"/>
  <c r="L79" i="96"/>
  <c r="N79" i="96" s="1"/>
  <c r="J79" i="96"/>
  <c r="B79" i="96"/>
  <c r="Z78" i="96"/>
  <c r="X78" i="96"/>
  <c r="N78" i="96"/>
  <c r="L78" i="96"/>
  <c r="B78" i="96"/>
  <c r="Z77" i="96"/>
  <c r="T77" i="96"/>
  <c r="P77" i="96"/>
  <c r="X77" i="96" s="1"/>
  <c r="L77" i="96"/>
  <c r="H77" i="96"/>
  <c r="D77" i="96"/>
  <c r="B77" i="96"/>
  <c r="X76" i="96"/>
  <c r="Z76" i="96" s="1"/>
  <c r="N76" i="96"/>
  <c r="L76" i="96"/>
  <c r="F76" i="96"/>
  <c r="B76" i="96"/>
  <c r="X75" i="96"/>
  <c r="Z75" i="96" s="1"/>
  <c r="V75" i="96"/>
  <c r="N75" i="96"/>
  <c r="L75" i="96"/>
  <c r="B75" i="96"/>
  <c r="Z74" i="96"/>
  <c r="X74" i="96"/>
  <c r="L74" i="96"/>
  <c r="N74" i="96" s="1"/>
  <c r="B74" i="96"/>
  <c r="X73" i="96"/>
  <c r="Z73" i="96" s="1"/>
  <c r="N73" i="96"/>
  <c r="L73" i="96"/>
  <c r="B73" i="96"/>
  <c r="X72" i="96"/>
  <c r="Z72" i="96" s="1"/>
  <c r="N72" i="96"/>
  <c r="L72" i="96"/>
  <c r="F72" i="96"/>
  <c r="B72" i="96"/>
  <c r="X71" i="96"/>
  <c r="T71" i="96"/>
  <c r="Z71" i="96" s="1"/>
  <c r="P71" i="96"/>
  <c r="H71" i="96"/>
  <c r="D71" i="96"/>
  <c r="B71" i="96"/>
  <c r="X70" i="96"/>
  <c r="Z70" i="96" s="1"/>
  <c r="L70" i="96"/>
  <c r="N70" i="96" s="1"/>
  <c r="B70" i="96"/>
  <c r="Z69" i="96"/>
  <c r="X69" i="96"/>
  <c r="N69" i="96"/>
  <c r="L69" i="96"/>
  <c r="B69" i="96"/>
  <c r="Z68" i="96"/>
  <c r="X68" i="96"/>
  <c r="N68" i="96"/>
  <c r="L68" i="96"/>
  <c r="B68" i="96"/>
  <c r="Z67" i="96"/>
  <c r="X67" i="96"/>
  <c r="N67" i="96"/>
  <c r="L67" i="96"/>
  <c r="B67" i="96"/>
  <c r="X66" i="96"/>
  <c r="T66" i="96"/>
  <c r="P66" i="96"/>
  <c r="H66" i="96"/>
  <c r="F66" i="96"/>
  <c r="D66" i="96"/>
  <c r="B66" i="96"/>
  <c r="Z65" i="96"/>
  <c r="X65" i="96"/>
  <c r="L65" i="96"/>
  <c r="N65" i="96" s="1"/>
  <c r="F65" i="96"/>
  <c r="B65" i="96"/>
  <c r="T64" i="96"/>
  <c r="P64" i="96"/>
  <c r="H64" i="96"/>
  <c r="N64" i="96" s="1"/>
  <c r="D64" i="96"/>
  <c r="L64" i="96" s="1"/>
  <c r="B64" i="96"/>
  <c r="X63" i="96"/>
  <c r="Z63" i="96" s="1"/>
  <c r="N63" i="96"/>
  <c r="L63" i="96"/>
  <c r="B63" i="96"/>
  <c r="Z62" i="96"/>
  <c r="X62" i="96"/>
  <c r="T62" i="96"/>
  <c r="P62" i="96"/>
  <c r="L62" i="96"/>
  <c r="H62" i="96"/>
  <c r="D62" i="96"/>
  <c r="B62" i="96"/>
  <c r="X61" i="96"/>
  <c r="Z61" i="96" s="1"/>
  <c r="N61" i="96"/>
  <c r="L61" i="96"/>
  <c r="B61" i="96"/>
  <c r="V60" i="96"/>
  <c r="T60" i="96"/>
  <c r="P60" i="96"/>
  <c r="L60" i="96"/>
  <c r="H60" i="96"/>
  <c r="N60" i="96" s="1"/>
  <c r="D60" i="96"/>
  <c r="B60" i="96"/>
  <c r="X59" i="96"/>
  <c r="Z59" i="96" s="1"/>
  <c r="L59" i="96"/>
  <c r="N59" i="96" s="1"/>
  <c r="J59" i="96"/>
  <c r="B59" i="96"/>
  <c r="T58" i="96"/>
  <c r="Z58" i="96" s="1"/>
  <c r="P58" i="96"/>
  <c r="X58" i="96" s="1"/>
  <c r="H58" i="96"/>
  <c r="N58" i="96" s="1"/>
  <c r="D58" i="96"/>
  <c r="L58" i="96" s="1"/>
  <c r="B58" i="96"/>
  <c r="Z57" i="96"/>
  <c r="X57" i="96"/>
  <c r="N57" i="96"/>
  <c r="L57" i="96"/>
  <c r="B57" i="96"/>
  <c r="T56" i="96"/>
  <c r="X56" i="96" s="1"/>
  <c r="P56" i="96"/>
  <c r="L56" i="96"/>
  <c r="N56" i="96" s="1"/>
  <c r="H56" i="96"/>
  <c r="D56" i="96"/>
  <c r="B56" i="96"/>
  <c r="Z55" i="96"/>
  <c r="X55" i="96"/>
  <c r="V55" i="96"/>
  <c r="L55" i="96"/>
  <c r="N55" i="96" s="1"/>
  <c r="B55" i="96"/>
  <c r="X54" i="96"/>
  <c r="Z54" i="96" s="1"/>
  <c r="L54" i="96"/>
  <c r="N54" i="96" s="1"/>
  <c r="B54" i="96"/>
  <c r="X53" i="96"/>
  <c r="Z53" i="96" s="1"/>
  <c r="N53" i="96"/>
  <c r="L53" i="96"/>
  <c r="B53" i="96"/>
  <c r="T52" i="96"/>
  <c r="P52" i="96"/>
  <c r="L52" i="96"/>
  <c r="H52" i="96"/>
  <c r="D52" i="96"/>
  <c r="B52" i="96"/>
  <c r="X51" i="96"/>
  <c r="Z51" i="96" s="1"/>
  <c r="V51" i="96"/>
  <c r="N51" i="96"/>
  <c r="L51" i="96"/>
  <c r="B51" i="96"/>
  <c r="T50" i="96"/>
  <c r="P50" i="96"/>
  <c r="X50" i="96" s="1"/>
  <c r="H50" i="96"/>
  <c r="N50" i="96" s="1"/>
  <c r="D50" i="96"/>
  <c r="B50" i="96"/>
  <c r="X49" i="96"/>
  <c r="Z49" i="96" s="1"/>
  <c r="L49" i="96"/>
  <c r="N49" i="96" s="1"/>
  <c r="B49" i="96"/>
  <c r="T48" i="96"/>
  <c r="P48" i="96"/>
  <c r="H48" i="96"/>
  <c r="D48" i="96"/>
  <c r="L48" i="96" s="1"/>
  <c r="N48" i="96" s="1"/>
  <c r="B48" i="96"/>
  <c r="Z47" i="96"/>
  <c r="X47" i="96"/>
  <c r="L47" i="96"/>
  <c r="N47" i="96" s="1"/>
  <c r="J47" i="96"/>
  <c r="B47" i="96"/>
  <c r="T46" i="96"/>
  <c r="P46" i="96"/>
  <c r="X46" i="96" s="1"/>
  <c r="N46" i="96"/>
  <c r="H46" i="96"/>
  <c r="L46" i="96" s="1"/>
  <c r="D46" i="96"/>
  <c r="B46" i="96"/>
  <c r="Z45" i="96"/>
  <c r="X45" i="96"/>
  <c r="N45" i="96"/>
  <c r="L45" i="96"/>
  <c r="F45" i="96"/>
  <c r="B45" i="96"/>
  <c r="Z44" i="96"/>
  <c r="X44" i="96"/>
  <c r="N44" i="96"/>
  <c r="L44" i="96"/>
  <c r="F44" i="96"/>
  <c r="B44" i="96"/>
  <c r="X43" i="96"/>
  <c r="Z43" i="96" s="1"/>
  <c r="L43" i="96"/>
  <c r="N43" i="96" s="1"/>
  <c r="B43" i="96"/>
  <c r="X42" i="96"/>
  <c r="Z42" i="96" s="1"/>
  <c r="N42" i="96"/>
  <c r="L42" i="96"/>
  <c r="J42" i="96"/>
  <c r="B42" i="96"/>
  <c r="Z41" i="96"/>
  <c r="X41" i="96"/>
  <c r="N41" i="96"/>
  <c r="L41" i="96"/>
  <c r="F41" i="96"/>
  <c r="B41" i="96"/>
  <c r="Z40" i="96"/>
  <c r="X40" i="96"/>
  <c r="L40" i="96"/>
  <c r="N40" i="96" s="1"/>
  <c r="F40" i="96"/>
  <c r="B40" i="96"/>
  <c r="X39" i="96"/>
  <c r="Z39" i="96" s="1"/>
  <c r="V39" i="96"/>
  <c r="L39" i="96"/>
  <c r="N39" i="96" s="1"/>
  <c r="B39" i="96"/>
  <c r="Z38" i="96"/>
  <c r="X38" i="96"/>
  <c r="V38" i="96"/>
  <c r="N38" i="96"/>
  <c r="L38" i="96"/>
  <c r="B38" i="96"/>
  <c r="Z37" i="96"/>
  <c r="X37" i="96"/>
  <c r="N37" i="96"/>
  <c r="L37" i="96"/>
  <c r="F37" i="96"/>
  <c r="B37" i="96"/>
  <c r="Z36" i="96"/>
  <c r="X36" i="96"/>
  <c r="N36" i="96"/>
  <c r="L36" i="96"/>
  <c r="B36" i="96"/>
  <c r="T35" i="96"/>
  <c r="P35" i="96"/>
  <c r="N35" i="96"/>
  <c r="H35" i="96"/>
  <c r="D35" i="96"/>
  <c r="L35" i="96" s="1"/>
  <c r="B35" i="96"/>
  <c r="X34" i="96"/>
  <c r="Z34" i="96" s="1"/>
  <c r="L34" i="96"/>
  <c r="N34" i="96" s="1"/>
  <c r="B34" i="96"/>
  <c r="X33" i="96"/>
  <c r="Z33" i="96" s="1"/>
  <c r="L33" i="96"/>
  <c r="N33" i="96" s="1"/>
  <c r="B33" i="96"/>
  <c r="X32" i="96"/>
  <c r="Z32" i="96" s="1"/>
  <c r="N32" i="96"/>
  <c r="L32" i="96"/>
  <c r="B32" i="96"/>
  <c r="Z31" i="96"/>
  <c r="X31" i="96"/>
  <c r="V31" i="96"/>
  <c r="N31" i="96"/>
  <c r="L31" i="96"/>
  <c r="B31" i="96"/>
  <c r="X30" i="96"/>
  <c r="Z30" i="96" s="1"/>
  <c r="N30" i="96"/>
  <c r="L30" i="96"/>
  <c r="F30" i="96"/>
  <c r="B30" i="96"/>
  <c r="X29" i="96"/>
  <c r="Z29" i="96" s="1"/>
  <c r="L29" i="96"/>
  <c r="N29" i="96" s="1"/>
  <c r="B29" i="96"/>
  <c r="X28" i="96"/>
  <c r="Z28" i="96" s="1"/>
  <c r="N28" i="96"/>
  <c r="L28" i="96"/>
  <c r="J28" i="96"/>
  <c r="B28" i="96"/>
  <c r="X27" i="96"/>
  <c r="Z27" i="96" s="1"/>
  <c r="N27" i="96"/>
  <c r="L27" i="96"/>
  <c r="B27" i="96"/>
  <c r="X26" i="96"/>
  <c r="Z26" i="96" s="1"/>
  <c r="V26" i="96"/>
  <c r="L26" i="96"/>
  <c r="N26" i="96" s="1"/>
  <c r="B26" i="96"/>
  <c r="Z25" i="96"/>
  <c r="T25" i="96"/>
  <c r="P25" i="96"/>
  <c r="X25" i="96" s="1"/>
  <c r="L25" i="96"/>
  <c r="H25" i="96"/>
  <c r="N25" i="96" s="1"/>
  <c r="D25" i="96"/>
  <c r="B25" i="96"/>
  <c r="V24" i="96"/>
  <c r="T24" i="96"/>
  <c r="P24" i="96"/>
  <c r="H24" i="96"/>
  <c r="D24" i="96"/>
  <c r="L24" i="96" s="1"/>
  <c r="N24" i="96" s="1"/>
  <c r="H22" i="96"/>
  <c r="Z20" i="96"/>
  <c r="X20" i="96"/>
  <c r="N20" i="96"/>
  <c r="L20" i="96"/>
  <c r="B20" i="96"/>
  <c r="Z19" i="96"/>
  <c r="X19" i="96"/>
  <c r="N19" i="96"/>
  <c r="L19" i="96"/>
  <c r="J19" i="96"/>
  <c r="B19" i="96"/>
  <c r="Z18" i="96"/>
  <c r="X18" i="96"/>
  <c r="L18" i="96"/>
  <c r="N18" i="96" s="1"/>
  <c r="B18" i="96"/>
  <c r="T17" i="96"/>
  <c r="X17" i="96" s="1"/>
  <c r="Z17" i="96" s="1"/>
  <c r="P17" i="96"/>
  <c r="H17" i="96"/>
  <c r="D17" i="96"/>
  <c r="L17" i="96" s="1"/>
  <c r="N17" i="96" s="1"/>
  <c r="Z15" i="96"/>
  <c r="X15" i="96"/>
  <c r="P15" i="96"/>
  <c r="N15" i="96"/>
  <c r="L15" i="96"/>
  <c r="D15" i="96"/>
  <c r="B15" i="96"/>
  <c r="P14" i="96"/>
  <c r="X14" i="96" s="1"/>
  <c r="Z14" i="96" s="1"/>
  <c r="L14" i="96"/>
  <c r="N14" i="96" s="1"/>
  <c r="D14" i="96"/>
  <c r="B14" i="96"/>
  <c r="Z13" i="96"/>
  <c r="X13" i="96"/>
  <c r="P13" i="96"/>
  <c r="N13" i="96"/>
  <c r="L13" i="96"/>
  <c r="D13" i="96"/>
  <c r="B13" i="96"/>
  <c r="T12" i="96"/>
  <c r="V71" i="96" s="1"/>
  <c r="H12" i="96"/>
  <c r="D12" i="96"/>
  <c r="F71" i="96" s="1"/>
  <c r="D6" i="96"/>
  <c r="D4" i="96"/>
  <c r="D90" i="95"/>
  <c r="X88" i="95"/>
  <c r="Z88" i="95" s="1"/>
  <c r="N88" i="95"/>
  <c r="L88" i="95"/>
  <c r="Z84" i="95"/>
  <c r="T84" i="95"/>
  <c r="P84" i="95"/>
  <c r="X84" i="95" s="1"/>
  <c r="N84" i="95"/>
  <c r="J84" i="95"/>
  <c r="H84" i="95"/>
  <c r="D84" i="95"/>
  <c r="X82" i="95"/>
  <c r="Z82" i="95" s="1"/>
  <c r="L82" i="95"/>
  <c r="N82" i="95" s="1"/>
  <c r="B82" i="95"/>
  <c r="Z81" i="95"/>
  <c r="T81" i="95"/>
  <c r="X81" i="95" s="1"/>
  <c r="P81" i="95"/>
  <c r="H81" i="95"/>
  <c r="D81" i="95"/>
  <c r="B81" i="95"/>
  <c r="Z80" i="95"/>
  <c r="X80" i="95"/>
  <c r="L80" i="95"/>
  <c r="N80" i="95" s="1"/>
  <c r="B80" i="95"/>
  <c r="T79" i="95"/>
  <c r="P79" i="95"/>
  <c r="X79" i="95" s="1"/>
  <c r="N79" i="95"/>
  <c r="H79" i="95"/>
  <c r="F79" i="95"/>
  <c r="D79" i="95"/>
  <c r="L79" i="95" s="1"/>
  <c r="B79" i="95"/>
  <c r="Z78" i="95"/>
  <c r="X78" i="95"/>
  <c r="N78" i="95"/>
  <c r="L78" i="95"/>
  <c r="B78" i="95"/>
  <c r="Z77" i="95"/>
  <c r="X77" i="95"/>
  <c r="N77" i="95"/>
  <c r="L77" i="95"/>
  <c r="B77" i="95"/>
  <c r="Z76" i="95"/>
  <c r="X76" i="95"/>
  <c r="N76" i="95"/>
  <c r="L76" i="95"/>
  <c r="B76" i="95"/>
  <c r="X75" i="95"/>
  <c r="Z75" i="95" s="1"/>
  <c r="V75" i="95"/>
  <c r="N75" i="95"/>
  <c r="L75" i="95"/>
  <c r="B75" i="95"/>
  <c r="X74" i="95"/>
  <c r="Z74" i="95" s="1"/>
  <c r="L74" i="95"/>
  <c r="N74" i="95" s="1"/>
  <c r="B74" i="95"/>
  <c r="X73" i="95"/>
  <c r="Z73" i="95" s="1"/>
  <c r="L73" i="95"/>
  <c r="N73" i="95" s="1"/>
  <c r="B73" i="95"/>
  <c r="Z72" i="95"/>
  <c r="X72" i="95"/>
  <c r="N72" i="95"/>
  <c r="L72" i="95"/>
  <c r="B72" i="95"/>
  <c r="X71" i="95"/>
  <c r="V71" i="95"/>
  <c r="T71" i="95"/>
  <c r="P71" i="95"/>
  <c r="L71" i="95"/>
  <c r="H71" i="95"/>
  <c r="N71" i="95" s="1"/>
  <c r="D71" i="95"/>
  <c r="B71" i="95"/>
  <c r="Z70" i="95"/>
  <c r="X70" i="95"/>
  <c r="V70" i="95"/>
  <c r="N70" i="95"/>
  <c r="L70" i="95"/>
  <c r="B70" i="95"/>
  <c r="X69" i="95"/>
  <c r="T69" i="95"/>
  <c r="Z69" i="95" s="1"/>
  <c r="P69" i="95"/>
  <c r="N69" i="95"/>
  <c r="H69" i="95"/>
  <c r="D69" i="95"/>
  <c r="L69" i="95" s="1"/>
  <c r="B69" i="95"/>
  <c r="Z68" i="95"/>
  <c r="X68" i="95"/>
  <c r="L68" i="95"/>
  <c r="N68" i="95" s="1"/>
  <c r="B68" i="95"/>
  <c r="T67" i="95"/>
  <c r="P67" i="95"/>
  <c r="L67" i="95"/>
  <c r="H67" i="95"/>
  <c r="N67" i="95" s="1"/>
  <c r="D67" i="95"/>
  <c r="B67" i="95"/>
  <c r="Z66" i="95"/>
  <c r="X66" i="95"/>
  <c r="V66" i="95"/>
  <c r="N66" i="95"/>
  <c r="L66" i="95"/>
  <c r="F66" i="95"/>
  <c r="B66" i="95"/>
  <c r="T65" i="95"/>
  <c r="P65" i="95"/>
  <c r="L65" i="95"/>
  <c r="H65" i="95"/>
  <c r="N65" i="95" s="1"/>
  <c r="D65" i="95"/>
  <c r="B65" i="95"/>
  <c r="Z64" i="95"/>
  <c r="X64" i="95"/>
  <c r="V64" i="95"/>
  <c r="N64" i="95"/>
  <c r="L64" i="95"/>
  <c r="B64" i="95"/>
  <c r="Z63" i="95"/>
  <c r="X63" i="95"/>
  <c r="N63" i="95"/>
  <c r="L63" i="95"/>
  <c r="F63" i="95"/>
  <c r="B63" i="95"/>
  <c r="T62" i="95"/>
  <c r="P62" i="95"/>
  <c r="X62" i="95" s="1"/>
  <c r="J62" i="95"/>
  <c r="H62" i="95"/>
  <c r="D62" i="95"/>
  <c r="L62" i="95" s="1"/>
  <c r="N62" i="95" s="1"/>
  <c r="B62" i="95"/>
  <c r="X61" i="95"/>
  <c r="Z61" i="95" s="1"/>
  <c r="V61" i="95"/>
  <c r="N61" i="95"/>
  <c r="L61" i="95"/>
  <c r="F61" i="95"/>
  <c r="B61" i="95"/>
  <c r="Z60" i="95"/>
  <c r="T60" i="95"/>
  <c r="P60" i="95"/>
  <c r="X60" i="95" s="1"/>
  <c r="L60" i="95"/>
  <c r="N60" i="95" s="1"/>
  <c r="H60" i="95"/>
  <c r="D60" i="95"/>
  <c r="B60" i="95"/>
  <c r="Z59" i="95"/>
  <c r="X59" i="95"/>
  <c r="N59" i="95"/>
  <c r="L59" i="95"/>
  <c r="B59" i="95"/>
  <c r="Z58" i="95"/>
  <c r="X58" i="95"/>
  <c r="T58" i="95"/>
  <c r="P58" i="95"/>
  <c r="L58" i="95"/>
  <c r="H58" i="95"/>
  <c r="N58" i="95" s="1"/>
  <c r="D58" i="95"/>
  <c r="B58" i="95"/>
  <c r="X57" i="95"/>
  <c r="Z57" i="95" s="1"/>
  <c r="N57" i="95"/>
  <c r="L57" i="95"/>
  <c r="J57" i="95"/>
  <c r="B57" i="95"/>
  <c r="T56" i="95"/>
  <c r="Z56" i="95" s="1"/>
  <c r="P56" i="95"/>
  <c r="X56" i="95" s="1"/>
  <c r="H56" i="95"/>
  <c r="N56" i="95" s="1"/>
  <c r="D56" i="95"/>
  <c r="B56" i="95"/>
  <c r="X55" i="95"/>
  <c r="Z55" i="95" s="1"/>
  <c r="L55" i="95"/>
  <c r="N55" i="95" s="1"/>
  <c r="B55" i="95"/>
  <c r="X54" i="95"/>
  <c r="Z54" i="95" s="1"/>
  <c r="N54" i="95"/>
  <c r="L54" i="95"/>
  <c r="B54" i="95"/>
  <c r="X53" i="95"/>
  <c r="T53" i="95"/>
  <c r="Z53" i="95" s="1"/>
  <c r="P53" i="95"/>
  <c r="H53" i="95"/>
  <c r="D53" i="95"/>
  <c r="B53" i="95"/>
  <c r="X52" i="95"/>
  <c r="Z52" i="95" s="1"/>
  <c r="N52" i="95"/>
  <c r="L52" i="95"/>
  <c r="J52" i="95"/>
  <c r="B52" i="95"/>
  <c r="X51" i="95"/>
  <c r="T51" i="95"/>
  <c r="Z51" i="95" s="1"/>
  <c r="P51" i="95"/>
  <c r="H51" i="95"/>
  <c r="D51" i="95"/>
  <c r="B51" i="95"/>
  <c r="Z50" i="95"/>
  <c r="X50" i="95"/>
  <c r="L50" i="95"/>
  <c r="N50" i="95" s="1"/>
  <c r="B50" i="95"/>
  <c r="T49" i="95"/>
  <c r="P49" i="95"/>
  <c r="N49" i="95"/>
  <c r="H49" i="95"/>
  <c r="D49" i="95"/>
  <c r="L49" i="95" s="1"/>
  <c r="B49" i="95"/>
  <c r="Z48" i="95"/>
  <c r="X48" i="95"/>
  <c r="L48" i="95"/>
  <c r="N48" i="95" s="1"/>
  <c r="B48" i="95"/>
  <c r="T47" i="95"/>
  <c r="P47" i="95"/>
  <c r="X47" i="95" s="1"/>
  <c r="L47" i="95"/>
  <c r="J47" i="95"/>
  <c r="H47" i="95"/>
  <c r="F47" i="95"/>
  <c r="D47" i="95"/>
  <c r="B47" i="95"/>
  <c r="Z46" i="95"/>
  <c r="X46" i="95"/>
  <c r="V46" i="95"/>
  <c r="N46" i="95"/>
  <c r="L46" i="95"/>
  <c r="J46" i="95"/>
  <c r="F46" i="95"/>
  <c r="B46" i="95"/>
  <c r="Z45" i="95"/>
  <c r="X45" i="95"/>
  <c r="N45" i="95"/>
  <c r="L45" i="95"/>
  <c r="B45" i="95"/>
  <c r="X44" i="95"/>
  <c r="Z44" i="95" s="1"/>
  <c r="N44" i="95"/>
  <c r="L44" i="95"/>
  <c r="J44" i="95"/>
  <c r="B44" i="95"/>
  <c r="X43" i="95"/>
  <c r="Z43" i="95" s="1"/>
  <c r="N43" i="95"/>
  <c r="L43" i="95"/>
  <c r="J43" i="95"/>
  <c r="B43" i="95"/>
  <c r="Z42" i="95"/>
  <c r="X42" i="95"/>
  <c r="V42" i="95"/>
  <c r="N42" i="95"/>
  <c r="L42" i="95"/>
  <c r="J42" i="95"/>
  <c r="B42" i="95"/>
  <c r="Z41" i="95"/>
  <c r="X41" i="95"/>
  <c r="N41" i="95"/>
  <c r="L41" i="95"/>
  <c r="F41" i="95"/>
  <c r="B41" i="95"/>
  <c r="Z40" i="95"/>
  <c r="X40" i="95"/>
  <c r="N40" i="95"/>
  <c r="L40" i="95"/>
  <c r="B40" i="95"/>
  <c r="Z39" i="95"/>
  <c r="X39" i="95"/>
  <c r="N39" i="95"/>
  <c r="L39" i="95"/>
  <c r="J39" i="95"/>
  <c r="B39" i="95"/>
  <c r="Z38" i="95"/>
  <c r="X38" i="95"/>
  <c r="V38" i="95"/>
  <c r="N38" i="95"/>
  <c r="L38" i="95"/>
  <c r="J38" i="95"/>
  <c r="B38" i="95"/>
  <c r="Z37" i="95"/>
  <c r="X37" i="95"/>
  <c r="N37" i="95"/>
  <c r="L37" i="95"/>
  <c r="B37" i="95"/>
  <c r="T36" i="95"/>
  <c r="P36" i="95"/>
  <c r="N36" i="95"/>
  <c r="L36" i="95"/>
  <c r="J36" i="95"/>
  <c r="H36" i="95"/>
  <c r="F36" i="95"/>
  <c r="D36" i="95"/>
  <c r="B36" i="95"/>
  <c r="Z35" i="95"/>
  <c r="X35" i="95"/>
  <c r="N35" i="95"/>
  <c r="L35" i="95"/>
  <c r="F35" i="95"/>
  <c r="B35" i="95"/>
  <c r="Z34" i="95"/>
  <c r="X34" i="95"/>
  <c r="V34" i="95"/>
  <c r="L34" i="95"/>
  <c r="N34" i="95" s="1"/>
  <c r="B34" i="95"/>
  <c r="X33" i="95"/>
  <c r="Z33" i="95" s="1"/>
  <c r="L33" i="95"/>
  <c r="N33" i="95" s="1"/>
  <c r="J33" i="95"/>
  <c r="B33" i="95"/>
  <c r="Z32" i="95"/>
  <c r="X32" i="95"/>
  <c r="V32" i="95"/>
  <c r="N32" i="95"/>
  <c r="L32" i="95"/>
  <c r="B32" i="95"/>
  <c r="Z31" i="95"/>
  <c r="X31" i="95"/>
  <c r="V31" i="95"/>
  <c r="L31" i="95"/>
  <c r="N31" i="95" s="1"/>
  <c r="F31" i="95"/>
  <c r="B31" i="95"/>
  <c r="Z30" i="95"/>
  <c r="X30" i="95"/>
  <c r="V30" i="95"/>
  <c r="L30" i="95"/>
  <c r="N30" i="95" s="1"/>
  <c r="B30" i="95"/>
  <c r="X29" i="95"/>
  <c r="Z29" i="95" s="1"/>
  <c r="L29" i="95"/>
  <c r="N29" i="95" s="1"/>
  <c r="J29" i="95"/>
  <c r="B29" i="95"/>
  <c r="Z28" i="95"/>
  <c r="X28" i="95"/>
  <c r="V28" i="95"/>
  <c r="N28" i="95"/>
  <c r="L28" i="95"/>
  <c r="B28" i="95"/>
  <c r="Z27" i="95"/>
  <c r="X27" i="95"/>
  <c r="V27" i="95"/>
  <c r="L27" i="95"/>
  <c r="N27" i="95" s="1"/>
  <c r="F27" i="95"/>
  <c r="B27" i="95"/>
  <c r="V26" i="95"/>
  <c r="T26" i="95"/>
  <c r="P26" i="95"/>
  <c r="X26" i="95" s="1"/>
  <c r="Z26" i="95" s="1"/>
  <c r="H26" i="95"/>
  <c r="D26" i="95"/>
  <c r="L26" i="95" s="1"/>
  <c r="N26" i="95" s="1"/>
  <c r="B26" i="95"/>
  <c r="X25" i="95"/>
  <c r="V25" i="95"/>
  <c r="T25" i="95"/>
  <c r="Z25" i="95" s="1"/>
  <c r="P25" i="95"/>
  <c r="H25" i="95"/>
  <c r="D25" i="95"/>
  <c r="L23" i="95"/>
  <c r="H23" i="95"/>
  <c r="D23" i="95"/>
  <c r="D86" i="95" s="1"/>
  <c r="Z21" i="95"/>
  <c r="X21" i="95"/>
  <c r="V21" i="95"/>
  <c r="N21" i="95"/>
  <c r="L21" i="95"/>
  <c r="B21" i="95"/>
  <c r="Z20" i="95"/>
  <c r="X20" i="95"/>
  <c r="V20" i="95"/>
  <c r="N20" i="95"/>
  <c r="L20" i="95"/>
  <c r="F20" i="95"/>
  <c r="B20" i="95"/>
  <c r="X19" i="95"/>
  <c r="Z19" i="95" s="1"/>
  <c r="L19" i="95"/>
  <c r="N19" i="95" s="1"/>
  <c r="B19" i="95"/>
  <c r="X18" i="95"/>
  <c r="Z18" i="95" s="1"/>
  <c r="T18" i="95"/>
  <c r="P18" i="95"/>
  <c r="N18" i="95"/>
  <c r="J18" i="95"/>
  <c r="H18" i="95"/>
  <c r="F18" i="95"/>
  <c r="D18" i="95"/>
  <c r="L18" i="95" s="1"/>
  <c r="Z16" i="95"/>
  <c r="X16" i="95"/>
  <c r="P16" i="95"/>
  <c r="N16" i="95"/>
  <c r="L16" i="95"/>
  <c r="D16" i="95"/>
  <c r="B16" i="95"/>
  <c r="X15" i="95"/>
  <c r="Z15" i="95" s="1"/>
  <c r="P15" i="95"/>
  <c r="L15" i="95"/>
  <c r="N15" i="95" s="1"/>
  <c r="D15" i="95"/>
  <c r="B15" i="95"/>
  <c r="Z14" i="95"/>
  <c r="P14" i="95"/>
  <c r="X14" i="95" s="1"/>
  <c r="N14" i="95"/>
  <c r="L14" i="95"/>
  <c r="D14" i="95"/>
  <c r="B14" i="95"/>
  <c r="P13" i="95"/>
  <c r="L13" i="95"/>
  <c r="N13" i="95" s="1"/>
  <c r="D13" i="95"/>
  <c r="B13" i="95"/>
  <c r="T12" i="95"/>
  <c r="H12" i="95"/>
  <c r="J88" i="95" s="1"/>
  <c r="D12" i="95"/>
  <c r="F65" i="95" s="1"/>
  <c r="D6" i="95"/>
  <c r="D4" i="95"/>
  <c r="Z85" i="94"/>
  <c r="X85" i="94"/>
  <c r="V85" i="94"/>
  <c r="N85" i="94"/>
  <c r="L85" i="94"/>
  <c r="Z81" i="94"/>
  <c r="P81" i="94"/>
  <c r="N81" i="94"/>
  <c r="L81" i="94"/>
  <c r="D81" i="94"/>
  <c r="B81" i="94"/>
  <c r="T80" i="94"/>
  <c r="Z80" i="94" s="1"/>
  <c r="H80" i="94"/>
  <c r="D80" i="94"/>
  <c r="X78" i="94"/>
  <c r="Z78" i="94" s="1"/>
  <c r="L78" i="94"/>
  <c r="N78" i="94" s="1"/>
  <c r="B78" i="94"/>
  <c r="Z77" i="94"/>
  <c r="T77" i="94"/>
  <c r="P77" i="94"/>
  <c r="X77" i="94" s="1"/>
  <c r="L77" i="94"/>
  <c r="N77" i="94" s="1"/>
  <c r="H77" i="94"/>
  <c r="D77" i="94"/>
  <c r="B77" i="94"/>
  <c r="X76" i="94"/>
  <c r="Z76" i="94" s="1"/>
  <c r="N76" i="94"/>
  <c r="L76" i="94"/>
  <c r="B76" i="94"/>
  <c r="Z75" i="94"/>
  <c r="X75" i="94"/>
  <c r="N75" i="94"/>
  <c r="L75" i="94"/>
  <c r="B75" i="94"/>
  <c r="T74" i="94"/>
  <c r="P74" i="94"/>
  <c r="L74" i="94"/>
  <c r="H74" i="94"/>
  <c r="D74" i="94"/>
  <c r="B74" i="94"/>
  <c r="Z73" i="94"/>
  <c r="X73" i="94"/>
  <c r="N73" i="94"/>
  <c r="L73" i="94"/>
  <c r="J73" i="94"/>
  <c r="B73" i="94"/>
  <c r="Z72" i="94"/>
  <c r="X72" i="94"/>
  <c r="N72" i="94"/>
  <c r="L72" i="94"/>
  <c r="B72" i="94"/>
  <c r="Z71" i="94"/>
  <c r="X71" i="94"/>
  <c r="V71" i="94"/>
  <c r="N71" i="94"/>
  <c r="L71" i="94"/>
  <c r="B71" i="94"/>
  <c r="X70" i="94"/>
  <c r="Z70" i="94" s="1"/>
  <c r="L70" i="94"/>
  <c r="N70" i="94" s="1"/>
  <c r="J70" i="94"/>
  <c r="B70" i="94"/>
  <c r="Z69" i="94"/>
  <c r="X69" i="94"/>
  <c r="N69" i="94"/>
  <c r="L69" i="94"/>
  <c r="B69" i="94"/>
  <c r="X68" i="94"/>
  <c r="Z68" i="94" s="1"/>
  <c r="V68" i="94"/>
  <c r="N68" i="94"/>
  <c r="L68" i="94"/>
  <c r="B68" i="94"/>
  <c r="Z67" i="94"/>
  <c r="X67" i="94"/>
  <c r="N67" i="94"/>
  <c r="L67" i="94"/>
  <c r="J67" i="94"/>
  <c r="B67" i="94"/>
  <c r="X66" i="94"/>
  <c r="T66" i="94"/>
  <c r="P66" i="94"/>
  <c r="H66" i="94"/>
  <c r="N66" i="94" s="1"/>
  <c r="D66" i="94"/>
  <c r="L66" i="94" s="1"/>
  <c r="B66" i="94"/>
  <c r="Z65" i="94"/>
  <c r="X65" i="94"/>
  <c r="N65" i="94"/>
  <c r="L65" i="94"/>
  <c r="J65" i="94"/>
  <c r="B65" i="94"/>
  <c r="Z64" i="94"/>
  <c r="X64" i="94"/>
  <c r="N64" i="94"/>
  <c r="L64" i="94"/>
  <c r="B64" i="94"/>
  <c r="X63" i="94"/>
  <c r="Z63" i="94" s="1"/>
  <c r="T63" i="94"/>
  <c r="P63" i="94"/>
  <c r="N63" i="94"/>
  <c r="H63" i="94"/>
  <c r="D63" i="94"/>
  <c r="L63" i="94" s="1"/>
  <c r="B63" i="94"/>
  <c r="Z62" i="94"/>
  <c r="X62" i="94"/>
  <c r="N62" i="94"/>
  <c r="L62" i="94"/>
  <c r="B62" i="94"/>
  <c r="Z61" i="94"/>
  <c r="X61" i="94"/>
  <c r="V61" i="94"/>
  <c r="N61" i="94"/>
  <c r="L61" i="94"/>
  <c r="J61" i="94"/>
  <c r="B61" i="94"/>
  <c r="Z60" i="94"/>
  <c r="X60" i="94"/>
  <c r="N60" i="94"/>
  <c r="L60" i="94"/>
  <c r="J60" i="94"/>
  <c r="B60" i="94"/>
  <c r="Z59" i="94"/>
  <c r="X59" i="94"/>
  <c r="T59" i="94"/>
  <c r="P59" i="94"/>
  <c r="H59" i="94"/>
  <c r="D59" i="94"/>
  <c r="B59" i="94"/>
  <c r="Z58" i="94"/>
  <c r="X58" i="94"/>
  <c r="N58" i="94"/>
  <c r="L58" i="94"/>
  <c r="J58" i="94"/>
  <c r="B58" i="94"/>
  <c r="T57" i="94"/>
  <c r="Z57" i="94" s="1"/>
  <c r="P57" i="94"/>
  <c r="N57" i="94"/>
  <c r="J57" i="94"/>
  <c r="H57" i="94"/>
  <c r="D57" i="94"/>
  <c r="L57" i="94" s="1"/>
  <c r="B57" i="94"/>
  <c r="X56" i="94"/>
  <c r="Z56" i="94" s="1"/>
  <c r="V56" i="94"/>
  <c r="N56" i="94"/>
  <c r="L56" i="94"/>
  <c r="B56" i="94"/>
  <c r="T55" i="94"/>
  <c r="P55" i="94"/>
  <c r="X55" i="94" s="1"/>
  <c r="Z55" i="94" s="1"/>
  <c r="N55" i="94"/>
  <c r="L55" i="94"/>
  <c r="J55" i="94"/>
  <c r="H55" i="94"/>
  <c r="D55" i="94"/>
  <c r="B55" i="94"/>
  <c r="X54" i="94"/>
  <c r="Z54" i="94" s="1"/>
  <c r="L54" i="94"/>
  <c r="N54" i="94" s="1"/>
  <c r="J54" i="94"/>
  <c r="B54" i="94"/>
  <c r="X53" i="94"/>
  <c r="T53" i="94"/>
  <c r="P53" i="94"/>
  <c r="H53" i="94"/>
  <c r="D53" i="94"/>
  <c r="B53" i="94"/>
  <c r="Z52" i="94"/>
  <c r="X52" i="94"/>
  <c r="L52" i="94"/>
  <c r="N52" i="94" s="1"/>
  <c r="J52" i="94"/>
  <c r="B52" i="94"/>
  <c r="T51" i="94"/>
  <c r="P51" i="94"/>
  <c r="J51" i="94"/>
  <c r="H51" i="94"/>
  <c r="D51" i="94"/>
  <c r="L51" i="94" s="1"/>
  <c r="N51" i="94" s="1"/>
  <c r="B51" i="94"/>
  <c r="X50" i="94"/>
  <c r="Z50" i="94" s="1"/>
  <c r="V50" i="94"/>
  <c r="N50" i="94"/>
  <c r="L50" i="94"/>
  <c r="B50" i="94"/>
  <c r="T49" i="94"/>
  <c r="P49" i="94"/>
  <c r="X49" i="94" s="1"/>
  <c r="Z49" i="94" s="1"/>
  <c r="N49" i="94"/>
  <c r="L49" i="94"/>
  <c r="J49" i="94"/>
  <c r="H49" i="94"/>
  <c r="D49" i="94"/>
  <c r="B49" i="94"/>
  <c r="X48" i="94"/>
  <c r="Z48" i="94" s="1"/>
  <c r="L48" i="94"/>
  <c r="N48" i="94" s="1"/>
  <c r="J48" i="94"/>
  <c r="B48" i="94"/>
  <c r="X47" i="94"/>
  <c r="T47" i="94"/>
  <c r="P47" i="94"/>
  <c r="H47" i="94"/>
  <c r="D47" i="94"/>
  <c r="B47" i="94"/>
  <c r="Z46" i="94"/>
  <c r="X46" i="94"/>
  <c r="N46" i="94"/>
  <c r="L46" i="94"/>
  <c r="B46" i="94"/>
  <c r="Z45" i="94"/>
  <c r="X45" i="94"/>
  <c r="N45" i="94"/>
  <c r="L45" i="94"/>
  <c r="B45" i="94"/>
  <c r="X44" i="94"/>
  <c r="Z44" i="94" s="1"/>
  <c r="V44" i="94"/>
  <c r="N44" i="94"/>
  <c r="L44" i="94"/>
  <c r="J44" i="94"/>
  <c r="B44" i="94"/>
  <c r="X43" i="94"/>
  <c r="Z43" i="94" s="1"/>
  <c r="N43" i="94"/>
  <c r="L43" i="94"/>
  <c r="J43" i="94"/>
  <c r="B43" i="94"/>
  <c r="Z42" i="94"/>
  <c r="X42" i="94"/>
  <c r="N42" i="94"/>
  <c r="L42" i="94"/>
  <c r="B42" i="94"/>
  <c r="X41" i="94"/>
  <c r="Z41" i="94" s="1"/>
  <c r="L41" i="94"/>
  <c r="N41" i="94" s="1"/>
  <c r="B41" i="94"/>
  <c r="X40" i="94"/>
  <c r="Z40" i="94" s="1"/>
  <c r="V40" i="94"/>
  <c r="N40" i="94"/>
  <c r="L40" i="94"/>
  <c r="J40" i="94"/>
  <c r="B40" i="94"/>
  <c r="Z39" i="94"/>
  <c r="X39" i="94"/>
  <c r="N39" i="94"/>
  <c r="L39" i="94"/>
  <c r="J39" i="94"/>
  <c r="B39" i="94"/>
  <c r="Z38" i="94"/>
  <c r="X38" i="94"/>
  <c r="L38" i="94"/>
  <c r="N38" i="94" s="1"/>
  <c r="B38" i="94"/>
  <c r="Z37" i="94"/>
  <c r="X37" i="94"/>
  <c r="N37" i="94"/>
  <c r="L37" i="94"/>
  <c r="B37" i="94"/>
  <c r="V36" i="94"/>
  <c r="T36" i="94"/>
  <c r="P36" i="94"/>
  <c r="N36" i="94"/>
  <c r="J36" i="94"/>
  <c r="H36" i="94"/>
  <c r="D36" i="94"/>
  <c r="L36" i="94" s="1"/>
  <c r="B36" i="94"/>
  <c r="Z35" i="94"/>
  <c r="X35" i="94"/>
  <c r="N35" i="94"/>
  <c r="L35" i="94"/>
  <c r="B35" i="94"/>
  <c r="X34" i="94"/>
  <c r="Z34" i="94" s="1"/>
  <c r="N34" i="94"/>
  <c r="L34" i="94"/>
  <c r="J34" i="94"/>
  <c r="B34" i="94"/>
  <c r="X33" i="94"/>
  <c r="Z33" i="94" s="1"/>
  <c r="N33" i="94"/>
  <c r="L33" i="94"/>
  <c r="J33" i="94"/>
  <c r="B33" i="94"/>
  <c r="Z32" i="94"/>
  <c r="X32" i="94"/>
  <c r="V32" i="94"/>
  <c r="N32" i="94"/>
  <c r="L32" i="94"/>
  <c r="B32" i="94"/>
  <c r="X31" i="94"/>
  <c r="Z31" i="94" s="1"/>
  <c r="L31" i="94"/>
  <c r="N31" i="94" s="1"/>
  <c r="B31" i="94"/>
  <c r="X30" i="94"/>
  <c r="Z30" i="94" s="1"/>
  <c r="N30" i="94"/>
  <c r="L30" i="94"/>
  <c r="J30" i="94"/>
  <c r="B30" i="94"/>
  <c r="X29" i="94"/>
  <c r="Z29" i="94" s="1"/>
  <c r="N29" i="94"/>
  <c r="L29" i="94"/>
  <c r="J29" i="94"/>
  <c r="B29" i="94"/>
  <c r="Z28" i="94"/>
  <c r="X28" i="94"/>
  <c r="V28" i="94"/>
  <c r="N28" i="94"/>
  <c r="L28" i="94"/>
  <c r="B28" i="94"/>
  <c r="X27" i="94"/>
  <c r="Z27" i="94" s="1"/>
  <c r="V27" i="94"/>
  <c r="L27" i="94"/>
  <c r="N27" i="94" s="1"/>
  <c r="B27" i="94"/>
  <c r="T26" i="94"/>
  <c r="Z26" i="94" s="1"/>
  <c r="P26" i="94"/>
  <c r="X26" i="94" s="1"/>
  <c r="N26" i="94"/>
  <c r="L26" i="94"/>
  <c r="J26" i="94"/>
  <c r="H26" i="94"/>
  <c r="D26" i="94"/>
  <c r="B26" i="94"/>
  <c r="T25" i="94"/>
  <c r="P25" i="94"/>
  <c r="X25" i="94" s="1"/>
  <c r="L25" i="94"/>
  <c r="H25" i="94"/>
  <c r="N25" i="94" s="1"/>
  <c r="D25" i="94"/>
  <c r="T23" i="94"/>
  <c r="H23" i="94"/>
  <c r="Z21" i="94"/>
  <c r="X21" i="94"/>
  <c r="N21" i="94"/>
  <c r="L21" i="94"/>
  <c r="J21" i="94"/>
  <c r="B21" i="94"/>
  <c r="Z20" i="94"/>
  <c r="X20" i="94"/>
  <c r="N20" i="94"/>
  <c r="L20" i="94"/>
  <c r="J20" i="94"/>
  <c r="B20" i="94"/>
  <c r="X19" i="94"/>
  <c r="Z19" i="94" s="1"/>
  <c r="L19" i="94"/>
  <c r="N19" i="94" s="1"/>
  <c r="J19" i="94"/>
  <c r="B19" i="94"/>
  <c r="Z18" i="94"/>
  <c r="X18" i="94"/>
  <c r="V18" i="94"/>
  <c r="T18" i="94"/>
  <c r="P18" i="94"/>
  <c r="H18" i="94"/>
  <c r="J18" i="94" s="1"/>
  <c r="D18" i="94"/>
  <c r="L18" i="94" s="1"/>
  <c r="N18" i="94" s="1"/>
  <c r="Z16" i="94"/>
  <c r="P16" i="94"/>
  <c r="X16" i="94" s="1"/>
  <c r="N16" i="94"/>
  <c r="L16" i="94"/>
  <c r="D16" i="94"/>
  <c r="B16" i="94"/>
  <c r="P15" i="94"/>
  <c r="X15" i="94" s="1"/>
  <c r="Z15" i="94" s="1"/>
  <c r="D15" i="94"/>
  <c r="L15" i="94" s="1"/>
  <c r="N15" i="94" s="1"/>
  <c r="B15" i="94"/>
  <c r="Z14" i="94"/>
  <c r="P14" i="94"/>
  <c r="X14" i="94" s="1"/>
  <c r="N14" i="94"/>
  <c r="L14" i="94"/>
  <c r="D14" i="94"/>
  <c r="B14" i="94"/>
  <c r="P13" i="94"/>
  <c r="D13" i="94"/>
  <c r="B13" i="94"/>
  <c r="T12" i="94"/>
  <c r="V78" i="94" s="1"/>
  <c r="H12" i="94"/>
  <c r="D6" i="94"/>
  <c r="D4" i="94"/>
  <c r="Z87" i="93"/>
  <c r="X87" i="93"/>
  <c r="V87" i="93"/>
  <c r="N87" i="93"/>
  <c r="L87" i="93"/>
  <c r="V83" i="93"/>
  <c r="T83" i="93"/>
  <c r="Z83" i="93" s="1"/>
  <c r="P83" i="93"/>
  <c r="X83" i="93" s="1"/>
  <c r="N83" i="93"/>
  <c r="H83" i="93"/>
  <c r="D83" i="93"/>
  <c r="L83" i="93" s="1"/>
  <c r="X81" i="93"/>
  <c r="Z81" i="93" s="1"/>
  <c r="V81" i="93"/>
  <c r="N81" i="93"/>
  <c r="L81" i="93"/>
  <c r="J81" i="93"/>
  <c r="B81" i="93"/>
  <c r="V80" i="93"/>
  <c r="T80" i="93"/>
  <c r="Z80" i="93" s="1"/>
  <c r="P80" i="93"/>
  <c r="X80" i="93" s="1"/>
  <c r="L80" i="93"/>
  <c r="H80" i="93"/>
  <c r="D80" i="93"/>
  <c r="B80" i="93"/>
  <c r="X79" i="93"/>
  <c r="Z79" i="93" s="1"/>
  <c r="N79" i="93"/>
  <c r="L79" i="93"/>
  <c r="J79" i="93"/>
  <c r="B79" i="93"/>
  <c r="X78" i="93"/>
  <c r="T78" i="93"/>
  <c r="Z78" i="93" s="1"/>
  <c r="P78" i="93"/>
  <c r="H78" i="93"/>
  <c r="D78" i="93"/>
  <c r="L78" i="93" s="1"/>
  <c r="B78" i="93"/>
  <c r="Z77" i="93"/>
  <c r="X77" i="93"/>
  <c r="N77" i="93"/>
  <c r="L77" i="93"/>
  <c r="J77" i="93"/>
  <c r="B77" i="93"/>
  <c r="X76" i="93"/>
  <c r="Z76" i="93" s="1"/>
  <c r="L76" i="93"/>
  <c r="N76" i="93" s="1"/>
  <c r="B76" i="93"/>
  <c r="Z75" i="93"/>
  <c r="X75" i="93"/>
  <c r="V75" i="93"/>
  <c r="N75" i="93"/>
  <c r="L75" i="93"/>
  <c r="B75" i="93"/>
  <c r="Z74" i="93"/>
  <c r="X74" i="93"/>
  <c r="V74" i="93"/>
  <c r="N74" i="93"/>
  <c r="L74" i="93"/>
  <c r="B74" i="93"/>
  <c r="Z73" i="93"/>
  <c r="X73" i="93"/>
  <c r="V73" i="93"/>
  <c r="L73" i="93"/>
  <c r="N73" i="93" s="1"/>
  <c r="J73" i="93"/>
  <c r="B73" i="93"/>
  <c r="X72" i="93"/>
  <c r="Z72" i="93" s="1"/>
  <c r="L72" i="93"/>
  <c r="N72" i="93" s="1"/>
  <c r="B72" i="93"/>
  <c r="Z71" i="93"/>
  <c r="X71" i="93"/>
  <c r="V71" i="93"/>
  <c r="T71" i="93"/>
  <c r="P71" i="93"/>
  <c r="H71" i="93"/>
  <c r="D71" i="93"/>
  <c r="L71" i="93" s="1"/>
  <c r="N71" i="93" s="1"/>
  <c r="B71" i="93"/>
  <c r="X70" i="93"/>
  <c r="Z70" i="93" s="1"/>
  <c r="V70" i="93"/>
  <c r="L70" i="93"/>
  <c r="N70" i="93" s="1"/>
  <c r="B70" i="93"/>
  <c r="X69" i="93"/>
  <c r="Z69" i="93" s="1"/>
  <c r="V69" i="93"/>
  <c r="N69" i="93"/>
  <c r="L69" i="93"/>
  <c r="J69" i="93"/>
  <c r="B69" i="93"/>
  <c r="X68" i="93"/>
  <c r="Z68" i="93" s="1"/>
  <c r="V68" i="93"/>
  <c r="L68" i="93"/>
  <c r="N68" i="93" s="1"/>
  <c r="J68" i="93"/>
  <c r="B68" i="93"/>
  <c r="Z67" i="93"/>
  <c r="V67" i="93"/>
  <c r="T67" i="93"/>
  <c r="P67" i="93"/>
  <c r="X67" i="93" s="1"/>
  <c r="J67" i="93"/>
  <c r="H67" i="93"/>
  <c r="D67" i="93"/>
  <c r="B67" i="93"/>
  <c r="X66" i="93"/>
  <c r="Z66" i="93" s="1"/>
  <c r="N66" i="93"/>
  <c r="L66" i="93"/>
  <c r="F66" i="93"/>
  <c r="B66" i="93"/>
  <c r="Z65" i="93"/>
  <c r="X65" i="93"/>
  <c r="V65" i="93"/>
  <c r="T65" i="93"/>
  <c r="P65" i="93"/>
  <c r="N65" i="93"/>
  <c r="H65" i="93"/>
  <c r="D65" i="93"/>
  <c r="L65" i="93" s="1"/>
  <c r="B65" i="93"/>
  <c r="X64" i="93"/>
  <c r="Z64" i="93" s="1"/>
  <c r="L64" i="93"/>
  <c r="N64" i="93" s="1"/>
  <c r="B64" i="93"/>
  <c r="Z63" i="93"/>
  <c r="X63" i="93"/>
  <c r="V63" i="93"/>
  <c r="N63" i="93"/>
  <c r="L63" i="93"/>
  <c r="B63" i="93"/>
  <c r="T62" i="93"/>
  <c r="P62" i="93"/>
  <c r="L62" i="93"/>
  <c r="H62" i="93"/>
  <c r="N62" i="93" s="1"/>
  <c r="D62" i="93"/>
  <c r="B62" i="93"/>
  <c r="X61" i="93"/>
  <c r="Z61" i="93" s="1"/>
  <c r="V61" i="93"/>
  <c r="N61" i="93"/>
  <c r="L61" i="93"/>
  <c r="J61" i="93"/>
  <c r="B61" i="93"/>
  <c r="V60" i="93"/>
  <c r="T60" i="93"/>
  <c r="Z60" i="93" s="1"/>
  <c r="P60" i="93"/>
  <c r="X60" i="93" s="1"/>
  <c r="L60" i="93"/>
  <c r="H60" i="93"/>
  <c r="D60" i="93"/>
  <c r="B60" i="93"/>
  <c r="Z59" i="93"/>
  <c r="X59" i="93"/>
  <c r="N59" i="93"/>
  <c r="L59" i="93"/>
  <c r="J59" i="93"/>
  <c r="B59" i="93"/>
  <c r="T58" i="93"/>
  <c r="X58" i="93" s="1"/>
  <c r="P58" i="93"/>
  <c r="H58" i="93"/>
  <c r="D58" i="93"/>
  <c r="L58" i="93" s="1"/>
  <c r="B58" i="93"/>
  <c r="Z57" i="93"/>
  <c r="X57" i="93"/>
  <c r="V57" i="93"/>
  <c r="N57" i="93"/>
  <c r="L57" i="93"/>
  <c r="J57" i="93"/>
  <c r="B57" i="93"/>
  <c r="X56" i="93"/>
  <c r="T56" i="93"/>
  <c r="Z56" i="93" s="1"/>
  <c r="P56" i="93"/>
  <c r="H56" i="93"/>
  <c r="N56" i="93" s="1"/>
  <c r="D56" i="93"/>
  <c r="B56" i="93"/>
  <c r="Z55" i="93"/>
  <c r="X55" i="93"/>
  <c r="V55" i="93"/>
  <c r="N55" i="93"/>
  <c r="L55" i="93"/>
  <c r="B55" i="93"/>
  <c r="X54" i="93"/>
  <c r="Z54" i="93" s="1"/>
  <c r="V54" i="93"/>
  <c r="L54" i="93"/>
  <c r="N54" i="93" s="1"/>
  <c r="B54" i="93"/>
  <c r="X53" i="93"/>
  <c r="Z53" i="93" s="1"/>
  <c r="V53" i="93"/>
  <c r="N53" i="93"/>
  <c r="L53" i="93"/>
  <c r="J53" i="93"/>
  <c r="B53" i="93"/>
  <c r="V52" i="93"/>
  <c r="T52" i="93"/>
  <c r="P52" i="93"/>
  <c r="X52" i="93" s="1"/>
  <c r="H52" i="93"/>
  <c r="D52" i="93"/>
  <c r="B52" i="93"/>
  <c r="Z51" i="93"/>
  <c r="X51" i="93"/>
  <c r="N51" i="93"/>
  <c r="L51" i="93"/>
  <c r="J51" i="93"/>
  <c r="B51" i="93"/>
  <c r="T50" i="93"/>
  <c r="X50" i="93" s="1"/>
  <c r="P50" i="93"/>
  <c r="H50" i="93"/>
  <c r="D50" i="93"/>
  <c r="B50" i="93"/>
  <c r="Z49" i="93"/>
  <c r="X49" i="93"/>
  <c r="V49" i="93"/>
  <c r="L49" i="93"/>
  <c r="N49" i="93" s="1"/>
  <c r="J49" i="93"/>
  <c r="B49" i="93"/>
  <c r="X48" i="93"/>
  <c r="T48" i="93"/>
  <c r="Z48" i="93" s="1"/>
  <c r="P48" i="93"/>
  <c r="H48" i="93"/>
  <c r="D48" i="93"/>
  <c r="B48" i="93"/>
  <c r="Z47" i="93"/>
  <c r="X47" i="93"/>
  <c r="V47" i="93"/>
  <c r="N47" i="93"/>
  <c r="L47" i="93"/>
  <c r="B47" i="93"/>
  <c r="T46" i="93"/>
  <c r="P46" i="93"/>
  <c r="H46" i="93"/>
  <c r="N46" i="93" s="1"/>
  <c r="D46" i="93"/>
  <c r="L46" i="93" s="1"/>
  <c r="B46" i="93"/>
  <c r="Z45" i="93"/>
  <c r="X45" i="93"/>
  <c r="V45" i="93"/>
  <c r="N45" i="93"/>
  <c r="L45" i="93"/>
  <c r="J45" i="93"/>
  <c r="B45" i="93"/>
  <c r="Z44" i="93"/>
  <c r="X44" i="93"/>
  <c r="V44" i="93"/>
  <c r="N44" i="93"/>
  <c r="L44" i="93"/>
  <c r="B44" i="93"/>
  <c r="Z43" i="93"/>
  <c r="X43" i="93"/>
  <c r="V43" i="93"/>
  <c r="N43" i="93"/>
  <c r="L43" i="93"/>
  <c r="J43" i="93"/>
  <c r="B43" i="93"/>
  <c r="Z42" i="93"/>
  <c r="X42" i="93"/>
  <c r="N42" i="93"/>
  <c r="L42" i="93"/>
  <c r="B42" i="93"/>
  <c r="Z41" i="93"/>
  <c r="X41" i="93"/>
  <c r="V41" i="93"/>
  <c r="N41" i="93"/>
  <c r="L41" i="93"/>
  <c r="J41" i="93"/>
  <c r="B41" i="93"/>
  <c r="Z40" i="93"/>
  <c r="X40" i="93"/>
  <c r="V40" i="93"/>
  <c r="N40" i="93"/>
  <c r="L40" i="93"/>
  <c r="B40" i="93"/>
  <c r="Z39" i="93"/>
  <c r="X39" i="93"/>
  <c r="V39" i="93"/>
  <c r="N39" i="93"/>
  <c r="L39" i="93"/>
  <c r="J39" i="93"/>
  <c r="B39" i="93"/>
  <c r="Z38" i="93"/>
  <c r="X38" i="93"/>
  <c r="N38" i="93"/>
  <c r="L38" i="93"/>
  <c r="B38" i="93"/>
  <c r="Z37" i="93"/>
  <c r="X37" i="93"/>
  <c r="V37" i="93"/>
  <c r="N37" i="93"/>
  <c r="L37" i="93"/>
  <c r="J37" i="93"/>
  <c r="B37" i="93"/>
  <c r="Z36" i="93"/>
  <c r="X36" i="93"/>
  <c r="V36" i="93"/>
  <c r="N36" i="93"/>
  <c r="L36" i="93"/>
  <c r="B36" i="93"/>
  <c r="T35" i="93"/>
  <c r="V35" i="93" s="1"/>
  <c r="P35" i="93"/>
  <c r="X35" i="93" s="1"/>
  <c r="Z35" i="93" s="1"/>
  <c r="N35" i="93"/>
  <c r="L35" i="93"/>
  <c r="J35" i="93"/>
  <c r="H35" i="93"/>
  <c r="D35" i="93"/>
  <c r="B35" i="93"/>
  <c r="Z34" i="93"/>
  <c r="X34" i="93"/>
  <c r="V34" i="93"/>
  <c r="N34" i="93"/>
  <c r="L34" i="93"/>
  <c r="F34" i="93"/>
  <c r="B34" i="93"/>
  <c r="Z33" i="93"/>
  <c r="X33" i="93"/>
  <c r="V33" i="93"/>
  <c r="L33" i="93"/>
  <c r="N33" i="93" s="1"/>
  <c r="J33" i="93"/>
  <c r="B33" i="93"/>
  <c r="X32" i="93"/>
  <c r="Z32" i="93" s="1"/>
  <c r="L32" i="93"/>
  <c r="N32" i="93" s="1"/>
  <c r="B32" i="93"/>
  <c r="Z31" i="93"/>
  <c r="X31" i="93"/>
  <c r="V31" i="93"/>
  <c r="N31" i="93"/>
  <c r="L31" i="93"/>
  <c r="J31" i="93"/>
  <c r="B31" i="93"/>
  <c r="Z30" i="93"/>
  <c r="X30" i="93"/>
  <c r="V30" i="93"/>
  <c r="L30" i="93"/>
  <c r="N30" i="93" s="1"/>
  <c r="B30" i="93"/>
  <c r="Z29" i="93"/>
  <c r="X29" i="93"/>
  <c r="V29" i="93"/>
  <c r="L29" i="93"/>
  <c r="N29" i="93" s="1"/>
  <c r="J29" i="93"/>
  <c r="B29" i="93"/>
  <c r="X28" i="93"/>
  <c r="Z28" i="93" s="1"/>
  <c r="L28" i="93"/>
  <c r="N28" i="93" s="1"/>
  <c r="B28" i="93"/>
  <c r="Z27" i="93"/>
  <c r="X27" i="93"/>
  <c r="V27" i="93"/>
  <c r="N27" i="93"/>
  <c r="L27" i="93"/>
  <c r="J27" i="93"/>
  <c r="B27" i="93"/>
  <c r="Z26" i="93"/>
  <c r="X26" i="93"/>
  <c r="V26" i="93"/>
  <c r="L26" i="93"/>
  <c r="N26" i="93" s="1"/>
  <c r="F26" i="93"/>
  <c r="B26" i="93"/>
  <c r="V25" i="93"/>
  <c r="T25" i="93"/>
  <c r="P25" i="93"/>
  <c r="X25" i="93" s="1"/>
  <c r="Z25" i="93" s="1"/>
  <c r="N25" i="93"/>
  <c r="L25" i="93"/>
  <c r="J25" i="93"/>
  <c r="H25" i="93"/>
  <c r="D25" i="93"/>
  <c r="B25" i="93"/>
  <c r="V24" i="93"/>
  <c r="T24" i="93"/>
  <c r="P24" i="93"/>
  <c r="X24" i="93" s="1"/>
  <c r="H24" i="93"/>
  <c r="L24" i="93" s="1"/>
  <c r="D24" i="93"/>
  <c r="H22" i="93"/>
  <c r="Z20" i="93"/>
  <c r="X20" i="93"/>
  <c r="V20" i="93"/>
  <c r="N20" i="93"/>
  <c r="L20" i="93"/>
  <c r="J20" i="93"/>
  <c r="B20" i="93"/>
  <c r="Z19" i="93"/>
  <c r="X19" i="93"/>
  <c r="V19" i="93"/>
  <c r="N19" i="93"/>
  <c r="L19" i="93"/>
  <c r="B19" i="93"/>
  <c r="T18" i="93"/>
  <c r="P18" i="93"/>
  <c r="H18" i="93"/>
  <c r="N18" i="93" s="1"/>
  <c r="D18" i="93"/>
  <c r="L18" i="93" s="1"/>
  <c r="Z16" i="93"/>
  <c r="X16" i="93"/>
  <c r="P16" i="93"/>
  <c r="N16" i="93"/>
  <c r="D16" i="93"/>
  <c r="L16" i="93" s="1"/>
  <c r="B16" i="93"/>
  <c r="Z15" i="93"/>
  <c r="X15" i="93"/>
  <c r="P15" i="93"/>
  <c r="L15" i="93"/>
  <c r="N15" i="93" s="1"/>
  <c r="D15" i="93"/>
  <c r="B15" i="93"/>
  <c r="Z14" i="93"/>
  <c r="X14" i="93"/>
  <c r="P14" i="93"/>
  <c r="N14" i="93"/>
  <c r="D14" i="93"/>
  <c r="L14" i="93" s="1"/>
  <c r="B14" i="93"/>
  <c r="P13" i="93"/>
  <c r="L13" i="93"/>
  <c r="N13" i="93" s="1"/>
  <c r="D13" i="93"/>
  <c r="B13" i="93"/>
  <c r="T12" i="93"/>
  <c r="V78" i="93" s="1"/>
  <c r="H12" i="93"/>
  <c r="D12" i="93"/>
  <c r="D6" i="93"/>
  <c r="D4" i="93"/>
  <c r="F102" i="92"/>
  <c r="F99" i="92"/>
  <c r="Z97" i="92"/>
  <c r="X97" i="92"/>
  <c r="N97" i="92"/>
  <c r="L97" i="92"/>
  <c r="Z93" i="92"/>
  <c r="X93" i="92"/>
  <c r="R93" i="92"/>
  <c r="P93" i="92"/>
  <c r="N93" i="92"/>
  <c r="D93" i="92"/>
  <c r="L93" i="92" s="1"/>
  <c r="B93" i="92"/>
  <c r="P92" i="92"/>
  <c r="X92" i="92" s="1"/>
  <c r="Z92" i="92" s="1"/>
  <c r="L92" i="92"/>
  <c r="N92" i="92" s="1"/>
  <c r="F92" i="92"/>
  <c r="D92" i="92"/>
  <c r="B92" i="92"/>
  <c r="T91" i="92"/>
  <c r="P91" i="92"/>
  <c r="X91" i="92" s="1"/>
  <c r="L91" i="92"/>
  <c r="H91" i="92"/>
  <c r="N91" i="92" s="1"/>
  <c r="D91" i="92"/>
  <c r="Z89" i="92"/>
  <c r="X89" i="92"/>
  <c r="R89" i="92"/>
  <c r="L89" i="92"/>
  <c r="N89" i="92" s="1"/>
  <c r="F89" i="92"/>
  <c r="B89" i="92"/>
  <c r="T88" i="92"/>
  <c r="P88" i="92"/>
  <c r="X88" i="92" s="1"/>
  <c r="Z88" i="92" s="1"/>
  <c r="N88" i="92"/>
  <c r="L88" i="92"/>
  <c r="J88" i="92"/>
  <c r="H88" i="92"/>
  <c r="F88" i="92"/>
  <c r="D88" i="92"/>
  <c r="B88" i="92"/>
  <c r="Z87" i="92"/>
  <c r="X87" i="92"/>
  <c r="N87" i="92"/>
  <c r="L87" i="92"/>
  <c r="F87" i="92"/>
  <c r="B87" i="92"/>
  <c r="Z86" i="92"/>
  <c r="X86" i="92"/>
  <c r="N86" i="92"/>
  <c r="L86" i="92"/>
  <c r="F86" i="92"/>
  <c r="B86" i="92"/>
  <c r="X85" i="92"/>
  <c r="Z85" i="92" s="1"/>
  <c r="R85" i="92"/>
  <c r="N85" i="92"/>
  <c r="L85" i="92"/>
  <c r="F85" i="92"/>
  <c r="B85" i="92"/>
  <c r="T84" i="92"/>
  <c r="R84" i="92"/>
  <c r="P84" i="92"/>
  <c r="N84" i="92"/>
  <c r="H84" i="92"/>
  <c r="F84" i="92"/>
  <c r="D84" i="92"/>
  <c r="L84" i="92" s="1"/>
  <c r="B84" i="92"/>
  <c r="X83" i="92"/>
  <c r="Z83" i="92" s="1"/>
  <c r="N83" i="92"/>
  <c r="L83" i="92"/>
  <c r="F83" i="92"/>
  <c r="B83" i="92"/>
  <c r="T82" i="92"/>
  <c r="P82" i="92"/>
  <c r="X82" i="92" s="1"/>
  <c r="Z82" i="92" s="1"/>
  <c r="N82" i="92"/>
  <c r="L82" i="92"/>
  <c r="H82" i="92"/>
  <c r="F82" i="92"/>
  <c r="D82" i="92"/>
  <c r="B82" i="92"/>
  <c r="Z81" i="92"/>
  <c r="X81" i="92"/>
  <c r="R81" i="92"/>
  <c r="L81" i="92"/>
  <c r="N81" i="92" s="1"/>
  <c r="F81" i="92"/>
  <c r="B81" i="92"/>
  <c r="T80" i="92"/>
  <c r="P80" i="92"/>
  <c r="X80" i="92" s="1"/>
  <c r="Z80" i="92" s="1"/>
  <c r="N80" i="92"/>
  <c r="L80" i="92"/>
  <c r="J80" i="92"/>
  <c r="H80" i="92"/>
  <c r="F80" i="92"/>
  <c r="D80" i="92"/>
  <c r="B80" i="92"/>
  <c r="X79" i="92"/>
  <c r="Z79" i="92" s="1"/>
  <c r="L79" i="92"/>
  <c r="N79" i="92" s="1"/>
  <c r="F79" i="92"/>
  <c r="B79" i="92"/>
  <c r="Z78" i="92"/>
  <c r="X78" i="92"/>
  <c r="N78" i="92"/>
  <c r="L78" i="92"/>
  <c r="F78" i="92"/>
  <c r="B78" i="92"/>
  <c r="X77" i="92"/>
  <c r="Z77" i="92" s="1"/>
  <c r="R77" i="92"/>
  <c r="L77" i="92"/>
  <c r="N77" i="92" s="1"/>
  <c r="F77" i="92"/>
  <c r="B77" i="92"/>
  <c r="X76" i="92"/>
  <c r="Z76" i="92" s="1"/>
  <c r="R76" i="92"/>
  <c r="N76" i="92"/>
  <c r="L76" i="92"/>
  <c r="B76" i="92"/>
  <c r="X75" i="92"/>
  <c r="Z75" i="92" s="1"/>
  <c r="N75" i="92"/>
  <c r="L75" i="92"/>
  <c r="J75" i="92"/>
  <c r="F75" i="92"/>
  <c r="B75" i="92"/>
  <c r="Z74" i="92"/>
  <c r="X74" i="92"/>
  <c r="N74" i="92"/>
  <c r="L74" i="92"/>
  <c r="F74" i="92"/>
  <c r="B74" i="92"/>
  <c r="Z73" i="92"/>
  <c r="X73" i="92"/>
  <c r="N73" i="92"/>
  <c r="L73" i="92"/>
  <c r="F73" i="92"/>
  <c r="B73" i="92"/>
  <c r="V72" i="92"/>
  <c r="T72" i="92"/>
  <c r="R72" i="92"/>
  <c r="P72" i="92"/>
  <c r="N72" i="92"/>
  <c r="H72" i="92"/>
  <c r="F72" i="92"/>
  <c r="D72" i="92"/>
  <c r="L72" i="92" s="1"/>
  <c r="B72" i="92"/>
  <c r="Z71" i="92"/>
  <c r="X71" i="92"/>
  <c r="R71" i="92"/>
  <c r="N71" i="92"/>
  <c r="L71" i="92"/>
  <c r="F71" i="92"/>
  <c r="B71" i="92"/>
  <c r="Z70" i="92"/>
  <c r="T70" i="92"/>
  <c r="P70" i="92"/>
  <c r="X70" i="92" s="1"/>
  <c r="N70" i="92"/>
  <c r="L70" i="92"/>
  <c r="H70" i="92"/>
  <c r="F70" i="92"/>
  <c r="D70" i="92"/>
  <c r="B70" i="92"/>
  <c r="Z69" i="92"/>
  <c r="X69" i="92"/>
  <c r="R69" i="92"/>
  <c r="L69" i="92"/>
  <c r="N69" i="92" s="1"/>
  <c r="F69" i="92"/>
  <c r="B69" i="92"/>
  <c r="Z68" i="92"/>
  <c r="X68" i="92"/>
  <c r="L68" i="92"/>
  <c r="N68" i="92" s="1"/>
  <c r="J68" i="92"/>
  <c r="F68" i="92"/>
  <c r="B68" i="92"/>
  <c r="X67" i="92"/>
  <c r="Z67" i="92" s="1"/>
  <c r="L67" i="92"/>
  <c r="N67" i="92" s="1"/>
  <c r="B67" i="92"/>
  <c r="Z66" i="92"/>
  <c r="X66" i="92"/>
  <c r="N66" i="92"/>
  <c r="L66" i="92"/>
  <c r="B66" i="92"/>
  <c r="Z65" i="92"/>
  <c r="X65" i="92"/>
  <c r="R65" i="92"/>
  <c r="L65" i="92"/>
  <c r="N65" i="92" s="1"/>
  <c r="F65" i="92"/>
  <c r="B65" i="92"/>
  <c r="T64" i="92"/>
  <c r="P64" i="92"/>
  <c r="X64" i="92" s="1"/>
  <c r="Z64" i="92" s="1"/>
  <c r="L64" i="92"/>
  <c r="N64" i="92" s="1"/>
  <c r="H64" i="92"/>
  <c r="F64" i="92"/>
  <c r="D64" i="92"/>
  <c r="B64" i="92"/>
  <c r="X63" i="92"/>
  <c r="Z63" i="92" s="1"/>
  <c r="L63" i="92"/>
  <c r="N63" i="92" s="1"/>
  <c r="J63" i="92"/>
  <c r="F63" i="92"/>
  <c r="B63" i="92"/>
  <c r="Z62" i="92"/>
  <c r="X62" i="92"/>
  <c r="N62" i="92"/>
  <c r="L62" i="92"/>
  <c r="F62" i="92"/>
  <c r="B62" i="92"/>
  <c r="X61" i="92"/>
  <c r="Z61" i="92" s="1"/>
  <c r="N61" i="92"/>
  <c r="L61" i="92"/>
  <c r="F61" i="92"/>
  <c r="B61" i="92"/>
  <c r="V60" i="92"/>
  <c r="T60" i="92"/>
  <c r="R60" i="92"/>
  <c r="P60" i="92"/>
  <c r="N60" i="92"/>
  <c r="H60" i="92"/>
  <c r="F60" i="92"/>
  <c r="D60" i="92"/>
  <c r="L60" i="92" s="1"/>
  <c r="B60" i="92"/>
  <c r="Z59" i="92"/>
  <c r="X59" i="92"/>
  <c r="R59" i="92"/>
  <c r="N59" i="92"/>
  <c r="L59" i="92"/>
  <c r="F59" i="92"/>
  <c r="B59" i="92"/>
  <c r="Z58" i="92"/>
  <c r="T58" i="92"/>
  <c r="P58" i="92"/>
  <c r="X58" i="92" s="1"/>
  <c r="N58" i="92"/>
  <c r="L58" i="92"/>
  <c r="H58" i="92"/>
  <c r="F58" i="92"/>
  <c r="D58" i="92"/>
  <c r="B58" i="92"/>
  <c r="Z57" i="92"/>
  <c r="X57" i="92"/>
  <c r="R57" i="92"/>
  <c r="L57" i="92"/>
  <c r="N57" i="92" s="1"/>
  <c r="F57" i="92"/>
  <c r="B57" i="92"/>
  <c r="T56" i="92"/>
  <c r="P56" i="92"/>
  <c r="X56" i="92" s="1"/>
  <c r="Z56" i="92" s="1"/>
  <c r="N56" i="92"/>
  <c r="L56" i="92"/>
  <c r="J56" i="92"/>
  <c r="H56" i="92"/>
  <c r="F56" i="92"/>
  <c r="D56" i="92"/>
  <c r="B56" i="92"/>
  <c r="X55" i="92"/>
  <c r="Z55" i="92" s="1"/>
  <c r="N55" i="92"/>
  <c r="L55" i="92"/>
  <c r="J55" i="92"/>
  <c r="F55" i="92"/>
  <c r="B55" i="92"/>
  <c r="T54" i="92"/>
  <c r="R54" i="92"/>
  <c r="P54" i="92"/>
  <c r="X54" i="92" s="1"/>
  <c r="Z54" i="92" s="1"/>
  <c r="H54" i="92"/>
  <c r="F54" i="92"/>
  <c r="D54" i="92"/>
  <c r="B54" i="92"/>
  <c r="X53" i="92"/>
  <c r="Z53" i="92" s="1"/>
  <c r="N53" i="92"/>
  <c r="L53" i="92"/>
  <c r="F53" i="92"/>
  <c r="B53" i="92"/>
  <c r="Z52" i="92"/>
  <c r="X52" i="92"/>
  <c r="V52" i="92"/>
  <c r="T52" i="92"/>
  <c r="P52" i="92"/>
  <c r="H52" i="92"/>
  <c r="F52" i="92"/>
  <c r="D52" i="92"/>
  <c r="L52" i="92" s="1"/>
  <c r="N52" i="92" s="1"/>
  <c r="B52" i="92"/>
  <c r="X51" i="92"/>
  <c r="Z51" i="92" s="1"/>
  <c r="L51" i="92"/>
  <c r="N51" i="92" s="1"/>
  <c r="F51" i="92"/>
  <c r="B51" i="92"/>
  <c r="Z50" i="92"/>
  <c r="X50" i="92"/>
  <c r="T50" i="92"/>
  <c r="R50" i="92"/>
  <c r="P50" i="92"/>
  <c r="J50" i="92"/>
  <c r="H50" i="92"/>
  <c r="F50" i="92"/>
  <c r="D50" i="92"/>
  <c r="L50" i="92" s="1"/>
  <c r="N50" i="92" s="1"/>
  <c r="B50" i="92"/>
  <c r="X49" i="92"/>
  <c r="Z49" i="92" s="1"/>
  <c r="R49" i="92"/>
  <c r="L49" i="92"/>
  <c r="N49" i="92" s="1"/>
  <c r="F49" i="92"/>
  <c r="B49" i="92"/>
  <c r="T48" i="92"/>
  <c r="R48" i="92"/>
  <c r="P48" i="92"/>
  <c r="H48" i="92"/>
  <c r="F48" i="92"/>
  <c r="D48" i="92"/>
  <c r="L48" i="92" s="1"/>
  <c r="N48" i="92" s="1"/>
  <c r="B48" i="92"/>
  <c r="X47" i="92"/>
  <c r="Z47" i="92" s="1"/>
  <c r="R47" i="92"/>
  <c r="L47" i="92"/>
  <c r="N47" i="92" s="1"/>
  <c r="F47" i="92"/>
  <c r="B47" i="92"/>
  <c r="Z46" i="92"/>
  <c r="X46" i="92"/>
  <c r="N46" i="92"/>
  <c r="L46" i="92"/>
  <c r="J46" i="92"/>
  <c r="F46" i="92"/>
  <c r="B46" i="92"/>
  <c r="X45" i="92"/>
  <c r="Z45" i="92" s="1"/>
  <c r="R45" i="92"/>
  <c r="N45" i="92"/>
  <c r="L45" i="92"/>
  <c r="F45" i="92"/>
  <c r="B45" i="92"/>
  <c r="Z44" i="92"/>
  <c r="X44" i="92"/>
  <c r="N44" i="92"/>
  <c r="L44" i="92"/>
  <c r="J44" i="92"/>
  <c r="F44" i="92"/>
  <c r="B44" i="92"/>
  <c r="V43" i="92"/>
  <c r="T43" i="92"/>
  <c r="P43" i="92"/>
  <c r="X43" i="92" s="1"/>
  <c r="H43" i="92"/>
  <c r="F43" i="92"/>
  <c r="D43" i="92"/>
  <c r="B43" i="92"/>
  <c r="X42" i="92"/>
  <c r="Z42" i="92" s="1"/>
  <c r="N42" i="92"/>
  <c r="L42" i="92"/>
  <c r="B42" i="92"/>
  <c r="T41" i="92"/>
  <c r="R41" i="92"/>
  <c r="P41" i="92"/>
  <c r="H41" i="92"/>
  <c r="D41" i="92"/>
  <c r="L41" i="92" s="1"/>
  <c r="B41" i="92"/>
  <c r="Z40" i="92"/>
  <c r="X40" i="92"/>
  <c r="V40" i="92"/>
  <c r="N40" i="92"/>
  <c r="L40" i="92"/>
  <c r="J40" i="92"/>
  <c r="B40" i="92"/>
  <c r="Z39" i="92"/>
  <c r="X39" i="92"/>
  <c r="N39" i="92"/>
  <c r="L39" i="92"/>
  <c r="J39" i="92"/>
  <c r="F39" i="92"/>
  <c r="B39" i="92"/>
  <c r="Z38" i="92"/>
  <c r="X38" i="92"/>
  <c r="N38" i="92"/>
  <c r="L38" i="92"/>
  <c r="F38" i="92"/>
  <c r="B38" i="92"/>
  <c r="X37" i="92"/>
  <c r="Z37" i="92" s="1"/>
  <c r="R37" i="92"/>
  <c r="L37" i="92"/>
  <c r="N37" i="92" s="1"/>
  <c r="F37" i="92"/>
  <c r="B37" i="92"/>
  <c r="Z36" i="92"/>
  <c r="X36" i="92"/>
  <c r="R36" i="92"/>
  <c r="N36" i="92"/>
  <c r="L36" i="92"/>
  <c r="B36" i="92"/>
  <c r="X35" i="92"/>
  <c r="Z35" i="92" s="1"/>
  <c r="L35" i="92"/>
  <c r="N35" i="92" s="1"/>
  <c r="F35" i="92"/>
  <c r="B35" i="92"/>
  <c r="Z34" i="92"/>
  <c r="X34" i="92"/>
  <c r="V34" i="92"/>
  <c r="N34" i="92"/>
  <c r="L34" i="92"/>
  <c r="F34" i="92"/>
  <c r="B34" i="92"/>
  <c r="Z33" i="92"/>
  <c r="X33" i="92"/>
  <c r="R33" i="92"/>
  <c r="N33" i="92"/>
  <c r="L33" i="92"/>
  <c r="F33" i="92"/>
  <c r="B33" i="92"/>
  <c r="X32" i="92"/>
  <c r="Z32" i="92" s="1"/>
  <c r="R32" i="92"/>
  <c r="N32" i="92"/>
  <c r="L32" i="92"/>
  <c r="B32" i="92"/>
  <c r="X31" i="92"/>
  <c r="Z31" i="92" s="1"/>
  <c r="L31" i="92"/>
  <c r="N31" i="92" s="1"/>
  <c r="F31" i="92"/>
  <c r="B31" i="92"/>
  <c r="Z30" i="92"/>
  <c r="T30" i="92"/>
  <c r="P30" i="92"/>
  <c r="X30" i="92" s="1"/>
  <c r="H30" i="92"/>
  <c r="F30" i="92"/>
  <c r="D30" i="92"/>
  <c r="L30" i="92" s="1"/>
  <c r="B30" i="92"/>
  <c r="X29" i="92"/>
  <c r="Z29" i="92" s="1"/>
  <c r="R29" i="92"/>
  <c r="N29" i="92"/>
  <c r="L29" i="92"/>
  <c r="F29" i="92"/>
  <c r="B29" i="92"/>
  <c r="Z28" i="92"/>
  <c r="X28" i="92"/>
  <c r="V28" i="92"/>
  <c r="N28" i="92"/>
  <c r="L28" i="92"/>
  <c r="F28" i="92"/>
  <c r="B28" i="92"/>
  <c r="X27" i="92"/>
  <c r="Z27" i="92" s="1"/>
  <c r="R27" i="92"/>
  <c r="L27" i="92"/>
  <c r="N27" i="92" s="1"/>
  <c r="F27" i="92"/>
  <c r="B27" i="92"/>
  <c r="Z26" i="92"/>
  <c r="X26" i="92"/>
  <c r="N26" i="92"/>
  <c r="L26" i="92"/>
  <c r="J26" i="92"/>
  <c r="F26" i="92"/>
  <c r="B26" i="92"/>
  <c r="Z25" i="92"/>
  <c r="X25" i="92"/>
  <c r="N25" i="92"/>
  <c r="L25" i="92"/>
  <c r="F25" i="92"/>
  <c r="B25" i="92"/>
  <c r="Z24" i="92"/>
  <c r="X24" i="92"/>
  <c r="V24" i="92"/>
  <c r="N24" i="92"/>
  <c r="L24" i="92"/>
  <c r="F24" i="92"/>
  <c r="B24" i="92"/>
  <c r="X23" i="92"/>
  <c r="Z23" i="92" s="1"/>
  <c r="R23" i="92"/>
  <c r="L23" i="92"/>
  <c r="N23" i="92" s="1"/>
  <c r="F23" i="92"/>
  <c r="B23" i="92"/>
  <c r="Z22" i="92"/>
  <c r="X22" i="92"/>
  <c r="N22" i="92"/>
  <c r="L22" i="92"/>
  <c r="J22" i="92"/>
  <c r="F22" i="92"/>
  <c r="B22" i="92"/>
  <c r="X21" i="92"/>
  <c r="Z21" i="92" s="1"/>
  <c r="R21" i="92"/>
  <c r="N21" i="92"/>
  <c r="L21" i="92"/>
  <c r="F21" i="92"/>
  <c r="B21" i="92"/>
  <c r="Z20" i="92"/>
  <c r="X20" i="92"/>
  <c r="N20" i="92"/>
  <c r="L20" i="92"/>
  <c r="J20" i="92"/>
  <c r="F20" i="92"/>
  <c r="B20" i="92"/>
  <c r="V19" i="92"/>
  <c r="T19" i="92"/>
  <c r="P19" i="92"/>
  <c r="X19" i="92" s="1"/>
  <c r="H19" i="92"/>
  <c r="F19" i="92"/>
  <c r="D19" i="92"/>
  <c r="B19" i="92"/>
  <c r="Z18" i="92"/>
  <c r="X18" i="92"/>
  <c r="V18" i="92"/>
  <c r="T18" i="92"/>
  <c r="R18" i="92"/>
  <c r="P18" i="92"/>
  <c r="J18" i="92"/>
  <c r="H18" i="92"/>
  <c r="F18" i="92"/>
  <c r="D18" i="92"/>
  <c r="R16" i="92"/>
  <c r="H16" i="92"/>
  <c r="F16" i="92"/>
  <c r="D16" i="92"/>
  <c r="T14" i="92"/>
  <c r="X14" i="92" s="1"/>
  <c r="R14" i="92"/>
  <c r="P14" i="92"/>
  <c r="N14" i="92"/>
  <c r="J14" i="92"/>
  <c r="H14" i="92"/>
  <c r="F14" i="92"/>
  <c r="D14" i="92"/>
  <c r="L14" i="92" s="1"/>
  <c r="Z12" i="92"/>
  <c r="T12" i="92"/>
  <c r="V92" i="92" s="1"/>
  <c r="P12" i="92"/>
  <c r="R83" i="92" s="1"/>
  <c r="N12" i="92"/>
  <c r="H12" i="92"/>
  <c r="J82" i="92" s="1"/>
  <c r="D12" i="92"/>
  <c r="F93" i="92" s="1"/>
  <c r="D6" i="92"/>
  <c r="D4" i="92"/>
  <c r="Z89" i="89"/>
  <c r="X89" i="89"/>
  <c r="N89" i="89"/>
  <c r="L89" i="89"/>
  <c r="J89" i="89"/>
  <c r="T85" i="89"/>
  <c r="Z85" i="89" s="1"/>
  <c r="P85" i="89"/>
  <c r="N85" i="89"/>
  <c r="J85" i="89"/>
  <c r="H85" i="89"/>
  <c r="L85" i="89" s="1"/>
  <c r="D85" i="89"/>
  <c r="Z83" i="89"/>
  <c r="X83" i="89"/>
  <c r="N83" i="89"/>
  <c r="L83" i="89"/>
  <c r="B83" i="89"/>
  <c r="T82" i="89"/>
  <c r="P82" i="89"/>
  <c r="X82" i="89" s="1"/>
  <c r="Z82" i="89" s="1"/>
  <c r="H82" i="89"/>
  <c r="N82" i="89" s="1"/>
  <c r="D82" i="89"/>
  <c r="B82" i="89"/>
  <c r="Z81" i="89"/>
  <c r="X81" i="89"/>
  <c r="N81" i="89"/>
  <c r="L81" i="89"/>
  <c r="F81" i="89"/>
  <c r="B81" i="89"/>
  <c r="Z80" i="89"/>
  <c r="T80" i="89"/>
  <c r="P80" i="89"/>
  <c r="X80" i="89" s="1"/>
  <c r="L80" i="89"/>
  <c r="H80" i="89"/>
  <c r="N80" i="89" s="1"/>
  <c r="F80" i="89"/>
  <c r="D80" i="89"/>
  <c r="B80" i="89"/>
  <c r="X79" i="89"/>
  <c r="Z79" i="89" s="1"/>
  <c r="N79" i="89"/>
  <c r="L79" i="89"/>
  <c r="J79" i="89"/>
  <c r="B79" i="89"/>
  <c r="X78" i="89"/>
  <c r="Z78" i="89" s="1"/>
  <c r="L78" i="89"/>
  <c r="N78" i="89" s="1"/>
  <c r="B78" i="89"/>
  <c r="T77" i="89"/>
  <c r="Z77" i="89" s="1"/>
  <c r="P77" i="89"/>
  <c r="X77" i="89" s="1"/>
  <c r="L77" i="89"/>
  <c r="N77" i="89" s="1"/>
  <c r="H77" i="89"/>
  <c r="D77" i="89"/>
  <c r="B77" i="89"/>
  <c r="Z76" i="89"/>
  <c r="X76" i="89"/>
  <c r="N76" i="89"/>
  <c r="L76" i="89"/>
  <c r="J76" i="89"/>
  <c r="B76" i="89"/>
  <c r="Z75" i="89"/>
  <c r="X75" i="89"/>
  <c r="N75" i="89"/>
  <c r="L75" i="89"/>
  <c r="B75" i="89"/>
  <c r="Z74" i="89"/>
  <c r="X74" i="89"/>
  <c r="L74" i="89"/>
  <c r="N74" i="89" s="1"/>
  <c r="B74" i="89"/>
  <c r="Z73" i="89"/>
  <c r="X73" i="89"/>
  <c r="N73" i="89"/>
  <c r="L73" i="89"/>
  <c r="B73" i="89"/>
  <c r="X72" i="89"/>
  <c r="Z72" i="89" s="1"/>
  <c r="N72" i="89"/>
  <c r="L72" i="89"/>
  <c r="B72" i="89"/>
  <c r="Z71" i="89"/>
  <c r="X71" i="89"/>
  <c r="V71" i="89"/>
  <c r="N71" i="89"/>
  <c r="L71" i="89"/>
  <c r="J71" i="89"/>
  <c r="B71" i="89"/>
  <c r="X70" i="89"/>
  <c r="Z70" i="89" s="1"/>
  <c r="T70" i="89"/>
  <c r="P70" i="89"/>
  <c r="L70" i="89"/>
  <c r="H70" i="89"/>
  <c r="D70" i="89"/>
  <c r="B70" i="89"/>
  <c r="Z69" i="89"/>
  <c r="X69" i="89"/>
  <c r="L69" i="89"/>
  <c r="N69" i="89" s="1"/>
  <c r="F69" i="89"/>
  <c r="B69" i="89"/>
  <c r="Z68" i="89"/>
  <c r="X68" i="89"/>
  <c r="L68" i="89"/>
  <c r="N68" i="89" s="1"/>
  <c r="B68" i="89"/>
  <c r="X67" i="89"/>
  <c r="Z67" i="89" s="1"/>
  <c r="R67" i="89"/>
  <c r="L67" i="89"/>
  <c r="N67" i="89" s="1"/>
  <c r="B67" i="89"/>
  <c r="X66" i="89"/>
  <c r="T66" i="89"/>
  <c r="R66" i="89"/>
  <c r="P66" i="89"/>
  <c r="N66" i="89"/>
  <c r="J66" i="89"/>
  <c r="H66" i="89"/>
  <c r="D66" i="89"/>
  <c r="L66" i="89" s="1"/>
  <c r="B66" i="89"/>
  <c r="Z65" i="89"/>
  <c r="X65" i="89"/>
  <c r="N65" i="89"/>
  <c r="L65" i="89"/>
  <c r="J65" i="89"/>
  <c r="B65" i="89"/>
  <c r="Z64" i="89"/>
  <c r="X64" i="89"/>
  <c r="N64" i="89"/>
  <c r="L64" i="89"/>
  <c r="J64" i="89"/>
  <c r="B64" i="89"/>
  <c r="X63" i="89"/>
  <c r="Z63" i="89" s="1"/>
  <c r="N63" i="89"/>
  <c r="L63" i="89"/>
  <c r="B63" i="89"/>
  <c r="T62" i="89"/>
  <c r="P62" i="89"/>
  <c r="X62" i="89" s="1"/>
  <c r="H62" i="89"/>
  <c r="D62" i="89"/>
  <c r="B62" i="89"/>
  <c r="Z61" i="89"/>
  <c r="X61" i="89"/>
  <c r="N61" i="89"/>
  <c r="L61" i="89"/>
  <c r="J61" i="89"/>
  <c r="B61" i="89"/>
  <c r="Z60" i="89"/>
  <c r="T60" i="89"/>
  <c r="P60" i="89"/>
  <c r="X60" i="89" s="1"/>
  <c r="H60" i="89"/>
  <c r="D60" i="89"/>
  <c r="B60" i="89"/>
  <c r="Z59" i="89"/>
  <c r="X59" i="89"/>
  <c r="N59" i="89"/>
  <c r="L59" i="89"/>
  <c r="B59" i="89"/>
  <c r="T58" i="89"/>
  <c r="Z58" i="89" s="1"/>
  <c r="P58" i="89"/>
  <c r="X58" i="89" s="1"/>
  <c r="N58" i="89"/>
  <c r="H58" i="89"/>
  <c r="D58" i="89"/>
  <c r="L58" i="89" s="1"/>
  <c r="B58" i="89"/>
  <c r="Z57" i="89"/>
  <c r="X57" i="89"/>
  <c r="V57" i="89"/>
  <c r="N57" i="89"/>
  <c r="L57" i="89"/>
  <c r="J57" i="89"/>
  <c r="B57" i="89"/>
  <c r="T56" i="89"/>
  <c r="P56" i="89"/>
  <c r="X56" i="89" s="1"/>
  <c r="H56" i="89"/>
  <c r="N56" i="89" s="1"/>
  <c r="D56" i="89"/>
  <c r="L56" i="89" s="1"/>
  <c r="B56" i="89"/>
  <c r="Z55" i="89"/>
  <c r="X55" i="89"/>
  <c r="N55" i="89"/>
  <c r="L55" i="89"/>
  <c r="J55" i="89"/>
  <c r="B55" i="89"/>
  <c r="X54" i="89"/>
  <c r="Z54" i="89" s="1"/>
  <c r="L54" i="89"/>
  <c r="N54" i="89" s="1"/>
  <c r="B54" i="89"/>
  <c r="Z53" i="89"/>
  <c r="X53" i="89"/>
  <c r="T53" i="89"/>
  <c r="R53" i="89"/>
  <c r="P53" i="89"/>
  <c r="N53" i="89"/>
  <c r="H53" i="89"/>
  <c r="D53" i="89"/>
  <c r="L53" i="89" s="1"/>
  <c r="B53" i="89"/>
  <c r="Z52" i="89"/>
  <c r="X52" i="89"/>
  <c r="L52" i="89"/>
  <c r="N52" i="89" s="1"/>
  <c r="B52" i="89"/>
  <c r="T51" i="89"/>
  <c r="P51" i="89"/>
  <c r="X51" i="89" s="1"/>
  <c r="J51" i="89"/>
  <c r="H51" i="89"/>
  <c r="D51" i="89"/>
  <c r="L51" i="89" s="1"/>
  <c r="N51" i="89" s="1"/>
  <c r="B51" i="89"/>
  <c r="X50" i="89"/>
  <c r="Z50" i="89" s="1"/>
  <c r="L50" i="89"/>
  <c r="N50" i="89" s="1"/>
  <c r="B50" i="89"/>
  <c r="X49" i="89"/>
  <c r="T49" i="89"/>
  <c r="P49" i="89"/>
  <c r="L49" i="89"/>
  <c r="N49" i="89" s="1"/>
  <c r="H49" i="89"/>
  <c r="D49" i="89"/>
  <c r="B49" i="89"/>
  <c r="Z48" i="89"/>
  <c r="X48" i="89"/>
  <c r="N48" i="89"/>
  <c r="L48" i="89"/>
  <c r="J48" i="89"/>
  <c r="B48" i="89"/>
  <c r="T47" i="89"/>
  <c r="R47" i="89"/>
  <c r="P47" i="89"/>
  <c r="X47" i="89" s="1"/>
  <c r="Z47" i="89" s="1"/>
  <c r="N47" i="89"/>
  <c r="L47" i="89"/>
  <c r="H47" i="89"/>
  <c r="D47" i="89"/>
  <c r="B47" i="89"/>
  <c r="Z46" i="89"/>
  <c r="X46" i="89"/>
  <c r="N46" i="89"/>
  <c r="L46" i="89"/>
  <c r="B46" i="89"/>
  <c r="Z45" i="89"/>
  <c r="X45" i="89"/>
  <c r="N45" i="89"/>
  <c r="L45" i="89"/>
  <c r="F45" i="89"/>
  <c r="B45" i="89"/>
  <c r="Z44" i="89"/>
  <c r="X44" i="89"/>
  <c r="L44" i="89"/>
  <c r="N44" i="89" s="1"/>
  <c r="B44" i="89"/>
  <c r="Z43" i="89"/>
  <c r="X43" i="89"/>
  <c r="N43" i="89"/>
  <c r="L43" i="89"/>
  <c r="B43" i="89"/>
  <c r="Z42" i="89"/>
  <c r="X42" i="89"/>
  <c r="N42" i="89"/>
  <c r="L42" i="89"/>
  <c r="B42" i="89"/>
  <c r="Z41" i="89"/>
  <c r="X41" i="89"/>
  <c r="N41" i="89"/>
  <c r="L41" i="89"/>
  <c r="B41" i="89"/>
  <c r="Z40" i="89"/>
  <c r="X40" i="89"/>
  <c r="L40" i="89"/>
  <c r="N40" i="89" s="1"/>
  <c r="B40" i="89"/>
  <c r="Z39" i="89"/>
  <c r="X39" i="89"/>
  <c r="N39" i="89"/>
  <c r="L39" i="89"/>
  <c r="B39" i="89"/>
  <c r="Z38" i="89"/>
  <c r="X38" i="89"/>
  <c r="N38" i="89"/>
  <c r="L38" i="89"/>
  <c r="B38" i="89"/>
  <c r="Z37" i="89"/>
  <c r="X37" i="89"/>
  <c r="L37" i="89"/>
  <c r="N37" i="89" s="1"/>
  <c r="B37" i="89"/>
  <c r="Z36" i="89"/>
  <c r="X36" i="89"/>
  <c r="T36" i="89"/>
  <c r="P36" i="89"/>
  <c r="L36" i="89"/>
  <c r="H36" i="89"/>
  <c r="D36" i="89"/>
  <c r="B36" i="89"/>
  <c r="Z35" i="89"/>
  <c r="X35" i="89"/>
  <c r="N35" i="89"/>
  <c r="L35" i="89"/>
  <c r="J35" i="89"/>
  <c r="B35" i="89"/>
  <c r="X34" i="89"/>
  <c r="Z34" i="89" s="1"/>
  <c r="L34" i="89"/>
  <c r="N34" i="89" s="1"/>
  <c r="F34" i="89"/>
  <c r="B34" i="89"/>
  <c r="Z33" i="89"/>
  <c r="X33" i="89"/>
  <c r="N33" i="89"/>
  <c r="L33" i="89"/>
  <c r="J33" i="89"/>
  <c r="B33" i="89"/>
  <c r="Z32" i="89"/>
  <c r="X32" i="89"/>
  <c r="R32" i="89"/>
  <c r="N32" i="89"/>
  <c r="L32" i="89"/>
  <c r="B32" i="89"/>
  <c r="Z31" i="89"/>
  <c r="X31" i="89"/>
  <c r="N31" i="89"/>
  <c r="L31" i="89"/>
  <c r="J31" i="89"/>
  <c r="B31" i="89"/>
  <c r="X30" i="89"/>
  <c r="Z30" i="89" s="1"/>
  <c r="L30" i="89"/>
  <c r="N30" i="89" s="1"/>
  <c r="F30" i="89"/>
  <c r="B30" i="89"/>
  <c r="Z29" i="89"/>
  <c r="X29" i="89"/>
  <c r="N29" i="89"/>
  <c r="L29" i="89"/>
  <c r="J29" i="89"/>
  <c r="B29" i="89"/>
  <c r="X28" i="89"/>
  <c r="Z28" i="89" s="1"/>
  <c r="R28" i="89"/>
  <c r="L28" i="89"/>
  <c r="N28" i="89" s="1"/>
  <c r="B28" i="89"/>
  <c r="Z27" i="89"/>
  <c r="X27" i="89"/>
  <c r="N27" i="89"/>
  <c r="L27" i="89"/>
  <c r="J27" i="89"/>
  <c r="B27" i="89"/>
  <c r="T26" i="89"/>
  <c r="P26" i="89"/>
  <c r="X26" i="89" s="1"/>
  <c r="H26" i="89"/>
  <c r="D26" i="89"/>
  <c r="B26" i="89"/>
  <c r="T25" i="89"/>
  <c r="Z25" i="89" s="1"/>
  <c r="P25" i="89"/>
  <c r="X25" i="89" s="1"/>
  <c r="J25" i="89"/>
  <c r="H25" i="89"/>
  <c r="D25" i="89"/>
  <c r="L25" i="89" s="1"/>
  <c r="N25" i="89" s="1"/>
  <c r="H23" i="89"/>
  <c r="H87" i="89" s="1"/>
  <c r="Z21" i="89"/>
  <c r="X21" i="89"/>
  <c r="N21" i="89"/>
  <c r="L21" i="89"/>
  <c r="J21" i="89"/>
  <c r="B21" i="89"/>
  <c r="Z20" i="89"/>
  <c r="X20" i="89"/>
  <c r="N20" i="89"/>
  <c r="L20" i="89"/>
  <c r="J20" i="89"/>
  <c r="B20" i="89"/>
  <c r="Z19" i="89"/>
  <c r="X19" i="89"/>
  <c r="R19" i="89"/>
  <c r="N19" i="89"/>
  <c r="L19" i="89"/>
  <c r="J19" i="89"/>
  <c r="B19" i="89"/>
  <c r="T18" i="89"/>
  <c r="P18" i="89"/>
  <c r="N18" i="89"/>
  <c r="L18" i="89"/>
  <c r="H18" i="89"/>
  <c r="J18" i="89" s="1"/>
  <c r="D18" i="89"/>
  <c r="Z16" i="89"/>
  <c r="X16" i="89"/>
  <c r="P16" i="89"/>
  <c r="N16" i="89"/>
  <c r="D16" i="89"/>
  <c r="L16" i="89" s="1"/>
  <c r="B16" i="89"/>
  <c r="Z15" i="89"/>
  <c r="P15" i="89"/>
  <c r="X15" i="89" s="1"/>
  <c r="L15" i="89"/>
  <c r="N15" i="89" s="1"/>
  <c r="D15" i="89"/>
  <c r="B15" i="89"/>
  <c r="Z14" i="89"/>
  <c r="X14" i="89"/>
  <c r="P14" i="89"/>
  <c r="N14" i="89"/>
  <c r="D14" i="89"/>
  <c r="D12" i="89" s="1"/>
  <c r="B14" i="89"/>
  <c r="P13" i="89"/>
  <c r="X13" i="89" s="1"/>
  <c r="Z13" i="89" s="1"/>
  <c r="L13" i="89"/>
  <c r="N13" i="89" s="1"/>
  <c r="D13" i="89"/>
  <c r="B13" i="89"/>
  <c r="T12" i="89"/>
  <c r="V40" i="89" s="1"/>
  <c r="P12" i="89"/>
  <c r="R85" i="89" s="1"/>
  <c r="H12" i="89"/>
  <c r="J59" i="89" s="1"/>
  <c r="D6" i="89"/>
  <c r="D4" i="89"/>
  <c r="X102" i="88"/>
  <c r="Z102" i="88" s="1"/>
  <c r="N102" i="88"/>
  <c r="L102" i="88"/>
  <c r="J100" i="88"/>
  <c r="T98" i="88"/>
  <c r="Z98" i="88" s="1"/>
  <c r="P98" i="88"/>
  <c r="X98" i="88" s="1"/>
  <c r="L98" i="88"/>
  <c r="H98" i="88"/>
  <c r="N98" i="88" s="1"/>
  <c r="D98" i="88"/>
  <c r="X96" i="88"/>
  <c r="Z96" i="88" s="1"/>
  <c r="L96" i="88"/>
  <c r="N96" i="88" s="1"/>
  <c r="B96" i="88"/>
  <c r="Z95" i="88"/>
  <c r="T95" i="88"/>
  <c r="P95" i="88"/>
  <c r="X95" i="88" s="1"/>
  <c r="H95" i="88"/>
  <c r="D95" i="88"/>
  <c r="L95" i="88" s="1"/>
  <c r="N95" i="88" s="1"/>
  <c r="B95" i="88"/>
  <c r="Z94" i="88"/>
  <c r="X94" i="88"/>
  <c r="L94" i="88"/>
  <c r="N94" i="88" s="1"/>
  <c r="F94" i="88"/>
  <c r="B94" i="88"/>
  <c r="X93" i="88"/>
  <c r="Z93" i="88" s="1"/>
  <c r="T93" i="88"/>
  <c r="P93" i="88"/>
  <c r="N93" i="88"/>
  <c r="L93" i="88"/>
  <c r="H93" i="88"/>
  <c r="D93" i="88"/>
  <c r="B93" i="88"/>
  <c r="Z92" i="88"/>
  <c r="X92" i="88"/>
  <c r="L92" i="88"/>
  <c r="N92" i="88" s="1"/>
  <c r="B92" i="88"/>
  <c r="T91" i="88"/>
  <c r="P91" i="88"/>
  <c r="H91" i="88"/>
  <c r="D91" i="88"/>
  <c r="L91" i="88" s="1"/>
  <c r="B91" i="88"/>
  <c r="X90" i="88"/>
  <c r="Z90" i="88" s="1"/>
  <c r="N90" i="88"/>
  <c r="L90" i="88"/>
  <c r="B90" i="88"/>
  <c r="T89" i="88"/>
  <c r="P89" i="88"/>
  <c r="X89" i="88" s="1"/>
  <c r="Z89" i="88" s="1"/>
  <c r="H89" i="88"/>
  <c r="D89" i="88"/>
  <c r="L89" i="88" s="1"/>
  <c r="N89" i="88" s="1"/>
  <c r="B89" i="88"/>
  <c r="Z88" i="88"/>
  <c r="X88" i="88"/>
  <c r="N88" i="88"/>
  <c r="L88" i="88"/>
  <c r="B88" i="88"/>
  <c r="Z87" i="88"/>
  <c r="X87" i="88"/>
  <c r="N87" i="88"/>
  <c r="L87" i="88"/>
  <c r="J87" i="88"/>
  <c r="B87" i="88"/>
  <c r="Z86" i="88"/>
  <c r="X86" i="88"/>
  <c r="N86" i="88"/>
  <c r="L86" i="88"/>
  <c r="B86" i="88"/>
  <c r="X85" i="88"/>
  <c r="Z85" i="88" s="1"/>
  <c r="L85" i="88"/>
  <c r="N85" i="88" s="1"/>
  <c r="B85" i="88"/>
  <c r="X84" i="88"/>
  <c r="Z84" i="88" s="1"/>
  <c r="L84" i="88"/>
  <c r="N84" i="88" s="1"/>
  <c r="B84" i="88"/>
  <c r="Z83" i="88"/>
  <c r="X83" i="88"/>
  <c r="N83" i="88"/>
  <c r="L83" i="88"/>
  <c r="J83" i="88"/>
  <c r="F83" i="88"/>
  <c r="B83" i="88"/>
  <c r="X82" i="88"/>
  <c r="Z82" i="88" s="1"/>
  <c r="L82" i="88"/>
  <c r="N82" i="88" s="1"/>
  <c r="B82" i="88"/>
  <c r="Z81" i="88"/>
  <c r="X81" i="88"/>
  <c r="N81" i="88"/>
  <c r="L81" i="88"/>
  <c r="J81" i="88"/>
  <c r="B81" i="88"/>
  <c r="X80" i="88"/>
  <c r="Z80" i="88" s="1"/>
  <c r="L80" i="88"/>
  <c r="N80" i="88" s="1"/>
  <c r="B80" i="88"/>
  <c r="Z79" i="88"/>
  <c r="X79" i="88"/>
  <c r="T79" i="88"/>
  <c r="P79" i="88"/>
  <c r="N79" i="88"/>
  <c r="L79" i="88"/>
  <c r="H79" i="88"/>
  <c r="D79" i="88"/>
  <c r="B79" i="88"/>
  <c r="Z78" i="88"/>
  <c r="X78" i="88"/>
  <c r="N78" i="88"/>
  <c r="L78" i="88"/>
  <c r="J78" i="88"/>
  <c r="F78" i="88"/>
  <c r="B78" i="88"/>
  <c r="Z77" i="88"/>
  <c r="X77" i="88"/>
  <c r="N77" i="88"/>
  <c r="L77" i="88"/>
  <c r="B77" i="88"/>
  <c r="Z76" i="88"/>
  <c r="T76" i="88"/>
  <c r="P76" i="88"/>
  <c r="X76" i="88" s="1"/>
  <c r="H76" i="88"/>
  <c r="N76" i="88" s="1"/>
  <c r="D76" i="88"/>
  <c r="L76" i="88" s="1"/>
  <c r="B76" i="88"/>
  <c r="Z75" i="88"/>
  <c r="X75" i="88"/>
  <c r="N75" i="88"/>
  <c r="L75" i="88"/>
  <c r="B75" i="88"/>
  <c r="X74" i="88"/>
  <c r="Z74" i="88" s="1"/>
  <c r="R74" i="88"/>
  <c r="N74" i="88"/>
  <c r="L74" i="88"/>
  <c r="B74" i="88"/>
  <c r="Z73" i="88"/>
  <c r="X73" i="88"/>
  <c r="L73" i="88"/>
  <c r="N73" i="88" s="1"/>
  <c r="B73" i="88"/>
  <c r="X72" i="88"/>
  <c r="T72" i="88"/>
  <c r="P72" i="88"/>
  <c r="H72" i="88"/>
  <c r="D72" i="88"/>
  <c r="B72" i="88"/>
  <c r="Z71" i="88"/>
  <c r="X71" i="88"/>
  <c r="N71" i="88"/>
  <c r="L71" i="88"/>
  <c r="J71" i="88"/>
  <c r="F71" i="88"/>
  <c r="B71" i="88"/>
  <c r="T70" i="88"/>
  <c r="P70" i="88"/>
  <c r="H70" i="88"/>
  <c r="D70" i="88"/>
  <c r="B70" i="88"/>
  <c r="X69" i="88"/>
  <c r="Z69" i="88" s="1"/>
  <c r="N69" i="88"/>
  <c r="L69" i="88"/>
  <c r="B69" i="88"/>
  <c r="X68" i="88"/>
  <c r="Z68" i="88" s="1"/>
  <c r="L68" i="88"/>
  <c r="N68" i="88" s="1"/>
  <c r="B68" i="88"/>
  <c r="Z67" i="88"/>
  <c r="X67" i="88"/>
  <c r="N67" i="88"/>
  <c r="L67" i="88"/>
  <c r="B67" i="88"/>
  <c r="T66" i="88"/>
  <c r="P66" i="88"/>
  <c r="L66" i="88"/>
  <c r="N66" i="88" s="1"/>
  <c r="H66" i="88"/>
  <c r="D66" i="88"/>
  <c r="B66" i="88"/>
  <c r="Z65" i="88"/>
  <c r="X65" i="88"/>
  <c r="N65" i="88"/>
  <c r="L65" i="88"/>
  <c r="B65" i="88"/>
  <c r="X64" i="88"/>
  <c r="T64" i="88"/>
  <c r="Z64" i="88" s="1"/>
  <c r="P64" i="88"/>
  <c r="L64" i="88"/>
  <c r="H64" i="88"/>
  <c r="D64" i="88"/>
  <c r="B64" i="88"/>
  <c r="Z63" i="88"/>
  <c r="X63" i="88"/>
  <c r="N63" i="88"/>
  <c r="L63" i="88"/>
  <c r="B63" i="88"/>
  <c r="T62" i="88"/>
  <c r="P62" i="88"/>
  <c r="H62" i="88"/>
  <c r="F62" i="88"/>
  <c r="D62" i="88"/>
  <c r="L62" i="88" s="1"/>
  <c r="B62" i="88"/>
  <c r="Z61" i="88"/>
  <c r="X61" i="88"/>
  <c r="N61" i="88"/>
  <c r="L61" i="88"/>
  <c r="B61" i="88"/>
  <c r="T60" i="88"/>
  <c r="P60" i="88"/>
  <c r="X60" i="88" s="1"/>
  <c r="Z60" i="88" s="1"/>
  <c r="H60" i="88"/>
  <c r="D60" i="88"/>
  <c r="L60" i="88" s="1"/>
  <c r="B60" i="88"/>
  <c r="Z59" i="88"/>
  <c r="X59" i="88"/>
  <c r="N59" i="88"/>
  <c r="L59" i="88"/>
  <c r="B59" i="88"/>
  <c r="T58" i="88"/>
  <c r="P58" i="88"/>
  <c r="L58" i="88"/>
  <c r="H58" i="88"/>
  <c r="N58" i="88" s="1"/>
  <c r="D58" i="88"/>
  <c r="B58" i="88"/>
  <c r="Z57" i="88"/>
  <c r="X57" i="88"/>
  <c r="N57" i="88"/>
  <c r="L57" i="88"/>
  <c r="B57" i="88"/>
  <c r="X56" i="88"/>
  <c r="T56" i="88"/>
  <c r="P56" i="88"/>
  <c r="H56" i="88"/>
  <c r="N56" i="88" s="1"/>
  <c r="D56" i="88"/>
  <c r="L56" i="88" s="1"/>
  <c r="B56" i="88"/>
  <c r="Z55" i="88"/>
  <c r="X55" i="88"/>
  <c r="N55" i="88"/>
  <c r="L55" i="88"/>
  <c r="B55" i="88"/>
  <c r="X54" i="88"/>
  <c r="Z54" i="88" s="1"/>
  <c r="L54" i="88"/>
  <c r="N54" i="88" s="1"/>
  <c r="B54" i="88"/>
  <c r="X53" i="88"/>
  <c r="Z53" i="88" s="1"/>
  <c r="N53" i="88"/>
  <c r="L53" i="88"/>
  <c r="J53" i="88"/>
  <c r="B53" i="88"/>
  <c r="T52" i="88"/>
  <c r="P52" i="88"/>
  <c r="X52" i="88" s="1"/>
  <c r="Z52" i="88" s="1"/>
  <c r="H52" i="88"/>
  <c r="D52" i="88"/>
  <c r="L52" i="88" s="1"/>
  <c r="B52" i="88"/>
  <c r="Z51" i="88"/>
  <c r="X51" i="88"/>
  <c r="N51" i="88"/>
  <c r="L51" i="88"/>
  <c r="B51" i="88"/>
  <c r="X50" i="88"/>
  <c r="T50" i="88"/>
  <c r="Z50" i="88" s="1"/>
  <c r="P50" i="88"/>
  <c r="L50" i="88"/>
  <c r="H50" i="88"/>
  <c r="N50" i="88" s="1"/>
  <c r="D50" i="88"/>
  <c r="B50" i="88"/>
  <c r="Z49" i="88"/>
  <c r="X49" i="88"/>
  <c r="N49" i="88"/>
  <c r="L49" i="88"/>
  <c r="B49" i="88"/>
  <c r="T48" i="88"/>
  <c r="P48" i="88"/>
  <c r="H48" i="88"/>
  <c r="D48" i="88"/>
  <c r="B48" i="88"/>
  <c r="Z47" i="88"/>
  <c r="X47" i="88"/>
  <c r="N47" i="88"/>
  <c r="L47" i="88"/>
  <c r="B47" i="88"/>
  <c r="T46" i="88"/>
  <c r="P46" i="88"/>
  <c r="H46" i="88"/>
  <c r="D46" i="88"/>
  <c r="L46" i="88" s="1"/>
  <c r="N46" i="88" s="1"/>
  <c r="B46" i="88"/>
  <c r="Z45" i="88"/>
  <c r="X45" i="88"/>
  <c r="N45" i="88"/>
  <c r="L45" i="88"/>
  <c r="J45" i="88"/>
  <c r="B45" i="88"/>
  <c r="Z44" i="88"/>
  <c r="X44" i="88"/>
  <c r="N44" i="88"/>
  <c r="L44" i="88"/>
  <c r="B44" i="88"/>
  <c r="Z43" i="88"/>
  <c r="X43" i="88"/>
  <c r="L43" i="88"/>
  <c r="N43" i="88" s="1"/>
  <c r="B43" i="88"/>
  <c r="Z42" i="88"/>
  <c r="X42" i="88"/>
  <c r="R42" i="88"/>
  <c r="N42" i="88"/>
  <c r="L42" i="88"/>
  <c r="B42" i="88"/>
  <c r="Z41" i="88"/>
  <c r="X41" i="88"/>
  <c r="N41" i="88"/>
  <c r="L41" i="88"/>
  <c r="J41" i="88"/>
  <c r="F41" i="88"/>
  <c r="B41" i="88"/>
  <c r="Z40" i="88"/>
  <c r="X40" i="88"/>
  <c r="N40" i="88"/>
  <c r="L40" i="88"/>
  <c r="B40" i="88"/>
  <c r="Z39" i="88"/>
  <c r="X39" i="88"/>
  <c r="N39" i="88"/>
  <c r="L39" i="88"/>
  <c r="J39" i="88"/>
  <c r="B39" i="88"/>
  <c r="Z38" i="88"/>
  <c r="X38" i="88"/>
  <c r="R38" i="88"/>
  <c r="N38" i="88"/>
  <c r="L38" i="88"/>
  <c r="B38" i="88"/>
  <c r="Z37" i="88"/>
  <c r="X37" i="88"/>
  <c r="L37" i="88"/>
  <c r="N37" i="88" s="1"/>
  <c r="J37" i="88"/>
  <c r="F37" i="88"/>
  <c r="B37" i="88"/>
  <c r="Z36" i="88"/>
  <c r="X36" i="88"/>
  <c r="N36" i="88"/>
  <c r="L36" i="88"/>
  <c r="B36" i="88"/>
  <c r="X35" i="88"/>
  <c r="Z35" i="88" s="1"/>
  <c r="T35" i="88"/>
  <c r="P35" i="88"/>
  <c r="H35" i="88"/>
  <c r="L35" i="88" s="1"/>
  <c r="N35" i="88" s="1"/>
  <c r="D35" i="88"/>
  <c r="B35" i="88"/>
  <c r="Z34" i="88"/>
  <c r="X34" i="88"/>
  <c r="N34" i="88"/>
  <c r="L34" i="88"/>
  <c r="B34" i="88"/>
  <c r="X33" i="88"/>
  <c r="Z33" i="88" s="1"/>
  <c r="V33" i="88"/>
  <c r="L33" i="88"/>
  <c r="N33" i="88" s="1"/>
  <c r="B33" i="88"/>
  <c r="X32" i="88"/>
  <c r="Z32" i="88" s="1"/>
  <c r="L32" i="88"/>
  <c r="N32" i="88" s="1"/>
  <c r="J32" i="88"/>
  <c r="B32" i="88"/>
  <c r="X31" i="88"/>
  <c r="Z31" i="88" s="1"/>
  <c r="N31" i="88"/>
  <c r="L31" i="88"/>
  <c r="B31" i="88"/>
  <c r="Z30" i="88"/>
  <c r="X30" i="88"/>
  <c r="L30" i="88"/>
  <c r="N30" i="88" s="1"/>
  <c r="B30" i="88"/>
  <c r="X29" i="88"/>
  <c r="Z29" i="88" s="1"/>
  <c r="V29" i="88"/>
  <c r="R29" i="88"/>
  <c r="L29" i="88"/>
  <c r="N29" i="88" s="1"/>
  <c r="B29" i="88"/>
  <c r="X28" i="88"/>
  <c r="Z28" i="88" s="1"/>
  <c r="L28" i="88"/>
  <c r="N28" i="88" s="1"/>
  <c r="J28" i="88"/>
  <c r="B28" i="88"/>
  <c r="X27" i="88"/>
  <c r="Z27" i="88" s="1"/>
  <c r="L27" i="88"/>
  <c r="N27" i="88" s="1"/>
  <c r="B27" i="88"/>
  <c r="Z26" i="88"/>
  <c r="X26" i="88"/>
  <c r="L26" i="88"/>
  <c r="N26" i="88" s="1"/>
  <c r="B26" i="88"/>
  <c r="T25" i="88"/>
  <c r="P25" i="88"/>
  <c r="L25" i="88"/>
  <c r="J25" i="88"/>
  <c r="H25" i="88"/>
  <c r="N25" i="88" s="1"/>
  <c r="D25" i="88"/>
  <c r="B25" i="88"/>
  <c r="X24" i="88"/>
  <c r="V24" i="88"/>
  <c r="T24" i="88"/>
  <c r="P24" i="88"/>
  <c r="L24" i="88"/>
  <c r="H24" i="88"/>
  <c r="N24" i="88" s="1"/>
  <c r="D24" i="88"/>
  <c r="H22" i="88"/>
  <c r="H100" i="88" s="1"/>
  <c r="Z20" i="88"/>
  <c r="X20" i="88"/>
  <c r="V20" i="88"/>
  <c r="N20" i="88"/>
  <c r="L20" i="88"/>
  <c r="B20" i="88"/>
  <c r="Z19" i="88"/>
  <c r="X19" i="88"/>
  <c r="N19" i="88"/>
  <c r="L19" i="88"/>
  <c r="J19" i="88"/>
  <c r="B19" i="88"/>
  <c r="X18" i="88"/>
  <c r="Z18" i="88" s="1"/>
  <c r="L18" i="88"/>
  <c r="N18" i="88" s="1"/>
  <c r="F18" i="88"/>
  <c r="B18" i="88"/>
  <c r="T17" i="88"/>
  <c r="X17" i="88" s="1"/>
  <c r="Z17" i="88" s="1"/>
  <c r="P17" i="88"/>
  <c r="J17" i="88"/>
  <c r="H17" i="88"/>
  <c r="F17" i="88"/>
  <c r="D17" i="88"/>
  <c r="L17" i="88" s="1"/>
  <c r="N17" i="88" s="1"/>
  <c r="Z15" i="88"/>
  <c r="P15" i="88"/>
  <c r="X15" i="88" s="1"/>
  <c r="N15" i="88"/>
  <c r="L15" i="88"/>
  <c r="D15" i="88"/>
  <c r="B15" i="88"/>
  <c r="Z14" i="88"/>
  <c r="X14" i="88"/>
  <c r="P14" i="88"/>
  <c r="N14" i="88"/>
  <c r="L14" i="88"/>
  <c r="D14" i="88"/>
  <c r="B14" i="88"/>
  <c r="P13" i="88"/>
  <c r="P12" i="88" s="1"/>
  <c r="L13" i="88"/>
  <c r="N13" i="88" s="1"/>
  <c r="D13" i="88"/>
  <c r="B13" i="88"/>
  <c r="X12" i="88"/>
  <c r="T12" i="88"/>
  <c r="V65" i="88" s="1"/>
  <c r="H12" i="88"/>
  <c r="J98" i="88" s="1"/>
  <c r="D12" i="88"/>
  <c r="F70" i="88" s="1"/>
  <c r="D6" i="88"/>
  <c r="D4" i="88"/>
  <c r="Z34" i="86"/>
  <c r="X34" i="86"/>
  <c r="L34" i="86"/>
  <c r="N34" i="86" s="1"/>
  <c r="V32" i="86"/>
  <c r="X30" i="86"/>
  <c r="V30" i="86"/>
  <c r="T30" i="86"/>
  <c r="Z30" i="86" s="1"/>
  <c r="P30" i="86"/>
  <c r="H30" i="86"/>
  <c r="N30" i="86" s="1"/>
  <c r="D30" i="86"/>
  <c r="Z28" i="86"/>
  <c r="X28" i="86"/>
  <c r="V28" i="86"/>
  <c r="N28" i="86"/>
  <c r="L28" i="86"/>
  <c r="B28" i="86"/>
  <c r="Z27" i="86"/>
  <c r="T27" i="86"/>
  <c r="R27" i="86"/>
  <c r="P27" i="86"/>
  <c r="X27" i="86" s="1"/>
  <c r="N27" i="86"/>
  <c r="H27" i="86"/>
  <c r="D27" i="86"/>
  <c r="L27" i="86" s="1"/>
  <c r="B27" i="86"/>
  <c r="Z26" i="86"/>
  <c r="X26" i="86"/>
  <c r="R26" i="86"/>
  <c r="N26" i="86"/>
  <c r="L26" i="86"/>
  <c r="B26" i="86"/>
  <c r="Z25" i="86"/>
  <c r="X25" i="86"/>
  <c r="T25" i="86"/>
  <c r="P25" i="86"/>
  <c r="N25" i="86"/>
  <c r="L25" i="86"/>
  <c r="H25" i="86"/>
  <c r="D25" i="86"/>
  <c r="B25" i="86"/>
  <c r="X24" i="86"/>
  <c r="Z24" i="86" s="1"/>
  <c r="L24" i="86"/>
  <c r="N24" i="86" s="1"/>
  <c r="J24" i="86"/>
  <c r="B24" i="86"/>
  <c r="T23" i="86"/>
  <c r="P23" i="86"/>
  <c r="H23" i="86"/>
  <c r="D23" i="86"/>
  <c r="L23" i="86" s="1"/>
  <c r="B23" i="86"/>
  <c r="T22" i="86"/>
  <c r="P22" i="86"/>
  <c r="L22" i="86"/>
  <c r="J22" i="86"/>
  <c r="H22" i="86"/>
  <c r="D22" i="86"/>
  <c r="T20" i="86"/>
  <c r="T32" i="86" s="1"/>
  <c r="Z18" i="86"/>
  <c r="X18" i="86"/>
  <c r="N18" i="86"/>
  <c r="L18" i="86"/>
  <c r="B18" i="86"/>
  <c r="Z17" i="86"/>
  <c r="X17" i="86"/>
  <c r="V17" i="86"/>
  <c r="N17" i="86"/>
  <c r="L17" i="86"/>
  <c r="J17" i="86"/>
  <c r="B17" i="86"/>
  <c r="X16" i="86"/>
  <c r="V16" i="86"/>
  <c r="T16" i="86"/>
  <c r="P16" i="86"/>
  <c r="H16" i="86"/>
  <c r="H20" i="86" s="1"/>
  <c r="D16" i="86"/>
  <c r="L16" i="86" s="1"/>
  <c r="Z14" i="86"/>
  <c r="X14" i="86"/>
  <c r="P14" i="86"/>
  <c r="P12" i="86" s="1"/>
  <c r="N14" i="86"/>
  <c r="D14" i="86"/>
  <c r="L14" i="86" s="1"/>
  <c r="B14" i="86"/>
  <c r="P13" i="86"/>
  <c r="X13" i="86" s="1"/>
  <c r="Z13" i="86" s="1"/>
  <c r="L13" i="86"/>
  <c r="N13" i="86" s="1"/>
  <c r="D13" i="86"/>
  <c r="B13" i="86"/>
  <c r="T12" i="86"/>
  <c r="H12" i="86"/>
  <c r="J25" i="86" s="1"/>
  <c r="D6" i="86"/>
  <c r="D4" i="86"/>
  <c r="X131" i="85"/>
  <c r="Z131" i="85" s="1"/>
  <c r="V131" i="85"/>
  <c r="L131" i="85"/>
  <c r="N131" i="85" s="1"/>
  <c r="T127" i="85"/>
  <c r="Z127" i="85" s="1"/>
  <c r="P127" i="85"/>
  <c r="X127" i="85" s="1"/>
  <c r="N127" i="85"/>
  <c r="H127" i="85"/>
  <c r="D127" i="85"/>
  <c r="L127" i="85" s="1"/>
  <c r="X125" i="85"/>
  <c r="Z125" i="85" s="1"/>
  <c r="L125" i="85"/>
  <c r="N125" i="85" s="1"/>
  <c r="J125" i="85"/>
  <c r="B125" i="85"/>
  <c r="T124" i="85"/>
  <c r="P124" i="85"/>
  <c r="X124" i="85" s="1"/>
  <c r="Z124" i="85" s="1"/>
  <c r="J124" i="85"/>
  <c r="H124" i="85"/>
  <c r="D124" i="85"/>
  <c r="L124" i="85" s="1"/>
  <c r="B124" i="85"/>
  <c r="X123" i="85"/>
  <c r="Z123" i="85" s="1"/>
  <c r="N123" i="85"/>
  <c r="L123" i="85"/>
  <c r="B123" i="85"/>
  <c r="X122" i="85"/>
  <c r="T122" i="85"/>
  <c r="Z122" i="85" s="1"/>
  <c r="P122" i="85"/>
  <c r="H122" i="85"/>
  <c r="N122" i="85" s="1"/>
  <c r="D122" i="85"/>
  <c r="L122" i="85" s="1"/>
  <c r="B122" i="85"/>
  <c r="X121" i="85"/>
  <c r="Z121" i="85" s="1"/>
  <c r="N121" i="85"/>
  <c r="L121" i="85"/>
  <c r="B121" i="85"/>
  <c r="Z120" i="85"/>
  <c r="X120" i="85"/>
  <c r="T120" i="85"/>
  <c r="P120" i="85"/>
  <c r="H120" i="85"/>
  <c r="N120" i="85" s="1"/>
  <c r="D120" i="85"/>
  <c r="L120" i="85" s="1"/>
  <c r="B120" i="85"/>
  <c r="Z119" i="85"/>
  <c r="X119" i="85"/>
  <c r="N119" i="85"/>
  <c r="L119" i="85"/>
  <c r="B119" i="85"/>
  <c r="X118" i="85"/>
  <c r="Z118" i="85" s="1"/>
  <c r="V118" i="85"/>
  <c r="N118" i="85"/>
  <c r="L118" i="85"/>
  <c r="B118" i="85"/>
  <c r="T117" i="85"/>
  <c r="Z117" i="85" s="1"/>
  <c r="P117" i="85"/>
  <c r="X117" i="85" s="1"/>
  <c r="H117" i="85"/>
  <c r="D117" i="85"/>
  <c r="L117" i="85" s="1"/>
  <c r="N117" i="85" s="1"/>
  <c r="B117" i="85"/>
  <c r="X116" i="85"/>
  <c r="Z116" i="85" s="1"/>
  <c r="N116" i="85"/>
  <c r="L116" i="85"/>
  <c r="B116" i="85"/>
  <c r="X115" i="85"/>
  <c r="Z115" i="85" s="1"/>
  <c r="N115" i="85"/>
  <c r="L115" i="85"/>
  <c r="B115" i="85"/>
  <c r="Z114" i="85"/>
  <c r="X114" i="85"/>
  <c r="N114" i="85"/>
  <c r="L114" i="85"/>
  <c r="B114" i="85"/>
  <c r="X113" i="85"/>
  <c r="Z113" i="85" s="1"/>
  <c r="V113" i="85"/>
  <c r="L113" i="85"/>
  <c r="N113" i="85" s="1"/>
  <c r="B113" i="85"/>
  <c r="X112" i="85"/>
  <c r="Z112" i="85" s="1"/>
  <c r="L112" i="85"/>
  <c r="N112" i="85" s="1"/>
  <c r="B112" i="85"/>
  <c r="X111" i="85"/>
  <c r="Z111" i="85" s="1"/>
  <c r="L111" i="85"/>
  <c r="N111" i="85" s="1"/>
  <c r="B111" i="85"/>
  <c r="T110" i="85"/>
  <c r="P110" i="85"/>
  <c r="X110" i="85" s="1"/>
  <c r="H110" i="85"/>
  <c r="D110" i="85"/>
  <c r="L110" i="85" s="1"/>
  <c r="B110" i="85"/>
  <c r="X109" i="85"/>
  <c r="Z109" i="85" s="1"/>
  <c r="N109" i="85"/>
  <c r="L109" i="85"/>
  <c r="B109" i="85"/>
  <c r="X108" i="85"/>
  <c r="Z108" i="85" s="1"/>
  <c r="N108" i="85"/>
  <c r="L108" i="85"/>
  <c r="B108" i="85"/>
  <c r="T107" i="85"/>
  <c r="P107" i="85"/>
  <c r="L107" i="85"/>
  <c r="H107" i="85"/>
  <c r="N107" i="85" s="1"/>
  <c r="D107" i="85"/>
  <c r="B107" i="85"/>
  <c r="X106" i="85"/>
  <c r="Z106" i="85" s="1"/>
  <c r="V106" i="85"/>
  <c r="L106" i="85"/>
  <c r="N106" i="85" s="1"/>
  <c r="B106" i="85"/>
  <c r="X105" i="85"/>
  <c r="Z105" i="85" s="1"/>
  <c r="L105" i="85"/>
  <c r="N105" i="85" s="1"/>
  <c r="J105" i="85"/>
  <c r="B105" i="85"/>
  <c r="Z104" i="85"/>
  <c r="X104" i="85"/>
  <c r="N104" i="85"/>
  <c r="L104" i="85"/>
  <c r="B104" i="85"/>
  <c r="T103" i="85"/>
  <c r="P103" i="85"/>
  <c r="X103" i="85" s="1"/>
  <c r="Z103" i="85" s="1"/>
  <c r="H103" i="85"/>
  <c r="D103" i="85"/>
  <c r="L103" i="85" s="1"/>
  <c r="B103" i="85"/>
  <c r="X102" i="85"/>
  <c r="Z102" i="85" s="1"/>
  <c r="N102" i="85"/>
  <c r="L102" i="85"/>
  <c r="B102" i="85"/>
  <c r="X101" i="85"/>
  <c r="Z101" i="85" s="1"/>
  <c r="V101" i="85"/>
  <c r="N101" i="85"/>
  <c r="L101" i="85"/>
  <c r="B101" i="85"/>
  <c r="T100" i="85"/>
  <c r="Z100" i="85" s="1"/>
  <c r="P100" i="85"/>
  <c r="X100" i="85" s="1"/>
  <c r="H100" i="85"/>
  <c r="D100" i="85"/>
  <c r="L100" i="85" s="1"/>
  <c r="N100" i="85" s="1"/>
  <c r="B100" i="85"/>
  <c r="X99" i="85"/>
  <c r="Z99" i="85" s="1"/>
  <c r="N99" i="85"/>
  <c r="L99" i="85"/>
  <c r="B99" i="85"/>
  <c r="T98" i="85"/>
  <c r="Z98" i="85" s="1"/>
  <c r="P98" i="85"/>
  <c r="X98" i="85" s="1"/>
  <c r="N98" i="85"/>
  <c r="L98" i="85"/>
  <c r="H98" i="85"/>
  <c r="D98" i="85"/>
  <c r="B98" i="85"/>
  <c r="X97" i="85"/>
  <c r="Z97" i="85" s="1"/>
  <c r="N97" i="85"/>
  <c r="L97" i="85"/>
  <c r="J97" i="85"/>
  <c r="B97" i="85"/>
  <c r="X96" i="85"/>
  <c r="T96" i="85"/>
  <c r="Z96" i="85" s="1"/>
  <c r="P96" i="85"/>
  <c r="H96" i="85"/>
  <c r="N96" i="85" s="1"/>
  <c r="D96" i="85"/>
  <c r="B96" i="85"/>
  <c r="Z95" i="85"/>
  <c r="X95" i="85"/>
  <c r="L95" i="85"/>
  <c r="N95" i="85" s="1"/>
  <c r="B95" i="85"/>
  <c r="T94" i="85"/>
  <c r="P94" i="85"/>
  <c r="H94" i="85"/>
  <c r="N94" i="85" s="1"/>
  <c r="D94" i="85"/>
  <c r="L94" i="85" s="1"/>
  <c r="B94" i="85"/>
  <c r="X93" i="85"/>
  <c r="Z93" i="85" s="1"/>
  <c r="L93" i="85"/>
  <c r="N93" i="85" s="1"/>
  <c r="B93" i="85"/>
  <c r="Z92" i="85"/>
  <c r="X92" i="85"/>
  <c r="T92" i="85"/>
  <c r="P92" i="85"/>
  <c r="H92" i="85"/>
  <c r="D92" i="85"/>
  <c r="L92" i="85" s="1"/>
  <c r="B92" i="85"/>
  <c r="Z91" i="85"/>
  <c r="X91" i="85"/>
  <c r="N91" i="85"/>
  <c r="L91" i="85"/>
  <c r="B91" i="85"/>
  <c r="V90" i="85"/>
  <c r="T90" i="85"/>
  <c r="P90" i="85"/>
  <c r="X90" i="85" s="1"/>
  <c r="H90" i="85"/>
  <c r="D90" i="85"/>
  <c r="L90" i="85" s="1"/>
  <c r="N90" i="85" s="1"/>
  <c r="B90" i="85"/>
  <c r="X89" i="85"/>
  <c r="Z89" i="85" s="1"/>
  <c r="V89" i="85"/>
  <c r="N89" i="85"/>
  <c r="L89" i="85"/>
  <c r="B89" i="85"/>
  <c r="T88" i="85"/>
  <c r="P88" i="85"/>
  <c r="X88" i="85" s="1"/>
  <c r="L88" i="85"/>
  <c r="H88" i="85"/>
  <c r="N88" i="85" s="1"/>
  <c r="D88" i="85"/>
  <c r="B88" i="85"/>
  <c r="Z87" i="85"/>
  <c r="X87" i="85"/>
  <c r="N87" i="85"/>
  <c r="L87" i="85"/>
  <c r="B87" i="85"/>
  <c r="T86" i="85"/>
  <c r="Z86" i="85" s="1"/>
  <c r="P86" i="85"/>
  <c r="X86" i="85" s="1"/>
  <c r="N86" i="85"/>
  <c r="L86" i="85"/>
  <c r="H86" i="85"/>
  <c r="D86" i="85"/>
  <c r="B86" i="85"/>
  <c r="Z85" i="85"/>
  <c r="X85" i="85"/>
  <c r="L85" i="85"/>
  <c r="N85" i="85" s="1"/>
  <c r="J85" i="85"/>
  <c r="B85" i="85"/>
  <c r="X84" i="85"/>
  <c r="T84" i="85"/>
  <c r="Z84" i="85" s="1"/>
  <c r="P84" i="85"/>
  <c r="J84" i="85"/>
  <c r="H84" i="85"/>
  <c r="D84" i="85"/>
  <c r="B84" i="85"/>
  <c r="Z83" i="85"/>
  <c r="X83" i="85"/>
  <c r="N83" i="85"/>
  <c r="L83" i="85"/>
  <c r="B83" i="85"/>
  <c r="T82" i="85"/>
  <c r="P82" i="85"/>
  <c r="H82" i="85"/>
  <c r="D82" i="85"/>
  <c r="L82" i="85" s="1"/>
  <c r="B82" i="85"/>
  <c r="X81" i="85"/>
  <c r="Z81" i="85" s="1"/>
  <c r="L81" i="85"/>
  <c r="N81" i="85" s="1"/>
  <c r="B81" i="85"/>
  <c r="Z80" i="85"/>
  <c r="X80" i="85"/>
  <c r="N80" i="85"/>
  <c r="L80" i="85"/>
  <c r="B80" i="85"/>
  <c r="T79" i="85"/>
  <c r="P79" i="85"/>
  <c r="X79" i="85" s="1"/>
  <c r="H79" i="85"/>
  <c r="D79" i="85"/>
  <c r="L79" i="85" s="1"/>
  <c r="N79" i="85" s="1"/>
  <c r="B79" i="85"/>
  <c r="X78" i="85"/>
  <c r="Z78" i="85" s="1"/>
  <c r="V78" i="85"/>
  <c r="N78" i="85"/>
  <c r="L78" i="85"/>
  <c r="B78" i="85"/>
  <c r="T77" i="85"/>
  <c r="Z77" i="85" s="1"/>
  <c r="P77" i="85"/>
  <c r="X77" i="85" s="1"/>
  <c r="N77" i="85"/>
  <c r="H77" i="85"/>
  <c r="D77" i="85"/>
  <c r="L77" i="85" s="1"/>
  <c r="B77" i="85"/>
  <c r="Z76" i="85"/>
  <c r="X76" i="85"/>
  <c r="N76" i="85"/>
  <c r="L76" i="85"/>
  <c r="B76" i="85"/>
  <c r="Z75" i="85"/>
  <c r="X75" i="85"/>
  <c r="N75" i="85"/>
  <c r="L75" i="85"/>
  <c r="B75" i="85"/>
  <c r="Z74" i="85"/>
  <c r="X74" i="85"/>
  <c r="N74" i="85"/>
  <c r="L74" i="85"/>
  <c r="B74" i="85"/>
  <c r="X73" i="85"/>
  <c r="Z73" i="85" s="1"/>
  <c r="V73" i="85"/>
  <c r="N73" i="85"/>
  <c r="L73" i="85"/>
  <c r="B73" i="85"/>
  <c r="Z72" i="85"/>
  <c r="X72" i="85"/>
  <c r="N72" i="85"/>
  <c r="L72" i="85"/>
  <c r="B72" i="85"/>
  <c r="Z71" i="85"/>
  <c r="X71" i="85"/>
  <c r="N71" i="85"/>
  <c r="L71" i="85"/>
  <c r="B71" i="85"/>
  <c r="Z70" i="85"/>
  <c r="X70" i="85"/>
  <c r="N70" i="85"/>
  <c r="L70" i="85"/>
  <c r="B70" i="85"/>
  <c r="Z69" i="85"/>
  <c r="X69" i="85"/>
  <c r="V69" i="85"/>
  <c r="N69" i="85"/>
  <c r="L69" i="85"/>
  <c r="B69" i="85"/>
  <c r="X68" i="85"/>
  <c r="Z68" i="85" s="1"/>
  <c r="N68" i="85"/>
  <c r="L68" i="85"/>
  <c r="B68" i="85"/>
  <c r="Z67" i="85"/>
  <c r="X67" i="85"/>
  <c r="N67" i="85"/>
  <c r="L67" i="85"/>
  <c r="B67" i="85"/>
  <c r="T66" i="85"/>
  <c r="P66" i="85"/>
  <c r="X66" i="85" s="1"/>
  <c r="H66" i="85"/>
  <c r="N66" i="85" s="1"/>
  <c r="D66" i="85"/>
  <c r="L66" i="85" s="1"/>
  <c r="B66" i="85"/>
  <c r="Z65" i="85"/>
  <c r="X65" i="85"/>
  <c r="N65" i="85"/>
  <c r="L65" i="85"/>
  <c r="B65" i="85"/>
  <c r="X64" i="85"/>
  <c r="Z64" i="85" s="1"/>
  <c r="N64" i="85"/>
  <c r="L64" i="85"/>
  <c r="B64" i="85"/>
  <c r="X63" i="85"/>
  <c r="Z63" i="85" s="1"/>
  <c r="N63" i="85"/>
  <c r="L63" i="85"/>
  <c r="B63" i="85"/>
  <c r="Z62" i="85"/>
  <c r="X62" i="85"/>
  <c r="N62" i="85"/>
  <c r="L62" i="85"/>
  <c r="J62" i="85"/>
  <c r="B62" i="85"/>
  <c r="X61" i="85"/>
  <c r="Z61" i="85" s="1"/>
  <c r="N61" i="85"/>
  <c r="L61" i="85"/>
  <c r="B61" i="85"/>
  <c r="Z60" i="85"/>
  <c r="X60" i="85"/>
  <c r="N60" i="85"/>
  <c r="L60" i="85"/>
  <c r="B60" i="85"/>
  <c r="X59" i="85"/>
  <c r="Z59" i="85" s="1"/>
  <c r="N59" i="85"/>
  <c r="L59" i="85"/>
  <c r="B59" i="85"/>
  <c r="X58" i="85"/>
  <c r="Z58" i="85" s="1"/>
  <c r="L58" i="85"/>
  <c r="N58" i="85" s="1"/>
  <c r="J58" i="85"/>
  <c r="B58" i="85"/>
  <c r="X57" i="85"/>
  <c r="Z57" i="85" s="1"/>
  <c r="L57" i="85"/>
  <c r="N57" i="85" s="1"/>
  <c r="B57" i="85"/>
  <c r="X56" i="85"/>
  <c r="Z56" i="85" s="1"/>
  <c r="T56" i="85"/>
  <c r="P56" i="85"/>
  <c r="H56" i="85"/>
  <c r="D56" i="85"/>
  <c r="L56" i="85" s="1"/>
  <c r="B56" i="85"/>
  <c r="T55" i="85"/>
  <c r="P55" i="85"/>
  <c r="X55" i="85" s="1"/>
  <c r="Z55" i="85" s="1"/>
  <c r="H55" i="85"/>
  <c r="D55" i="85"/>
  <c r="L55" i="85" s="1"/>
  <c r="Z51" i="85"/>
  <c r="X51" i="85"/>
  <c r="N51" i="85"/>
  <c r="L51" i="85"/>
  <c r="B51" i="85"/>
  <c r="Z50" i="85"/>
  <c r="X50" i="85"/>
  <c r="V50" i="85"/>
  <c r="R50" i="85"/>
  <c r="N50" i="85"/>
  <c r="L50" i="85"/>
  <c r="B50" i="85"/>
  <c r="Z49" i="85"/>
  <c r="X49" i="85"/>
  <c r="N49" i="85"/>
  <c r="L49" i="85"/>
  <c r="J49" i="85"/>
  <c r="B49" i="85"/>
  <c r="Z48" i="85"/>
  <c r="X48" i="85"/>
  <c r="N48" i="85"/>
  <c r="L48" i="85"/>
  <c r="B48" i="85"/>
  <c r="Z47" i="85"/>
  <c r="X47" i="85"/>
  <c r="N47" i="85"/>
  <c r="L47" i="85"/>
  <c r="B47" i="85"/>
  <c r="Z46" i="85"/>
  <c r="X46" i="85"/>
  <c r="V46" i="85"/>
  <c r="N46" i="85"/>
  <c r="L46" i="85"/>
  <c r="B46" i="85"/>
  <c r="Z45" i="85"/>
  <c r="X45" i="85"/>
  <c r="N45" i="85"/>
  <c r="L45" i="85"/>
  <c r="J45" i="85"/>
  <c r="B45" i="85"/>
  <c r="Z44" i="85"/>
  <c r="X44" i="85"/>
  <c r="N44" i="85"/>
  <c r="L44" i="85"/>
  <c r="B44" i="85"/>
  <c r="Z43" i="85"/>
  <c r="X43" i="85"/>
  <c r="N43" i="85"/>
  <c r="L43" i="85"/>
  <c r="B43" i="85"/>
  <c r="Z42" i="85"/>
  <c r="X42" i="85"/>
  <c r="V42" i="85"/>
  <c r="N42" i="85"/>
  <c r="L42" i="85"/>
  <c r="B42" i="85"/>
  <c r="Z41" i="85"/>
  <c r="X41" i="85"/>
  <c r="N41" i="85"/>
  <c r="L41" i="85"/>
  <c r="J41" i="85"/>
  <c r="B41" i="85"/>
  <c r="Z40" i="85"/>
  <c r="X40" i="85"/>
  <c r="N40" i="85"/>
  <c r="L40" i="85"/>
  <c r="B40" i="85"/>
  <c r="Z39" i="85"/>
  <c r="X39" i="85"/>
  <c r="N39" i="85"/>
  <c r="L39" i="85"/>
  <c r="B39" i="85"/>
  <c r="Z38" i="85"/>
  <c r="X38" i="85"/>
  <c r="V38" i="85"/>
  <c r="N38" i="85"/>
  <c r="L38" i="85"/>
  <c r="B38" i="85"/>
  <c r="Z37" i="85"/>
  <c r="X37" i="85"/>
  <c r="N37" i="85"/>
  <c r="L37" i="85"/>
  <c r="J37" i="85"/>
  <c r="B37" i="85"/>
  <c r="Z36" i="85"/>
  <c r="X36" i="85"/>
  <c r="L36" i="85"/>
  <c r="N36" i="85" s="1"/>
  <c r="B36" i="85"/>
  <c r="T35" i="85"/>
  <c r="P35" i="85"/>
  <c r="X35" i="85" s="1"/>
  <c r="Z35" i="85" s="1"/>
  <c r="H35" i="85"/>
  <c r="D35" i="85"/>
  <c r="L35" i="85" s="1"/>
  <c r="Z33" i="85"/>
  <c r="P33" i="85"/>
  <c r="X33" i="85" s="1"/>
  <c r="N33" i="85"/>
  <c r="D33" i="85"/>
  <c r="L33" i="85" s="1"/>
  <c r="B33" i="85"/>
  <c r="Z32" i="85"/>
  <c r="P32" i="85"/>
  <c r="X32" i="85" s="1"/>
  <c r="N32" i="85"/>
  <c r="D32" i="85"/>
  <c r="L32" i="85" s="1"/>
  <c r="B32" i="85"/>
  <c r="Z31" i="85"/>
  <c r="X31" i="85"/>
  <c r="P31" i="85"/>
  <c r="N31" i="85"/>
  <c r="D31" i="85"/>
  <c r="L31" i="85" s="1"/>
  <c r="B31" i="85"/>
  <c r="Z30" i="85"/>
  <c r="P30" i="85"/>
  <c r="X30" i="85" s="1"/>
  <c r="N30" i="85"/>
  <c r="D30" i="85"/>
  <c r="L30" i="85" s="1"/>
  <c r="B30" i="85"/>
  <c r="Z29" i="85"/>
  <c r="X29" i="85"/>
  <c r="P29" i="85"/>
  <c r="N29" i="85"/>
  <c r="D29" i="85"/>
  <c r="L29" i="85" s="1"/>
  <c r="B29" i="85"/>
  <c r="Z28" i="85"/>
  <c r="X28" i="85"/>
  <c r="P28" i="85"/>
  <c r="N28" i="85"/>
  <c r="L28" i="85"/>
  <c r="D28" i="85"/>
  <c r="B28" i="85"/>
  <c r="Z27" i="85"/>
  <c r="P27" i="85"/>
  <c r="X27" i="85" s="1"/>
  <c r="N27" i="85"/>
  <c r="D27" i="85"/>
  <c r="L27" i="85" s="1"/>
  <c r="B27" i="85"/>
  <c r="Z26" i="85"/>
  <c r="P26" i="85"/>
  <c r="X26" i="85" s="1"/>
  <c r="N26" i="85"/>
  <c r="L26" i="85"/>
  <c r="D26" i="85"/>
  <c r="B26" i="85"/>
  <c r="Z25" i="85"/>
  <c r="X25" i="85"/>
  <c r="P25" i="85"/>
  <c r="N25" i="85"/>
  <c r="L25" i="85"/>
  <c r="D25" i="85"/>
  <c r="B25" i="85"/>
  <c r="Z24" i="85"/>
  <c r="P24" i="85"/>
  <c r="X24" i="85" s="1"/>
  <c r="N24" i="85"/>
  <c r="L24" i="85"/>
  <c r="D24" i="85"/>
  <c r="B24" i="85"/>
  <c r="Z23" i="85"/>
  <c r="P23" i="85"/>
  <c r="X23" i="85" s="1"/>
  <c r="N23" i="85"/>
  <c r="D23" i="85"/>
  <c r="L23" i="85" s="1"/>
  <c r="B23" i="85"/>
  <c r="Z22" i="85"/>
  <c r="P22" i="85"/>
  <c r="X22" i="85" s="1"/>
  <c r="N22" i="85"/>
  <c r="L22" i="85"/>
  <c r="D22" i="85"/>
  <c r="B22" i="85"/>
  <c r="Z21" i="85"/>
  <c r="P21" i="85"/>
  <c r="X21" i="85" s="1"/>
  <c r="N21" i="85"/>
  <c r="D21" i="85"/>
  <c r="L21" i="85" s="1"/>
  <c r="B21" i="85"/>
  <c r="Z20" i="85"/>
  <c r="P20" i="85"/>
  <c r="X20" i="85" s="1"/>
  <c r="N20" i="85"/>
  <c r="D20" i="85"/>
  <c r="L20" i="85" s="1"/>
  <c r="B20" i="85"/>
  <c r="Z19" i="85"/>
  <c r="P19" i="85"/>
  <c r="X19" i="85" s="1"/>
  <c r="N19" i="85"/>
  <c r="D19" i="85"/>
  <c r="L19" i="85" s="1"/>
  <c r="B19" i="85"/>
  <c r="Z18" i="85"/>
  <c r="P18" i="85"/>
  <c r="X18" i="85" s="1"/>
  <c r="N18" i="85"/>
  <c r="D18" i="85"/>
  <c r="L18" i="85" s="1"/>
  <c r="B18" i="85"/>
  <c r="Z17" i="85"/>
  <c r="X17" i="85"/>
  <c r="P17" i="85"/>
  <c r="N17" i="85"/>
  <c r="D17" i="85"/>
  <c r="L17" i="85" s="1"/>
  <c r="B17" i="85"/>
  <c r="Z16" i="85"/>
  <c r="X16" i="85"/>
  <c r="P16" i="85"/>
  <c r="N16" i="85"/>
  <c r="D16" i="85"/>
  <c r="L16" i="85" s="1"/>
  <c r="B16" i="85"/>
  <c r="Z15" i="85"/>
  <c r="X15" i="85"/>
  <c r="P15" i="85"/>
  <c r="N15" i="85"/>
  <c r="D15" i="85"/>
  <c r="B15" i="85"/>
  <c r="Z14" i="85"/>
  <c r="P14" i="85"/>
  <c r="X14" i="85" s="1"/>
  <c r="N14" i="85"/>
  <c r="L14" i="85"/>
  <c r="D14" i="85"/>
  <c r="B14" i="85"/>
  <c r="X13" i="85"/>
  <c r="Z13" i="85" s="1"/>
  <c r="P13" i="85"/>
  <c r="P12" i="85" s="1"/>
  <c r="R100" i="85" s="1"/>
  <c r="L13" i="85"/>
  <c r="N13" i="85" s="1"/>
  <c r="D13" i="85"/>
  <c r="B13" i="85"/>
  <c r="T12" i="85"/>
  <c r="V120" i="85" s="1"/>
  <c r="H12" i="85"/>
  <c r="J116" i="85" s="1"/>
  <c r="D6" i="85"/>
  <c r="D4" i="85"/>
  <c r="X98" i="84"/>
  <c r="Z98" i="84" s="1"/>
  <c r="N98" i="84"/>
  <c r="L98" i="84"/>
  <c r="T94" i="84"/>
  <c r="Z94" i="84" s="1"/>
  <c r="P94" i="84"/>
  <c r="N94" i="84"/>
  <c r="L94" i="84"/>
  <c r="H94" i="84"/>
  <c r="D94" i="84"/>
  <c r="Z92" i="84"/>
  <c r="X92" i="84"/>
  <c r="V92" i="84"/>
  <c r="R92" i="84"/>
  <c r="L92" i="84"/>
  <c r="N92" i="84" s="1"/>
  <c r="B92" i="84"/>
  <c r="T91" i="84"/>
  <c r="Z91" i="84" s="1"/>
  <c r="P91" i="84"/>
  <c r="X91" i="84" s="1"/>
  <c r="H91" i="84"/>
  <c r="D91" i="84"/>
  <c r="L91" i="84" s="1"/>
  <c r="N91" i="84" s="1"/>
  <c r="B91" i="84"/>
  <c r="Z90" i="84"/>
  <c r="X90" i="84"/>
  <c r="N90" i="84"/>
  <c r="L90" i="84"/>
  <c r="B90" i="84"/>
  <c r="X89" i="84"/>
  <c r="Z89" i="84" s="1"/>
  <c r="T89" i="84"/>
  <c r="P89" i="84"/>
  <c r="L89" i="84"/>
  <c r="J89" i="84"/>
  <c r="H89" i="84"/>
  <c r="N89" i="84" s="1"/>
  <c r="D89" i="84"/>
  <c r="B89" i="84"/>
  <c r="Z88" i="84"/>
  <c r="X88" i="84"/>
  <c r="N88" i="84"/>
  <c r="L88" i="84"/>
  <c r="J88" i="84"/>
  <c r="B88" i="84"/>
  <c r="T87" i="84"/>
  <c r="P87" i="84"/>
  <c r="H87" i="84"/>
  <c r="D87" i="84"/>
  <c r="B87" i="84"/>
  <c r="Z86" i="84"/>
  <c r="X86" i="84"/>
  <c r="N86" i="84"/>
  <c r="L86" i="84"/>
  <c r="B86" i="84"/>
  <c r="Z85" i="84"/>
  <c r="T85" i="84"/>
  <c r="P85" i="84"/>
  <c r="X85" i="84" s="1"/>
  <c r="H85" i="84"/>
  <c r="D85" i="84"/>
  <c r="L85" i="84" s="1"/>
  <c r="B85" i="84"/>
  <c r="Z84" i="84"/>
  <c r="X84" i="84"/>
  <c r="N84" i="84"/>
  <c r="L84" i="84"/>
  <c r="B84" i="84"/>
  <c r="Z83" i="84"/>
  <c r="X83" i="84"/>
  <c r="V83" i="84"/>
  <c r="N83" i="84"/>
  <c r="L83" i="84"/>
  <c r="B83" i="84"/>
  <c r="Z82" i="84"/>
  <c r="X82" i="84"/>
  <c r="N82" i="84"/>
  <c r="L82" i="84"/>
  <c r="B82" i="84"/>
  <c r="Z81" i="84"/>
  <c r="X81" i="84"/>
  <c r="N81" i="84"/>
  <c r="L81" i="84"/>
  <c r="B81" i="84"/>
  <c r="X80" i="84"/>
  <c r="Z80" i="84" s="1"/>
  <c r="N80" i="84"/>
  <c r="L80" i="84"/>
  <c r="B80" i="84"/>
  <c r="X79" i="84"/>
  <c r="Z79" i="84" s="1"/>
  <c r="V79" i="84"/>
  <c r="L79" i="84"/>
  <c r="N79" i="84" s="1"/>
  <c r="B79" i="84"/>
  <c r="X78" i="84"/>
  <c r="Z78" i="84" s="1"/>
  <c r="N78" i="84"/>
  <c r="L78" i="84"/>
  <c r="B78" i="84"/>
  <c r="X77" i="84"/>
  <c r="Z77" i="84" s="1"/>
  <c r="T77" i="84"/>
  <c r="P77" i="84"/>
  <c r="L77" i="84"/>
  <c r="J77" i="84"/>
  <c r="H77" i="84"/>
  <c r="D77" i="84"/>
  <c r="B77" i="84"/>
  <c r="Z76" i="84"/>
  <c r="X76" i="84"/>
  <c r="N76" i="84"/>
  <c r="L76" i="84"/>
  <c r="J76" i="84"/>
  <c r="B76" i="84"/>
  <c r="T75" i="84"/>
  <c r="P75" i="84"/>
  <c r="H75" i="84"/>
  <c r="D75" i="84"/>
  <c r="B75" i="84"/>
  <c r="X74" i="84"/>
  <c r="Z74" i="84" s="1"/>
  <c r="N74" i="84"/>
  <c r="L74" i="84"/>
  <c r="B74" i="84"/>
  <c r="Z73" i="84"/>
  <c r="X73" i="84"/>
  <c r="L73" i="84"/>
  <c r="N73" i="84" s="1"/>
  <c r="B73" i="84"/>
  <c r="Z72" i="84"/>
  <c r="X72" i="84"/>
  <c r="V72" i="84"/>
  <c r="R72" i="84"/>
  <c r="N72" i="84"/>
  <c r="L72" i="84"/>
  <c r="B72" i="84"/>
  <c r="Z71" i="84"/>
  <c r="X71" i="84"/>
  <c r="N71" i="84"/>
  <c r="L71" i="84"/>
  <c r="J71" i="84"/>
  <c r="B71" i="84"/>
  <c r="Z70" i="84"/>
  <c r="X70" i="84"/>
  <c r="T70" i="84"/>
  <c r="P70" i="84"/>
  <c r="H70" i="84"/>
  <c r="D70" i="84"/>
  <c r="L70" i="84" s="1"/>
  <c r="B70" i="84"/>
  <c r="X69" i="84"/>
  <c r="Z69" i="84" s="1"/>
  <c r="L69" i="84"/>
  <c r="N69" i="84" s="1"/>
  <c r="B69" i="84"/>
  <c r="Z68" i="84"/>
  <c r="X68" i="84"/>
  <c r="N68" i="84"/>
  <c r="L68" i="84"/>
  <c r="B68" i="84"/>
  <c r="Z67" i="84"/>
  <c r="X67" i="84"/>
  <c r="V67" i="84"/>
  <c r="N67" i="84"/>
  <c r="L67" i="84"/>
  <c r="B67" i="84"/>
  <c r="T66" i="84"/>
  <c r="P66" i="84"/>
  <c r="X66" i="84" s="1"/>
  <c r="H66" i="84"/>
  <c r="D66" i="84"/>
  <c r="B66" i="84"/>
  <c r="X65" i="84"/>
  <c r="Z65" i="84" s="1"/>
  <c r="R65" i="84"/>
  <c r="N65" i="84"/>
  <c r="L65" i="84"/>
  <c r="B65" i="84"/>
  <c r="T64" i="84"/>
  <c r="P64" i="84"/>
  <c r="X64" i="84" s="1"/>
  <c r="Z64" i="84" s="1"/>
  <c r="L64" i="84"/>
  <c r="N64" i="84" s="1"/>
  <c r="H64" i="84"/>
  <c r="D64" i="84"/>
  <c r="B64" i="84"/>
  <c r="X63" i="84"/>
  <c r="Z63" i="84" s="1"/>
  <c r="L63" i="84"/>
  <c r="N63" i="84" s="1"/>
  <c r="J63" i="84"/>
  <c r="B63" i="84"/>
  <c r="X62" i="84"/>
  <c r="T62" i="84"/>
  <c r="Z62" i="84" s="1"/>
  <c r="P62" i="84"/>
  <c r="H62" i="84"/>
  <c r="D62" i="84"/>
  <c r="B62" i="84"/>
  <c r="X61" i="84"/>
  <c r="Z61" i="84" s="1"/>
  <c r="L61" i="84"/>
  <c r="N61" i="84" s="1"/>
  <c r="B61" i="84"/>
  <c r="X60" i="84"/>
  <c r="T60" i="84"/>
  <c r="Z60" i="84" s="1"/>
  <c r="P60" i="84"/>
  <c r="H60" i="84"/>
  <c r="D60" i="84"/>
  <c r="L60" i="84" s="1"/>
  <c r="B60" i="84"/>
  <c r="Z59" i="84"/>
  <c r="X59" i="84"/>
  <c r="N59" i="84"/>
  <c r="L59" i="84"/>
  <c r="B59" i="84"/>
  <c r="Z58" i="84"/>
  <c r="X58" i="84"/>
  <c r="T58" i="84"/>
  <c r="P58" i="84"/>
  <c r="H58" i="84"/>
  <c r="D58" i="84"/>
  <c r="L58" i="84" s="1"/>
  <c r="N58" i="84" s="1"/>
  <c r="B58" i="84"/>
  <c r="Z57" i="84"/>
  <c r="X57" i="84"/>
  <c r="L57" i="84"/>
  <c r="N57" i="84" s="1"/>
  <c r="B57" i="84"/>
  <c r="T56" i="84"/>
  <c r="P56" i="84"/>
  <c r="H56" i="84"/>
  <c r="N56" i="84" s="1"/>
  <c r="D56" i="84"/>
  <c r="L56" i="84" s="1"/>
  <c r="B56" i="84"/>
  <c r="X55" i="84"/>
  <c r="Z55" i="84" s="1"/>
  <c r="V55" i="84"/>
  <c r="N55" i="84"/>
  <c r="L55" i="84"/>
  <c r="B55" i="84"/>
  <c r="X54" i="84"/>
  <c r="Z54" i="84" s="1"/>
  <c r="L54" i="84"/>
  <c r="N54" i="84" s="1"/>
  <c r="B54" i="84"/>
  <c r="X53" i="84"/>
  <c r="Z53" i="84" s="1"/>
  <c r="L53" i="84"/>
  <c r="N53" i="84" s="1"/>
  <c r="B53" i="84"/>
  <c r="T52" i="84"/>
  <c r="P52" i="84"/>
  <c r="X52" i="84" s="1"/>
  <c r="H52" i="84"/>
  <c r="D52" i="84"/>
  <c r="L52" i="84" s="1"/>
  <c r="B52" i="84"/>
  <c r="X51" i="84"/>
  <c r="Z51" i="84" s="1"/>
  <c r="L51" i="84"/>
  <c r="N51" i="84" s="1"/>
  <c r="B51" i="84"/>
  <c r="X50" i="84"/>
  <c r="Z50" i="84" s="1"/>
  <c r="T50" i="84"/>
  <c r="P50" i="84"/>
  <c r="H50" i="84"/>
  <c r="D50" i="84"/>
  <c r="L50" i="84" s="1"/>
  <c r="N50" i="84" s="1"/>
  <c r="B50" i="84"/>
  <c r="Z49" i="84"/>
  <c r="X49" i="84"/>
  <c r="L49" i="84"/>
  <c r="N49" i="84" s="1"/>
  <c r="B49" i="84"/>
  <c r="V48" i="84"/>
  <c r="T48" i="84"/>
  <c r="P48" i="84"/>
  <c r="H48" i="84"/>
  <c r="D48" i="84"/>
  <c r="L48" i="84" s="1"/>
  <c r="N48" i="84" s="1"/>
  <c r="B48" i="84"/>
  <c r="X47" i="84"/>
  <c r="Z47" i="84" s="1"/>
  <c r="V47" i="84"/>
  <c r="L47" i="84"/>
  <c r="N47" i="84" s="1"/>
  <c r="B47" i="84"/>
  <c r="T46" i="84"/>
  <c r="Z46" i="84" s="1"/>
  <c r="P46" i="84"/>
  <c r="X46" i="84" s="1"/>
  <c r="H46" i="84"/>
  <c r="D46" i="84"/>
  <c r="L46" i="84" s="1"/>
  <c r="B46" i="84"/>
  <c r="Z45" i="84"/>
  <c r="X45" i="84"/>
  <c r="R45" i="84"/>
  <c r="N45" i="84"/>
  <c r="L45" i="84"/>
  <c r="B45" i="84"/>
  <c r="Z44" i="84"/>
  <c r="X44" i="84"/>
  <c r="N44" i="84"/>
  <c r="L44" i="84"/>
  <c r="J44" i="84"/>
  <c r="B44" i="84"/>
  <c r="Z43" i="84"/>
  <c r="X43" i="84"/>
  <c r="N43" i="84"/>
  <c r="L43" i="84"/>
  <c r="B43" i="84"/>
  <c r="Z42" i="84"/>
  <c r="X42" i="84"/>
  <c r="N42" i="84"/>
  <c r="L42" i="84"/>
  <c r="B42" i="84"/>
  <c r="Z41" i="84"/>
  <c r="X41" i="84"/>
  <c r="R41" i="84"/>
  <c r="N41" i="84"/>
  <c r="L41" i="84"/>
  <c r="B41" i="84"/>
  <c r="Z40" i="84"/>
  <c r="X40" i="84"/>
  <c r="L40" i="84"/>
  <c r="N40" i="84" s="1"/>
  <c r="J40" i="84"/>
  <c r="B40" i="84"/>
  <c r="Z39" i="84"/>
  <c r="X39" i="84"/>
  <c r="N39" i="84"/>
  <c r="L39" i="84"/>
  <c r="B39" i="84"/>
  <c r="Z38" i="84"/>
  <c r="X38" i="84"/>
  <c r="N38" i="84"/>
  <c r="L38" i="84"/>
  <c r="J38" i="84"/>
  <c r="B38" i="84"/>
  <c r="X37" i="84"/>
  <c r="Z37" i="84" s="1"/>
  <c r="R37" i="84"/>
  <c r="N37" i="84"/>
  <c r="L37" i="84"/>
  <c r="B37" i="84"/>
  <c r="Z36" i="84"/>
  <c r="X36" i="84"/>
  <c r="N36" i="84"/>
  <c r="L36" i="84"/>
  <c r="J36" i="84"/>
  <c r="B36" i="84"/>
  <c r="T35" i="84"/>
  <c r="P35" i="84"/>
  <c r="X35" i="84" s="1"/>
  <c r="H35" i="84"/>
  <c r="D35" i="84"/>
  <c r="B35" i="84"/>
  <c r="Z34" i="84"/>
  <c r="X34" i="84"/>
  <c r="V34" i="84"/>
  <c r="N34" i="84"/>
  <c r="L34" i="84"/>
  <c r="B34" i="84"/>
  <c r="Z33" i="84"/>
  <c r="X33" i="84"/>
  <c r="L33" i="84"/>
  <c r="N33" i="84" s="1"/>
  <c r="B33" i="84"/>
  <c r="X32" i="84"/>
  <c r="Z32" i="84" s="1"/>
  <c r="V32" i="84"/>
  <c r="R32" i="84"/>
  <c r="L32" i="84"/>
  <c r="N32" i="84" s="1"/>
  <c r="B32" i="84"/>
  <c r="Z31" i="84"/>
  <c r="X31" i="84"/>
  <c r="N31" i="84"/>
  <c r="L31" i="84"/>
  <c r="J31" i="84"/>
  <c r="B31" i="84"/>
  <c r="X30" i="84"/>
  <c r="Z30" i="84" s="1"/>
  <c r="V30" i="84"/>
  <c r="N30" i="84"/>
  <c r="L30" i="84"/>
  <c r="B30" i="84"/>
  <c r="Z29" i="84"/>
  <c r="X29" i="84"/>
  <c r="L29" i="84"/>
  <c r="N29" i="84" s="1"/>
  <c r="B29" i="84"/>
  <c r="Z28" i="84"/>
  <c r="X28" i="84"/>
  <c r="V28" i="84"/>
  <c r="R28" i="84"/>
  <c r="N28" i="84"/>
  <c r="L28" i="84"/>
  <c r="B28" i="84"/>
  <c r="X27" i="84"/>
  <c r="Z27" i="84" s="1"/>
  <c r="L27" i="84"/>
  <c r="N27" i="84" s="1"/>
  <c r="J27" i="84"/>
  <c r="B27" i="84"/>
  <c r="X26" i="84"/>
  <c r="Z26" i="84" s="1"/>
  <c r="V26" i="84"/>
  <c r="L26" i="84"/>
  <c r="N26" i="84" s="1"/>
  <c r="B26" i="84"/>
  <c r="T25" i="84"/>
  <c r="P25" i="84"/>
  <c r="X25" i="84" s="1"/>
  <c r="Z25" i="84" s="1"/>
  <c r="H25" i="84"/>
  <c r="N25" i="84" s="1"/>
  <c r="D25" i="84"/>
  <c r="L25" i="84" s="1"/>
  <c r="B25" i="84"/>
  <c r="T24" i="84"/>
  <c r="P24" i="84"/>
  <c r="X24" i="84" s="1"/>
  <c r="H24" i="84"/>
  <c r="D24" i="84"/>
  <c r="L24" i="84" s="1"/>
  <c r="T22" i="84"/>
  <c r="H22" i="84"/>
  <c r="H96" i="84" s="1"/>
  <c r="Z20" i="84"/>
  <c r="X20" i="84"/>
  <c r="N20" i="84"/>
  <c r="L20" i="84"/>
  <c r="B20" i="84"/>
  <c r="Z19" i="84"/>
  <c r="X19" i="84"/>
  <c r="V19" i="84"/>
  <c r="N19" i="84"/>
  <c r="L19" i="84"/>
  <c r="J19" i="84"/>
  <c r="B19" i="84"/>
  <c r="X18" i="84"/>
  <c r="Z18" i="84" s="1"/>
  <c r="L18" i="84"/>
  <c r="N18" i="84" s="1"/>
  <c r="B18" i="84"/>
  <c r="Z17" i="84"/>
  <c r="X17" i="84"/>
  <c r="V17" i="84"/>
  <c r="T17" i="84"/>
  <c r="P17" i="84"/>
  <c r="L17" i="84"/>
  <c r="N17" i="84" s="1"/>
  <c r="J17" i="84"/>
  <c r="H17" i="84"/>
  <c r="D17" i="84"/>
  <c r="Z15" i="84"/>
  <c r="X15" i="84"/>
  <c r="P15" i="84"/>
  <c r="N15" i="84"/>
  <c r="L15" i="84"/>
  <c r="D15" i="84"/>
  <c r="B15" i="84"/>
  <c r="Z14" i="84"/>
  <c r="X14" i="84"/>
  <c r="P14" i="84"/>
  <c r="N14" i="84"/>
  <c r="D14" i="84"/>
  <c r="L14" i="84" s="1"/>
  <c r="B14" i="84"/>
  <c r="P13" i="84"/>
  <c r="X13" i="84" s="1"/>
  <c r="Z13" i="84" s="1"/>
  <c r="D13" i="84"/>
  <c r="B13" i="84"/>
  <c r="T12" i="84"/>
  <c r="V58" i="84" s="1"/>
  <c r="P12" i="84"/>
  <c r="H12" i="84"/>
  <c r="J90" i="84" s="1"/>
  <c r="D6" i="84"/>
  <c r="D4" i="84"/>
  <c r="Z30" i="83"/>
  <c r="X30" i="83"/>
  <c r="L30" i="83"/>
  <c r="N30" i="83" s="1"/>
  <c r="T26" i="83"/>
  <c r="Z26" i="83" s="1"/>
  <c r="P26" i="83"/>
  <c r="X26" i="83" s="1"/>
  <c r="H26" i="83"/>
  <c r="N26" i="83" s="1"/>
  <c r="D26" i="83"/>
  <c r="L26" i="83" s="1"/>
  <c r="T24" i="83"/>
  <c r="Z24" i="83" s="1"/>
  <c r="P24" i="83"/>
  <c r="X24" i="83" s="1"/>
  <c r="H24" i="83"/>
  <c r="N24" i="83" s="1"/>
  <c r="D24" i="83"/>
  <c r="L24" i="83" s="1"/>
  <c r="T22" i="83"/>
  <c r="H22" i="83"/>
  <c r="Z20" i="83"/>
  <c r="X20" i="83"/>
  <c r="N20" i="83"/>
  <c r="L20" i="83"/>
  <c r="B20" i="83"/>
  <c r="Z19" i="83"/>
  <c r="X19" i="83"/>
  <c r="N19" i="83"/>
  <c r="L19" i="83"/>
  <c r="J19" i="83"/>
  <c r="F19" i="83"/>
  <c r="B19" i="83"/>
  <c r="Z18" i="83"/>
  <c r="X18" i="83"/>
  <c r="N18" i="83"/>
  <c r="L18" i="83"/>
  <c r="B18" i="83"/>
  <c r="X17" i="83"/>
  <c r="Z17" i="83" s="1"/>
  <c r="V17" i="83"/>
  <c r="T17" i="83"/>
  <c r="P17" i="83"/>
  <c r="N17" i="83"/>
  <c r="L17" i="83"/>
  <c r="H17" i="83"/>
  <c r="D17" i="83"/>
  <c r="P15" i="83"/>
  <c r="D15" i="83"/>
  <c r="L15" i="83" s="1"/>
  <c r="N15" i="83" s="1"/>
  <c r="B15" i="83"/>
  <c r="Z14" i="83"/>
  <c r="X14" i="83"/>
  <c r="P14" i="83"/>
  <c r="N14" i="83"/>
  <c r="D14" i="83"/>
  <c r="L14" i="83" s="1"/>
  <c r="B14" i="83"/>
  <c r="Z13" i="83"/>
  <c r="X13" i="83"/>
  <c r="P13" i="83"/>
  <c r="N13" i="83"/>
  <c r="L13" i="83"/>
  <c r="D13" i="83"/>
  <c r="D12" i="83" s="1"/>
  <c r="B13" i="83"/>
  <c r="T12" i="83"/>
  <c r="H12" i="83"/>
  <c r="J20" i="83" s="1"/>
  <c r="D6" i="83"/>
  <c r="D4" i="83"/>
  <c r="Z85" i="81"/>
  <c r="X85" i="81"/>
  <c r="L85" i="81"/>
  <c r="N85" i="81" s="1"/>
  <c r="T81" i="81"/>
  <c r="Z81" i="81" s="1"/>
  <c r="P81" i="81"/>
  <c r="H81" i="81"/>
  <c r="N81" i="81" s="1"/>
  <c r="D81" i="81"/>
  <c r="L81" i="81" s="1"/>
  <c r="Z79" i="81"/>
  <c r="X79" i="81"/>
  <c r="N79" i="81"/>
  <c r="L79" i="81"/>
  <c r="F79" i="81"/>
  <c r="B79" i="81"/>
  <c r="T78" i="81"/>
  <c r="Z78" i="81" s="1"/>
  <c r="P78" i="81"/>
  <c r="X78" i="81" s="1"/>
  <c r="L78" i="81"/>
  <c r="H78" i="81"/>
  <c r="N78" i="81" s="1"/>
  <c r="D78" i="81"/>
  <c r="B78" i="81"/>
  <c r="X77" i="81"/>
  <c r="Z77" i="81" s="1"/>
  <c r="V77" i="81"/>
  <c r="N77" i="81"/>
  <c r="L77" i="81"/>
  <c r="J77" i="81"/>
  <c r="B77" i="81"/>
  <c r="T76" i="81"/>
  <c r="P76" i="81"/>
  <c r="X76" i="81" s="1"/>
  <c r="Z76" i="81" s="1"/>
  <c r="H76" i="81"/>
  <c r="D76" i="81"/>
  <c r="B76" i="81"/>
  <c r="X75" i="81"/>
  <c r="Z75" i="81" s="1"/>
  <c r="N75" i="81"/>
  <c r="L75" i="81"/>
  <c r="B75" i="81"/>
  <c r="Z74" i="81"/>
  <c r="X74" i="81"/>
  <c r="V74" i="81"/>
  <c r="N74" i="81"/>
  <c r="L74" i="81"/>
  <c r="B74" i="81"/>
  <c r="Z73" i="81"/>
  <c r="X73" i="81"/>
  <c r="V73" i="81"/>
  <c r="N73" i="81"/>
  <c r="L73" i="81"/>
  <c r="B73" i="81"/>
  <c r="Z72" i="81"/>
  <c r="X72" i="81"/>
  <c r="N72" i="81"/>
  <c r="L72" i="81"/>
  <c r="J72" i="81"/>
  <c r="B72" i="81"/>
  <c r="Z71" i="81"/>
  <c r="X71" i="81"/>
  <c r="N71" i="81"/>
  <c r="L71" i="81"/>
  <c r="B71" i="81"/>
  <c r="Z70" i="81"/>
  <c r="X70" i="81"/>
  <c r="V70" i="81"/>
  <c r="N70" i="81"/>
  <c r="L70" i="81"/>
  <c r="B70" i="81"/>
  <c r="T69" i="81"/>
  <c r="P69" i="81"/>
  <c r="X69" i="81" s="1"/>
  <c r="H69" i="81"/>
  <c r="D69" i="81"/>
  <c r="L69" i="81" s="1"/>
  <c r="B69" i="81"/>
  <c r="Z68" i="81"/>
  <c r="X68" i="81"/>
  <c r="V68" i="81"/>
  <c r="N68" i="81"/>
  <c r="L68" i="81"/>
  <c r="B68" i="81"/>
  <c r="Z67" i="81"/>
  <c r="X67" i="81"/>
  <c r="N67" i="81"/>
  <c r="L67" i="81"/>
  <c r="B67" i="81"/>
  <c r="Z66" i="81"/>
  <c r="X66" i="81"/>
  <c r="N66" i="81"/>
  <c r="L66" i="81"/>
  <c r="B66" i="81"/>
  <c r="Z65" i="81"/>
  <c r="X65" i="81"/>
  <c r="T65" i="81"/>
  <c r="P65" i="81"/>
  <c r="N65" i="81"/>
  <c r="H65" i="81"/>
  <c r="D65" i="81"/>
  <c r="L65" i="81" s="1"/>
  <c r="B65" i="81"/>
  <c r="Z64" i="81"/>
  <c r="X64" i="81"/>
  <c r="L64" i="81"/>
  <c r="N64" i="81" s="1"/>
  <c r="B64" i="81"/>
  <c r="Z63" i="81"/>
  <c r="X63" i="81"/>
  <c r="N63" i="81"/>
  <c r="L63" i="81"/>
  <c r="B63" i="81"/>
  <c r="Z62" i="81"/>
  <c r="X62" i="81"/>
  <c r="N62" i="81"/>
  <c r="L62" i="81"/>
  <c r="J62" i="81"/>
  <c r="B62" i="81"/>
  <c r="X61" i="81"/>
  <c r="V61" i="81"/>
  <c r="T61" i="81"/>
  <c r="Z61" i="81" s="1"/>
  <c r="P61" i="81"/>
  <c r="H61" i="81"/>
  <c r="D61" i="81"/>
  <c r="B61" i="81"/>
  <c r="X60" i="81"/>
  <c r="Z60" i="81" s="1"/>
  <c r="L60" i="81"/>
  <c r="N60" i="81" s="1"/>
  <c r="J60" i="81"/>
  <c r="B60" i="81"/>
  <c r="T59" i="81"/>
  <c r="P59" i="81"/>
  <c r="X59" i="81" s="1"/>
  <c r="J59" i="81"/>
  <c r="H59" i="81"/>
  <c r="D59" i="81"/>
  <c r="L59" i="81" s="1"/>
  <c r="B59" i="81"/>
  <c r="Z58" i="81"/>
  <c r="X58" i="81"/>
  <c r="N58" i="81"/>
  <c r="L58" i="81"/>
  <c r="B58" i="81"/>
  <c r="X57" i="81"/>
  <c r="Z57" i="81" s="1"/>
  <c r="T57" i="81"/>
  <c r="P57" i="81"/>
  <c r="H57" i="81"/>
  <c r="D57" i="81"/>
  <c r="L57" i="81" s="1"/>
  <c r="N57" i="81" s="1"/>
  <c r="B57" i="81"/>
  <c r="Z56" i="81"/>
  <c r="X56" i="81"/>
  <c r="N56" i="81"/>
  <c r="L56" i="81"/>
  <c r="B56" i="81"/>
  <c r="X55" i="81"/>
  <c r="T55" i="81"/>
  <c r="Z55" i="81" s="1"/>
  <c r="P55" i="81"/>
  <c r="L55" i="81"/>
  <c r="H55" i="81"/>
  <c r="N55" i="81" s="1"/>
  <c r="D55" i="81"/>
  <c r="B55" i="81"/>
  <c r="Z54" i="81"/>
  <c r="X54" i="81"/>
  <c r="V54" i="81"/>
  <c r="L54" i="81"/>
  <c r="N54" i="81" s="1"/>
  <c r="B54" i="81"/>
  <c r="X53" i="81"/>
  <c r="Z53" i="81" s="1"/>
  <c r="V53" i="81"/>
  <c r="L53" i="81"/>
  <c r="N53" i="81" s="1"/>
  <c r="B53" i="81"/>
  <c r="T52" i="81"/>
  <c r="P52" i="81"/>
  <c r="X52" i="81" s="1"/>
  <c r="Z52" i="81" s="1"/>
  <c r="N52" i="81"/>
  <c r="L52" i="81"/>
  <c r="J52" i="81"/>
  <c r="H52" i="81"/>
  <c r="D52" i="81"/>
  <c r="B52" i="81"/>
  <c r="Z51" i="81"/>
  <c r="X51" i="81"/>
  <c r="L51" i="81"/>
  <c r="N51" i="81" s="1"/>
  <c r="B51" i="81"/>
  <c r="T50" i="81"/>
  <c r="Z50" i="81" s="1"/>
  <c r="P50" i="81"/>
  <c r="X50" i="81" s="1"/>
  <c r="L50" i="81"/>
  <c r="J50" i="81"/>
  <c r="H50" i="81"/>
  <c r="D50" i="81"/>
  <c r="B50" i="81"/>
  <c r="Z49" i="81"/>
  <c r="X49" i="81"/>
  <c r="V49" i="81"/>
  <c r="N49" i="81"/>
  <c r="L49" i="81"/>
  <c r="J49" i="81"/>
  <c r="B49" i="81"/>
  <c r="Z48" i="81"/>
  <c r="T48" i="81"/>
  <c r="P48" i="81"/>
  <c r="X48" i="81" s="1"/>
  <c r="H48" i="81"/>
  <c r="N48" i="81" s="1"/>
  <c r="D48" i="81"/>
  <c r="L48" i="81" s="1"/>
  <c r="B48" i="81"/>
  <c r="Z47" i="81"/>
  <c r="X47" i="81"/>
  <c r="N47" i="81"/>
  <c r="L47" i="81"/>
  <c r="B47" i="81"/>
  <c r="Z46" i="81"/>
  <c r="X46" i="81"/>
  <c r="V46" i="81"/>
  <c r="T46" i="81"/>
  <c r="P46" i="81"/>
  <c r="N46" i="81"/>
  <c r="H46" i="81"/>
  <c r="D46" i="81"/>
  <c r="L46" i="81" s="1"/>
  <c r="B46" i="81"/>
  <c r="Z45" i="81"/>
  <c r="X45" i="81"/>
  <c r="N45" i="81"/>
  <c r="L45" i="81"/>
  <c r="B45" i="81"/>
  <c r="Z44" i="81"/>
  <c r="X44" i="81"/>
  <c r="V44" i="81"/>
  <c r="N44" i="81"/>
  <c r="L44" i="81"/>
  <c r="B44" i="81"/>
  <c r="Z43" i="81"/>
  <c r="X43" i="81"/>
  <c r="L43" i="81"/>
  <c r="N43" i="81" s="1"/>
  <c r="B43" i="81"/>
  <c r="X42" i="81"/>
  <c r="Z42" i="81" s="1"/>
  <c r="N42" i="81"/>
  <c r="L42" i="81"/>
  <c r="B42" i="81"/>
  <c r="Z41" i="81"/>
  <c r="X41" i="81"/>
  <c r="N41" i="81"/>
  <c r="L41" i="81"/>
  <c r="B41" i="81"/>
  <c r="Z40" i="81"/>
  <c r="X40" i="81"/>
  <c r="V40" i="81"/>
  <c r="N40" i="81"/>
  <c r="L40" i="81"/>
  <c r="B40" i="81"/>
  <c r="Z39" i="81"/>
  <c r="X39" i="81"/>
  <c r="N39" i="81"/>
  <c r="L39" i="81"/>
  <c r="B39" i="81"/>
  <c r="Z38" i="81"/>
  <c r="X38" i="81"/>
  <c r="N38" i="81"/>
  <c r="L38" i="81"/>
  <c r="B38" i="81"/>
  <c r="Z37" i="81"/>
  <c r="X37" i="81"/>
  <c r="N37" i="81"/>
  <c r="L37" i="81"/>
  <c r="B37" i="81"/>
  <c r="X36" i="81"/>
  <c r="Z36" i="81" s="1"/>
  <c r="V36" i="81"/>
  <c r="N36" i="81"/>
  <c r="L36" i="81"/>
  <c r="B36" i="81"/>
  <c r="T35" i="81"/>
  <c r="P35" i="81"/>
  <c r="X35" i="81" s="1"/>
  <c r="Z35" i="81" s="1"/>
  <c r="L35" i="81"/>
  <c r="H35" i="81"/>
  <c r="N35" i="81" s="1"/>
  <c r="D35" i="81"/>
  <c r="B35" i="81"/>
  <c r="Z34" i="81"/>
  <c r="X34" i="81"/>
  <c r="N34" i="81"/>
  <c r="L34" i="81"/>
  <c r="J34" i="81"/>
  <c r="B34" i="81"/>
  <c r="X33" i="81"/>
  <c r="Z33" i="81" s="1"/>
  <c r="V33" i="81"/>
  <c r="N33" i="81"/>
  <c r="L33" i="81"/>
  <c r="J33" i="81"/>
  <c r="B33" i="81"/>
  <c r="Z32" i="81"/>
  <c r="X32" i="81"/>
  <c r="L32" i="81"/>
  <c r="N32" i="81" s="1"/>
  <c r="B32" i="81"/>
  <c r="Z31" i="81"/>
  <c r="X31" i="81"/>
  <c r="N31" i="81"/>
  <c r="L31" i="81"/>
  <c r="B31" i="81"/>
  <c r="X30" i="81"/>
  <c r="Z30" i="81" s="1"/>
  <c r="N30" i="81"/>
  <c r="L30" i="81"/>
  <c r="J30" i="81"/>
  <c r="B30" i="81"/>
  <c r="X29" i="81"/>
  <c r="Z29" i="81" s="1"/>
  <c r="V29" i="81"/>
  <c r="N29" i="81"/>
  <c r="L29" i="81"/>
  <c r="J29" i="81"/>
  <c r="B29" i="81"/>
  <c r="Z28" i="81"/>
  <c r="X28" i="81"/>
  <c r="L28" i="81"/>
  <c r="N28" i="81" s="1"/>
  <c r="B28" i="81"/>
  <c r="X27" i="81"/>
  <c r="Z27" i="81" s="1"/>
  <c r="L27" i="81"/>
  <c r="N27" i="81" s="1"/>
  <c r="B27" i="81"/>
  <c r="X26" i="81"/>
  <c r="Z26" i="81" s="1"/>
  <c r="N26" i="81"/>
  <c r="L26" i="81"/>
  <c r="J26" i="81"/>
  <c r="B26" i="81"/>
  <c r="X25" i="81"/>
  <c r="V25" i="81"/>
  <c r="T25" i="81"/>
  <c r="Z25" i="81" s="1"/>
  <c r="P25" i="81"/>
  <c r="L25" i="81"/>
  <c r="H25" i="81"/>
  <c r="N25" i="81" s="1"/>
  <c r="D25" i="81"/>
  <c r="B25" i="81"/>
  <c r="T24" i="81"/>
  <c r="P24" i="81"/>
  <c r="X24" i="81" s="1"/>
  <c r="J24" i="81"/>
  <c r="H24" i="81"/>
  <c r="D24" i="81"/>
  <c r="L24" i="81" s="1"/>
  <c r="N24" i="81" s="1"/>
  <c r="Z20" i="81"/>
  <c r="X20" i="81"/>
  <c r="N20" i="81"/>
  <c r="L20" i="81"/>
  <c r="J20" i="81"/>
  <c r="B20" i="81"/>
  <c r="Z19" i="81"/>
  <c r="X19" i="81"/>
  <c r="V19" i="81"/>
  <c r="N19" i="81"/>
  <c r="L19" i="81"/>
  <c r="B19" i="81"/>
  <c r="Z18" i="81"/>
  <c r="X18" i="81"/>
  <c r="V18" i="81"/>
  <c r="L18" i="81"/>
  <c r="N18" i="81" s="1"/>
  <c r="B18" i="81"/>
  <c r="V17" i="81"/>
  <c r="T17" i="81"/>
  <c r="P17" i="81"/>
  <c r="H17" i="81"/>
  <c r="D17" i="81"/>
  <c r="L17" i="81" s="1"/>
  <c r="Z15" i="81"/>
  <c r="P15" i="81"/>
  <c r="N15" i="81"/>
  <c r="D15" i="81"/>
  <c r="L15" i="81" s="1"/>
  <c r="B15" i="81"/>
  <c r="P14" i="81"/>
  <c r="X14" i="81" s="1"/>
  <c r="Z14" i="81" s="1"/>
  <c r="D14" i="81"/>
  <c r="L14" i="81" s="1"/>
  <c r="N14" i="81" s="1"/>
  <c r="B14" i="81"/>
  <c r="Z13" i="81"/>
  <c r="X13" i="81"/>
  <c r="P13" i="81"/>
  <c r="N13" i="81"/>
  <c r="L13" i="81"/>
  <c r="D13" i="81"/>
  <c r="D12" i="81" s="1"/>
  <c r="F33" i="81" s="1"/>
  <c r="B13" i="81"/>
  <c r="T12" i="81"/>
  <c r="V79" i="81" s="1"/>
  <c r="H12" i="81"/>
  <c r="J78" i="81" s="1"/>
  <c r="D6" i="81"/>
  <c r="D4" i="81"/>
  <c r="X83" i="80"/>
  <c r="Z83" i="80" s="1"/>
  <c r="L83" i="80"/>
  <c r="N83" i="80" s="1"/>
  <c r="F83" i="80"/>
  <c r="Z79" i="80"/>
  <c r="T79" i="80"/>
  <c r="P79" i="80"/>
  <c r="X79" i="80" s="1"/>
  <c r="H79" i="80"/>
  <c r="N79" i="80" s="1"/>
  <c r="D79" i="80"/>
  <c r="L79" i="80" s="1"/>
  <c r="Z77" i="80"/>
  <c r="X77" i="80"/>
  <c r="V77" i="80"/>
  <c r="L77" i="80"/>
  <c r="N77" i="80" s="1"/>
  <c r="B77" i="80"/>
  <c r="T76" i="80"/>
  <c r="P76" i="80"/>
  <c r="H76" i="80"/>
  <c r="D76" i="80"/>
  <c r="L76" i="80" s="1"/>
  <c r="N76" i="80" s="1"/>
  <c r="B76" i="80"/>
  <c r="X75" i="80"/>
  <c r="Z75" i="80" s="1"/>
  <c r="N75" i="80"/>
  <c r="L75" i="80"/>
  <c r="B75" i="80"/>
  <c r="T74" i="80"/>
  <c r="P74" i="80"/>
  <c r="X74" i="80" s="1"/>
  <c r="Z74" i="80" s="1"/>
  <c r="L74" i="80"/>
  <c r="H74" i="80"/>
  <c r="N74" i="80" s="1"/>
  <c r="D74" i="80"/>
  <c r="B74" i="80"/>
  <c r="X73" i="80"/>
  <c r="Z73" i="80" s="1"/>
  <c r="N73" i="80"/>
  <c r="L73" i="80"/>
  <c r="J73" i="80"/>
  <c r="B73" i="80"/>
  <c r="Z72" i="80"/>
  <c r="X72" i="80"/>
  <c r="N72" i="80"/>
  <c r="L72" i="80"/>
  <c r="J72" i="80"/>
  <c r="B72" i="80"/>
  <c r="Z71" i="80"/>
  <c r="X71" i="80"/>
  <c r="N71" i="80"/>
  <c r="L71" i="80"/>
  <c r="B71" i="80"/>
  <c r="Z70" i="80"/>
  <c r="X70" i="80"/>
  <c r="T70" i="80"/>
  <c r="P70" i="80"/>
  <c r="L70" i="80"/>
  <c r="H70" i="80"/>
  <c r="N70" i="80" s="1"/>
  <c r="D70" i="80"/>
  <c r="B70" i="80"/>
  <c r="Z69" i="80"/>
  <c r="X69" i="80"/>
  <c r="N69" i="80"/>
  <c r="L69" i="80"/>
  <c r="B69" i="80"/>
  <c r="Z68" i="80"/>
  <c r="X68" i="80"/>
  <c r="L68" i="80"/>
  <c r="N68" i="80" s="1"/>
  <c r="B68" i="80"/>
  <c r="Z67" i="80"/>
  <c r="X67" i="80"/>
  <c r="N67" i="80"/>
  <c r="L67" i="80"/>
  <c r="J67" i="80"/>
  <c r="B67" i="80"/>
  <c r="T66" i="80"/>
  <c r="P66" i="80"/>
  <c r="X66" i="80" s="1"/>
  <c r="J66" i="80"/>
  <c r="H66" i="80"/>
  <c r="D66" i="80"/>
  <c r="L66" i="80" s="1"/>
  <c r="B66" i="80"/>
  <c r="X65" i="80"/>
  <c r="Z65" i="80" s="1"/>
  <c r="N65" i="80"/>
  <c r="L65" i="80"/>
  <c r="F65" i="80"/>
  <c r="B65" i="80"/>
  <c r="Z64" i="80"/>
  <c r="X64" i="80"/>
  <c r="N64" i="80"/>
  <c r="L64" i="80"/>
  <c r="B64" i="80"/>
  <c r="X63" i="80"/>
  <c r="T63" i="80"/>
  <c r="P63" i="80"/>
  <c r="H63" i="80"/>
  <c r="N63" i="80" s="1"/>
  <c r="D63" i="80"/>
  <c r="L63" i="80" s="1"/>
  <c r="B63" i="80"/>
  <c r="Z62" i="80"/>
  <c r="X62" i="80"/>
  <c r="N62" i="80"/>
  <c r="L62" i="80"/>
  <c r="B62" i="80"/>
  <c r="Z61" i="80"/>
  <c r="X61" i="80"/>
  <c r="N61" i="80"/>
  <c r="L61" i="80"/>
  <c r="J61" i="80"/>
  <c r="B61" i="80"/>
  <c r="Z60" i="80"/>
  <c r="X60" i="80"/>
  <c r="N60" i="80"/>
  <c r="L60" i="80"/>
  <c r="J60" i="80"/>
  <c r="F60" i="80"/>
  <c r="B60" i="80"/>
  <c r="Z59" i="80"/>
  <c r="T59" i="80"/>
  <c r="P59" i="80"/>
  <c r="X59" i="80" s="1"/>
  <c r="H59" i="80"/>
  <c r="N59" i="80" s="1"/>
  <c r="D59" i="80"/>
  <c r="L59" i="80" s="1"/>
  <c r="B59" i="80"/>
  <c r="Z58" i="80"/>
  <c r="X58" i="80"/>
  <c r="N58" i="80"/>
  <c r="L58" i="80"/>
  <c r="B58" i="80"/>
  <c r="Z57" i="80"/>
  <c r="T57" i="80"/>
  <c r="P57" i="80"/>
  <c r="X57" i="80" s="1"/>
  <c r="H57" i="80"/>
  <c r="N57" i="80" s="1"/>
  <c r="D57" i="80"/>
  <c r="L57" i="80" s="1"/>
  <c r="B57" i="80"/>
  <c r="X56" i="80"/>
  <c r="Z56" i="80" s="1"/>
  <c r="L56" i="80"/>
  <c r="N56" i="80" s="1"/>
  <c r="B56" i="80"/>
  <c r="X55" i="80"/>
  <c r="T55" i="80"/>
  <c r="P55" i="80"/>
  <c r="H55" i="80"/>
  <c r="N55" i="80" s="1"/>
  <c r="D55" i="80"/>
  <c r="L55" i="80" s="1"/>
  <c r="B55" i="80"/>
  <c r="Z54" i="80"/>
  <c r="X54" i="80"/>
  <c r="N54" i="80"/>
  <c r="L54" i="80"/>
  <c r="B54" i="80"/>
  <c r="T53" i="80"/>
  <c r="Z53" i="80" s="1"/>
  <c r="P53" i="80"/>
  <c r="X53" i="80" s="1"/>
  <c r="N53" i="80"/>
  <c r="H53" i="80"/>
  <c r="D53" i="80"/>
  <c r="L53" i="80" s="1"/>
  <c r="B53" i="80"/>
  <c r="Z52" i="80"/>
  <c r="X52" i="80"/>
  <c r="L52" i="80"/>
  <c r="N52" i="80" s="1"/>
  <c r="B52" i="80"/>
  <c r="T51" i="80"/>
  <c r="Z51" i="80" s="1"/>
  <c r="P51" i="80"/>
  <c r="X51" i="80" s="1"/>
  <c r="J51" i="80"/>
  <c r="H51" i="80"/>
  <c r="D51" i="80"/>
  <c r="L51" i="80" s="1"/>
  <c r="N51" i="80" s="1"/>
  <c r="B51" i="80"/>
  <c r="Z50" i="80"/>
  <c r="X50" i="80"/>
  <c r="L50" i="80"/>
  <c r="N50" i="80" s="1"/>
  <c r="B50" i="80"/>
  <c r="T49" i="80"/>
  <c r="P49" i="80"/>
  <c r="L49" i="80"/>
  <c r="J49" i="80"/>
  <c r="H49" i="80"/>
  <c r="N49" i="80" s="1"/>
  <c r="D49" i="80"/>
  <c r="B49" i="80"/>
  <c r="Z48" i="80"/>
  <c r="X48" i="80"/>
  <c r="N48" i="80"/>
  <c r="L48" i="80"/>
  <c r="J48" i="80"/>
  <c r="B48" i="80"/>
  <c r="Z47" i="80"/>
  <c r="T47" i="80"/>
  <c r="P47" i="80"/>
  <c r="X47" i="80" s="1"/>
  <c r="H47" i="80"/>
  <c r="N47" i="80" s="1"/>
  <c r="D47" i="80"/>
  <c r="B47" i="80"/>
  <c r="Z46" i="80"/>
  <c r="X46" i="80"/>
  <c r="N46" i="80"/>
  <c r="L46" i="80"/>
  <c r="B46" i="80"/>
  <c r="Z45" i="80"/>
  <c r="X45" i="80"/>
  <c r="T45" i="80"/>
  <c r="P45" i="80"/>
  <c r="N45" i="80"/>
  <c r="H45" i="80"/>
  <c r="D45" i="80"/>
  <c r="L45" i="80" s="1"/>
  <c r="B45" i="80"/>
  <c r="Z44" i="80"/>
  <c r="X44" i="80"/>
  <c r="N44" i="80"/>
  <c r="L44" i="80"/>
  <c r="B44" i="80"/>
  <c r="Z43" i="80"/>
  <c r="X43" i="80"/>
  <c r="N43" i="80"/>
  <c r="L43" i="80"/>
  <c r="B43" i="80"/>
  <c r="Z42" i="80"/>
  <c r="X42" i="80"/>
  <c r="N42" i="80"/>
  <c r="L42" i="80"/>
  <c r="F42" i="80"/>
  <c r="B42" i="80"/>
  <c r="X41" i="80"/>
  <c r="Z41" i="80" s="1"/>
  <c r="N41" i="80"/>
  <c r="L41" i="80"/>
  <c r="F41" i="80"/>
  <c r="B41" i="80"/>
  <c r="Z40" i="80"/>
  <c r="X40" i="80"/>
  <c r="N40" i="80"/>
  <c r="L40" i="80"/>
  <c r="B40" i="80"/>
  <c r="Z39" i="80"/>
  <c r="X39" i="80"/>
  <c r="N39" i="80"/>
  <c r="L39" i="80"/>
  <c r="B39" i="80"/>
  <c r="Z38" i="80"/>
  <c r="X38" i="80"/>
  <c r="N38" i="80"/>
  <c r="L38" i="80"/>
  <c r="B38" i="80"/>
  <c r="Z37" i="80"/>
  <c r="X37" i="80"/>
  <c r="N37" i="80"/>
  <c r="L37" i="80"/>
  <c r="B37" i="80"/>
  <c r="Z36" i="80"/>
  <c r="X36" i="80"/>
  <c r="N36" i="80"/>
  <c r="L36" i="80"/>
  <c r="B36" i="80"/>
  <c r="X35" i="80"/>
  <c r="Z35" i="80" s="1"/>
  <c r="N35" i="80"/>
  <c r="L35" i="80"/>
  <c r="B35" i="80"/>
  <c r="T34" i="80"/>
  <c r="P34" i="80"/>
  <c r="X34" i="80" s="1"/>
  <c r="Z34" i="80" s="1"/>
  <c r="L34" i="80"/>
  <c r="N34" i="80" s="1"/>
  <c r="H34" i="80"/>
  <c r="D34" i="80"/>
  <c r="B34" i="80"/>
  <c r="X33" i="80"/>
  <c r="Z33" i="80" s="1"/>
  <c r="N33" i="80"/>
  <c r="L33" i="80"/>
  <c r="J33" i="80"/>
  <c r="B33" i="80"/>
  <c r="X32" i="80"/>
  <c r="Z32" i="80" s="1"/>
  <c r="N32" i="80"/>
  <c r="L32" i="80"/>
  <c r="J32" i="80"/>
  <c r="B32" i="80"/>
  <c r="Z31" i="80"/>
  <c r="X31" i="80"/>
  <c r="N31" i="80"/>
  <c r="L31" i="80"/>
  <c r="B31" i="80"/>
  <c r="X30" i="80"/>
  <c r="Z30" i="80" s="1"/>
  <c r="N30" i="80"/>
  <c r="L30" i="80"/>
  <c r="B30" i="80"/>
  <c r="X29" i="80"/>
  <c r="Z29" i="80" s="1"/>
  <c r="N29" i="80"/>
  <c r="L29" i="80"/>
  <c r="J29" i="80"/>
  <c r="B29" i="80"/>
  <c r="X28" i="80"/>
  <c r="Z28" i="80" s="1"/>
  <c r="N28" i="80"/>
  <c r="L28" i="80"/>
  <c r="J28" i="80"/>
  <c r="F28" i="80"/>
  <c r="B28" i="80"/>
  <c r="Z27" i="80"/>
  <c r="X27" i="80"/>
  <c r="L27" i="80"/>
  <c r="N27" i="80" s="1"/>
  <c r="B27" i="80"/>
  <c r="X26" i="80"/>
  <c r="Z26" i="80" s="1"/>
  <c r="N26" i="80"/>
  <c r="L26" i="80"/>
  <c r="B26" i="80"/>
  <c r="T25" i="80"/>
  <c r="P25" i="80"/>
  <c r="H25" i="80"/>
  <c r="D25" i="80"/>
  <c r="L25" i="80" s="1"/>
  <c r="N25" i="80" s="1"/>
  <c r="B25" i="80"/>
  <c r="T24" i="80"/>
  <c r="P24" i="80"/>
  <c r="X24" i="80" s="1"/>
  <c r="H24" i="80"/>
  <c r="N24" i="80" s="1"/>
  <c r="D24" i="80"/>
  <c r="L24" i="80" s="1"/>
  <c r="H22" i="80"/>
  <c r="H81" i="80" s="1"/>
  <c r="Z20" i="80"/>
  <c r="X20" i="80"/>
  <c r="N20" i="80"/>
  <c r="L20" i="80"/>
  <c r="B20" i="80"/>
  <c r="Z19" i="80"/>
  <c r="X19" i="80"/>
  <c r="N19" i="80"/>
  <c r="L19" i="80"/>
  <c r="J19" i="80"/>
  <c r="B19" i="80"/>
  <c r="Z18" i="80"/>
  <c r="X18" i="80"/>
  <c r="N18" i="80"/>
  <c r="L18" i="80"/>
  <c r="B18" i="80"/>
  <c r="Z17" i="80"/>
  <c r="T17" i="80"/>
  <c r="P17" i="80"/>
  <c r="X17" i="80" s="1"/>
  <c r="H17" i="80"/>
  <c r="D17" i="80"/>
  <c r="L17" i="80" s="1"/>
  <c r="N17" i="80" s="1"/>
  <c r="Z15" i="80"/>
  <c r="P15" i="80"/>
  <c r="X15" i="80" s="1"/>
  <c r="N15" i="80"/>
  <c r="D15" i="80"/>
  <c r="L15" i="80" s="1"/>
  <c r="B15" i="80"/>
  <c r="Z14" i="80"/>
  <c r="X14" i="80"/>
  <c r="P14" i="80"/>
  <c r="L14" i="80"/>
  <c r="N14" i="80" s="1"/>
  <c r="D14" i="80"/>
  <c r="B14" i="80"/>
  <c r="Z13" i="80"/>
  <c r="X13" i="80"/>
  <c r="P13" i="80"/>
  <c r="N13" i="80"/>
  <c r="L13" i="80"/>
  <c r="D13" i="80"/>
  <c r="D12" i="80" s="1"/>
  <c r="B13" i="80"/>
  <c r="T12" i="80"/>
  <c r="V24" i="80" s="1"/>
  <c r="L12" i="80"/>
  <c r="H12" i="80"/>
  <c r="J75" i="80" s="1"/>
  <c r="D6" i="80"/>
  <c r="D4" i="80"/>
  <c r="Z76" i="79"/>
  <c r="X76" i="79"/>
  <c r="N76" i="79"/>
  <c r="L76" i="79"/>
  <c r="J74" i="79"/>
  <c r="Z72" i="79"/>
  <c r="P72" i="79"/>
  <c r="X72" i="79" s="1"/>
  <c r="N72" i="79"/>
  <c r="D72" i="79"/>
  <c r="B72" i="79"/>
  <c r="Z71" i="79"/>
  <c r="P71" i="79"/>
  <c r="X71" i="79" s="1"/>
  <c r="D71" i="79"/>
  <c r="B71" i="79"/>
  <c r="Z70" i="79"/>
  <c r="X70" i="79"/>
  <c r="P70" i="79"/>
  <c r="N70" i="79"/>
  <c r="L70" i="79"/>
  <c r="D70" i="79"/>
  <c r="B70" i="79"/>
  <c r="Z69" i="79"/>
  <c r="X69" i="79"/>
  <c r="V69" i="79"/>
  <c r="P69" i="79"/>
  <c r="N69" i="79"/>
  <c r="L69" i="79"/>
  <c r="D69" i="79"/>
  <c r="B69" i="79"/>
  <c r="Z68" i="79"/>
  <c r="X68" i="79"/>
  <c r="R68" i="79"/>
  <c r="P68" i="79"/>
  <c r="N68" i="79"/>
  <c r="D68" i="79"/>
  <c r="L68" i="79" s="1"/>
  <c r="B68" i="79"/>
  <c r="V67" i="79"/>
  <c r="T67" i="79"/>
  <c r="H67" i="79"/>
  <c r="Z65" i="79"/>
  <c r="X65" i="79"/>
  <c r="V65" i="79"/>
  <c r="N65" i="79"/>
  <c r="L65" i="79"/>
  <c r="B65" i="79"/>
  <c r="Z64" i="79"/>
  <c r="T64" i="79"/>
  <c r="P64" i="79"/>
  <c r="X64" i="79" s="1"/>
  <c r="N64" i="79"/>
  <c r="L64" i="79"/>
  <c r="H64" i="79"/>
  <c r="D64" i="79"/>
  <c r="B64" i="79"/>
  <c r="X63" i="79"/>
  <c r="Z63" i="79" s="1"/>
  <c r="R63" i="79"/>
  <c r="N63" i="79"/>
  <c r="L63" i="79"/>
  <c r="J63" i="79"/>
  <c r="B63" i="79"/>
  <c r="Z62" i="79"/>
  <c r="X62" i="79"/>
  <c r="N62" i="79"/>
  <c r="L62" i="79"/>
  <c r="J62" i="79"/>
  <c r="F62" i="79"/>
  <c r="B62" i="79"/>
  <c r="T61" i="79"/>
  <c r="P61" i="79"/>
  <c r="X61" i="79" s="1"/>
  <c r="Z61" i="79" s="1"/>
  <c r="H61" i="79"/>
  <c r="D61" i="79"/>
  <c r="L61" i="79" s="1"/>
  <c r="B61" i="79"/>
  <c r="X60" i="79"/>
  <c r="Z60" i="79" s="1"/>
  <c r="N60" i="79"/>
  <c r="L60" i="79"/>
  <c r="B60" i="79"/>
  <c r="Z59" i="79"/>
  <c r="X59" i="79"/>
  <c r="V59" i="79"/>
  <c r="T59" i="79"/>
  <c r="P59" i="79"/>
  <c r="H59" i="79"/>
  <c r="D59" i="79"/>
  <c r="L59" i="79" s="1"/>
  <c r="N59" i="79" s="1"/>
  <c r="B59" i="79"/>
  <c r="X58" i="79"/>
  <c r="Z58" i="79" s="1"/>
  <c r="L58" i="79"/>
  <c r="N58" i="79" s="1"/>
  <c r="B58" i="79"/>
  <c r="X57" i="79"/>
  <c r="V57" i="79"/>
  <c r="T57" i="79"/>
  <c r="R57" i="79"/>
  <c r="P57" i="79"/>
  <c r="H57" i="79"/>
  <c r="N57" i="79" s="1"/>
  <c r="D57" i="79"/>
  <c r="L57" i="79" s="1"/>
  <c r="B57" i="79"/>
  <c r="Z56" i="79"/>
  <c r="X56" i="79"/>
  <c r="R56" i="79"/>
  <c r="N56" i="79"/>
  <c r="L56" i="79"/>
  <c r="B56" i="79"/>
  <c r="X55" i="79"/>
  <c r="Z55" i="79" s="1"/>
  <c r="R55" i="79"/>
  <c r="N55" i="79"/>
  <c r="L55" i="79"/>
  <c r="J55" i="79"/>
  <c r="B55" i="79"/>
  <c r="X54" i="79"/>
  <c r="T54" i="79"/>
  <c r="Z54" i="79" s="1"/>
  <c r="P54" i="79"/>
  <c r="H54" i="79"/>
  <c r="D54" i="79"/>
  <c r="B54" i="79"/>
  <c r="Z53" i="79"/>
  <c r="X53" i="79"/>
  <c r="L53" i="79"/>
  <c r="N53" i="79" s="1"/>
  <c r="J53" i="79"/>
  <c r="B53" i="79"/>
  <c r="T52" i="79"/>
  <c r="X52" i="79" s="1"/>
  <c r="P52" i="79"/>
  <c r="J52" i="79"/>
  <c r="H52" i="79"/>
  <c r="D52" i="79"/>
  <c r="L52" i="79" s="1"/>
  <c r="B52" i="79"/>
  <c r="X51" i="79"/>
  <c r="Z51" i="79" s="1"/>
  <c r="N51" i="79"/>
  <c r="L51" i="79"/>
  <c r="B51" i="79"/>
  <c r="X50" i="79"/>
  <c r="T50" i="79"/>
  <c r="P50" i="79"/>
  <c r="N50" i="79"/>
  <c r="H50" i="79"/>
  <c r="F50" i="79"/>
  <c r="D50" i="79"/>
  <c r="L50" i="79" s="1"/>
  <c r="B50" i="79"/>
  <c r="Z49" i="79"/>
  <c r="X49" i="79"/>
  <c r="N49" i="79"/>
  <c r="L49" i="79"/>
  <c r="B49" i="79"/>
  <c r="Z48" i="79"/>
  <c r="X48" i="79"/>
  <c r="R48" i="79"/>
  <c r="N48" i="79"/>
  <c r="L48" i="79"/>
  <c r="B48" i="79"/>
  <c r="Z47" i="79"/>
  <c r="X47" i="79"/>
  <c r="R47" i="79"/>
  <c r="N47" i="79"/>
  <c r="L47" i="79"/>
  <c r="J47" i="79"/>
  <c r="B47" i="79"/>
  <c r="Z46" i="79"/>
  <c r="X46" i="79"/>
  <c r="N46" i="79"/>
  <c r="L46" i="79"/>
  <c r="J46" i="79"/>
  <c r="F46" i="79"/>
  <c r="B46" i="79"/>
  <c r="Z45" i="79"/>
  <c r="X45" i="79"/>
  <c r="N45" i="79"/>
  <c r="L45" i="79"/>
  <c r="B45" i="79"/>
  <c r="Z44" i="79"/>
  <c r="X44" i="79"/>
  <c r="R44" i="79"/>
  <c r="N44" i="79"/>
  <c r="L44" i="79"/>
  <c r="B44" i="79"/>
  <c r="Z43" i="79"/>
  <c r="X43" i="79"/>
  <c r="R43" i="79"/>
  <c r="N43" i="79"/>
  <c r="L43" i="79"/>
  <c r="J43" i="79"/>
  <c r="B43" i="79"/>
  <c r="Z42" i="79"/>
  <c r="X42" i="79"/>
  <c r="N42" i="79"/>
  <c r="L42" i="79"/>
  <c r="J42" i="79"/>
  <c r="B42" i="79"/>
  <c r="Z41" i="79"/>
  <c r="X41" i="79"/>
  <c r="N41" i="79"/>
  <c r="L41" i="79"/>
  <c r="B41" i="79"/>
  <c r="Z40" i="79"/>
  <c r="X40" i="79"/>
  <c r="R40" i="79"/>
  <c r="N40" i="79"/>
  <c r="L40" i="79"/>
  <c r="B40" i="79"/>
  <c r="T39" i="79"/>
  <c r="R39" i="79"/>
  <c r="P39" i="79"/>
  <c r="X39" i="79" s="1"/>
  <c r="H39" i="79"/>
  <c r="D39" i="79"/>
  <c r="L39" i="79" s="1"/>
  <c r="N39" i="79" s="1"/>
  <c r="B39" i="79"/>
  <c r="X38" i="79"/>
  <c r="Z38" i="79" s="1"/>
  <c r="V38" i="79"/>
  <c r="R38" i="79"/>
  <c r="L38" i="79"/>
  <c r="N38" i="79" s="1"/>
  <c r="B38" i="79"/>
  <c r="X37" i="79"/>
  <c r="Z37" i="79" s="1"/>
  <c r="L37" i="79"/>
  <c r="N37" i="79" s="1"/>
  <c r="J37" i="79"/>
  <c r="B37" i="79"/>
  <c r="Z36" i="79"/>
  <c r="X36" i="79"/>
  <c r="N36" i="79"/>
  <c r="L36" i="79"/>
  <c r="B36" i="79"/>
  <c r="Z35" i="79"/>
  <c r="X35" i="79"/>
  <c r="V35" i="79"/>
  <c r="N35" i="79"/>
  <c r="L35" i="79"/>
  <c r="B35" i="79"/>
  <c r="X34" i="79"/>
  <c r="Z34" i="79" s="1"/>
  <c r="V34" i="79"/>
  <c r="R34" i="79"/>
  <c r="L34" i="79"/>
  <c r="N34" i="79" s="1"/>
  <c r="B34" i="79"/>
  <c r="X33" i="79"/>
  <c r="Z33" i="79" s="1"/>
  <c r="L33" i="79"/>
  <c r="N33" i="79" s="1"/>
  <c r="J33" i="79"/>
  <c r="B33" i="79"/>
  <c r="X32" i="79"/>
  <c r="Z32" i="79" s="1"/>
  <c r="N32" i="79"/>
  <c r="L32" i="79"/>
  <c r="B32" i="79"/>
  <c r="Z31" i="79"/>
  <c r="X31" i="79"/>
  <c r="V31" i="79"/>
  <c r="L31" i="79"/>
  <c r="N31" i="79" s="1"/>
  <c r="B31" i="79"/>
  <c r="T30" i="79"/>
  <c r="P30" i="79"/>
  <c r="H30" i="79"/>
  <c r="N30" i="79" s="1"/>
  <c r="D30" i="79"/>
  <c r="L30" i="79" s="1"/>
  <c r="B30" i="79"/>
  <c r="X29" i="79"/>
  <c r="V29" i="79"/>
  <c r="T29" i="79"/>
  <c r="Z29" i="79" s="1"/>
  <c r="R29" i="79"/>
  <c r="P29" i="79"/>
  <c r="H29" i="79"/>
  <c r="N29" i="79" s="1"/>
  <c r="D29" i="79"/>
  <c r="L29" i="79" s="1"/>
  <c r="Z25" i="79"/>
  <c r="X25" i="79"/>
  <c r="V25" i="79"/>
  <c r="N25" i="79"/>
  <c r="L25" i="79"/>
  <c r="B25" i="79"/>
  <c r="Z24" i="79"/>
  <c r="X24" i="79"/>
  <c r="N24" i="79"/>
  <c r="L24" i="79"/>
  <c r="B24" i="79"/>
  <c r="Z23" i="79"/>
  <c r="X23" i="79"/>
  <c r="N23" i="79"/>
  <c r="L23" i="79"/>
  <c r="F23" i="79"/>
  <c r="B23" i="79"/>
  <c r="Z22" i="79"/>
  <c r="X22" i="79"/>
  <c r="N22" i="79"/>
  <c r="L22" i="79"/>
  <c r="B22" i="79"/>
  <c r="Z21" i="79"/>
  <c r="X21" i="79"/>
  <c r="V21" i="79"/>
  <c r="N21" i="79"/>
  <c r="L21" i="79"/>
  <c r="B21" i="79"/>
  <c r="Z20" i="79"/>
  <c r="X20" i="79"/>
  <c r="N20" i="79"/>
  <c r="L20" i="79"/>
  <c r="F20" i="79"/>
  <c r="B20" i="79"/>
  <c r="T19" i="79"/>
  <c r="Z19" i="79" s="1"/>
  <c r="P19" i="79"/>
  <c r="X19" i="79" s="1"/>
  <c r="L19" i="79"/>
  <c r="J19" i="79"/>
  <c r="H19" i="79"/>
  <c r="N19" i="79" s="1"/>
  <c r="F19" i="79"/>
  <c r="D19" i="79"/>
  <c r="Z17" i="79"/>
  <c r="P17" i="79"/>
  <c r="X17" i="79" s="1"/>
  <c r="N17" i="79"/>
  <c r="D17" i="79"/>
  <c r="L17" i="79" s="1"/>
  <c r="B17" i="79"/>
  <c r="Z16" i="79"/>
  <c r="X16" i="79"/>
  <c r="P16" i="79"/>
  <c r="N16" i="79"/>
  <c r="L16" i="79"/>
  <c r="D16" i="79"/>
  <c r="B16" i="79"/>
  <c r="Z15" i="79"/>
  <c r="X15" i="79"/>
  <c r="P15" i="79"/>
  <c r="N15" i="79"/>
  <c r="D15" i="79"/>
  <c r="L15" i="79" s="1"/>
  <c r="B15" i="79"/>
  <c r="Z14" i="79"/>
  <c r="X14" i="79"/>
  <c r="P14" i="79"/>
  <c r="N14" i="79"/>
  <c r="D14" i="79"/>
  <c r="L14" i="79" s="1"/>
  <c r="B14" i="79"/>
  <c r="X13" i="79"/>
  <c r="Z13" i="79" s="1"/>
  <c r="P13" i="79"/>
  <c r="N13" i="79"/>
  <c r="L13" i="79"/>
  <c r="D13" i="79"/>
  <c r="D12" i="79" s="1"/>
  <c r="F76" i="79" s="1"/>
  <c r="B13" i="79"/>
  <c r="T12" i="79"/>
  <c r="V71" i="79" s="1"/>
  <c r="P12" i="79"/>
  <c r="R70" i="79" s="1"/>
  <c r="N12" i="79"/>
  <c r="H12" i="79"/>
  <c r="J65" i="79" s="1"/>
  <c r="D6" i="79"/>
  <c r="D4" i="79"/>
  <c r="Z114" i="77"/>
  <c r="X114" i="77"/>
  <c r="L114" i="77"/>
  <c r="N114" i="77" s="1"/>
  <c r="H112" i="77"/>
  <c r="P110" i="77"/>
  <c r="X110" i="77" s="1"/>
  <c r="Z110" i="77" s="1"/>
  <c r="D110" i="77"/>
  <c r="L110" i="77" s="1"/>
  <c r="N110" i="77" s="1"/>
  <c r="B110" i="77"/>
  <c r="Z109" i="77"/>
  <c r="P109" i="77"/>
  <c r="P106" i="77" s="1"/>
  <c r="N109" i="77"/>
  <c r="D109" i="77"/>
  <c r="B109" i="77"/>
  <c r="Z108" i="77"/>
  <c r="X108" i="77"/>
  <c r="P108" i="77"/>
  <c r="N108" i="77"/>
  <c r="D108" i="77"/>
  <c r="L108" i="77" s="1"/>
  <c r="B108" i="77"/>
  <c r="Z107" i="77"/>
  <c r="X107" i="77"/>
  <c r="P107" i="77"/>
  <c r="N107" i="77"/>
  <c r="L107" i="77"/>
  <c r="D107" i="77"/>
  <c r="B107" i="77"/>
  <c r="X106" i="77"/>
  <c r="T106" i="77"/>
  <c r="Z106" i="77" s="1"/>
  <c r="H106" i="77"/>
  <c r="Z104" i="77"/>
  <c r="X104" i="77"/>
  <c r="N104" i="77"/>
  <c r="L104" i="77"/>
  <c r="B104" i="77"/>
  <c r="T103" i="77"/>
  <c r="Z103" i="77" s="1"/>
  <c r="P103" i="77"/>
  <c r="N103" i="77"/>
  <c r="H103" i="77"/>
  <c r="D103" i="77"/>
  <c r="L103" i="77" s="1"/>
  <c r="B103" i="77"/>
  <c r="X102" i="77"/>
  <c r="Z102" i="77" s="1"/>
  <c r="L102" i="77"/>
  <c r="N102" i="77" s="1"/>
  <c r="B102" i="77"/>
  <c r="T101" i="77"/>
  <c r="P101" i="77"/>
  <c r="X101" i="77" s="1"/>
  <c r="J101" i="77"/>
  <c r="H101" i="77"/>
  <c r="D101" i="77"/>
  <c r="L101" i="77" s="1"/>
  <c r="N101" i="77" s="1"/>
  <c r="B101" i="77"/>
  <c r="Z100" i="77"/>
  <c r="X100" i="77"/>
  <c r="N100" i="77"/>
  <c r="L100" i="77"/>
  <c r="B100" i="77"/>
  <c r="X99" i="77"/>
  <c r="Z99" i="77" s="1"/>
  <c r="L99" i="77"/>
  <c r="N99" i="77" s="1"/>
  <c r="B99" i="77"/>
  <c r="X98" i="77"/>
  <c r="T98" i="77"/>
  <c r="Z98" i="77" s="1"/>
  <c r="P98" i="77"/>
  <c r="H98" i="77"/>
  <c r="N98" i="77" s="1"/>
  <c r="D98" i="77"/>
  <c r="L98" i="77" s="1"/>
  <c r="B98" i="77"/>
  <c r="Z97" i="77"/>
  <c r="X97" i="77"/>
  <c r="N97" i="77"/>
  <c r="L97" i="77"/>
  <c r="B97" i="77"/>
  <c r="X96" i="77"/>
  <c r="Z96" i="77" s="1"/>
  <c r="L96" i="77"/>
  <c r="N96" i="77" s="1"/>
  <c r="B96" i="77"/>
  <c r="T95" i="77"/>
  <c r="P95" i="77"/>
  <c r="X95" i="77" s="1"/>
  <c r="H95" i="77"/>
  <c r="D95" i="77"/>
  <c r="L95" i="77" s="1"/>
  <c r="N95" i="77" s="1"/>
  <c r="B95" i="77"/>
  <c r="Z94" i="77"/>
  <c r="X94" i="77"/>
  <c r="N94" i="77"/>
  <c r="L94" i="77"/>
  <c r="B94" i="77"/>
  <c r="T93" i="77"/>
  <c r="Z93" i="77" s="1"/>
  <c r="P93" i="77"/>
  <c r="X93" i="77" s="1"/>
  <c r="N93" i="77"/>
  <c r="L93" i="77"/>
  <c r="H93" i="77"/>
  <c r="D93" i="77"/>
  <c r="B93" i="77"/>
  <c r="Z92" i="77"/>
  <c r="X92" i="77"/>
  <c r="N92" i="77"/>
  <c r="L92" i="77"/>
  <c r="B92" i="77"/>
  <c r="T91" i="77"/>
  <c r="Z91" i="77" s="1"/>
  <c r="P91" i="77"/>
  <c r="L91" i="77"/>
  <c r="J91" i="77"/>
  <c r="H91" i="77"/>
  <c r="N91" i="77" s="1"/>
  <c r="D91" i="77"/>
  <c r="B91" i="77"/>
  <c r="X90" i="77"/>
  <c r="Z90" i="77" s="1"/>
  <c r="L90" i="77"/>
  <c r="N90" i="77" s="1"/>
  <c r="J90" i="77"/>
  <c r="B90" i="77"/>
  <c r="Z89" i="77"/>
  <c r="T89" i="77"/>
  <c r="P89" i="77"/>
  <c r="X89" i="77" s="1"/>
  <c r="H89" i="77"/>
  <c r="D89" i="77"/>
  <c r="B89" i="77"/>
  <c r="Z88" i="77"/>
  <c r="X88" i="77"/>
  <c r="N88" i="77"/>
  <c r="L88" i="77"/>
  <c r="B88" i="77"/>
  <c r="Z87" i="77"/>
  <c r="X87" i="77"/>
  <c r="T87" i="77"/>
  <c r="P87" i="77"/>
  <c r="H87" i="77"/>
  <c r="N87" i="77" s="1"/>
  <c r="D87" i="77"/>
  <c r="L87" i="77" s="1"/>
  <c r="B87" i="77"/>
  <c r="X86" i="77"/>
  <c r="Z86" i="77" s="1"/>
  <c r="L86" i="77"/>
  <c r="N86" i="77" s="1"/>
  <c r="B86" i="77"/>
  <c r="X85" i="77"/>
  <c r="T85" i="77"/>
  <c r="Z85" i="77" s="1"/>
  <c r="P85" i="77"/>
  <c r="H85" i="77"/>
  <c r="D85" i="77"/>
  <c r="L85" i="77" s="1"/>
  <c r="B85" i="77"/>
  <c r="Z84" i="77"/>
  <c r="X84" i="77"/>
  <c r="N84" i="77"/>
  <c r="L84" i="77"/>
  <c r="B84" i="77"/>
  <c r="T83" i="77"/>
  <c r="P83" i="77"/>
  <c r="N83" i="77"/>
  <c r="H83" i="77"/>
  <c r="D83" i="77"/>
  <c r="L83" i="77" s="1"/>
  <c r="B83" i="77"/>
  <c r="Z82" i="77"/>
  <c r="X82" i="77"/>
  <c r="L82" i="77"/>
  <c r="N82" i="77" s="1"/>
  <c r="B82" i="77"/>
  <c r="T81" i="77"/>
  <c r="P81" i="77"/>
  <c r="X81" i="77" s="1"/>
  <c r="J81" i="77"/>
  <c r="H81" i="77"/>
  <c r="D81" i="77"/>
  <c r="L81" i="77" s="1"/>
  <c r="N81" i="77" s="1"/>
  <c r="B81" i="77"/>
  <c r="Z80" i="77"/>
  <c r="X80" i="77"/>
  <c r="N80" i="77"/>
  <c r="L80" i="77"/>
  <c r="B80" i="77"/>
  <c r="Z79" i="77"/>
  <c r="X79" i="77"/>
  <c r="N79" i="77"/>
  <c r="L79" i="77"/>
  <c r="B79" i="77"/>
  <c r="X78" i="77"/>
  <c r="Z78" i="77" s="1"/>
  <c r="N78" i="77"/>
  <c r="L78" i="77"/>
  <c r="B78" i="77"/>
  <c r="X77" i="77"/>
  <c r="Z77" i="77" s="1"/>
  <c r="N77" i="77"/>
  <c r="L77" i="77"/>
  <c r="B77" i="77"/>
  <c r="Z76" i="77"/>
  <c r="X76" i="77"/>
  <c r="N76" i="77"/>
  <c r="L76" i="77"/>
  <c r="B76" i="77"/>
  <c r="Z75" i="77"/>
  <c r="X75" i="77"/>
  <c r="N75" i="77"/>
  <c r="L75" i="77"/>
  <c r="B75" i="77"/>
  <c r="X74" i="77"/>
  <c r="Z74" i="77" s="1"/>
  <c r="L74" i="77"/>
  <c r="N74" i="77" s="1"/>
  <c r="B74" i="77"/>
  <c r="Z73" i="77"/>
  <c r="X73" i="77"/>
  <c r="N73" i="77"/>
  <c r="L73" i="77"/>
  <c r="B73" i="77"/>
  <c r="Z72" i="77"/>
  <c r="X72" i="77"/>
  <c r="N72" i="77"/>
  <c r="L72" i="77"/>
  <c r="B72" i="77"/>
  <c r="Z71" i="77"/>
  <c r="X71" i="77"/>
  <c r="L71" i="77"/>
  <c r="N71" i="77" s="1"/>
  <c r="B71" i="77"/>
  <c r="X70" i="77"/>
  <c r="T70" i="77"/>
  <c r="Z70" i="77" s="1"/>
  <c r="P70" i="77"/>
  <c r="H70" i="77"/>
  <c r="N70" i="77" s="1"/>
  <c r="D70" i="77"/>
  <c r="L70" i="77" s="1"/>
  <c r="B70" i="77"/>
  <c r="Z69" i="77"/>
  <c r="X69" i="77"/>
  <c r="N69" i="77"/>
  <c r="L69" i="77"/>
  <c r="B69" i="77"/>
  <c r="X68" i="77"/>
  <c r="Z68" i="77" s="1"/>
  <c r="N68" i="77"/>
  <c r="L68" i="77"/>
  <c r="B68" i="77"/>
  <c r="X67" i="77"/>
  <c r="Z67" i="77" s="1"/>
  <c r="N67" i="77"/>
  <c r="L67" i="77"/>
  <c r="J67" i="77"/>
  <c r="B67" i="77"/>
  <c r="Z66" i="77"/>
  <c r="X66" i="77"/>
  <c r="N66" i="77"/>
  <c r="L66" i="77"/>
  <c r="B66" i="77"/>
  <c r="Z65" i="77"/>
  <c r="X65" i="77"/>
  <c r="N65" i="77"/>
  <c r="L65" i="77"/>
  <c r="B65" i="77"/>
  <c r="X64" i="77"/>
  <c r="Z64" i="77" s="1"/>
  <c r="L64" i="77"/>
  <c r="N64" i="77" s="1"/>
  <c r="B64" i="77"/>
  <c r="X63" i="77"/>
  <c r="Z63" i="77" s="1"/>
  <c r="N63" i="77"/>
  <c r="L63" i="77"/>
  <c r="B63" i="77"/>
  <c r="X62" i="77"/>
  <c r="Z62" i="77" s="1"/>
  <c r="L62" i="77"/>
  <c r="N62" i="77" s="1"/>
  <c r="J62" i="77"/>
  <c r="B62" i="77"/>
  <c r="Z61" i="77"/>
  <c r="X61" i="77"/>
  <c r="L61" i="77"/>
  <c r="N61" i="77" s="1"/>
  <c r="B61" i="77"/>
  <c r="Z60" i="77"/>
  <c r="X60" i="77"/>
  <c r="N60" i="77"/>
  <c r="L60" i="77"/>
  <c r="B60" i="77"/>
  <c r="T59" i="77"/>
  <c r="P59" i="77"/>
  <c r="X59" i="77" s="1"/>
  <c r="H59" i="77"/>
  <c r="D59" i="77"/>
  <c r="L59" i="77" s="1"/>
  <c r="N59" i="77" s="1"/>
  <c r="B59" i="77"/>
  <c r="T58" i="77"/>
  <c r="P58" i="77"/>
  <c r="H58" i="77"/>
  <c r="N58" i="77" s="1"/>
  <c r="D58" i="77"/>
  <c r="L58" i="77" s="1"/>
  <c r="H56" i="77"/>
  <c r="Z54" i="77"/>
  <c r="X54" i="77"/>
  <c r="N54" i="77"/>
  <c r="L54" i="77"/>
  <c r="B54" i="77"/>
  <c r="Z53" i="77"/>
  <c r="X53" i="77"/>
  <c r="N53" i="77"/>
  <c r="L53" i="77"/>
  <c r="B53" i="77"/>
  <c r="Z52" i="77"/>
  <c r="X52" i="77"/>
  <c r="N52" i="77"/>
  <c r="L52" i="77"/>
  <c r="B52" i="77"/>
  <c r="Z51" i="77"/>
  <c r="X51" i="77"/>
  <c r="N51" i="77"/>
  <c r="L51" i="77"/>
  <c r="B51" i="77"/>
  <c r="Z50" i="77"/>
  <c r="X50" i="77"/>
  <c r="N50" i="77"/>
  <c r="L50" i="77"/>
  <c r="B50" i="77"/>
  <c r="Z49" i="77"/>
  <c r="X49" i="77"/>
  <c r="N49" i="77"/>
  <c r="L49" i="77"/>
  <c r="B49" i="77"/>
  <c r="Z48" i="77"/>
  <c r="X48" i="77"/>
  <c r="N48" i="77"/>
  <c r="L48" i="77"/>
  <c r="B48" i="77"/>
  <c r="Z47" i="77"/>
  <c r="X47" i="77"/>
  <c r="V47" i="77"/>
  <c r="N47" i="77"/>
  <c r="L47" i="77"/>
  <c r="B47" i="77"/>
  <c r="Z46" i="77"/>
  <c r="X46" i="77"/>
  <c r="N46" i="77"/>
  <c r="L46" i="77"/>
  <c r="B46" i="77"/>
  <c r="Z45" i="77"/>
  <c r="X45" i="77"/>
  <c r="N45" i="77"/>
  <c r="L45" i="77"/>
  <c r="J45" i="77"/>
  <c r="B45" i="77"/>
  <c r="Z44" i="77"/>
  <c r="X44" i="77"/>
  <c r="N44" i="77"/>
  <c r="L44" i="77"/>
  <c r="B44" i="77"/>
  <c r="Z43" i="77"/>
  <c r="X43" i="77"/>
  <c r="N43" i="77"/>
  <c r="L43" i="77"/>
  <c r="J43" i="77"/>
  <c r="B43" i="77"/>
  <c r="Z42" i="77"/>
  <c r="X42" i="77"/>
  <c r="N42" i="77"/>
  <c r="L42" i="77"/>
  <c r="B42" i="77"/>
  <c r="X41" i="77"/>
  <c r="Z41" i="77" s="1"/>
  <c r="L41" i="77"/>
  <c r="N41" i="77" s="1"/>
  <c r="B41" i="77"/>
  <c r="X40" i="77"/>
  <c r="T40" i="77"/>
  <c r="P40" i="77"/>
  <c r="H40" i="77"/>
  <c r="D40" i="77"/>
  <c r="L40" i="77" s="1"/>
  <c r="N40" i="77" s="1"/>
  <c r="Z38" i="77"/>
  <c r="X38" i="77"/>
  <c r="P38" i="77"/>
  <c r="N38" i="77"/>
  <c r="L38" i="77"/>
  <c r="D38" i="77"/>
  <c r="B38" i="77"/>
  <c r="Z37" i="77"/>
  <c r="X37" i="77"/>
  <c r="P37" i="77"/>
  <c r="N37" i="77"/>
  <c r="L37" i="77"/>
  <c r="D37" i="77"/>
  <c r="B37" i="77"/>
  <c r="Z36" i="77"/>
  <c r="P36" i="77"/>
  <c r="X36" i="77" s="1"/>
  <c r="N36" i="77"/>
  <c r="L36" i="77"/>
  <c r="D36" i="77"/>
  <c r="B36" i="77"/>
  <c r="Z35" i="77"/>
  <c r="P35" i="77"/>
  <c r="X35" i="77" s="1"/>
  <c r="N35" i="77"/>
  <c r="L35" i="77"/>
  <c r="D35" i="77"/>
  <c r="B35" i="77"/>
  <c r="Z34" i="77"/>
  <c r="P34" i="77"/>
  <c r="X34" i="77" s="1"/>
  <c r="N34" i="77"/>
  <c r="L34" i="77"/>
  <c r="D34" i="77"/>
  <c r="B34" i="77"/>
  <c r="Z33" i="77"/>
  <c r="P33" i="77"/>
  <c r="X33" i="77" s="1"/>
  <c r="N33" i="77"/>
  <c r="D33" i="77"/>
  <c r="L33" i="77" s="1"/>
  <c r="B33" i="77"/>
  <c r="Z32" i="77"/>
  <c r="P32" i="77"/>
  <c r="X32" i="77" s="1"/>
  <c r="N32" i="77"/>
  <c r="D32" i="77"/>
  <c r="L32" i="77" s="1"/>
  <c r="B32" i="77"/>
  <c r="Z31" i="77"/>
  <c r="P31" i="77"/>
  <c r="X31" i="77" s="1"/>
  <c r="N31" i="77"/>
  <c r="D31" i="77"/>
  <c r="L31" i="77" s="1"/>
  <c r="B31" i="77"/>
  <c r="Z30" i="77"/>
  <c r="P30" i="77"/>
  <c r="X30" i="77" s="1"/>
  <c r="N30" i="77"/>
  <c r="D30" i="77"/>
  <c r="L30" i="77" s="1"/>
  <c r="B30" i="77"/>
  <c r="Z29" i="77"/>
  <c r="X29" i="77"/>
  <c r="P29" i="77"/>
  <c r="N29" i="77"/>
  <c r="D29" i="77"/>
  <c r="L29" i="77" s="1"/>
  <c r="B29" i="77"/>
  <c r="Z28" i="77"/>
  <c r="X28" i="77"/>
  <c r="P28" i="77"/>
  <c r="N28" i="77"/>
  <c r="D28" i="77"/>
  <c r="L28" i="77" s="1"/>
  <c r="B28" i="77"/>
  <c r="Z27" i="77"/>
  <c r="X27" i="77"/>
  <c r="P27" i="77"/>
  <c r="N27" i="77"/>
  <c r="D27" i="77"/>
  <c r="L27" i="77" s="1"/>
  <c r="B27" i="77"/>
  <c r="Z26" i="77"/>
  <c r="X26" i="77"/>
  <c r="P26" i="77"/>
  <c r="N26" i="77"/>
  <c r="L26" i="77"/>
  <c r="D26" i="77"/>
  <c r="B26" i="77"/>
  <c r="Z25" i="77"/>
  <c r="X25" i="77"/>
  <c r="P25" i="77"/>
  <c r="N25" i="77"/>
  <c r="L25" i="77"/>
  <c r="D25" i="77"/>
  <c r="B25" i="77"/>
  <c r="Z24" i="77"/>
  <c r="P24" i="77"/>
  <c r="X24" i="77" s="1"/>
  <c r="N24" i="77"/>
  <c r="L24" i="77"/>
  <c r="D24" i="77"/>
  <c r="B24" i="77"/>
  <c r="Z23" i="77"/>
  <c r="P23" i="77"/>
  <c r="X23" i="77" s="1"/>
  <c r="N23" i="77"/>
  <c r="L23" i="77"/>
  <c r="D23" i="77"/>
  <c r="B23" i="77"/>
  <c r="Z22" i="77"/>
  <c r="P22" i="77"/>
  <c r="X22" i="77" s="1"/>
  <c r="N22" i="77"/>
  <c r="L22" i="77"/>
  <c r="D22" i="77"/>
  <c r="B22" i="77"/>
  <c r="P21" i="77"/>
  <c r="X21" i="77" s="1"/>
  <c r="Z21" i="77" s="1"/>
  <c r="D21" i="77"/>
  <c r="L21" i="77" s="1"/>
  <c r="N21" i="77" s="1"/>
  <c r="B21" i="77"/>
  <c r="Z20" i="77"/>
  <c r="P20" i="77"/>
  <c r="X20" i="77" s="1"/>
  <c r="N20" i="77"/>
  <c r="D20" i="77"/>
  <c r="L20" i="77" s="1"/>
  <c r="B20" i="77"/>
  <c r="Z19" i="77"/>
  <c r="P19" i="77"/>
  <c r="X19" i="77" s="1"/>
  <c r="N19" i="77"/>
  <c r="D19" i="77"/>
  <c r="L19" i="77" s="1"/>
  <c r="B19" i="77"/>
  <c r="Z18" i="77"/>
  <c r="P18" i="77"/>
  <c r="X18" i="77" s="1"/>
  <c r="N18" i="77"/>
  <c r="D18" i="77"/>
  <c r="L18" i="77" s="1"/>
  <c r="B18" i="77"/>
  <c r="Z17" i="77"/>
  <c r="X17" i="77"/>
  <c r="P17" i="77"/>
  <c r="N17" i="77"/>
  <c r="D17" i="77"/>
  <c r="L17" i="77" s="1"/>
  <c r="B17" i="77"/>
  <c r="Z16" i="77"/>
  <c r="X16" i="77"/>
  <c r="P16" i="77"/>
  <c r="N16" i="77"/>
  <c r="D16" i="77"/>
  <c r="L16" i="77" s="1"/>
  <c r="B16" i="77"/>
  <c r="Z15" i="77"/>
  <c r="X15" i="77"/>
  <c r="P15" i="77"/>
  <c r="N15" i="77"/>
  <c r="D15" i="77"/>
  <c r="L15" i="77" s="1"/>
  <c r="B15" i="77"/>
  <c r="Z14" i="77"/>
  <c r="X14" i="77"/>
  <c r="P14" i="77"/>
  <c r="N14" i="77"/>
  <c r="L14" i="77"/>
  <c r="D14" i="77"/>
  <c r="B14" i="77"/>
  <c r="X13" i="77"/>
  <c r="Z13" i="77" s="1"/>
  <c r="P13" i="77"/>
  <c r="L13" i="77"/>
  <c r="N13" i="77" s="1"/>
  <c r="D13" i="77"/>
  <c r="B13" i="77"/>
  <c r="T12" i="77"/>
  <c r="V85" i="77" s="1"/>
  <c r="H12" i="77"/>
  <c r="J41" i="77" s="1"/>
  <c r="D6" i="77"/>
  <c r="D4" i="77"/>
  <c r="X92" i="76"/>
  <c r="Z92" i="76" s="1"/>
  <c r="N92" i="76"/>
  <c r="L92" i="76"/>
  <c r="J92" i="76"/>
  <c r="Z88" i="76"/>
  <c r="X88" i="76"/>
  <c r="P88" i="76"/>
  <c r="N88" i="76"/>
  <c r="L88" i="76"/>
  <c r="J88" i="76"/>
  <c r="D88" i="76"/>
  <c r="B88" i="76"/>
  <c r="P87" i="76"/>
  <c r="X87" i="76" s="1"/>
  <c r="Z87" i="76" s="1"/>
  <c r="N87" i="76"/>
  <c r="D87" i="76"/>
  <c r="D86" i="76" s="1"/>
  <c r="B87" i="76"/>
  <c r="T86" i="76"/>
  <c r="P86" i="76"/>
  <c r="X86" i="76" s="1"/>
  <c r="Z86" i="76" s="1"/>
  <c r="L86" i="76"/>
  <c r="H86" i="76"/>
  <c r="Z84" i="76"/>
  <c r="X84" i="76"/>
  <c r="N84" i="76"/>
  <c r="L84" i="76"/>
  <c r="B84" i="76"/>
  <c r="X83" i="76"/>
  <c r="T83" i="76"/>
  <c r="Z83" i="76" s="1"/>
  <c r="P83" i="76"/>
  <c r="N83" i="76"/>
  <c r="L83" i="76"/>
  <c r="J83" i="76"/>
  <c r="H83" i="76"/>
  <c r="F83" i="76"/>
  <c r="D83" i="76"/>
  <c r="B83" i="76"/>
  <c r="Z82" i="76"/>
  <c r="X82" i="76"/>
  <c r="N82" i="76"/>
  <c r="L82" i="76"/>
  <c r="B82" i="76"/>
  <c r="Z81" i="76"/>
  <c r="X81" i="76"/>
  <c r="L81" i="76"/>
  <c r="N81" i="76" s="1"/>
  <c r="B81" i="76"/>
  <c r="T80" i="76"/>
  <c r="P80" i="76"/>
  <c r="J80" i="76"/>
  <c r="H80" i="76"/>
  <c r="D80" i="76"/>
  <c r="L80" i="76" s="1"/>
  <c r="N80" i="76" s="1"/>
  <c r="B80" i="76"/>
  <c r="Z79" i="76"/>
  <c r="X79" i="76"/>
  <c r="V79" i="76"/>
  <c r="L79" i="76"/>
  <c r="N79" i="76" s="1"/>
  <c r="B79" i="76"/>
  <c r="Z78" i="76"/>
  <c r="X78" i="76"/>
  <c r="N78" i="76"/>
  <c r="L78" i="76"/>
  <c r="B78" i="76"/>
  <c r="X77" i="76"/>
  <c r="Z77" i="76" s="1"/>
  <c r="L77" i="76"/>
  <c r="N77" i="76" s="1"/>
  <c r="J77" i="76"/>
  <c r="B77" i="76"/>
  <c r="Z76" i="76"/>
  <c r="X76" i="76"/>
  <c r="V76" i="76"/>
  <c r="N76" i="76"/>
  <c r="L76" i="76"/>
  <c r="B76" i="76"/>
  <c r="Z75" i="76"/>
  <c r="X75" i="76"/>
  <c r="V75" i="76"/>
  <c r="N75" i="76"/>
  <c r="L75" i="76"/>
  <c r="B75" i="76"/>
  <c r="T74" i="76"/>
  <c r="Z74" i="76" s="1"/>
  <c r="P74" i="76"/>
  <c r="X74" i="76" s="1"/>
  <c r="L74" i="76"/>
  <c r="N74" i="76" s="1"/>
  <c r="J74" i="76"/>
  <c r="H74" i="76"/>
  <c r="D74" i="76"/>
  <c r="B74" i="76"/>
  <c r="Z73" i="76"/>
  <c r="X73" i="76"/>
  <c r="N73" i="76"/>
  <c r="L73" i="76"/>
  <c r="J73" i="76"/>
  <c r="B73" i="76"/>
  <c r="Z72" i="76"/>
  <c r="X72" i="76"/>
  <c r="L72" i="76"/>
  <c r="N72" i="76" s="1"/>
  <c r="B72" i="76"/>
  <c r="X71" i="76"/>
  <c r="Z71" i="76" s="1"/>
  <c r="T71" i="76"/>
  <c r="P71" i="76"/>
  <c r="L71" i="76"/>
  <c r="N71" i="76" s="1"/>
  <c r="J71" i="76"/>
  <c r="H71" i="76"/>
  <c r="D71" i="76"/>
  <c r="B71" i="76"/>
  <c r="Z70" i="76"/>
  <c r="X70" i="76"/>
  <c r="N70" i="76"/>
  <c r="L70" i="76"/>
  <c r="B70" i="76"/>
  <c r="Z69" i="76"/>
  <c r="X69" i="76"/>
  <c r="L69" i="76"/>
  <c r="N69" i="76" s="1"/>
  <c r="B69" i="76"/>
  <c r="T68" i="76"/>
  <c r="P68" i="76"/>
  <c r="J68" i="76"/>
  <c r="H68" i="76"/>
  <c r="D68" i="76"/>
  <c r="L68" i="76" s="1"/>
  <c r="N68" i="76" s="1"/>
  <c r="B68" i="76"/>
  <c r="Z67" i="76"/>
  <c r="X67" i="76"/>
  <c r="V67" i="76"/>
  <c r="L67" i="76"/>
  <c r="N67" i="76" s="1"/>
  <c r="B67" i="76"/>
  <c r="T66" i="76"/>
  <c r="Z66" i="76" s="1"/>
  <c r="P66" i="76"/>
  <c r="X66" i="76" s="1"/>
  <c r="L66" i="76"/>
  <c r="N66" i="76" s="1"/>
  <c r="J66" i="76"/>
  <c r="H66" i="76"/>
  <c r="D66" i="76"/>
  <c r="B66" i="76"/>
  <c r="X65" i="76"/>
  <c r="Z65" i="76" s="1"/>
  <c r="N65" i="76"/>
  <c r="L65" i="76"/>
  <c r="J65" i="76"/>
  <c r="B65" i="76"/>
  <c r="T64" i="76"/>
  <c r="P64" i="76"/>
  <c r="X64" i="76" s="1"/>
  <c r="Z64" i="76" s="1"/>
  <c r="L64" i="76"/>
  <c r="H64" i="76"/>
  <c r="N64" i="76" s="1"/>
  <c r="D64" i="76"/>
  <c r="B64" i="76"/>
  <c r="Z63" i="76"/>
  <c r="X63" i="76"/>
  <c r="N63" i="76"/>
  <c r="L63" i="76"/>
  <c r="J63" i="76"/>
  <c r="B63" i="76"/>
  <c r="Z62" i="76"/>
  <c r="T62" i="76"/>
  <c r="P62" i="76"/>
  <c r="X62" i="76" s="1"/>
  <c r="H62" i="76"/>
  <c r="D62" i="76"/>
  <c r="B62" i="76"/>
  <c r="X61" i="76"/>
  <c r="Z61" i="76" s="1"/>
  <c r="L61" i="76"/>
  <c r="N61" i="76" s="1"/>
  <c r="J61" i="76"/>
  <c r="B61" i="76"/>
  <c r="X60" i="76"/>
  <c r="Z60" i="76" s="1"/>
  <c r="V60" i="76"/>
  <c r="T60" i="76"/>
  <c r="P60" i="76"/>
  <c r="H60" i="76"/>
  <c r="D60" i="76"/>
  <c r="L60" i="76" s="1"/>
  <c r="B60" i="76"/>
  <c r="X59" i="76"/>
  <c r="Z59" i="76" s="1"/>
  <c r="N59" i="76"/>
  <c r="L59" i="76"/>
  <c r="B59" i="76"/>
  <c r="X58" i="76"/>
  <c r="T58" i="76"/>
  <c r="Z58" i="76" s="1"/>
  <c r="P58" i="76"/>
  <c r="H58" i="76"/>
  <c r="D58" i="76"/>
  <c r="L58" i="76" s="1"/>
  <c r="N58" i="76" s="1"/>
  <c r="B58" i="76"/>
  <c r="Z57" i="76"/>
  <c r="X57" i="76"/>
  <c r="N57" i="76"/>
  <c r="L57" i="76"/>
  <c r="B57" i="76"/>
  <c r="T56" i="76"/>
  <c r="Z56" i="76" s="1"/>
  <c r="P56" i="76"/>
  <c r="N56" i="76"/>
  <c r="J56" i="76"/>
  <c r="H56" i="76"/>
  <c r="D56" i="76"/>
  <c r="L56" i="76" s="1"/>
  <c r="B56" i="76"/>
  <c r="Z55" i="76"/>
  <c r="X55" i="76"/>
  <c r="V55" i="76"/>
  <c r="L55" i="76"/>
  <c r="N55" i="76" s="1"/>
  <c r="B55" i="76"/>
  <c r="T54" i="76"/>
  <c r="Z54" i="76" s="1"/>
  <c r="P54" i="76"/>
  <c r="X54" i="76" s="1"/>
  <c r="L54" i="76"/>
  <c r="N54" i="76" s="1"/>
  <c r="J54" i="76"/>
  <c r="H54" i="76"/>
  <c r="D54" i="76"/>
  <c r="B54" i="76"/>
  <c r="Z53" i="76"/>
  <c r="X53" i="76"/>
  <c r="N53" i="76"/>
  <c r="L53" i="76"/>
  <c r="J53" i="76"/>
  <c r="F53" i="76"/>
  <c r="B53" i="76"/>
  <c r="Z52" i="76"/>
  <c r="X52" i="76"/>
  <c r="N52" i="76"/>
  <c r="L52" i="76"/>
  <c r="B52" i="76"/>
  <c r="X51" i="76"/>
  <c r="Z51" i="76" s="1"/>
  <c r="N51" i="76"/>
  <c r="L51" i="76"/>
  <c r="B51" i="76"/>
  <c r="X50" i="76"/>
  <c r="Z50" i="76" s="1"/>
  <c r="N50" i="76"/>
  <c r="L50" i="76"/>
  <c r="J50" i="76"/>
  <c r="B50" i="76"/>
  <c r="Z49" i="76"/>
  <c r="X49" i="76"/>
  <c r="N49" i="76"/>
  <c r="L49" i="76"/>
  <c r="J49" i="76"/>
  <c r="B49" i="76"/>
  <c r="Z48" i="76"/>
  <c r="X48" i="76"/>
  <c r="N48" i="76"/>
  <c r="L48" i="76"/>
  <c r="B48" i="76"/>
  <c r="X47" i="76"/>
  <c r="Z47" i="76" s="1"/>
  <c r="N47" i="76"/>
  <c r="L47" i="76"/>
  <c r="B47" i="76"/>
  <c r="Z46" i="76"/>
  <c r="X46" i="76"/>
  <c r="N46" i="76"/>
  <c r="L46" i="76"/>
  <c r="J46" i="76"/>
  <c r="B46" i="76"/>
  <c r="X45" i="76"/>
  <c r="Z45" i="76" s="1"/>
  <c r="N45" i="76"/>
  <c r="L45" i="76"/>
  <c r="J45" i="76"/>
  <c r="B45" i="76"/>
  <c r="Z44" i="76"/>
  <c r="X44" i="76"/>
  <c r="L44" i="76"/>
  <c r="N44" i="76" s="1"/>
  <c r="B44" i="76"/>
  <c r="X43" i="76"/>
  <c r="Z43" i="76" s="1"/>
  <c r="T43" i="76"/>
  <c r="P43" i="76"/>
  <c r="J43" i="76"/>
  <c r="H43" i="76"/>
  <c r="D43" i="76"/>
  <c r="L43" i="76" s="1"/>
  <c r="N43" i="76" s="1"/>
  <c r="B43" i="76"/>
  <c r="Z42" i="76"/>
  <c r="X42" i="76"/>
  <c r="L42" i="76"/>
  <c r="N42" i="76" s="1"/>
  <c r="B42" i="76"/>
  <c r="Z41" i="76"/>
  <c r="X41" i="76"/>
  <c r="L41" i="76"/>
  <c r="N41" i="76" s="1"/>
  <c r="B41" i="76"/>
  <c r="X40" i="76"/>
  <c r="Z40" i="76" s="1"/>
  <c r="L40" i="76"/>
  <c r="N40" i="76" s="1"/>
  <c r="J40" i="76"/>
  <c r="B40" i="76"/>
  <c r="Z39" i="76"/>
  <c r="X39" i="76"/>
  <c r="N39" i="76"/>
  <c r="L39" i="76"/>
  <c r="J39" i="76"/>
  <c r="B39" i="76"/>
  <c r="Z38" i="76"/>
  <c r="X38" i="76"/>
  <c r="L38" i="76"/>
  <c r="N38" i="76" s="1"/>
  <c r="B38" i="76"/>
  <c r="Z37" i="76"/>
  <c r="X37" i="76"/>
  <c r="L37" i="76"/>
  <c r="N37" i="76" s="1"/>
  <c r="B37" i="76"/>
  <c r="X36" i="76"/>
  <c r="Z36" i="76" s="1"/>
  <c r="L36" i="76"/>
  <c r="N36" i="76" s="1"/>
  <c r="J36" i="76"/>
  <c r="B36" i="76"/>
  <c r="Z35" i="76"/>
  <c r="X35" i="76"/>
  <c r="N35" i="76"/>
  <c r="L35" i="76"/>
  <c r="J35" i="76"/>
  <c r="B35" i="76"/>
  <c r="Z34" i="76"/>
  <c r="X34" i="76"/>
  <c r="L34" i="76"/>
  <c r="N34" i="76" s="1"/>
  <c r="B34" i="76"/>
  <c r="T33" i="76"/>
  <c r="P33" i="76"/>
  <c r="H33" i="76"/>
  <c r="N33" i="76" s="1"/>
  <c r="D33" i="76"/>
  <c r="L33" i="76" s="1"/>
  <c r="B33" i="76"/>
  <c r="X32" i="76"/>
  <c r="Z32" i="76" s="1"/>
  <c r="V32" i="76"/>
  <c r="T32" i="76"/>
  <c r="P32" i="76"/>
  <c r="H32" i="76"/>
  <c r="N32" i="76" s="1"/>
  <c r="D32" i="76"/>
  <c r="L32" i="76" s="1"/>
  <c r="Z28" i="76"/>
  <c r="X28" i="76"/>
  <c r="V28" i="76"/>
  <c r="T28" i="76"/>
  <c r="P28" i="76"/>
  <c r="H28" i="76"/>
  <c r="N28" i="76" s="1"/>
  <c r="D28" i="76"/>
  <c r="L28" i="76" s="1"/>
  <c r="Z26" i="76"/>
  <c r="P26" i="76"/>
  <c r="X26" i="76" s="1"/>
  <c r="N26" i="76"/>
  <c r="L26" i="76"/>
  <c r="D26" i="76"/>
  <c r="B26" i="76"/>
  <c r="Z25" i="76"/>
  <c r="P25" i="76"/>
  <c r="X25" i="76" s="1"/>
  <c r="N25" i="76"/>
  <c r="L25" i="76"/>
  <c r="D25" i="76"/>
  <c r="B25" i="76"/>
  <c r="Z24" i="76"/>
  <c r="P24" i="76"/>
  <c r="X24" i="76" s="1"/>
  <c r="N24" i="76"/>
  <c r="L24" i="76"/>
  <c r="D24" i="76"/>
  <c r="B24" i="76"/>
  <c r="Z23" i="76"/>
  <c r="P23" i="76"/>
  <c r="X23" i="76" s="1"/>
  <c r="N23" i="76"/>
  <c r="D23" i="76"/>
  <c r="L23" i="76" s="1"/>
  <c r="B23" i="76"/>
  <c r="Z22" i="76"/>
  <c r="X22" i="76"/>
  <c r="P22" i="76"/>
  <c r="N22" i="76"/>
  <c r="D22" i="76"/>
  <c r="L22" i="76" s="1"/>
  <c r="B22" i="76"/>
  <c r="Z21" i="76"/>
  <c r="P21" i="76"/>
  <c r="X21" i="76" s="1"/>
  <c r="N21" i="76"/>
  <c r="D21" i="76"/>
  <c r="L21" i="76" s="1"/>
  <c r="B21" i="76"/>
  <c r="Z20" i="76"/>
  <c r="P20" i="76"/>
  <c r="X20" i="76" s="1"/>
  <c r="N20" i="76"/>
  <c r="D20" i="76"/>
  <c r="L20" i="76" s="1"/>
  <c r="B20" i="76"/>
  <c r="Z19" i="76"/>
  <c r="X19" i="76"/>
  <c r="P19" i="76"/>
  <c r="N19" i="76"/>
  <c r="L19" i="76"/>
  <c r="D19" i="76"/>
  <c r="B19" i="76"/>
  <c r="X18" i="76"/>
  <c r="Z18" i="76" s="1"/>
  <c r="P18" i="76"/>
  <c r="D18" i="76"/>
  <c r="D12" i="76" s="1"/>
  <c r="F52" i="76" s="1"/>
  <c r="B18" i="76"/>
  <c r="Z17" i="76"/>
  <c r="X17" i="76"/>
  <c r="P17" i="76"/>
  <c r="N17" i="76"/>
  <c r="D17" i="76"/>
  <c r="L17" i="76" s="1"/>
  <c r="B17" i="76"/>
  <c r="Z16" i="76"/>
  <c r="X16" i="76"/>
  <c r="P16" i="76"/>
  <c r="N16" i="76"/>
  <c r="L16" i="76"/>
  <c r="D16" i="76"/>
  <c r="B16" i="76"/>
  <c r="Z15" i="76"/>
  <c r="P15" i="76"/>
  <c r="X15" i="76" s="1"/>
  <c r="N15" i="76"/>
  <c r="L15" i="76"/>
  <c r="D15" i="76"/>
  <c r="B15" i="76"/>
  <c r="Z14" i="76"/>
  <c r="P14" i="76"/>
  <c r="X14" i="76" s="1"/>
  <c r="N14" i="76"/>
  <c r="L14" i="76"/>
  <c r="D14" i="76"/>
  <c r="B14" i="76"/>
  <c r="P13" i="76"/>
  <c r="L13" i="76"/>
  <c r="N13" i="76" s="1"/>
  <c r="D13" i="76"/>
  <c r="B13" i="76"/>
  <c r="T12" i="76"/>
  <c r="V83" i="76" s="1"/>
  <c r="H12" i="76"/>
  <c r="J79" i="76" s="1"/>
  <c r="D6" i="76"/>
  <c r="D4" i="76"/>
  <c r="X123" i="75"/>
  <c r="Z123" i="75" s="1"/>
  <c r="N123" i="75"/>
  <c r="L123" i="75"/>
  <c r="X119" i="75"/>
  <c r="Z119" i="75" s="1"/>
  <c r="P119" i="75"/>
  <c r="L119" i="75"/>
  <c r="N119" i="75" s="1"/>
  <c r="D119" i="75"/>
  <c r="B119" i="75"/>
  <c r="P118" i="75"/>
  <c r="D118" i="75"/>
  <c r="L118" i="75" s="1"/>
  <c r="N118" i="75" s="1"/>
  <c r="B118" i="75"/>
  <c r="X117" i="75"/>
  <c r="Z117" i="75" s="1"/>
  <c r="P117" i="75"/>
  <c r="N117" i="75"/>
  <c r="L117" i="75"/>
  <c r="D117" i="75"/>
  <c r="B117" i="75"/>
  <c r="T116" i="75"/>
  <c r="H116" i="75"/>
  <c r="D116" i="75"/>
  <c r="Z114" i="75"/>
  <c r="X114" i="75"/>
  <c r="N114" i="75"/>
  <c r="L114" i="75"/>
  <c r="B114" i="75"/>
  <c r="Z113" i="75"/>
  <c r="X113" i="75"/>
  <c r="N113" i="75"/>
  <c r="L113" i="75"/>
  <c r="B113" i="75"/>
  <c r="T112" i="75"/>
  <c r="P112" i="75"/>
  <c r="H112" i="75"/>
  <c r="D112" i="75"/>
  <c r="L112" i="75" s="1"/>
  <c r="N112" i="75" s="1"/>
  <c r="B112" i="75"/>
  <c r="X111" i="75"/>
  <c r="Z111" i="75" s="1"/>
  <c r="N111" i="75"/>
  <c r="L111" i="75"/>
  <c r="B111" i="75"/>
  <c r="T110" i="75"/>
  <c r="P110" i="75"/>
  <c r="X110" i="75" s="1"/>
  <c r="Z110" i="75" s="1"/>
  <c r="L110" i="75"/>
  <c r="H110" i="75"/>
  <c r="D110" i="75"/>
  <c r="B110" i="75"/>
  <c r="X109" i="75"/>
  <c r="Z109" i="75" s="1"/>
  <c r="N109" i="75"/>
  <c r="L109" i="75"/>
  <c r="B109" i="75"/>
  <c r="T108" i="75"/>
  <c r="P108" i="75"/>
  <c r="X108" i="75" s="1"/>
  <c r="L108" i="75"/>
  <c r="H108" i="75"/>
  <c r="D108" i="75"/>
  <c r="B108" i="75"/>
  <c r="X107" i="75"/>
  <c r="Z107" i="75" s="1"/>
  <c r="L107" i="75"/>
  <c r="N107" i="75" s="1"/>
  <c r="B107" i="75"/>
  <c r="Z106" i="75"/>
  <c r="X106" i="75"/>
  <c r="N106" i="75"/>
  <c r="L106" i="75"/>
  <c r="B106" i="75"/>
  <c r="Z105" i="75"/>
  <c r="X105" i="75"/>
  <c r="N105" i="75"/>
  <c r="L105" i="75"/>
  <c r="B105" i="75"/>
  <c r="Z104" i="75"/>
  <c r="X104" i="75"/>
  <c r="L104" i="75"/>
  <c r="N104" i="75" s="1"/>
  <c r="B104" i="75"/>
  <c r="X103" i="75"/>
  <c r="Z103" i="75" s="1"/>
  <c r="L103" i="75"/>
  <c r="N103" i="75" s="1"/>
  <c r="B103" i="75"/>
  <c r="T102" i="75"/>
  <c r="P102" i="75"/>
  <c r="X102" i="75" s="1"/>
  <c r="J102" i="75"/>
  <c r="H102" i="75"/>
  <c r="D102" i="75"/>
  <c r="B102" i="75"/>
  <c r="Z101" i="75"/>
  <c r="X101" i="75"/>
  <c r="N101" i="75"/>
  <c r="L101" i="75"/>
  <c r="B101" i="75"/>
  <c r="X100" i="75"/>
  <c r="Z100" i="75" s="1"/>
  <c r="N100" i="75"/>
  <c r="L100" i="75"/>
  <c r="B100" i="75"/>
  <c r="X99" i="75"/>
  <c r="Z99" i="75" s="1"/>
  <c r="T99" i="75"/>
  <c r="P99" i="75"/>
  <c r="H99" i="75"/>
  <c r="D99" i="75"/>
  <c r="L99" i="75" s="1"/>
  <c r="B99" i="75"/>
  <c r="Z98" i="75"/>
  <c r="X98" i="75"/>
  <c r="L98" i="75"/>
  <c r="N98" i="75" s="1"/>
  <c r="B98" i="75"/>
  <c r="X97" i="75"/>
  <c r="Z97" i="75" s="1"/>
  <c r="N97" i="75"/>
  <c r="L97" i="75"/>
  <c r="B97" i="75"/>
  <c r="Z96" i="75"/>
  <c r="X96" i="75"/>
  <c r="N96" i="75"/>
  <c r="L96" i="75"/>
  <c r="B96" i="75"/>
  <c r="T95" i="75"/>
  <c r="P95" i="75"/>
  <c r="X95" i="75" s="1"/>
  <c r="Z95" i="75" s="1"/>
  <c r="H95" i="75"/>
  <c r="D95" i="75"/>
  <c r="B95" i="75"/>
  <c r="X94" i="75"/>
  <c r="Z94" i="75" s="1"/>
  <c r="N94" i="75"/>
  <c r="L94" i="75"/>
  <c r="B94" i="75"/>
  <c r="Z93" i="75"/>
  <c r="X93" i="75"/>
  <c r="T93" i="75"/>
  <c r="P93" i="75"/>
  <c r="H93" i="75"/>
  <c r="D93" i="75"/>
  <c r="B93" i="75"/>
  <c r="X92" i="75"/>
  <c r="Z92" i="75" s="1"/>
  <c r="N92" i="75"/>
  <c r="L92" i="75"/>
  <c r="B92" i="75"/>
  <c r="X91" i="75"/>
  <c r="V91" i="75"/>
  <c r="T91" i="75"/>
  <c r="P91" i="75"/>
  <c r="H91" i="75"/>
  <c r="D91" i="75"/>
  <c r="L91" i="75" s="1"/>
  <c r="B91" i="75"/>
  <c r="Z90" i="75"/>
  <c r="X90" i="75"/>
  <c r="L90" i="75"/>
  <c r="N90" i="75" s="1"/>
  <c r="B90" i="75"/>
  <c r="X89" i="75"/>
  <c r="T89" i="75"/>
  <c r="P89" i="75"/>
  <c r="H89" i="75"/>
  <c r="D89" i="75"/>
  <c r="L89" i="75" s="1"/>
  <c r="N89" i="75" s="1"/>
  <c r="B89" i="75"/>
  <c r="Z88" i="75"/>
  <c r="X88" i="75"/>
  <c r="L88" i="75"/>
  <c r="N88" i="75" s="1"/>
  <c r="B88" i="75"/>
  <c r="T87" i="75"/>
  <c r="P87" i="75"/>
  <c r="H87" i="75"/>
  <c r="D87" i="75"/>
  <c r="L87" i="75" s="1"/>
  <c r="N87" i="75" s="1"/>
  <c r="B87" i="75"/>
  <c r="Z86" i="75"/>
  <c r="X86" i="75"/>
  <c r="V86" i="75"/>
  <c r="N86" i="75"/>
  <c r="L86" i="75"/>
  <c r="B86" i="75"/>
  <c r="X85" i="75"/>
  <c r="Z85" i="75" s="1"/>
  <c r="L85" i="75"/>
  <c r="N85" i="75" s="1"/>
  <c r="B85" i="75"/>
  <c r="X84" i="75"/>
  <c r="Z84" i="75" s="1"/>
  <c r="T84" i="75"/>
  <c r="P84" i="75"/>
  <c r="J84" i="75"/>
  <c r="H84" i="75"/>
  <c r="D84" i="75"/>
  <c r="L84" i="75" s="1"/>
  <c r="N84" i="75" s="1"/>
  <c r="B84" i="75"/>
  <c r="Z83" i="75"/>
  <c r="X83" i="75"/>
  <c r="L83" i="75"/>
  <c r="N83" i="75" s="1"/>
  <c r="B83" i="75"/>
  <c r="T82" i="75"/>
  <c r="P82" i="75"/>
  <c r="H82" i="75"/>
  <c r="D82" i="75"/>
  <c r="L82" i="75" s="1"/>
  <c r="B82" i="75"/>
  <c r="Z81" i="75"/>
  <c r="X81" i="75"/>
  <c r="V81" i="75"/>
  <c r="N81" i="75"/>
  <c r="L81" i="75"/>
  <c r="B81" i="75"/>
  <c r="Z80" i="75"/>
  <c r="X80" i="75"/>
  <c r="L80" i="75"/>
  <c r="N80" i="75" s="1"/>
  <c r="B80" i="75"/>
  <c r="T79" i="75"/>
  <c r="P79" i="75"/>
  <c r="X79" i="75" s="1"/>
  <c r="N79" i="75"/>
  <c r="H79" i="75"/>
  <c r="D79" i="75"/>
  <c r="L79" i="75" s="1"/>
  <c r="B79" i="75"/>
  <c r="Z78" i="75"/>
  <c r="X78" i="75"/>
  <c r="V78" i="75"/>
  <c r="L78" i="75"/>
  <c r="N78" i="75" s="1"/>
  <c r="B78" i="75"/>
  <c r="T77" i="75"/>
  <c r="Z77" i="75" s="1"/>
  <c r="P77" i="75"/>
  <c r="X77" i="75" s="1"/>
  <c r="L77" i="75"/>
  <c r="N77" i="75" s="1"/>
  <c r="H77" i="75"/>
  <c r="D77" i="75"/>
  <c r="B77" i="75"/>
  <c r="Z76" i="75"/>
  <c r="X76" i="75"/>
  <c r="N76" i="75"/>
  <c r="L76" i="75"/>
  <c r="B76" i="75"/>
  <c r="Z75" i="75"/>
  <c r="X75" i="75"/>
  <c r="N75" i="75"/>
  <c r="L75" i="75"/>
  <c r="B75" i="75"/>
  <c r="X74" i="75"/>
  <c r="Z74" i="75" s="1"/>
  <c r="N74" i="75"/>
  <c r="L74" i="75"/>
  <c r="B74" i="75"/>
  <c r="X73" i="75"/>
  <c r="Z73" i="75" s="1"/>
  <c r="N73" i="75"/>
  <c r="L73" i="75"/>
  <c r="J73" i="75"/>
  <c r="B73" i="75"/>
  <c r="Z72" i="75"/>
  <c r="X72" i="75"/>
  <c r="N72" i="75"/>
  <c r="L72" i="75"/>
  <c r="B72" i="75"/>
  <c r="Z71" i="75"/>
  <c r="X71" i="75"/>
  <c r="N71" i="75"/>
  <c r="L71" i="75"/>
  <c r="B71" i="75"/>
  <c r="X70" i="75"/>
  <c r="Z70" i="75" s="1"/>
  <c r="N70" i="75"/>
  <c r="L70" i="75"/>
  <c r="B70" i="75"/>
  <c r="Z69" i="75"/>
  <c r="X69" i="75"/>
  <c r="N69" i="75"/>
  <c r="L69" i="75"/>
  <c r="B69" i="75"/>
  <c r="X68" i="75"/>
  <c r="Z68" i="75" s="1"/>
  <c r="N68" i="75"/>
  <c r="L68" i="75"/>
  <c r="B68" i="75"/>
  <c r="Z67" i="75"/>
  <c r="X67" i="75"/>
  <c r="N67" i="75"/>
  <c r="L67" i="75"/>
  <c r="B67" i="75"/>
  <c r="Z66" i="75"/>
  <c r="X66" i="75"/>
  <c r="T66" i="75"/>
  <c r="P66" i="75"/>
  <c r="H66" i="75"/>
  <c r="D66" i="75"/>
  <c r="L66" i="75" s="1"/>
  <c r="B66" i="75"/>
  <c r="Z65" i="75"/>
  <c r="X65" i="75"/>
  <c r="N65" i="75"/>
  <c r="L65" i="75"/>
  <c r="B65" i="75"/>
  <c r="Z64" i="75"/>
  <c r="X64" i="75"/>
  <c r="L64" i="75"/>
  <c r="N64" i="75" s="1"/>
  <c r="B64" i="75"/>
  <c r="X63" i="75"/>
  <c r="Z63" i="75" s="1"/>
  <c r="L63" i="75"/>
  <c r="N63" i="75" s="1"/>
  <c r="B63" i="75"/>
  <c r="Z62" i="75"/>
  <c r="X62" i="75"/>
  <c r="N62" i="75"/>
  <c r="L62" i="75"/>
  <c r="J62" i="75"/>
  <c r="B62" i="75"/>
  <c r="Z61" i="75"/>
  <c r="X61" i="75"/>
  <c r="N61" i="75"/>
  <c r="L61" i="75"/>
  <c r="B61" i="75"/>
  <c r="Z60" i="75"/>
  <c r="X60" i="75"/>
  <c r="L60" i="75"/>
  <c r="N60" i="75" s="1"/>
  <c r="B60" i="75"/>
  <c r="X59" i="75"/>
  <c r="Z59" i="75" s="1"/>
  <c r="L59" i="75"/>
  <c r="N59" i="75" s="1"/>
  <c r="B59" i="75"/>
  <c r="X58" i="75"/>
  <c r="Z58" i="75" s="1"/>
  <c r="N58" i="75"/>
  <c r="L58" i="75"/>
  <c r="B58" i="75"/>
  <c r="Z57" i="75"/>
  <c r="X57" i="75"/>
  <c r="N57" i="75"/>
  <c r="L57" i="75"/>
  <c r="B57" i="75"/>
  <c r="V56" i="75"/>
  <c r="T56" i="75"/>
  <c r="P56" i="75"/>
  <c r="H56" i="75"/>
  <c r="D56" i="75"/>
  <c r="L56" i="75" s="1"/>
  <c r="B56" i="75"/>
  <c r="X55" i="75"/>
  <c r="Z55" i="75" s="1"/>
  <c r="T55" i="75"/>
  <c r="P55" i="75"/>
  <c r="H55" i="75"/>
  <c r="D55" i="75"/>
  <c r="L55" i="75" s="1"/>
  <c r="Z51" i="75"/>
  <c r="X51" i="75"/>
  <c r="V51" i="75"/>
  <c r="N51" i="75"/>
  <c r="L51" i="75"/>
  <c r="B51" i="75"/>
  <c r="Z50" i="75"/>
  <c r="X50" i="75"/>
  <c r="N50" i="75"/>
  <c r="L50" i="75"/>
  <c r="B50" i="75"/>
  <c r="Z49" i="75"/>
  <c r="X49" i="75"/>
  <c r="N49" i="75"/>
  <c r="L49" i="75"/>
  <c r="B49" i="75"/>
  <c r="Z48" i="75"/>
  <c r="X48" i="75"/>
  <c r="N48" i="75"/>
  <c r="L48" i="75"/>
  <c r="J48" i="75"/>
  <c r="B48" i="75"/>
  <c r="Z47" i="75"/>
  <c r="X47" i="75"/>
  <c r="V47" i="75"/>
  <c r="N47" i="75"/>
  <c r="L47" i="75"/>
  <c r="B47" i="75"/>
  <c r="Z46" i="75"/>
  <c r="X46" i="75"/>
  <c r="V46" i="75"/>
  <c r="N46" i="75"/>
  <c r="L46" i="75"/>
  <c r="B46" i="75"/>
  <c r="Z45" i="75"/>
  <c r="X45" i="75"/>
  <c r="N45" i="75"/>
  <c r="L45" i="75"/>
  <c r="B45" i="75"/>
  <c r="Z44" i="75"/>
  <c r="X44" i="75"/>
  <c r="N44" i="75"/>
  <c r="L44" i="75"/>
  <c r="J44" i="75"/>
  <c r="B44" i="75"/>
  <c r="Z43" i="75"/>
  <c r="X43" i="75"/>
  <c r="V43" i="75"/>
  <c r="N43" i="75"/>
  <c r="L43" i="75"/>
  <c r="B43" i="75"/>
  <c r="Z42" i="75"/>
  <c r="X42" i="75"/>
  <c r="V42" i="75"/>
  <c r="N42" i="75"/>
  <c r="L42" i="75"/>
  <c r="B42" i="75"/>
  <c r="Z41" i="75"/>
  <c r="X41" i="75"/>
  <c r="N41" i="75"/>
  <c r="L41" i="75"/>
  <c r="B41" i="75"/>
  <c r="Z40" i="75"/>
  <c r="X40" i="75"/>
  <c r="N40" i="75"/>
  <c r="L40" i="75"/>
  <c r="B40" i="75"/>
  <c r="Z39" i="75"/>
  <c r="X39" i="75"/>
  <c r="V39" i="75"/>
  <c r="N39" i="75"/>
  <c r="L39" i="75"/>
  <c r="B39" i="75"/>
  <c r="Z38" i="75"/>
  <c r="X38" i="75"/>
  <c r="V38" i="75"/>
  <c r="N38" i="75"/>
  <c r="L38" i="75"/>
  <c r="B38" i="75"/>
  <c r="Z37" i="75"/>
  <c r="X37" i="75"/>
  <c r="N37" i="75"/>
  <c r="L37" i="75"/>
  <c r="B37" i="75"/>
  <c r="X36" i="75"/>
  <c r="Z36" i="75" s="1"/>
  <c r="L36" i="75"/>
  <c r="N36" i="75" s="1"/>
  <c r="B36" i="75"/>
  <c r="X35" i="75"/>
  <c r="Z35" i="75" s="1"/>
  <c r="V35" i="75"/>
  <c r="T35" i="75"/>
  <c r="P35" i="75"/>
  <c r="H35" i="75"/>
  <c r="D35" i="75"/>
  <c r="Z33" i="75"/>
  <c r="X33" i="75"/>
  <c r="P33" i="75"/>
  <c r="N33" i="75"/>
  <c r="L33" i="75"/>
  <c r="D33" i="75"/>
  <c r="B33" i="75"/>
  <c r="Z32" i="75"/>
  <c r="P32" i="75"/>
  <c r="X32" i="75" s="1"/>
  <c r="N32" i="75"/>
  <c r="L32" i="75"/>
  <c r="D32" i="75"/>
  <c r="B32" i="75"/>
  <c r="Z31" i="75"/>
  <c r="P31" i="75"/>
  <c r="X31" i="75" s="1"/>
  <c r="N31" i="75"/>
  <c r="L31" i="75"/>
  <c r="D31" i="75"/>
  <c r="B31" i="75"/>
  <c r="Z30" i="75"/>
  <c r="P30" i="75"/>
  <c r="X30" i="75" s="1"/>
  <c r="N30" i="75"/>
  <c r="L30" i="75"/>
  <c r="D30" i="75"/>
  <c r="B30" i="75"/>
  <c r="Z29" i="75"/>
  <c r="X29" i="75"/>
  <c r="P29" i="75"/>
  <c r="N29" i="75"/>
  <c r="D29" i="75"/>
  <c r="L29" i="75" s="1"/>
  <c r="B29" i="75"/>
  <c r="Z28" i="75"/>
  <c r="P28" i="75"/>
  <c r="X28" i="75" s="1"/>
  <c r="N28" i="75"/>
  <c r="D28" i="75"/>
  <c r="L28" i="75" s="1"/>
  <c r="B28" i="75"/>
  <c r="Z27" i="75"/>
  <c r="P27" i="75"/>
  <c r="X27" i="75" s="1"/>
  <c r="N27" i="75"/>
  <c r="D27" i="75"/>
  <c r="L27" i="75" s="1"/>
  <c r="B27" i="75"/>
  <c r="Z26" i="75"/>
  <c r="X26" i="75"/>
  <c r="P26" i="75"/>
  <c r="N26" i="75"/>
  <c r="L26" i="75"/>
  <c r="D26" i="75"/>
  <c r="B26" i="75"/>
  <c r="Z25" i="75"/>
  <c r="X25" i="75"/>
  <c r="P25" i="75"/>
  <c r="N25" i="75"/>
  <c r="D25" i="75"/>
  <c r="L25" i="75" s="1"/>
  <c r="B25" i="75"/>
  <c r="Z24" i="75"/>
  <c r="X24" i="75"/>
  <c r="P24" i="75"/>
  <c r="N24" i="75"/>
  <c r="L24" i="75"/>
  <c r="D24" i="75"/>
  <c r="B24" i="75"/>
  <c r="Z23" i="75"/>
  <c r="X23" i="75"/>
  <c r="P23" i="75"/>
  <c r="N23" i="75"/>
  <c r="L23" i="75"/>
  <c r="D23" i="75"/>
  <c r="B23" i="75"/>
  <c r="Z22" i="75"/>
  <c r="P22" i="75"/>
  <c r="X22" i="75" s="1"/>
  <c r="N22" i="75"/>
  <c r="L22" i="75"/>
  <c r="D22" i="75"/>
  <c r="B22" i="75"/>
  <c r="Z21" i="75"/>
  <c r="P21" i="75"/>
  <c r="X21" i="75" s="1"/>
  <c r="N21" i="75"/>
  <c r="L21" i="75"/>
  <c r="D21" i="75"/>
  <c r="B21" i="75"/>
  <c r="Z20" i="75"/>
  <c r="P20" i="75"/>
  <c r="X20" i="75" s="1"/>
  <c r="N20" i="75"/>
  <c r="L20" i="75"/>
  <c r="D20" i="75"/>
  <c r="B20" i="75"/>
  <c r="Z19" i="75"/>
  <c r="P19" i="75"/>
  <c r="X19" i="75" s="1"/>
  <c r="N19" i="75"/>
  <c r="L19" i="75"/>
  <c r="D19" i="75"/>
  <c r="B19" i="75"/>
  <c r="Z18" i="75"/>
  <c r="P18" i="75"/>
  <c r="X18" i="75" s="1"/>
  <c r="N18" i="75"/>
  <c r="D18" i="75"/>
  <c r="L18" i="75" s="1"/>
  <c r="B18" i="75"/>
  <c r="Z17" i="75"/>
  <c r="X17" i="75"/>
  <c r="P17" i="75"/>
  <c r="N17" i="75"/>
  <c r="D17" i="75"/>
  <c r="L17" i="75" s="1"/>
  <c r="B17" i="75"/>
  <c r="Z16" i="75"/>
  <c r="P16" i="75"/>
  <c r="N16" i="75"/>
  <c r="D16" i="75"/>
  <c r="L16" i="75" s="1"/>
  <c r="B16" i="75"/>
  <c r="Z15" i="75"/>
  <c r="P15" i="75"/>
  <c r="X15" i="75" s="1"/>
  <c r="N15" i="75"/>
  <c r="D15" i="75"/>
  <c r="L15" i="75" s="1"/>
  <c r="B15" i="75"/>
  <c r="Z14" i="75"/>
  <c r="X14" i="75"/>
  <c r="P14" i="75"/>
  <c r="N14" i="75"/>
  <c r="L14" i="75"/>
  <c r="D14" i="75"/>
  <c r="B14" i="75"/>
  <c r="X13" i="75"/>
  <c r="Z13" i="75" s="1"/>
  <c r="P13" i="75"/>
  <c r="D13" i="75"/>
  <c r="B13" i="75"/>
  <c r="T12" i="75"/>
  <c r="V88" i="75" s="1"/>
  <c r="H12" i="75"/>
  <c r="J103" i="75" s="1"/>
  <c r="D6" i="75"/>
  <c r="D4" i="75"/>
  <c r="Z100" i="74"/>
  <c r="X100" i="74"/>
  <c r="N100" i="74"/>
  <c r="L100" i="74"/>
  <c r="Z96" i="74"/>
  <c r="T96" i="74"/>
  <c r="P96" i="74"/>
  <c r="X96" i="74" s="1"/>
  <c r="L96" i="74"/>
  <c r="H96" i="74"/>
  <c r="N96" i="74" s="1"/>
  <c r="D96" i="74"/>
  <c r="Z94" i="74"/>
  <c r="X94" i="74"/>
  <c r="N94" i="74"/>
  <c r="L94" i="74"/>
  <c r="B94" i="74"/>
  <c r="T93" i="74"/>
  <c r="Z93" i="74" s="1"/>
  <c r="P93" i="74"/>
  <c r="N93" i="74"/>
  <c r="H93" i="74"/>
  <c r="D93" i="74"/>
  <c r="L93" i="74" s="1"/>
  <c r="B93" i="74"/>
  <c r="X92" i="74"/>
  <c r="Z92" i="74" s="1"/>
  <c r="N92" i="74"/>
  <c r="L92" i="74"/>
  <c r="B92" i="74"/>
  <c r="T91" i="74"/>
  <c r="P91" i="74"/>
  <c r="X91" i="74" s="1"/>
  <c r="Z91" i="74" s="1"/>
  <c r="N91" i="74"/>
  <c r="H91" i="74"/>
  <c r="D91" i="74"/>
  <c r="L91" i="74" s="1"/>
  <c r="B91" i="74"/>
  <c r="Z90" i="74"/>
  <c r="X90" i="74"/>
  <c r="N90" i="74"/>
  <c r="L90" i="74"/>
  <c r="B90" i="74"/>
  <c r="Z89" i="74"/>
  <c r="X89" i="74"/>
  <c r="T89" i="74"/>
  <c r="P89" i="74"/>
  <c r="J89" i="74"/>
  <c r="H89" i="74"/>
  <c r="N89" i="74" s="1"/>
  <c r="D89" i="74"/>
  <c r="B89" i="74"/>
  <c r="Z88" i="74"/>
  <c r="X88" i="74"/>
  <c r="N88" i="74"/>
  <c r="L88" i="74"/>
  <c r="B88" i="74"/>
  <c r="T87" i="74"/>
  <c r="Z87" i="74" s="1"/>
  <c r="P87" i="74"/>
  <c r="X87" i="74" s="1"/>
  <c r="N87" i="74"/>
  <c r="H87" i="74"/>
  <c r="D87" i="74"/>
  <c r="L87" i="74" s="1"/>
  <c r="B87" i="74"/>
  <c r="Z86" i="74"/>
  <c r="X86" i="74"/>
  <c r="N86" i="74"/>
  <c r="L86" i="74"/>
  <c r="B86" i="74"/>
  <c r="Z85" i="74"/>
  <c r="T85" i="74"/>
  <c r="P85" i="74"/>
  <c r="X85" i="74" s="1"/>
  <c r="N85" i="74"/>
  <c r="H85" i="74"/>
  <c r="D85" i="74"/>
  <c r="L85" i="74" s="1"/>
  <c r="B85" i="74"/>
  <c r="Z84" i="74"/>
  <c r="X84" i="74"/>
  <c r="N84" i="74"/>
  <c r="L84" i="74"/>
  <c r="B84" i="74"/>
  <c r="V83" i="74"/>
  <c r="T83" i="74"/>
  <c r="P83" i="74"/>
  <c r="L83" i="74"/>
  <c r="H83" i="74"/>
  <c r="N83" i="74" s="1"/>
  <c r="D83" i="74"/>
  <c r="B83" i="74"/>
  <c r="Z82" i="74"/>
  <c r="X82" i="74"/>
  <c r="N82" i="74"/>
  <c r="L82" i="74"/>
  <c r="B82" i="74"/>
  <c r="Z81" i="74"/>
  <c r="X81" i="74"/>
  <c r="N81" i="74"/>
  <c r="L81" i="74"/>
  <c r="B81" i="74"/>
  <c r="T80" i="74"/>
  <c r="X80" i="74" s="1"/>
  <c r="Z80" i="74" s="1"/>
  <c r="P80" i="74"/>
  <c r="L80" i="74"/>
  <c r="N80" i="74" s="1"/>
  <c r="H80" i="74"/>
  <c r="D80" i="74"/>
  <c r="B80" i="74"/>
  <c r="Z79" i="74"/>
  <c r="X79" i="74"/>
  <c r="L79" i="74"/>
  <c r="N79" i="74" s="1"/>
  <c r="J79" i="74"/>
  <c r="B79" i="74"/>
  <c r="T78" i="74"/>
  <c r="P78" i="74"/>
  <c r="X78" i="74" s="1"/>
  <c r="H78" i="74"/>
  <c r="D78" i="74"/>
  <c r="B78" i="74"/>
  <c r="Z77" i="74"/>
  <c r="X77" i="74"/>
  <c r="N77" i="74"/>
  <c r="L77" i="74"/>
  <c r="B77" i="74"/>
  <c r="Z76" i="74"/>
  <c r="X76" i="74"/>
  <c r="N76" i="74"/>
  <c r="L76" i="74"/>
  <c r="B76" i="74"/>
  <c r="X75" i="74"/>
  <c r="Z75" i="74" s="1"/>
  <c r="V75" i="74"/>
  <c r="N75" i="74"/>
  <c r="L75" i="74"/>
  <c r="B75" i="74"/>
  <c r="X74" i="74"/>
  <c r="Z74" i="74" s="1"/>
  <c r="N74" i="74"/>
  <c r="L74" i="74"/>
  <c r="B74" i="74"/>
  <c r="Z73" i="74"/>
  <c r="X73" i="74"/>
  <c r="N73" i="74"/>
  <c r="L73" i="74"/>
  <c r="B73" i="74"/>
  <c r="Z72" i="74"/>
  <c r="X72" i="74"/>
  <c r="N72" i="74"/>
  <c r="L72" i="74"/>
  <c r="B72" i="74"/>
  <c r="Z71" i="74"/>
  <c r="X71" i="74"/>
  <c r="V71" i="74"/>
  <c r="N71" i="74"/>
  <c r="L71" i="74"/>
  <c r="B71" i="74"/>
  <c r="Z70" i="74"/>
  <c r="X70" i="74"/>
  <c r="N70" i="74"/>
  <c r="L70" i="74"/>
  <c r="B70" i="74"/>
  <c r="Z69" i="74"/>
  <c r="X69" i="74"/>
  <c r="N69" i="74"/>
  <c r="L69" i="74"/>
  <c r="B69" i="74"/>
  <c r="Z68" i="74"/>
  <c r="X68" i="74"/>
  <c r="N68" i="74"/>
  <c r="L68" i="74"/>
  <c r="B68" i="74"/>
  <c r="V67" i="74"/>
  <c r="T67" i="74"/>
  <c r="P67" i="74"/>
  <c r="X67" i="74" s="1"/>
  <c r="L67" i="74"/>
  <c r="H67" i="74"/>
  <c r="N67" i="74" s="1"/>
  <c r="D67" i="74"/>
  <c r="B67" i="74"/>
  <c r="Z66" i="74"/>
  <c r="X66" i="74"/>
  <c r="N66" i="74"/>
  <c r="L66" i="74"/>
  <c r="B66" i="74"/>
  <c r="Z65" i="74"/>
  <c r="X65" i="74"/>
  <c r="N65" i="74"/>
  <c r="L65" i="74"/>
  <c r="B65" i="74"/>
  <c r="Z64" i="74"/>
  <c r="X64" i="74"/>
  <c r="N64" i="74"/>
  <c r="L64" i="74"/>
  <c r="B64" i="74"/>
  <c r="Z63" i="74"/>
  <c r="X63" i="74"/>
  <c r="N63" i="74"/>
  <c r="L63" i="74"/>
  <c r="B63" i="74"/>
  <c r="X62" i="74"/>
  <c r="Z62" i="74" s="1"/>
  <c r="N62" i="74"/>
  <c r="L62" i="74"/>
  <c r="B62" i="74"/>
  <c r="Z61" i="74"/>
  <c r="X61" i="74"/>
  <c r="N61" i="74"/>
  <c r="L61" i="74"/>
  <c r="B61" i="74"/>
  <c r="Z60" i="74"/>
  <c r="X60" i="74"/>
  <c r="L60" i="74"/>
  <c r="N60" i="74" s="1"/>
  <c r="B60" i="74"/>
  <c r="X59" i="74"/>
  <c r="Z59" i="74" s="1"/>
  <c r="L59" i="74"/>
  <c r="N59" i="74" s="1"/>
  <c r="B59" i="74"/>
  <c r="X58" i="74"/>
  <c r="Z58" i="74" s="1"/>
  <c r="L58" i="74"/>
  <c r="N58" i="74" s="1"/>
  <c r="B58" i="74"/>
  <c r="T57" i="74"/>
  <c r="P57" i="74"/>
  <c r="X57" i="74" s="1"/>
  <c r="Z57" i="74" s="1"/>
  <c r="H57" i="74"/>
  <c r="N57" i="74" s="1"/>
  <c r="D57" i="74"/>
  <c r="L57" i="74" s="1"/>
  <c r="B57" i="74"/>
  <c r="T56" i="74"/>
  <c r="P56" i="74"/>
  <c r="H56" i="74"/>
  <c r="D56" i="74"/>
  <c r="L56" i="74" s="1"/>
  <c r="T54" i="74"/>
  <c r="Z52" i="74"/>
  <c r="X52" i="74"/>
  <c r="N52" i="74"/>
  <c r="L52" i="74"/>
  <c r="B52" i="74"/>
  <c r="Z51" i="74"/>
  <c r="X51" i="74"/>
  <c r="N51" i="74"/>
  <c r="L51" i="74"/>
  <c r="J51" i="74"/>
  <c r="B51" i="74"/>
  <c r="Z50" i="74"/>
  <c r="X50" i="74"/>
  <c r="N50" i="74"/>
  <c r="L50" i="74"/>
  <c r="B50" i="74"/>
  <c r="Z49" i="74"/>
  <c r="X49" i="74"/>
  <c r="N49" i="74"/>
  <c r="L49" i="74"/>
  <c r="B49" i="74"/>
  <c r="Z48" i="74"/>
  <c r="X48" i="74"/>
  <c r="N48" i="74"/>
  <c r="L48" i="74"/>
  <c r="B48" i="74"/>
  <c r="Z47" i="74"/>
  <c r="X47" i="74"/>
  <c r="V47" i="74"/>
  <c r="N47" i="74"/>
  <c r="L47" i="74"/>
  <c r="J47" i="74"/>
  <c r="B47" i="74"/>
  <c r="Z46" i="74"/>
  <c r="X46" i="74"/>
  <c r="N46" i="74"/>
  <c r="L46" i="74"/>
  <c r="B46" i="74"/>
  <c r="Z45" i="74"/>
  <c r="X45" i="74"/>
  <c r="N45" i="74"/>
  <c r="L45" i="74"/>
  <c r="B45" i="74"/>
  <c r="Z44" i="74"/>
  <c r="X44" i="74"/>
  <c r="N44" i="74"/>
  <c r="L44" i="74"/>
  <c r="B44" i="74"/>
  <c r="Z43" i="74"/>
  <c r="X43" i="74"/>
  <c r="V43" i="74"/>
  <c r="N43" i="74"/>
  <c r="L43" i="74"/>
  <c r="J43" i="74"/>
  <c r="B43" i="74"/>
  <c r="Z42" i="74"/>
  <c r="X42" i="74"/>
  <c r="N42" i="74"/>
  <c r="L42" i="74"/>
  <c r="B42" i="74"/>
  <c r="Z41" i="74"/>
  <c r="X41" i="74"/>
  <c r="N41" i="74"/>
  <c r="L41" i="74"/>
  <c r="B41" i="74"/>
  <c r="Z40" i="74"/>
  <c r="X40" i="74"/>
  <c r="N40" i="74"/>
  <c r="L40" i="74"/>
  <c r="B40" i="74"/>
  <c r="Z39" i="74"/>
  <c r="X39" i="74"/>
  <c r="V39" i="74"/>
  <c r="N39" i="74"/>
  <c r="L39" i="74"/>
  <c r="J39" i="74"/>
  <c r="B39" i="74"/>
  <c r="Z38" i="74"/>
  <c r="X38" i="74"/>
  <c r="N38" i="74"/>
  <c r="L38" i="74"/>
  <c r="B38" i="74"/>
  <c r="Z37" i="74"/>
  <c r="X37" i="74"/>
  <c r="L37" i="74"/>
  <c r="N37" i="74" s="1"/>
  <c r="B37" i="74"/>
  <c r="T36" i="74"/>
  <c r="P36" i="74"/>
  <c r="X36" i="74" s="1"/>
  <c r="H36" i="74"/>
  <c r="N36" i="74" s="1"/>
  <c r="D36" i="74"/>
  <c r="L36" i="74" s="1"/>
  <c r="Z34" i="74"/>
  <c r="P34" i="74"/>
  <c r="X34" i="74" s="1"/>
  <c r="N34" i="74"/>
  <c r="D34" i="74"/>
  <c r="L34" i="74" s="1"/>
  <c r="B34" i="74"/>
  <c r="Z33" i="74"/>
  <c r="X33" i="74"/>
  <c r="P33" i="74"/>
  <c r="N33" i="74"/>
  <c r="L33" i="74"/>
  <c r="D33" i="74"/>
  <c r="B33" i="74"/>
  <c r="Z32" i="74"/>
  <c r="X32" i="74"/>
  <c r="P32" i="74"/>
  <c r="N32" i="74"/>
  <c r="L32" i="74"/>
  <c r="D32" i="74"/>
  <c r="B32" i="74"/>
  <c r="Z31" i="74"/>
  <c r="P31" i="74"/>
  <c r="X31" i="74" s="1"/>
  <c r="N31" i="74"/>
  <c r="D31" i="74"/>
  <c r="L31" i="74" s="1"/>
  <c r="B31" i="74"/>
  <c r="Z30" i="74"/>
  <c r="X30" i="74"/>
  <c r="P30" i="74"/>
  <c r="N30" i="74"/>
  <c r="L30" i="74"/>
  <c r="D30" i="74"/>
  <c r="B30" i="74"/>
  <c r="Z29" i="74"/>
  <c r="P29" i="74"/>
  <c r="X29" i="74" s="1"/>
  <c r="N29" i="74"/>
  <c r="L29" i="74"/>
  <c r="D29" i="74"/>
  <c r="B29" i="74"/>
  <c r="Z28" i="74"/>
  <c r="P28" i="74"/>
  <c r="X28" i="74" s="1"/>
  <c r="N28" i="74"/>
  <c r="D28" i="74"/>
  <c r="L28" i="74" s="1"/>
  <c r="B28" i="74"/>
  <c r="Z27" i="74"/>
  <c r="P27" i="74"/>
  <c r="X27" i="74" s="1"/>
  <c r="N27" i="74"/>
  <c r="L27" i="74"/>
  <c r="D27" i="74"/>
  <c r="B27" i="74"/>
  <c r="Z26" i="74"/>
  <c r="P26" i="74"/>
  <c r="X26" i="74" s="1"/>
  <c r="N26" i="74"/>
  <c r="L26" i="74"/>
  <c r="D26" i="74"/>
  <c r="B26" i="74"/>
  <c r="Z25" i="74"/>
  <c r="P25" i="74"/>
  <c r="X25" i="74" s="1"/>
  <c r="N25" i="74"/>
  <c r="D25" i="74"/>
  <c r="L25" i="74" s="1"/>
  <c r="B25" i="74"/>
  <c r="Z24" i="74"/>
  <c r="X24" i="74"/>
  <c r="P24" i="74"/>
  <c r="N24" i="74"/>
  <c r="D24" i="74"/>
  <c r="L24" i="74" s="1"/>
  <c r="B24" i="74"/>
  <c r="Z23" i="74"/>
  <c r="X23" i="74"/>
  <c r="P23" i="74"/>
  <c r="N23" i="74"/>
  <c r="L23" i="74"/>
  <c r="D23" i="74"/>
  <c r="B23" i="74"/>
  <c r="Z22" i="74"/>
  <c r="P22" i="74"/>
  <c r="X22" i="74" s="1"/>
  <c r="N22" i="74"/>
  <c r="D22" i="74"/>
  <c r="L22" i="74" s="1"/>
  <c r="B22" i="74"/>
  <c r="X21" i="74"/>
  <c r="Z21" i="74" s="1"/>
  <c r="P21" i="74"/>
  <c r="L21" i="74"/>
  <c r="N21" i="74" s="1"/>
  <c r="D21" i="74"/>
  <c r="B21" i="74"/>
  <c r="Z20" i="74"/>
  <c r="X20" i="74"/>
  <c r="P20" i="74"/>
  <c r="N20" i="74"/>
  <c r="L20" i="74"/>
  <c r="D20" i="74"/>
  <c r="B20" i="74"/>
  <c r="Z19" i="74"/>
  <c r="P19" i="74"/>
  <c r="X19" i="74" s="1"/>
  <c r="N19" i="74"/>
  <c r="D19" i="74"/>
  <c r="L19" i="74" s="1"/>
  <c r="B19" i="74"/>
  <c r="Z18" i="74"/>
  <c r="X18" i="74"/>
  <c r="P18" i="74"/>
  <c r="N18" i="74"/>
  <c r="L18" i="74"/>
  <c r="D18" i="74"/>
  <c r="B18" i="74"/>
  <c r="Z17" i="74"/>
  <c r="P17" i="74"/>
  <c r="X17" i="74" s="1"/>
  <c r="N17" i="74"/>
  <c r="L17" i="74"/>
  <c r="D17" i="74"/>
  <c r="B17" i="74"/>
  <c r="Z16" i="74"/>
  <c r="P16" i="74"/>
  <c r="X16" i="74" s="1"/>
  <c r="N16" i="74"/>
  <c r="D16" i="74"/>
  <c r="L16" i="74" s="1"/>
  <c r="B16" i="74"/>
  <c r="Z15" i="74"/>
  <c r="P15" i="74"/>
  <c r="X15" i="74" s="1"/>
  <c r="N15" i="74"/>
  <c r="L15" i="74"/>
  <c r="D15" i="74"/>
  <c r="B15" i="74"/>
  <c r="Z14" i="74"/>
  <c r="P14" i="74"/>
  <c r="X14" i="74" s="1"/>
  <c r="N14" i="74"/>
  <c r="L14" i="74"/>
  <c r="D14" i="74"/>
  <c r="B14" i="74"/>
  <c r="P13" i="74"/>
  <c r="X13" i="74" s="1"/>
  <c r="Z13" i="74" s="1"/>
  <c r="D13" i="74"/>
  <c r="B13" i="74"/>
  <c r="T12" i="74"/>
  <c r="V81" i="74" s="1"/>
  <c r="H12" i="74"/>
  <c r="J96" i="74" s="1"/>
  <c r="D6" i="74"/>
  <c r="D4" i="74"/>
  <c r="Z87" i="73"/>
  <c r="X87" i="73"/>
  <c r="L87" i="73"/>
  <c r="N87" i="73" s="1"/>
  <c r="X83" i="73"/>
  <c r="T83" i="73"/>
  <c r="Z83" i="73" s="1"/>
  <c r="P83" i="73"/>
  <c r="H83" i="73"/>
  <c r="N83" i="73" s="1"/>
  <c r="D83" i="73"/>
  <c r="L83" i="73" s="1"/>
  <c r="X81" i="73"/>
  <c r="Z81" i="73" s="1"/>
  <c r="N81" i="73"/>
  <c r="L81" i="73"/>
  <c r="B81" i="73"/>
  <c r="V80" i="73"/>
  <c r="T80" i="73"/>
  <c r="Z80" i="73" s="1"/>
  <c r="P80" i="73"/>
  <c r="X80" i="73" s="1"/>
  <c r="L80" i="73"/>
  <c r="N80" i="73" s="1"/>
  <c r="H80" i="73"/>
  <c r="D80" i="73"/>
  <c r="B80" i="73"/>
  <c r="X79" i="73"/>
  <c r="Z79" i="73" s="1"/>
  <c r="N79" i="73"/>
  <c r="L79" i="73"/>
  <c r="B79" i="73"/>
  <c r="T78" i="73"/>
  <c r="P78" i="73"/>
  <c r="X78" i="73" s="1"/>
  <c r="Z78" i="73" s="1"/>
  <c r="H78" i="73"/>
  <c r="D78" i="73"/>
  <c r="L78" i="73" s="1"/>
  <c r="B78" i="73"/>
  <c r="X77" i="73"/>
  <c r="Z77" i="73" s="1"/>
  <c r="L77" i="73"/>
  <c r="N77" i="73" s="1"/>
  <c r="B77" i="73"/>
  <c r="Z76" i="73"/>
  <c r="X76" i="73"/>
  <c r="N76" i="73"/>
  <c r="L76" i="73"/>
  <c r="J76" i="73"/>
  <c r="B76" i="73"/>
  <c r="Z75" i="73"/>
  <c r="X75" i="73"/>
  <c r="N75" i="73"/>
  <c r="L75" i="73"/>
  <c r="B75" i="73"/>
  <c r="Z74" i="73"/>
  <c r="X74" i="73"/>
  <c r="N74" i="73"/>
  <c r="L74" i="73"/>
  <c r="B74" i="73"/>
  <c r="Z73" i="73"/>
  <c r="X73" i="73"/>
  <c r="N73" i="73"/>
  <c r="L73" i="73"/>
  <c r="B73" i="73"/>
  <c r="T72" i="73"/>
  <c r="Z72" i="73" s="1"/>
  <c r="P72" i="73"/>
  <c r="X72" i="73" s="1"/>
  <c r="N72" i="73"/>
  <c r="H72" i="73"/>
  <c r="D72" i="73"/>
  <c r="L72" i="73" s="1"/>
  <c r="B72" i="73"/>
  <c r="Z71" i="73"/>
  <c r="X71" i="73"/>
  <c r="N71" i="73"/>
  <c r="L71" i="73"/>
  <c r="B71" i="73"/>
  <c r="X70" i="73"/>
  <c r="T70" i="73"/>
  <c r="Z70" i="73" s="1"/>
  <c r="P70" i="73"/>
  <c r="J70" i="73"/>
  <c r="H70" i="73"/>
  <c r="N70" i="73" s="1"/>
  <c r="D70" i="73"/>
  <c r="L70" i="73" s="1"/>
  <c r="B70" i="73"/>
  <c r="Z69" i="73"/>
  <c r="X69" i="73"/>
  <c r="N69" i="73"/>
  <c r="L69" i="73"/>
  <c r="B69" i="73"/>
  <c r="Z68" i="73"/>
  <c r="X68" i="73"/>
  <c r="N68" i="73"/>
  <c r="L68" i="73"/>
  <c r="B68" i="73"/>
  <c r="Z67" i="73"/>
  <c r="X67" i="73"/>
  <c r="N67" i="73"/>
  <c r="L67" i="73"/>
  <c r="B67" i="73"/>
  <c r="Z66" i="73"/>
  <c r="X66" i="73"/>
  <c r="T66" i="73"/>
  <c r="P66" i="73"/>
  <c r="H66" i="73"/>
  <c r="N66" i="73" s="1"/>
  <c r="D66" i="73"/>
  <c r="L66" i="73" s="1"/>
  <c r="B66" i="73"/>
  <c r="Z65" i="73"/>
  <c r="X65" i="73"/>
  <c r="L65" i="73"/>
  <c r="N65" i="73" s="1"/>
  <c r="B65" i="73"/>
  <c r="T64" i="73"/>
  <c r="P64" i="73"/>
  <c r="H64" i="73"/>
  <c r="D64" i="73"/>
  <c r="L64" i="73" s="1"/>
  <c r="N64" i="73" s="1"/>
  <c r="B64" i="73"/>
  <c r="Z63" i="73"/>
  <c r="X63" i="73"/>
  <c r="N63" i="73"/>
  <c r="L63" i="73"/>
  <c r="B63" i="73"/>
  <c r="X62" i="73"/>
  <c r="T62" i="73"/>
  <c r="Z62" i="73" s="1"/>
  <c r="P62" i="73"/>
  <c r="J62" i="73"/>
  <c r="H62" i="73"/>
  <c r="N62" i="73" s="1"/>
  <c r="D62" i="73"/>
  <c r="L62" i="73" s="1"/>
  <c r="B62" i="73"/>
  <c r="Z61" i="73"/>
  <c r="X61" i="73"/>
  <c r="N61" i="73"/>
  <c r="L61" i="73"/>
  <c r="B61" i="73"/>
  <c r="T60" i="73"/>
  <c r="Z60" i="73" s="1"/>
  <c r="P60" i="73"/>
  <c r="N60" i="73"/>
  <c r="H60" i="73"/>
  <c r="D60" i="73"/>
  <c r="L60" i="73" s="1"/>
  <c r="B60" i="73"/>
  <c r="Z59" i="73"/>
  <c r="X59" i="73"/>
  <c r="N59" i="73"/>
  <c r="L59" i="73"/>
  <c r="B59" i="73"/>
  <c r="Z58" i="73"/>
  <c r="T58" i="73"/>
  <c r="P58" i="73"/>
  <c r="X58" i="73" s="1"/>
  <c r="H58" i="73"/>
  <c r="N58" i="73" s="1"/>
  <c r="D58" i="73"/>
  <c r="L58" i="73" s="1"/>
  <c r="B58" i="73"/>
  <c r="Z57" i="73"/>
  <c r="X57" i="73"/>
  <c r="N57" i="73"/>
  <c r="L57" i="73"/>
  <c r="B57" i="73"/>
  <c r="X56" i="73"/>
  <c r="V56" i="73"/>
  <c r="T56" i="73"/>
  <c r="Z56" i="73" s="1"/>
  <c r="P56" i="73"/>
  <c r="L56" i="73"/>
  <c r="H56" i="73"/>
  <c r="N56" i="73" s="1"/>
  <c r="D56" i="73"/>
  <c r="B56" i="73"/>
  <c r="X55" i="73"/>
  <c r="Z55" i="73" s="1"/>
  <c r="N55" i="73"/>
  <c r="L55" i="73"/>
  <c r="B55" i="73"/>
  <c r="Z54" i="73"/>
  <c r="X54" i="73"/>
  <c r="T54" i="73"/>
  <c r="P54" i="73"/>
  <c r="H54" i="73"/>
  <c r="N54" i="73" s="1"/>
  <c r="D54" i="73"/>
  <c r="L54" i="73" s="1"/>
  <c r="B54" i="73"/>
  <c r="Z53" i="73"/>
  <c r="X53" i="73"/>
  <c r="N53" i="73"/>
  <c r="L53" i="73"/>
  <c r="B53" i="73"/>
  <c r="T52" i="73"/>
  <c r="Z52" i="73" s="1"/>
  <c r="P52" i="73"/>
  <c r="N52" i="73"/>
  <c r="H52" i="73"/>
  <c r="D52" i="73"/>
  <c r="L52" i="73" s="1"/>
  <c r="B52" i="73"/>
  <c r="Z51" i="73"/>
  <c r="X51" i="73"/>
  <c r="N51" i="73"/>
  <c r="L51" i="73"/>
  <c r="B51" i="73"/>
  <c r="X50" i="73"/>
  <c r="T50" i="73"/>
  <c r="Z50" i="73" s="1"/>
  <c r="P50" i="73"/>
  <c r="J50" i="73"/>
  <c r="H50" i="73"/>
  <c r="N50" i="73" s="1"/>
  <c r="D50" i="73"/>
  <c r="L50" i="73" s="1"/>
  <c r="B50" i="73"/>
  <c r="Z49" i="73"/>
  <c r="X49" i="73"/>
  <c r="N49" i="73"/>
  <c r="L49" i="73"/>
  <c r="B49" i="73"/>
  <c r="Z48" i="73"/>
  <c r="X48" i="73"/>
  <c r="N48" i="73"/>
  <c r="L48" i="73"/>
  <c r="B48" i="73"/>
  <c r="X47" i="73"/>
  <c r="Z47" i="73" s="1"/>
  <c r="N47" i="73"/>
  <c r="L47" i="73"/>
  <c r="B47" i="73"/>
  <c r="Z46" i="73"/>
  <c r="X46" i="73"/>
  <c r="N46" i="73"/>
  <c r="L46" i="73"/>
  <c r="B46" i="73"/>
  <c r="Z45" i="73"/>
  <c r="X45" i="73"/>
  <c r="N45" i="73"/>
  <c r="L45" i="73"/>
  <c r="B45" i="73"/>
  <c r="Z44" i="73"/>
  <c r="X44" i="73"/>
  <c r="N44" i="73"/>
  <c r="L44" i="73"/>
  <c r="B44" i="73"/>
  <c r="X43" i="73"/>
  <c r="Z43" i="73" s="1"/>
  <c r="L43" i="73"/>
  <c r="N43" i="73" s="1"/>
  <c r="B43" i="73"/>
  <c r="Z42" i="73"/>
  <c r="X42" i="73"/>
  <c r="N42" i="73"/>
  <c r="L42" i="73"/>
  <c r="B42" i="73"/>
  <c r="Z41" i="73"/>
  <c r="X41" i="73"/>
  <c r="N41" i="73"/>
  <c r="L41" i="73"/>
  <c r="B41" i="73"/>
  <c r="X40" i="73"/>
  <c r="Z40" i="73" s="1"/>
  <c r="L40" i="73"/>
  <c r="N40" i="73" s="1"/>
  <c r="B40" i="73"/>
  <c r="X39" i="73"/>
  <c r="T39" i="73"/>
  <c r="P39" i="73"/>
  <c r="H39" i="73"/>
  <c r="N39" i="73" s="1"/>
  <c r="D39" i="73"/>
  <c r="L39" i="73" s="1"/>
  <c r="B39" i="73"/>
  <c r="Z38" i="73"/>
  <c r="X38" i="73"/>
  <c r="N38" i="73"/>
  <c r="L38" i="73"/>
  <c r="B38" i="73"/>
  <c r="X37" i="73"/>
  <c r="Z37" i="73" s="1"/>
  <c r="N37" i="73"/>
  <c r="L37" i="73"/>
  <c r="B37" i="73"/>
  <c r="X36" i="73"/>
  <c r="Z36" i="73" s="1"/>
  <c r="N36" i="73"/>
  <c r="L36" i="73"/>
  <c r="J36" i="73"/>
  <c r="B36" i="73"/>
  <c r="Z35" i="73"/>
  <c r="X35" i="73"/>
  <c r="N35" i="73"/>
  <c r="L35" i="73"/>
  <c r="B35" i="73"/>
  <c r="Z34" i="73"/>
  <c r="X34" i="73"/>
  <c r="N34" i="73"/>
  <c r="L34" i="73"/>
  <c r="B34" i="73"/>
  <c r="X33" i="73"/>
  <c r="Z33" i="73" s="1"/>
  <c r="L33" i="73"/>
  <c r="N33" i="73" s="1"/>
  <c r="B33" i="73"/>
  <c r="X32" i="73"/>
  <c r="Z32" i="73" s="1"/>
  <c r="N32" i="73"/>
  <c r="L32" i="73"/>
  <c r="J32" i="73"/>
  <c r="B32" i="73"/>
  <c r="X31" i="73"/>
  <c r="Z31" i="73" s="1"/>
  <c r="L31" i="73"/>
  <c r="N31" i="73" s="1"/>
  <c r="B31" i="73"/>
  <c r="Z30" i="73"/>
  <c r="X30" i="73"/>
  <c r="L30" i="73"/>
  <c r="N30" i="73" s="1"/>
  <c r="B30" i="73"/>
  <c r="T29" i="73"/>
  <c r="P29" i="73"/>
  <c r="H29" i="73"/>
  <c r="D29" i="73"/>
  <c r="L29" i="73" s="1"/>
  <c r="B29" i="73"/>
  <c r="V28" i="73"/>
  <c r="T28" i="73"/>
  <c r="P28" i="73"/>
  <c r="X28" i="73" s="1"/>
  <c r="H28" i="73"/>
  <c r="N28" i="73" s="1"/>
  <c r="D28" i="73"/>
  <c r="L28" i="73" s="1"/>
  <c r="V26" i="73"/>
  <c r="T26" i="73"/>
  <c r="T85" i="73" s="1"/>
  <c r="H26" i="73"/>
  <c r="Z24" i="73"/>
  <c r="X24" i="73"/>
  <c r="V24" i="73"/>
  <c r="N24" i="73"/>
  <c r="L24" i="73"/>
  <c r="B24" i="73"/>
  <c r="Z23" i="73"/>
  <c r="X23" i="73"/>
  <c r="N23" i="73"/>
  <c r="L23" i="73"/>
  <c r="J23" i="73"/>
  <c r="B23" i="73"/>
  <c r="Z22" i="73"/>
  <c r="X22" i="73"/>
  <c r="N22" i="73"/>
  <c r="L22" i="73"/>
  <c r="B22" i="73"/>
  <c r="T21" i="73"/>
  <c r="P21" i="73"/>
  <c r="X21" i="73" s="1"/>
  <c r="Z21" i="73" s="1"/>
  <c r="H21" i="73"/>
  <c r="D21" i="73"/>
  <c r="L21" i="73" s="1"/>
  <c r="N21" i="73" s="1"/>
  <c r="Z19" i="73"/>
  <c r="P19" i="73"/>
  <c r="X19" i="73" s="1"/>
  <c r="N19" i="73"/>
  <c r="D19" i="73"/>
  <c r="L19" i="73" s="1"/>
  <c r="B19" i="73"/>
  <c r="Z18" i="73"/>
  <c r="X18" i="73"/>
  <c r="P18" i="73"/>
  <c r="N18" i="73"/>
  <c r="L18" i="73"/>
  <c r="D18" i="73"/>
  <c r="B18" i="73"/>
  <c r="Z17" i="73"/>
  <c r="X17" i="73"/>
  <c r="P17" i="73"/>
  <c r="N17" i="73"/>
  <c r="L17" i="73"/>
  <c r="D17" i="73"/>
  <c r="B17" i="73"/>
  <c r="Z16" i="73"/>
  <c r="P16" i="73"/>
  <c r="X16" i="73" s="1"/>
  <c r="N16" i="73"/>
  <c r="D16" i="73"/>
  <c r="L16" i="73" s="1"/>
  <c r="B16" i="73"/>
  <c r="P15" i="73"/>
  <c r="X15" i="73" s="1"/>
  <c r="Z15" i="73" s="1"/>
  <c r="N15" i="73"/>
  <c r="L15" i="73"/>
  <c r="D15" i="73"/>
  <c r="B15" i="73"/>
  <c r="Z14" i="73"/>
  <c r="X14" i="73"/>
  <c r="P14" i="73"/>
  <c r="N14" i="73"/>
  <c r="L14" i="73"/>
  <c r="D14" i="73"/>
  <c r="B14" i="73"/>
  <c r="Z13" i="73"/>
  <c r="X13" i="73"/>
  <c r="P13" i="73"/>
  <c r="P12" i="73" s="1"/>
  <c r="R37" i="73" s="1"/>
  <c r="N13" i="73"/>
  <c r="D13" i="73"/>
  <c r="B13" i="73"/>
  <c r="T12" i="73"/>
  <c r="V79" i="73" s="1"/>
  <c r="H12" i="73"/>
  <c r="D6" i="73"/>
  <c r="D4" i="73"/>
  <c r="J29" i="72"/>
  <c r="J26" i="72"/>
  <c r="Z24" i="72"/>
  <c r="X24" i="72"/>
  <c r="N24" i="72"/>
  <c r="L24" i="72"/>
  <c r="F24" i="72"/>
  <c r="R22" i="72"/>
  <c r="Z20" i="72"/>
  <c r="T20" i="72"/>
  <c r="R20" i="72"/>
  <c r="P20" i="72"/>
  <c r="X20" i="72" s="1"/>
  <c r="H20" i="72"/>
  <c r="N20" i="72" s="1"/>
  <c r="D20" i="72"/>
  <c r="L20" i="72" s="1"/>
  <c r="Z18" i="72"/>
  <c r="T18" i="72"/>
  <c r="R18" i="72"/>
  <c r="P18" i="72"/>
  <c r="X18" i="72" s="1"/>
  <c r="N18" i="72"/>
  <c r="H18" i="72"/>
  <c r="D18" i="72"/>
  <c r="L18" i="72" s="1"/>
  <c r="R16" i="72"/>
  <c r="Z14" i="72"/>
  <c r="T14" i="72"/>
  <c r="R14" i="72"/>
  <c r="P14" i="72"/>
  <c r="P16" i="72" s="1"/>
  <c r="H14" i="72"/>
  <c r="N14" i="72" s="1"/>
  <c r="D14" i="72"/>
  <c r="L14" i="72" s="1"/>
  <c r="Z12" i="72"/>
  <c r="X12" i="72"/>
  <c r="T12" i="72"/>
  <c r="V29" i="72" s="1"/>
  <c r="P12" i="72"/>
  <c r="R24" i="72" s="1"/>
  <c r="N12" i="72"/>
  <c r="L12" i="72"/>
  <c r="H12" i="72"/>
  <c r="J22" i="72" s="1"/>
  <c r="D12" i="72"/>
  <c r="F22" i="72" s="1"/>
  <c r="D6" i="72"/>
  <c r="D4" i="72"/>
  <c r="X129" i="71"/>
  <c r="Z129" i="71" s="1"/>
  <c r="L129" i="71"/>
  <c r="N129" i="71" s="1"/>
  <c r="J129" i="71"/>
  <c r="P125" i="71"/>
  <c r="X125" i="71" s="1"/>
  <c r="Z125" i="71" s="1"/>
  <c r="N125" i="71"/>
  <c r="L125" i="71"/>
  <c r="D125" i="71"/>
  <c r="B125" i="71"/>
  <c r="Z124" i="71"/>
  <c r="P124" i="71"/>
  <c r="X124" i="71" s="1"/>
  <c r="N124" i="71"/>
  <c r="L124" i="71"/>
  <c r="D124" i="71"/>
  <c r="B124" i="71"/>
  <c r="Z123" i="71"/>
  <c r="X123" i="71"/>
  <c r="P123" i="71"/>
  <c r="N123" i="71"/>
  <c r="L123" i="71"/>
  <c r="D123" i="71"/>
  <c r="B123" i="71"/>
  <c r="Z122" i="71"/>
  <c r="X122" i="71"/>
  <c r="P122" i="71"/>
  <c r="N122" i="71"/>
  <c r="D122" i="71"/>
  <c r="L122" i="71" s="1"/>
  <c r="B122" i="71"/>
  <c r="V121" i="71"/>
  <c r="T121" i="71"/>
  <c r="H121" i="71"/>
  <c r="X119" i="71"/>
  <c r="Z119" i="71" s="1"/>
  <c r="V119" i="71"/>
  <c r="N119" i="71"/>
  <c r="L119" i="71"/>
  <c r="B119" i="71"/>
  <c r="Z118" i="71"/>
  <c r="X118" i="71"/>
  <c r="N118" i="71"/>
  <c r="L118" i="71"/>
  <c r="B118" i="71"/>
  <c r="T117" i="71"/>
  <c r="Z117" i="71" s="1"/>
  <c r="P117" i="71"/>
  <c r="X117" i="71" s="1"/>
  <c r="J117" i="71"/>
  <c r="H117" i="71"/>
  <c r="N117" i="71" s="1"/>
  <c r="D117" i="71"/>
  <c r="L117" i="71" s="1"/>
  <c r="B117" i="71"/>
  <c r="X116" i="71"/>
  <c r="Z116" i="71" s="1"/>
  <c r="N116" i="71"/>
  <c r="L116" i="71"/>
  <c r="B116" i="71"/>
  <c r="T115" i="71"/>
  <c r="P115" i="71"/>
  <c r="X115" i="71" s="1"/>
  <c r="H115" i="71"/>
  <c r="D115" i="71"/>
  <c r="L115" i="71" s="1"/>
  <c r="B115" i="71"/>
  <c r="Z114" i="71"/>
  <c r="X114" i="71"/>
  <c r="N114" i="71"/>
  <c r="L114" i="71"/>
  <c r="B114" i="71"/>
  <c r="Z113" i="71"/>
  <c r="X113" i="71"/>
  <c r="N113" i="71"/>
  <c r="L113" i="71"/>
  <c r="B113" i="71"/>
  <c r="T112" i="71"/>
  <c r="P112" i="71"/>
  <c r="H112" i="71"/>
  <c r="D112" i="71"/>
  <c r="L112" i="71" s="1"/>
  <c r="N112" i="71" s="1"/>
  <c r="B112" i="71"/>
  <c r="X111" i="71"/>
  <c r="Z111" i="71" s="1"/>
  <c r="V111" i="71"/>
  <c r="L111" i="71"/>
  <c r="N111" i="71" s="1"/>
  <c r="B111" i="71"/>
  <c r="Z110" i="71"/>
  <c r="X110" i="71"/>
  <c r="L110" i="71"/>
  <c r="N110" i="71" s="1"/>
  <c r="B110" i="71"/>
  <c r="X109" i="71"/>
  <c r="Z109" i="71" s="1"/>
  <c r="N109" i="71"/>
  <c r="L109" i="71"/>
  <c r="B109" i="71"/>
  <c r="T108" i="71"/>
  <c r="P108" i="71"/>
  <c r="X108" i="71" s="1"/>
  <c r="Z108" i="71" s="1"/>
  <c r="H108" i="71"/>
  <c r="D108" i="71"/>
  <c r="L108" i="71" s="1"/>
  <c r="N108" i="71" s="1"/>
  <c r="B108" i="71"/>
  <c r="X107" i="71"/>
  <c r="Z107" i="71" s="1"/>
  <c r="L107" i="71"/>
  <c r="N107" i="71" s="1"/>
  <c r="B107" i="71"/>
  <c r="X106" i="71"/>
  <c r="T106" i="71"/>
  <c r="Z106" i="71" s="1"/>
  <c r="P106" i="71"/>
  <c r="H106" i="71"/>
  <c r="N106" i="71" s="1"/>
  <c r="D106" i="71"/>
  <c r="L106" i="71" s="1"/>
  <c r="B106" i="71"/>
  <c r="Z105" i="71"/>
  <c r="X105" i="71"/>
  <c r="N105" i="71"/>
  <c r="L105" i="71"/>
  <c r="B105" i="71"/>
  <c r="X104" i="71"/>
  <c r="Z104" i="71" s="1"/>
  <c r="N104" i="71"/>
  <c r="L104" i="71"/>
  <c r="B104" i="71"/>
  <c r="X103" i="71"/>
  <c r="Z103" i="71" s="1"/>
  <c r="N103" i="71"/>
  <c r="L103" i="71"/>
  <c r="J103" i="71"/>
  <c r="B103" i="71"/>
  <c r="T102" i="71"/>
  <c r="Z102" i="71" s="1"/>
  <c r="P102" i="71"/>
  <c r="X102" i="71" s="1"/>
  <c r="H102" i="71"/>
  <c r="D102" i="71"/>
  <c r="B102" i="71"/>
  <c r="X101" i="71"/>
  <c r="Z101" i="71" s="1"/>
  <c r="N101" i="71"/>
  <c r="L101" i="71"/>
  <c r="B101" i="71"/>
  <c r="T100" i="71"/>
  <c r="P100" i="71"/>
  <c r="X100" i="71" s="1"/>
  <c r="Z100" i="71" s="1"/>
  <c r="H100" i="71"/>
  <c r="D100" i="71"/>
  <c r="L100" i="71" s="1"/>
  <c r="N100" i="71" s="1"/>
  <c r="B100" i="71"/>
  <c r="Z99" i="71"/>
  <c r="X99" i="71"/>
  <c r="N99" i="71"/>
  <c r="L99" i="71"/>
  <c r="B99" i="71"/>
  <c r="X98" i="71"/>
  <c r="T98" i="71"/>
  <c r="Z98" i="71" s="1"/>
  <c r="P98" i="71"/>
  <c r="N98" i="71"/>
  <c r="H98" i="71"/>
  <c r="D98" i="71"/>
  <c r="L98" i="71" s="1"/>
  <c r="B98" i="71"/>
  <c r="Z97" i="71"/>
  <c r="X97" i="71"/>
  <c r="N97" i="71"/>
  <c r="L97" i="71"/>
  <c r="B97" i="71"/>
  <c r="X96" i="71"/>
  <c r="Z96" i="71" s="1"/>
  <c r="N96" i="71"/>
  <c r="L96" i="71"/>
  <c r="B96" i="71"/>
  <c r="X95" i="71"/>
  <c r="Z95" i="71" s="1"/>
  <c r="T95" i="71"/>
  <c r="P95" i="71"/>
  <c r="N95" i="71"/>
  <c r="L95" i="71"/>
  <c r="H95" i="71"/>
  <c r="D95" i="71"/>
  <c r="B95" i="71"/>
  <c r="Z94" i="71"/>
  <c r="X94" i="71"/>
  <c r="L94" i="71"/>
  <c r="N94" i="71" s="1"/>
  <c r="B94" i="71"/>
  <c r="T93" i="71"/>
  <c r="P93" i="71"/>
  <c r="J93" i="71"/>
  <c r="H93" i="71"/>
  <c r="D93" i="71"/>
  <c r="L93" i="71" s="1"/>
  <c r="B93" i="71"/>
  <c r="Z92" i="71"/>
  <c r="X92" i="71"/>
  <c r="N92" i="71"/>
  <c r="L92" i="71"/>
  <c r="B92" i="71"/>
  <c r="T91" i="71"/>
  <c r="Z91" i="71" s="1"/>
  <c r="P91" i="71"/>
  <c r="X91" i="71" s="1"/>
  <c r="H91" i="71"/>
  <c r="D91" i="71"/>
  <c r="L91" i="71" s="1"/>
  <c r="N91" i="71" s="1"/>
  <c r="B91" i="71"/>
  <c r="Z90" i="71"/>
  <c r="X90" i="71"/>
  <c r="N90" i="71"/>
  <c r="L90" i="71"/>
  <c r="B90" i="71"/>
  <c r="Z89" i="71"/>
  <c r="X89" i="71"/>
  <c r="L89" i="71"/>
  <c r="N89" i="71" s="1"/>
  <c r="B89" i="71"/>
  <c r="T88" i="71"/>
  <c r="P88" i="71"/>
  <c r="X88" i="71" s="1"/>
  <c r="L88" i="71"/>
  <c r="H88" i="71"/>
  <c r="N88" i="71" s="1"/>
  <c r="D88" i="71"/>
  <c r="B88" i="71"/>
  <c r="X87" i="71"/>
  <c r="Z87" i="71" s="1"/>
  <c r="V87" i="71"/>
  <c r="N87" i="71"/>
  <c r="L87" i="71"/>
  <c r="B87" i="71"/>
  <c r="T86" i="71"/>
  <c r="P86" i="71"/>
  <c r="X86" i="71" s="1"/>
  <c r="Z86" i="71" s="1"/>
  <c r="H86" i="71"/>
  <c r="D86" i="71"/>
  <c r="L86" i="71" s="1"/>
  <c r="N86" i="71" s="1"/>
  <c r="B86" i="71"/>
  <c r="Z85" i="71"/>
  <c r="X85" i="71"/>
  <c r="N85" i="71"/>
  <c r="L85" i="71"/>
  <c r="B85" i="71"/>
  <c r="Z84" i="71"/>
  <c r="X84" i="71"/>
  <c r="N84" i="71"/>
  <c r="L84" i="71"/>
  <c r="B84" i="71"/>
  <c r="X83" i="71"/>
  <c r="Z83" i="71" s="1"/>
  <c r="L83" i="71"/>
  <c r="N83" i="71" s="1"/>
  <c r="B83" i="71"/>
  <c r="X82" i="71"/>
  <c r="Z82" i="71" s="1"/>
  <c r="L82" i="71"/>
  <c r="N82" i="71" s="1"/>
  <c r="B82" i="71"/>
  <c r="Z81" i="71"/>
  <c r="X81" i="71"/>
  <c r="N81" i="71"/>
  <c r="L81" i="71"/>
  <c r="B81" i="71"/>
  <c r="Z80" i="71"/>
  <c r="X80" i="71"/>
  <c r="L80" i="71"/>
  <c r="N80" i="71" s="1"/>
  <c r="B80" i="71"/>
  <c r="X79" i="71"/>
  <c r="Z79" i="71" s="1"/>
  <c r="L79" i="71"/>
  <c r="N79" i="71" s="1"/>
  <c r="B79" i="71"/>
  <c r="Z78" i="71"/>
  <c r="X78" i="71"/>
  <c r="N78" i="71"/>
  <c r="L78" i="71"/>
  <c r="B78" i="71"/>
  <c r="Z77" i="71"/>
  <c r="X77" i="71"/>
  <c r="N77" i="71"/>
  <c r="L77" i="71"/>
  <c r="B77" i="71"/>
  <c r="Z76" i="71"/>
  <c r="X76" i="71"/>
  <c r="N76" i="71"/>
  <c r="L76" i="71"/>
  <c r="B76" i="71"/>
  <c r="T75" i="71"/>
  <c r="P75" i="71"/>
  <c r="X75" i="71" s="1"/>
  <c r="H75" i="71"/>
  <c r="D75" i="71"/>
  <c r="L75" i="71" s="1"/>
  <c r="N75" i="71" s="1"/>
  <c r="B75" i="71"/>
  <c r="X74" i="71"/>
  <c r="Z74" i="71" s="1"/>
  <c r="N74" i="71"/>
  <c r="L74" i="71"/>
  <c r="B74" i="71"/>
  <c r="Z73" i="71"/>
  <c r="X73" i="71"/>
  <c r="N73" i="71"/>
  <c r="L73" i="71"/>
  <c r="B73" i="71"/>
  <c r="X72" i="71"/>
  <c r="Z72" i="71" s="1"/>
  <c r="N72" i="71"/>
  <c r="L72" i="71"/>
  <c r="B72" i="71"/>
  <c r="Z71" i="71"/>
  <c r="X71" i="71"/>
  <c r="N71" i="71"/>
  <c r="L71" i="71"/>
  <c r="J71" i="71"/>
  <c r="B71" i="71"/>
  <c r="Z70" i="71"/>
  <c r="X70" i="71"/>
  <c r="N70" i="71"/>
  <c r="L70" i="71"/>
  <c r="B70" i="71"/>
  <c r="Z69" i="71"/>
  <c r="X69" i="71"/>
  <c r="N69" i="71"/>
  <c r="L69" i="71"/>
  <c r="B69" i="71"/>
  <c r="X68" i="71"/>
  <c r="Z68" i="71" s="1"/>
  <c r="N68" i="71"/>
  <c r="L68" i="71"/>
  <c r="B68" i="71"/>
  <c r="X67" i="71"/>
  <c r="Z67" i="71" s="1"/>
  <c r="L67" i="71"/>
  <c r="N67" i="71" s="1"/>
  <c r="J67" i="71"/>
  <c r="B67" i="71"/>
  <c r="X66" i="71"/>
  <c r="Z66" i="71" s="1"/>
  <c r="N66" i="71"/>
  <c r="L66" i="71"/>
  <c r="B66" i="71"/>
  <c r="Z65" i="71"/>
  <c r="X65" i="71"/>
  <c r="N65" i="71"/>
  <c r="L65" i="71"/>
  <c r="B65" i="71"/>
  <c r="T64" i="71"/>
  <c r="P64" i="71"/>
  <c r="L64" i="71"/>
  <c r="H64" i="71"/>
  <c r="N64" i="71" s="1"/>
  <c r="D64" i="71"/>
  <c r="B64" i="71"/>
  <c r="V63" i="71"/>
  <c r="T63" i="71"/>
  <c r="Z63" i="71" s="1"/>
  <c r="P63" i="71"/>
  <c r="X63" i="71" s="1"/>
  <c r="H63" i="71"/>
  <c r="D63" i="71"/>
  <c r="L63" i="71" s="1"/>
  <c r="H61" i="71"/>
  <c r="Z59" i="71"/>
  <c r="X59" i="71"/>
  <c r="V59" i="71"/>
  <c r="N59" i="71"/>
  <c r="L59" i="71"/>
  <c r="B59" i="71"/>
  <c r="Z58" i="71"/>
  <c r="X58" i="71"/>
  <c r="N58" i="71"/>
  <c r="L58" i="71"/>
  <c r="J58" i="71"/>
  <c r="B58" i="71"/>
  <c r="Z57" i="71"/>
  <c r="X57" i="71"/>
  <c r="N57" i="71"/>
  <c r="L57" i="71"/>
  <c r="B57" i="71"/>
  <c r="Z56" i="71"/>
  <c r="X56" i="71"/>
  <c r="N56" i="71"/>
  <c r="L56" i="71"/>
  <c r="J56" i="71"/>
  <c r="B56" i="71"/>
  <c r="Z55" i="71"/>
  <c r="X55" i="71"/>
  <c r="V55" i="71"/>
  <c r="N55" i="71"/>
  <c r="L55" i="71"/>
  <c r="B55" i="71"/>
  <c r="Z54" i="71"/>
  <c r="X54" i="71"/>
  <c r="N54" i="71"/>
  <c r="L54" i="71"/>
  <c r="J54" i="71"/>
  <c r="B54" i="71"/>
  <c r="Z53" i="71"/>
  <c r="X53" i="71"/>
  <c r="N53" i="71"/>
  <c r="L53" i="71"/>
  <c r="B53" i="71"/>
  <c r="Z52" i="71"/>
  <c r="X52" i="71"/>
  <c r="N52" i="71"/>
  <c r="L52" i="71"/>
  <c r="J52" i="71"/>
  <c r="B52" i="71"/>
  <c r="Z51" i="71"/>
  <c r="X51" i="71"/>
  <c r="V51" i="71"/>
  <c r="N51" i="71"/>
  <c r="L51" i="71"/>
  <c r="B51" i="71"/>
  <c r="Z50" i="71"/>
  <c r="X50" i="71"/>
  <c r="N50" i="71"/>
  <c r="L50" i="71"/>
  <c r="J50" i="71"/>
  <c r="B50" i="71"/>
  <c r="Z49" i="71"/>
  <c r="X49" i="71"/>
  <c r="N49" i="71"/>
  <c r="L49" i="71"/>
  <c r="B49" i="71"/>
  <c r="Z48" i="71"/>
  <c r="X48" i="71"/>
  <c r="N48" i="71"/>
  <c r="L48" i="71"/>
  <c r="J48" i="71"/>
  <c r="B48" i="71"/>
  <c r="Z47" i="71"/>
  <c r="X47" i="71"/>
  <c r="V47" i="71"/>
  <c r="N47" i="71"/>
  <c r="L47" i="71"/>
  <c r="B47" i="71"/>
  <c r="Z46" i="71"/>
  <c r="X46" i="71"/>
  <c r="N46" i="71"/>
  <c r="L46" i="71"/>
  <c r="J46" i="71"/>
  <c r="B46" i="71"/>
  <c r="Z45" i="71"/>
  <c r="X45" i="71"/>
  <c r="N45" i="71"/>
  <c r="L45" i="71"/>
  <c r="B45" i="71"/>
  <c r="Z44" i="71"/>
  <c r="X44" i="71"/>
  <c r="N44" i="71"/>
  <c r="L44" i="71"/>
  <c r="J44" i="71"/>
  <c r="B44" i="71"/>
  <c r="Z43" i="71"/>
  <c r="X43" i="71"/>
  <c r="V43" i="71"/>
  <c r="L43" i="71"/>
  <c r="N43" i="71" s="1"/>
  <c r="B43" i="71"/>
  <c r="T42" i="71"/>
  <c r="P42" i="71"/>
  <c r="X42" i="71" s="1"/>
  <c r="Z42" i="71" s="1"/>
  <c r="H42" i="71"/>
  <c r="D42" i="71"/>
  <c r="L42" i="71" s="1"/>
  <c r="N42" i="71" s="1"/>
  <c r="Z40" i="71"/>
  <c r="P40" i="71"/>
  <c r="X40" i="71" s="1"/>
  <c r="N40" i="71"/>
  <c r="D40" i="71"/>
  <c r="L40" i="71" s="1"/>
  <c r="B40" i="71"/>
  <c r="Z39" i="71"/>
  <c r="X39" i="71"/>
  <c r="P39" i="71"/>
  <c r="N39" i="71"/>
  <c r="D39" i="71"/>
  <c r="L39" i="71" s="1"/>
  <c r="B39" i="71"/>
  <c r="Z38" i="71"/>
  <c r="X38" i="71"/>
  <c r="P38" i="71"/>
  <c r="N38" i="71"/>
  <c r="L38" i="71"/>
  <c r="D38" i="71"/>
  <c r="B38" i="71"/>
  <c r="Z37" i="71"/>
  <c r="P37" i="71"/>
  <c r="X37" i="71" s="1"/>
  <c r="N37" i="71"/>
  <c r="D37" i="71"/>
  <c r="L37" i="71" s="1"/>
  <c r="B37" i="71"/>
  <c r="Z36" i="71"/>
  <c r="X36" i="71"/>
  <c r="P36" i="71"/>
  <c r="N36" i="71"/>
  <c r="L36" i="71"/>
  <c r="D36" i="71"/>
  <c r="B36" i="71"/>
  <c r="Z35" i="71"/>
  <c r="X35" i="71"/>
  <c r="P35" i="71"/>
  <c r="N35" i="71"/>
  <c r="L35" i="71"/>
  <c r="D35" i="71"/>
  <c r="B35" i="71"/>
  <c r="Z34" i="71"/>
  <c r="P34" i="71"/>
  <c r="X34" i="71" s="1"/>
  <c r="N34" i="71"/>
  <c r="D34" i="71"/>
  <c r="L34" i="71" s="1"/>
  <c r="B34" i="71"/>
  <c r="Z33" i="71"/>
  <c r="X33" i="71"/>
  <c r="P33" i="71"/>
  <c r="N33" i="71"/>
  <c r="L33" i="71"/>
  <c r="D33" i="71"/>
  <c r="B33" i="71"/>
  <c r="Z32" i="71"/>
  <c r="X32" i="71"/>
  <c r="P32" i="71"/>
  <c r="N32" i="71"/>
  <c r="L32" i="71"/>
  <c r="D32" i="71"/>
  <c r="B32" i="71"/>
  <c r="Z31" i="71"/>
  <c r="P31" i="71"/>
  <c r="X31" i="71" s="1"/>
  <c r="N31" i="71"/>
  <c r="D31" i="71"/>
  <c r="L31" i="71" s="1"/>
  <c r="B31" i="71"/>
  <c r="Z30" i="71"/>
  <c r="P30" i="71"/>
  <c r="X30" i="71" s="1"/>
  <c r="N30" i="71"/>
  <c r="L30" i="71"/>
  <c r="D30" i="71"/>
  <c r="B30" i="71"/>
  <c r="Z29" i="71"/>
  <c r="X29" i="71"/>
  <c r="P29" i="71"/>
  <c r="N29" i="71"/>
  <c r="L29" i="71"/>
  <c r="D29" i="71"/>
  <c r="B29" i="71"/>
  <c r="Z28" i="71"/>
  <c r="P28" i="71"/>
  <c r="X28" i="71" s="1"/>
  <c r="N28" i="71"/>
  <c r="D28" i="71"/>
  <c r="L28" i="71" s="1"/>
  <c r="B28" i="71"/>
  <c r="Z27" i="71"/>
  <c r="P27" i="71"/>
  <c r="X27" i="71" s="1"/>
  <c r="N27" i="71"/>
  <c r="D27" i="71"/>
  <c r="L27" i="71" s="1"/>
  <c r="B27" i="71"/>
  <c r="Z26" i="71"/>
  <c r="X26" i="71"/>
  <c r="P26" i="71"/>
  <c r="N26" i="71"/>
  <c r="L26" i="71"/>
  <c r="D26" i="71"/>
  <c r="B26" i="71"/>
  <c r="Z25" i="71"/>
  <c r="P25" i="71"/>
  <c r="X25" i="71" s="1"/>
  <c r="N25" i="71"/>
  <c r="D25" i="71"/>
  <c r="L25" i="71" s="1"/>
  <c r="B25" i="71"/>
  <c r="Z24" i="71"/>
  <c r="X24" i="71"/>
  <c r="P24" i="71"/>
  <c r="N24" i="71"/>
  <c r="L24" i="71"/>
  <c r="D24" i="71"/>
  <c r="B24" i="71"/>
  <c r="Z23" i="71"/>
  <c r="X23" i="71"/>
  <c r="P23" i="71"/>
  <c r="N23" i="71"/>
  <c r="L23" i="71"/>
  <c r="D23" i="71"/>
  <c r="B23" i="71"/>
  <c r="Z22" i="71"/>
  <c r="P22" i="71"/>
  <c r="X22" i="71" s="1"/>
  <c r="N22" i="71"/>
  <c r="D22" i="71"/>
  <c r="L22" i="71" s="1"/>
  <c r="B22" i="71"/>
  <c r="X21" i="71"/>
  <c r="Z21" i="71" s="1"/>
  <c r="P21" i="71"/>
  <c r="L21" i="71"/>
  <c r="N21" i="71" s="1"/>
  <c r="D21" i="71"/>
  <c r="B21" i="71"/>
  <c r="Z20" i="71"/>
  <c r="X20" i="71"/>
  <c r="P20" i="71"/>
  <c r="N20" i="71"/>
  <c r="L20" i="71"/>
  <c r="D20" i="71"/>
  <c r="B20" i="71"/>
  <c r="Z19" i="71"/>
  <c r="P19" i="71"/>
  <c r="X19" i="71" s="1"/>
  <c r="N19" i="71"/>
  <c r="D19" i="71"/>
  <c r="L19" i="71" s="1"/>
  <c r="B19" i="71"/>
  <c r="Z18" i="71"/>
  <c r="P18" i="71"/>
  <c r="X18" i="71" s="1"/>
  <c r="N18" i="71"/>
  <c r="L18" i="71"/>
  <c r="D18" i="71"/>
  <c r="B18" i="71"/>
  <c r="Z17" i="71"/>
  <c r="X17" i="71"/>
  <c r="P17" i="71"/>
  <c r="N17" i="71"/>
  <c r="L17" i="71"/>
  <c r="D17" i="71"/>
  <c r="B17" i="71"/>
  <c r="Z16" i="71"/>
  <c r="P16" i="71"/>
  <c r="X16" i="71" s="1"/>
  <c r="N16" i="71"/>
  <c r="D16" i="71"/>
  <c r="L16" i="71" s="1"/>
  <c r="B16" i="71"/>
  <c r="Z15" i="71"/>
  <c r="P15" i="71"/>
  <c r="X15" i="71" s="1"/>
  <c r="N15" i="71"/>
  <c r="D15" i="71"/>
  <c r="L15" i="71" s="1"/>
  <c r="B15" i="71"/>
  <c r="Z14" i="71"/>
  <c r="X14" i="71"/>
  <c r="P14" i="71"/>
  <c r="N14" i="71"/>
  <c r="L14" i="71"/>
  <c r="D14" i="71"/>
  <c r="B14" i="71"/>
  <c r="Z13" i="71"/>
  <c r="P13" i="71"/>
  <c r="N13" i="71"/>
  <c r="D13" i="71"/>
  <c r="B13" i="71"/>
  <c r="T12" i="71"/>
  <c r="V122" i="71" s="1"/>
  <c r="H12" i="71"/>
  <c r="J118" i="71" s="1"/>
  <c r="D6" i="71"/>
  <c r="D4" i="71"/>
  <c r="Z81" i="70"/>
  <c r="X81" i="70"/>
  <c r="N81" i="70"/>
  <c r="L81" i="70"/>
  <c r="T77" i="70"/>
  <c r="Z77" i="70" s="1"/>
  <c r="P77" i="70"/>
  <c r="X77" i="70" s="1"/>
  <c r="L77" i="70"/>
  <c r="H77" i="70"/>
  <c r="N77" i="70" s="1"/>
  <c r="D77" i="70"/>
  <c r="X75" i="70"/>
  <c r="Z75" i="70" s="1"/>
  <c r="N75" i="70"/>
  <c r="L75" i="70"/>
  <c r="B75" i="70"/>
  <c r="T74" i="70"/>
  <c r="P74" i="70"/>
  <c r="X74" i="70" s="1"/>
  <c r="Z74" i="70" s="1"/>
  <c r="H74" i="70"/>
  <c r="D74" i="70"/>
  <c r="L74" i="70" s="1"/>
  <c r="N74" i="70" s="1"/>
  <c r="B74" i="70"/>
  <c r="Z73" i="70"/>
  <c r="X73" i="70"/>
  <c r="N73" i="70"/>
  <c r="L73" i="70"/>
  <c r="B73" i="70"/>
  <c r="Z72" i="70"/>
  <c r="X72" i="70"/>
  <c r="T72" i="70"/>
  <c r="P72" i="70"/>
  <c r="L72" i="70"/>
  <c r="H72" i="70"/>
  <c r="N72" i="70" s="1"/>
  <c r="D72" i="70"/>
  <c r="B72" i="70"/>
  <c r="Z71" i="70"/>
  <c r="X71" i="70"/>
  <c r="N71" i="70"/>
  <c r="L71" i="70"/>
  <c r="B71" i="70"/>
  <c r="Z70" i="70"/>
  <c r="X70" i="70"/>
  <c r="V70" i="70"/>
  <c r="N70" i="70"/>
  <c r="L70" i="70"/>
  <c r="B70" i="70"/>
  <c r="Z69" i="70"/>
  <c r="X69" i="70"/>
  <c r="N69" i="70"/>
  <c r="L69" i="70"/>
  <c r="B69" i="70"/>
  <c r="T68" i="70"/>
  <c r="Z68" i="70" s="1"/>
  <c r="P68" i="70"/>
  <c r="X68" i="70" s="1"/>
  <c r="J68" i="70"/>
  <c r="H68" i="70"/>
  <c r="D68" i="70"/>
  <c r="L68" i="70" s="1"/>
  <c r="B68" i="70"/>
  <c r="Z67" i="70"/>
  <c r="X67" i="70"/>
  <c r="N67" i="70"/>
  <c r="L67" i="70"/>
  <c r="B67" i="70"/>
  <c r="Z66" i="70"/>
  <c r="X66" i="70"/>
  <c r="N66" i="70"/>
  <c r="L66" i="70"/>
  <c r="B66" i="70"/>
  <c r="X65" i="70"/>
  <c r="Z65" i="70" s="1"/>
  <c r="N65" i="70"/>
  <c r="L65" i="70"/>
  <c r="B65" i="70"/>
  <c r="T64" i="70"/>
  <c r="Z64" i="70" s="1"/>
  <c r="P64" i="70"/>
  <c r="X64" i="70" s="1"/>
  <c r="H64" i="70"/>
  <c r="N64" i="70" s="1"/>
  <c r="D64" i="70"/>
  <c r="L64" i="70" s="1"/>
  <c r="B64" i="70"/>
  <c r="X63" i="70"/>
  <c r="Z63" i="70" s="1"/>
  <c r="N63" i="70"/>
  <c r="L63" i="70"/>
  <c r="B63" i="70"/>
  <c r="Z62" i="70"/>
  <c r="X62" i="70"/>
  <c r="N62" i="70"/>
  <c r="L62" i="70"/>
  <c r="J62" i="70"/>
  <c r="B62" i="70"/>
  <c r="T61" i="70"/>
  <c r="Z61" i="70" s="1"/>
  <c r="P61" i="70"/>
  <c r="X61" i="70" s="1"/>
  <c r="H61" i="70"/>
  <c r="D61" i="70"/>
  <c r="B61" i="70"/>
  <c r="X60" i="70"/>
  <c r="Z60" i="70" s="1"/>
  <c r="N60" i="70"/>
  <c r="L60" i="70"/>
  <c r="B60" i="70"/>
  <c r="T59" i="70"/>
  <c r="X59" i="70" s="1"/>
  <c r="Z59" i="70" s="1"/>
  <c r="P59" i="70"/>
  <c r="H59" i="70"/>
  <c r="D59" i="70"/>
  <c r="L59" i="70" s="1"/>
  <c r="N59" i="70" s="1"/>
  <c r="B59" i="70"/>
  <c r="Z58" i="70"/>
  <c r="X58" i="70"/>
  <c r="N58" i="70"/>
  <c r="L58" i="70"/>
  <c r="B58" i="70"/>
  <c r="X57" i="70"/>
  <c r="T57" i="70"/>
  <c r="Z57" i="70" s="1"/>
  <c r="P57" i="70"/>
  <c r="H57" i="70"/>
  <c r="N57" i="70" s="1"/>
  <c r="D57" i="70"/>
  <c r="L57" i="70" s="1"/>
  <c r="B57" i="70"/>
  <c r="Z56" i="70"/>
  <c r="X56" i="70"/>
  <c r="N56" i="70"/>
  <c r="L56" i="70"/>
  <c r="B56" i="70"/>
  <c r="T55" i="70"/>
  <c r="Z55" i="70" s="1"/>
  <c r="P55" i="70"/>
  <c r="X55" i="70" s="1"/>
  <c r="H55" i="70"/>
  <c r="N55" i="70" s="1"/>
  <c r="D55" i="70"/>
  <c r="L55" i="70" s="1"/>
  <c r="B55" i="70"/>
  <c r="Z54" i="70"/>
  <c r="X54" i="70"/>
  <c r="V54" i="70"/>
  <c r="L54" i="70"/>
  <c r="N54" i="70" s="1"/>
  <c r="B54" i="70"/>
  <c r="Z53" i="70"/>
  <c r="X53" i="70"/>
  <c r="N53" i="70"/>
  <c r="L53" i="70"/>
  <c r="B53" i="70"/>
  <c r="T52" i="70"/>
  <c r="P52" i="70"/>
  <c r="X52" i="70" s="1"/>
  <c r="J52" i="70"/>
  <c r="H52" i="70"/>
  <c r="N52" i="70" s="1"/>
  <c r="D52" i="70"/>
  <c r="L52" i="70" s="1"/>
  <c r="B52" i="70"/>
  <c r="X51" i="70"/>
  <c r="Z51" i="70" s="1"/>
  <c r="N51" i="70"/>
  <c r="L51" i="70"/>
  <c r="B51" i="70"/>
  <c r="X50" i="70"/>
  <c r="T50" i="70"/>
  <c r="Z50" i="70" s="1"/>
  <c r="P50" i="70"/>
  <c r="H50" i="70"/>
  <c r="D50" i="70"/>
  <c r="L50" i="70" s="1"/>
  <c r="N50" i="70" s="1"/>
  <c r="B50" i="70"/>
  <c r="Z49" i="70"/>
  <c r="X49" i="70"/>
  <c r="N49" i="70"/>
  <c r="L49" i="70"/>
  <c r="B49" i="70"/>
  <c r="Z48" i="70"/>
  <c r="X48" i="70"/>
  <c r="T48" i="70"/>
  <c r="P48" i="70"/>
  <c r="H48" i="70"/>
  <c r="N48" i="70" s="1"/>
  <c r="D48" i="70"/>
  <c r="L48" i="70" s="1"/>
  <c r="B48" i="70"/>
  <c r="Z47" i="70"/>
  <c r="X47" i="70"/>
  <c r="N47" i="70"/>
  <c r="L47" i="70"/>
  <c r="B47" i="70"/>
  <c r="V46" i="70"/>
  <c r="T46" i="70"/>
  <c r="Z46" i="70" s="1"/>
  <c r="P46" i="70"/>
  <c r="X46" i="70" s="1"/>
  <c r="H46" i="70"/>
  <c r="N46" i="70" s="1"/>
  <c r="D46" i="70"/>
  <c r="L46" i="70" s="1"/>
  <c r="B46" i="70"/>
  <c r="Z45" i="70"/>
  <c r="X45" i="70"/>
  <c r="V45" i="70"/>
  <c r="N45" i="70"/>
  <c r="L45" i="70"/>
  <c r="B45" i="70"/>
  <c r="Z44" i="70"/>
  <c r="X44" i="70"/>
  <c r="N44" i="70"/>
  <c r="L44" i="70"/>
  <c r="B44" i="70"/>
  <c r="X43" i="70"/>
  <c r="Z43" i="70" s="1"/>
  <c r="N43" i="70"/>
  <c r="L43" i="70"/>
  <c r="B43" i="70"/>
  <c r="Z42" i="70"/>
  <c r="X42" i="70"/>
  <c r="N42" i="70"/>
  <c r="L42" i="70"/>
  <c r="B42" i="70"/>
  <c r="Z41" i="70"/>
  <c r="X41" i="70"/>
  <c r="V41" i="70"/>
  <c r="N41" i="70"/>
  <c r="L41" i="70"/>
  <c r="B41" i="70"/>
  <c r="Z40" i="70"/>
  <c r="X40" i="70"/>
  <c r="N40" i="70"/>
  <c r="L40" i="70"/>
  <c r="B40" i="70"/>
  <c r="Z39" i="70"/>
  <c r="X39" i="70"/>
  <c r="N39" i="70"/>
  <c r="L39" i="70"/>
  <c r="B39" i="70"/>
  <c r="Z38" i="70"/>
  <c r="X38" i="70"/>
  <c r="N38" i="70"/>
  <c r="L38" i="70"/>
  <c r="B38" i="70"/>
  <c r="Z37" i="70"/>
  <c r="X37" i="70"/>
  <c r="V37" i="70"/>
  <c r="N37" i="70"/>
  <c r="L37" i="70"/>
  <c r="B37" i="70"/>
  <c r="Z36" i="70"/>
  <c r="X36" i="70"/>
  <c r="N36" i="70"/>
  <c r="L36" i="70"/>
  <c r="B36" i="70"/>
  <c r="T35" i="70"/>
  <c r="Z35" i="70" s="1"/>
  <c r="P35" i="70"/>
  <c r="X35" i="70" s="1"/>
  <c r="L35" i="70"/>
  <c r="J35" i="70"/>
  <c r="H35" i="70"/>
  <c r="D35" i="70"/>
  <c r="B35" i="70"/>
  <c r="Z34" i="70"/>
  <c r="X34" i="70"/>
  <c r="N34" i="70"/>
  <c r="L34" i="70"/>
  <c r="J34" i="70"/>
  <c r="B34" i="70"/>
  <c r="X33" i="70"/>
  <c r="Z33" i="70" s="1"/>
  <c r="N33" i="70"/>
  <c r="L33" i="70"/>
  <c r="B33" i="70"/>
  <c r="Z32" i="70"/>
  <c r="X32" i="70"/>
  <c r="N32" i="70"/>
  <c r="L32" i="70"/>
  <c r="B32" i="70"/>
  <c r="Z31" i="70"/>
  <c r="X31" i="70"/>
  <c r="N31" i="70"/>
  <c r="L31" i="70"/>
  <c r="B31" i="70"/>
  <c r="X30" i="70"/>
  <c r="Z30" i="70" s="1"/>
  <c r="L30" i="70"/>
  <c r="N30" i="70" s="1"/>
  <c r="J30" i="70"/>
  <c r="B30" i="70"/>
  <c r="X29" i="70"/>
  <c r="Z29" i="70" s="1"/>
  <c r="L29" i="70"/>
  <c r="N29" i="70" s="1"/>
  <c r="B29" i="70"/>
  <c r="X28" i="70"/>
  <c r="Z28" i="70" s="1"/>
  <c r="N28" i="70"/>
  <c r="L28" i="70"/>
  <c r="B28" i="70"/>
  <c r="X27" i="70"/>
  <c r="Z27" i="70" s="1"/>
  <c r="N27" i="70"/>
  <c r="L27" i="70"/>
  <c r="B27" i="70"/>
  <c r="X26" i="70"/>
  <c r="Z26" i="70" s="1"/>
  <c r="L26" i="70"/>
  <c r="N26" i="70" s="1"/>
  <c r="J26" i="70"/>
  <c r="B26" i="70"/>
  <c r="T25" i="70"/>
  <c r="Z25" i="70" s="1"/>
  <c r="P25" i="70"/>
  <c r="X25" i="70" s="1"/>
  <c r="H25" i="70"/>
  <c r="D25" i="70"/>
  <c r="L25" i="70" s="1"/>
  <c r="B25" i="70"/>
  <c r="T24" i="70"/>
  <c r="P24" i="70"/>
  <c r="X24" i="70" s="1"/>
  <c r="Z24" i="70" s="1"/>
  <c r="H24" i="70"/>
  <c r="D24" i="70"/>
  <c r="L24" i="70" s="1"/>
  <c r="H22" i="70"/>
  <c r="Z20" i="70"/>
  <c r="X20" i="70"/>
  <c r="N20" i="70"/>
  <c r="L20" i="70"/>
  <c r="B20" i="70"/>
  <c r="Z19" i="70"/>
  <c r="X19" i="70"/>
  <c r="N19" i="70"/>
  <c r="L19" i="70"/>
  <c r="B19" i="70"/>
  <c r="X18" i="70"/>
  <c r="Z18" i="70" s="1"/>
  <c r="V18" i="70"/>
  <c r="L18" i="70"/>
  <c r="N18" i="70" s="1"/>
  <c r="J18" i="70"/>
  <c r="B18" i="70"/>
  <c r="T17" i="70"/>
  <c r="P17" i="70"/>
  <c r="X17" i="70" s="1"/>
  <c r="Z17" i="70" s="1"/>
  <c r="H17" i="70"/>
  <c r="J17" i="70" s="1"/>
  <c r="D17" i="70"/>
  <c r="L17" i="70" s="1"/>
  <c r="N17" i="70" s="1"/>
  <c r="Z15" i="70"/>
  <c r="X15" i="70"/>
  <c r="P15" i="70"/>
  <c r="N15" i="70"/>
  <c r="D15" i="70"/>
  <c r="B15" i="70"/>
  <c r="P14" i="70"/>
  <c r="X14" i="70" s="1"/>
  <c r="Z14" i="70" s="1"/>
  <c r="L14" i="70"/>
  <c r="N14" i="70" s="1"/>
  <c r="D14" i="70"/>
  <c r="B14" i="70"/>
  <c r="Z13" i="70"/>
  <c r="X13" i="70"/>
  <c r="P13" i="70"/>
  <c r="N13" i="70"/>
  <c r="L13" i="70"/>
  <c r="D13" i="70"/>
  <c r="B13" i="70"/>
  <c r="T12" i="70"/>
  <c r="V65" i="70" s="1"/>
  <c r="H12" i="70"/>
  <c r="D6" i="70"/>
  <c r="D4" i="70"/>
  <c r="X126" i="69"/>
  <c r="Z126" i="69" s="1"/>
  <c r="V126" i="69"/>
  <c r="N126" i="69"/>
  <c r="L126" i="69"/>
  <c r="J126" i="69"/>
  <c r="Z122" i="69"/>
  <c r="P122" i="69"/>
  <c r="X122" i="69" s="1"/>
  <c r="N122" i="69"/>
  <c r="L122" i="69"/>
  <c r="D122" i="69"/>
  <c r="B122" i="69"/>
  <c r="Z121" i="69"/>
  <c r="X121" i="69"/>
  <c r="T121" i="69"/>
  <c r="P121" i="69"/>
  <c r="L121" i="69"/>
  <c r="J121" i="69"/>
  <c r="H121" i="69"/>
  <c r="N121" i="69" s="1"/>
  <c r="D121" i="69"/>
  <c r="X119" i="69"/>
  <c r="Z119" i="69" s="1"/>
  <c r="L119" i="69"/>
  <c r="N119" i="69" s="1"/>
  <c r="B119" i="69"/>
  <c r="T118" i="69"/>
  <c r="P118" i="69"/>
  <c r="H118" i="69"/>
  <c r="D118" i="69"/>
  <c r="L118" i="69" s="1"/>
  <c r="N118" i="69" s="1"/>
  <c r="B118" i="69"/>
  <c r="X117" i="69"/>
  <c r="Z117" i="69" s="1"/>
  <c r="L117" i="69"/>
  <c r="N117" i="69" s="1"/>
  <c r="B117" i="69"/>
  <c r="X116" i="69"/>
  <c r="Z116" i="69" s="1"/>
  <c r="T116" i="69"/>
  <c r="P116" i="69"/>
  <c r="H116" i="69"/>
  <c r="D116" i="69"/>
  <c r="L116" i="69" s="1"/>
  <c r="N116" i="69" s="1"/>
  <c r="B116" i="69"/>
  <c r="Z115" i="69"/>
  <c r="X115" i="69"/>
  <c r="N115" i="69"/>
  <c r="L115" i="69"/>
  <c r="B115" i="69"/>
  <c r="Z114" i="69"/>
  <c r="X114" i="69"/>
  <c r="V114" i="69"/>
  <c r="N114" i="69"/>
  <c r="L114" i="69"/>
  <c r="B114" i="69"/>
  <c r="X113" i="69"/>
  <c r="Z113" i="69" s="1"/>
  <c r="L113" i="69"/>
  <c r="N113" i="69" s="1"/>
  <c r="J113" i="69"/>
  <c r="B113" i="69"/>
  <c r="X112" i="69"/>
  <c r="Z112" i="69" s="1"/>
  <c r="T112" i="69"/>
  <c r="P112" i="69"/>
  <c r="H112" i="69"/>
  <c r="D112" i="69"/>
  <c r="L112" i="69" s="1"/>
  <c r="B112" i="69"/>
  <c r="X111" i="69"/>
  <c r="Z111" i="69" s="1"/>
  <c r="L111" i="69"/>
  <c r="N111" i="69" s="1"/>
  <c r="B111" i="69"/>
  <c r="X110" i="69"/>
  <c r="Z110" i="69" s="1"/>
  <c r="N110" i="69"/>
  <c r="L110" i="69"/>
  <c r="B110" i="69"/>
  <c r="X109" i="69"/>
  <c r="V109" i="69"/>
  <c r="T109" i="69"/>
  <c r="Z109" i="69" s="1"/>
  <c r="P109" i="69"/>
  <c r="H109" i="69"/>
  <c r="D109" i="69"/>
  <c r="L109" i="69" s="1"/>
  <c r="N109" i="69" s="1"/>
  <c r="B109" i="69"/>
  <c r="X108" i="69"/>
  <c r="Z108" i="69" s="1"/>
  <c r="L108" i="69"/>
  <c r="N108" i="69" s="1"/>
  <c r="B108" i="69"/>
  <c r="Z107" i="69"/>
  <c r="X107" i="69"/>
  <c r="N107" i="69"/>
  <c r="L107" i="69"/>
  <c r="B107" i="69"/>
  <c r="T106" i="69"/>
  <c r="P106" i="69"/>
  <c r="X106" i="69" s="1"/>
  <c r="Z106" i="69" s="1"/>
  <c r="L106" i="69"/>
  <c r="N106" i="69" s="1"/>
  <c r="H106" i="69"/>
  <c r="D106" i="69"/>
  <c r="B106" i="69"/>
  <c r="X105" i="69"/>
  <c r="Z105" i="69" s="1"/>
  <c r="L105" i="69"/>
  <c r="N105" i="69" s="1"/>
  <c r="J105" i="69"/>
  <c r="B105" i="69"/>
  <c r="X104" i="69"/>
  <c r="Z104" i="69" s="1"/>
  <c r="T104" i="69"/>
  <c r="P104" i="69"/>
  <c r="H104" i="69"/>
  <c r="D104" i="69"/>
  <c r="L104" i="69" s="1"/>
  <c r="B104" i="69"/>
  <c r="X103" i="69"/>
  <c r="Z103" i="69" s="1"/>
  <c r="L103" i="69"/>
  <c r="N103" i="69" s="1"/>
  <c r="B103" i="69"/>
  <c r="T102" i="69"/>
  <c r="P102" i="69"/>
  <c r="J102" i="69"/>
  <c r="H102" i="69"/>
  <c r="D102" i="69"/>
  <c r="L102" i="69" s="1"/>
  <c r="N102" i="69" s="1"/>
  <c r="B102" i="69"/>
  <c r="Z101" i="69"/>
  <c r="X101" i="69"/>
  <c r="L101" i="69"/>
  <c r="N101" i="69" s="1"/>
  <c r="B101" i="69"/>
  <c r="X100" i="69"/>
  <c r="Z100" i="69" s="1"/>
  <c r="T100" i="69"/>
  <c r="P100" i="69"/>
  <c r="H100" i="69"/>
  <c r="D100" i="69"/>
  <c r="L100" i="69" s="1"/>
  <c r="N100" i="69" s="1"/>
  <c r="B100" i="69"/>
  <c r="Z99" i="69"/>
  <c r="X99" i="69"/>
  <c r="N99" i="69"/>
  <c r="L99" i="69"/>
  <c r="B99" i="69"/>
  <c r="Z98" i="69"/>
  <c r="X98" i="69"/>
  <c r="V98" i="69"/>
  <c r="L98" i="69"/>
  <c r="N98" i="69" s="1"/>
  <c r="B98" i="69"/>
  <c r="T97" i="69"/>
  <c r="Z97" i="69" s="1"/>
  <c r="P97" i="69"/>
  <c r="X97" i="69" s="1"/>
  <c r="H97" i="69"/>
  <c r="D97" i="69"/>
  <c r="L97" i="69" s="1"/>
  <c r="N97" i="69" s="1"/>
  <c r="B97" i="69"/>
  <c r="Z96" i="69"/>
  <c r="X96" i="69"/>
  <c r="V96" i="69"/>
  <c r="N96" i="69"/>
  <c r="L96" i="69"/>
  <c r="B96" i="69"/>
  <c r="Z95" i="69"/>
  <c r="T95" i="69"/>
  <c r="P95" i="69"/>
  <c r="X95" i="69" s="1"/>
  <c r="N95" i="69"/>
  <c r="L95" i="69"/>
  <c r="J95" i="69"/>
  <c r="H95" i="69"/>
  <c r="D95" i="69"/>
  <c r="B95" i="69"/>
  <c r="Z94" i="69"/>
  <c r="X94" i="69"/>
  <c r="N94" i="69"/>
  <c r="L94" i="69"/>
  <c r="J94" i="69"/>
  <c r="B94" i="69"/>
  <c r="T93" i="69"/>
  <c r="P93" i="69"/>
  <c r="H93" i="69"/>
  <c r="D93" i="69"/>
  <c r="B93" i="69"/>
  <c r="Z92" i="69"/>
  <c r="X92" i="69"/>
  <c r="N92" i="69"/>
  <c r="L92" i="69"/>
  <c r="J92" i="69"/>
  <c r="B92" i="69"/>
  <c r="Z91" i="69"/>
  <c r="X91" i="69"/>
  <c r="N91" i="69"/>
  <c r="L91" i="69"/>
  <c r="B91" i="69"/>
  <c r="Z90" i="69"/>
  <c r="X90" i="69"/>
  <c r="V90" i="69"/>
  <c r="N90" i="69"/>
  <c r="L90" i="69"/>
  <c r="B90" i="69"/>
  <c r="X89" i="69"/>
  <c r="Z89" i="69" s="1"/>
  <c r="L89" i="69"/>
  <c r="N89" i="69" s="1"/>
  <c r="J89" i="69"/>
  <c r="B89" i="69"/>
  <c r="Z88" i="69"/>
  <c r="X88" i="69"/>
  <c r="N88" i="69"/>
  <c r="L88" i="69"/>
  <c r="J88" i="69"/>
  <c r="B88" i="69"/>
  <c r="Z87" i="69"/>
  <c r="X87" i="69"/>
  <c r="N87" i="69"/>
  <c r="L87" i="69"/>
  <c r="B87" i="69"/>
  <c r="Z86" i="69"/>
  <c r="X86" i="69"/>
  <c r="V86" i="69"/>
  <c r="N86" i="69"/>
  <c r="L86" i="69"/>
  <c r="B86" i="69"/>
  <c r="Z85" i="69"/>
  <c r="X85" i="69"/>
  <c r="N85" i="69"/>
  <c r="L85" i="69"/>
  <c r="J85" i="69"/>
  <c r="B85" i="69"/>
  <c r="Z84" i="69"/>
  <c r="X84" i="69"/>
  <c r="N84" i="69"/>
  <c r="L84" i="69"/>
  <c r="J84" i="69"/>
  <c r="B84" i="69"/>
  <c r="Z83" i="69"/>
  <c r="X83" i="69"/>
  <c r="L83" i="69"/>
  <c r="N83" i="69" s="1"/>
  <c r="B83" i="69"/>
  <c r="T82" i="69"/>
  <c r="P82" i="69"/>
  <c r="L82" i="69"/>
  <c r="N82" i="69" s="1"/>
  <c r="H82" i="69"/>
  <c r="D82" i="69"/>
  <c r="B82" i="69"/>
  <c r="Z81" i="69"/>
  <c r="X81" i="69"/>
  <c r="V81" i="69"/>
  <c r="N81" i="69"/>
  <c r="L81" i="69"/>
  <c r="B81" i="69"/>
  <c r="X80" i="69"/>
  <c r="Z80" i="69" s="1"/>
  <c r="V80" i="69"/>
  <c r="L80" i="69"/>
  <c r="N80" i="69" s="1"/>
  <c r="B80" i="69"/>
  <c r="X79" i="69"/>
  <c r="Z79" i="69" s="1"/>
  <c r="L79" i="69"/>
  <c r="N79" i="69" s="1"/>
  <c r="B79" i="69"/>
  <c r="Z78" i="69"/>
  <c r="X78" i="69"/>
  <c r="N78" i="69"/>
  <c r="L78" i="69"/>
  <c r="B78" i="69"/>
  <c r="X77" i="69"/>
  <c r="Z77" i="69" s="1"/>
  <c r="V77" i="69"/>
  <c r="N77" i="69"/>
  <c r="L77" i="69"/>
  <c r="B77" i="69"/>
  <c r="X76" i="69"/>
  <c r="Z76" i="69" s="1"/>
  <c r="V76" i="69"/>
  <c r="N76" i="69"/>
  <c r="L76" i="69"/>
  <c r="B76" i="69"/>
  <c r="X75" i="69"/>
  <c r="Z75" i="69" s="1"/>
  <c r="L75" i="69"/>
  <c r="N75" i="69" s="1"/>
  <c r="B75" i="69"/>
  <c r="X74" i="69"/>
  <c r="Z74" i="69" s="1"/>
  <c r="N74" i="69"/>
  <c r="L74" i="69"/>
  <c r="B74" i="69"/>
  <c r="X73" i="69"/>
  <c r="Z73" i="69" s="1"/>
  <c r="V73" i="69"/>
  <c r="N73" i="69"/>
  <c r="L73" i="69"/>
  <c r="B73" i="69"/>
  <c r="V72" i="69"/>
  <c r="T72" i="69"/>
  <c r="P72" i="69"/>
  <c r="X72" i="69" s="1"/>
  <c r="Z72" i="69" s="1"/>
  <c r="H72" i="69"/>
  <c r="D72" i="69"/>
  <c r="B72" i="69"/>
  <c r="T71" i="69"/>
  <c r="P71" i="69"/>
  <c r="H71" i="69"/>
  <c r="D71" i="69"/>
  <c r="L71" i="69" s="1"/>
  <c r="T69" i="69"/>
  <c r="Z67" i="69"/>
  <c r="X67" i="69"/>
  <c r="N67" i="69"/>
  <c r="L67" i="69"/>
  <c r="B67" i="69"/>
  <c r="Z66" i="69"/>
  <c r="X66" i="69"/>
  <c r="N66" i="69"/>
  <c r="L66" i="69"/>
  <c r="J66" i="69"/>
  <c r="B66" i="69"/>
  <c r="Z65" i="69"/>
  <c r="X65" i="69"/>
  <c r="N65" i="69"/>
  <c r="L65" i="69"/>
  <c r="B65" i="69"/>
  <c r="Z64" i="69"/>
  <c r="X64" i="69"/>
  <c r="N64" i="69"/>
  <c r="L64" i="69"/>
  <c r="B64" i="69"/>
  <c r="Z63" i="69"/>
  <c r="X63" i="69"/>
  <c r="N63" i="69"/>
  <c r="L63" i="69"/>
  <c r="B63" i="69"/>
  <c r="Z62" i="69"/>
  <c r="X62" i="69"/>
  <c r="N62" i="69"/>
  <c r="L62" i="69"/>
  <c r="J62" i="69"/>
  <c r="B62" i="69"/>
  <c r="Z61" i="69"/>
  <c r="X61" i="69"/>
  <c r="N61" i="69"/>
  <c r="L61" i="69"/>
  <c r="B61" i="69"/>
  <c r="Z60" i="69"/>
  <c r="X60" i="69"/>
  <c r="N60" i="69"/>
  <c r="L60" i="69"/>
  <c r="B60" i="69"/>
  <c r="Z59" i="69"/>
  <c r="X59" i="69"/>
  <c r="N59" i="69"/>
  <c r="L59" i="69"/>
  <c r="B59" i="69"/>
  <c r="Z58" i="69"/>
  <c r="X58" i="69"/>
  <c r="N58" i="69"/>
  <c r="L58" i="69"/>
  <c r="J58" i="69"/>
  <c r="B58" i="69"/>
  <c r="Z57" i="69"/>
  <c r="X57" i="69"/>
  <c r="N57" i="69"/>
  <c r="L57" i="69"/>
  <c r="B57" i="69"/>
  <c r="Z56" i="69"/>
  <c r="X56" i="69"/>
  <c r="N56" i="69"/>
  <c r="L56" i="69"/>
  <c r="B56" i="69"/>
  <c r="Z55" i="69"/>
  <c r="X55" i="69"/>
  <c r="N55" i="69"/>
  <c r="L55" i="69"/>
  <c r="B55" i="69"/>
  <c r="Z54" i="69"/>
  <c r="X54" i="69"/>
  <c r="N54" i="69"/>
  <c r="L54" i="69"/>
  <c r="J54" i="69"/>
  <c r="B54" i="69"/>
  <c r="Z53" i="69"/>
  <c r="X53" i="69"/>
  <c r="N53" i="69"/>
  <c r="L53" i="69"/>
  <c r="B53" i="69"/>
  <c r="Z52" i="69"/>
  <c r="X52" i="69"/>
  <c r="N52" i="69"/>
  <c r="L52" i="69"/>
  <c r="B52" i="69"/>
  <c r="Z51" i="69"/>
  <c r="X51" i="69"/>
  <c r="N51" i="69"/>
  <c r="L51" i="69"/>
  <c r="B51" i="69"/>
  <c r="Z50" i="69"/>
  <c r="X50" i="69"/>
  <c r="N50" i="69"/>
  <c r="L50" i="69"/>
  <c r="J50" i="69"/>
  <c r="B50" i="69"/>
  <c r="Z49" i="69"/>
  <c r="X49" i="69"/>
  <c r="N49" i="69"/>
  <c r="L49" i="69"/>
  <c r="B49" i="69"/>
  <c r="Z48" i="69"/>
  <c r="X48" i="69"/>
  <c r="N48" i="69"/>
  <c r="L48" i="69"/>
  <c r="B48" i="69"/>
  <c r="X47" i="69"/>
  <c r="Z47" i="69" s="1"/>
  <c r="N47" i="69"/>
  <c r="L47" i="69"/>
  <c r="B47" i="69"/>
  <c r="T46" i="69"/>
  <c r="P46" i="69"/>
  <c r="X46" i="69" s="1"/>
  <c r="Z46" i="69" s="1"/>
  <c r="N46" i="69"/>
  <c r="L46" i="69"/>
  <c r="H46" i="69"/>
  <c r="D46" i="69"/>
  <c r="Z44" i="69"/>
  <c r="P44" i="69"/>
  <c r="X44" i="69" s="1"/>
  <c r="N44" i="69"/>
  <c r="L44" i="69"/>
  <c r="D44" i="69"/>
  <c r="B44" i="69"/>
  <c r="Z43" i="69"/>
  <c r="X43" i="69"/>
  <c r="P43" i="69"/>
  <c r="N43" i="69"/>
  <c r="D43" i="69"/>
  <c r="L43" i="69" s="1"/>
  <c r="B43" i="69"/>
  <c r="Z42" i="69"/>
  <c r="P42" i="69"/>
  <c r="X42" i="69" s="1"/>
  <c r="N42" i="69"/>
  <c r="L42" i="69"/>
  <c r="D42" i="69"/>
  <c r="B42" i="69"/>
  <c r="Z41" i="69"/>
  <c r="P41" i="69"/>
  <c r="X41" i="69" s="1"/>
  <c r="N41" i="69"/>
  <c r="D41" i="69"/>
  <c r="L41" i="69" s="1"/>
  <c r="B41" i="69"/>
  <c r="Z40" i="69"/>
  <c r="P40" i="69"/>
  <c r="X40" i="69" s="1"/>
  <c r="N40" i="69"/>
  <c r="L40" i="69"/>
  <c r="D40" i="69"/>
  <c r="B40" i="69"/>
  <c r="Z39" i="69"/>
  <c r="X39" i="69"/>
  <c r="P39" i="69"/>
  <c r="N39" i="69"/>
  <c r="D39" i="69"/>
  <c r="L39" i="69" s="1"/>
  <c r="B39" i="69"/>
  <c r="Z38" i="69"/>
  <c r="X38" i="69"/>
  <c r="P38" i="69"/>
  <c r="N38" i="69"/>
  <c r="D38" i="69"/>
  <c r="L38" i="69" s="1"/>
  <c r="B38" i="69"/>
  <c r="Z37" i="69"/>
  <c r="X37" i="69"/>
  <c r="P37" i="69"/>
  <c r="N37" i="69"/>
  <c r="D37" i="69"/>
  <c r="L37" i="69" s="1"/>
  <c r="B37" i="69"/>
  <c r="Z36" i="69"/>
  <c r="P36" i="69"/>
  <c r="X36" i="69" s="1"/>
  <c r="N36" i="69"/>
  <c r="L36" i="69"/>
  <c r="D36" i="69"/>
  <c r="B36" i="69"/>
  <c r="Z35" i="69"/>
  <c r="X35" i="69"/>
  <c r="P35" i="69"/>
  <c r="N35" i="69"/>
  <c r="L35" i="69"/>
  <c r="D35" i="69"/>
  <c r="B35" i="69"/>
  <c r="Z34" i="69"/>
  <c r="P34" i="69"/>
  <c r="X34" i="69" s="1"/>
  <c r="N34" i="69"/>
  <c r="L34" i="69"/>
  <c r="D34" i="69"/>
  <c r="B34" i="69"/>
  <c r="Z33" i="69"/>
  <c r="X33" i="69"/>
  <c r="P33" i="69"/>
  <c r="N33" i="69"/>
  <c r="L33" i="69"/>
  <c r="D33" i="69"/>
  <c r="B33" i="69"/>
  <c r="Z32" i="69"/>
  <c r="P32" i="69"/>
  <c r="X32" i="69" s="1"/>
  <c r="N32" i="69"/>
  <c r="L32" i="69"/>
  <c r="D32" i="69"/>
  <c r="B32" i="69"/>
  <c r="Z31" i="69"/>
  <c r="P31" i="69"/>
  <c r="X31" i="69" s="1"/>
  <c r="N31" i="69"/>
  <c r="D31" i="69"/>
  <c r="L31" i="69" s="1"/>
  <c r="B31" i="69"/>
  <c r="P30" i="69"/>
  <c r="X30" i="69" s="1"/>
  <c r="Z30" i="69" s="1"/>
  <c r="D30" i="69"/>
  <c r="L30" i="69" s="1"/>
  <c r="N30" i="69" s="1"/>
  <c r="B30" i="69"/>
  <c r="Z29" i="69"/>
  <c r="P29" i="69"/>
  <c r="X29" i="69" s="1"/>
  <c r="N29" i="69"/>
  <c r="D29" i="69"/>
  <c r="L29" i="69" s="1"/>
  <c r="B29" i="69"/>
  <c r="Z28" i="69"/>
  <c r="P28" i="69"/>
  <c r="X28" i="69" s="1"/>
  <c r="N28" i="69"/>
  <c r="D28" i="69"/>
  <c r="L28" i="69" s="1"/>
  <c r="B28" i="69"/>
  <c r="Z27" i="69"/>
  <c r="X27" i="69"/>
  <c r="P27" i="69"/>
  <c r="N27" i="69"/>
  <c r="D27" i="69"/>
  <c r="L27" i="69" s="1"/>
  <c r="B27" i="69"/>
  <c r="Z26" i="69"/>
  <c r="X26" i="69"/>
  <c r="P26" i="69"/>
  <c r="N26" i="69"/>
  <c r="D26" i="69"/>
  <c r="L26" i="69" s="1"/>
  <c r="B26" i="69"/>
  <c r="Z25" i="69"/>
  <c r="X25" i="69"/>
  <c r="P25" i="69"/>
  <c r="N25" i="69"/>
  <c r="D25" i="69"/>
  <c r="L25" i="69" s="1"/>
  <c r="B25" i="69"/>
  <c r="Z24" i="69"/>
  <c r="X24" i="69"/>
  <c r="P24" i="69"/>
  <c r="N24" i="69"/>
  <c r="L24" i="69"/>
  <c r="D24" i="69"/>
  <c r="B24" i="69"/>
  <c r="Z23" i="69"/>
  <c r="X23" i="69"/>
  <c r="P23" i="69"/>
  <c r="N23" i="69"/>
  <c r="L23" i="69"/>
  <c r="D23" i="69"/>
  <c r="B23" i="69"/>
  <c r="Z22" i="69"/>
  <c r="P22" i="69"/>
  <c r="X22" i="69" s="1"/>
  <c r="N22" i="69"/>
  <c r="L22" i="69"/>
  <c r="D22" i="69"/>
  <c r="B22" i="69"/>
  <c r="Z21" i="69"/>
  <c r="P21" i="69"/>
  <c r="X21" i="69" s="1"/>
  <c r="N21" i="69"/>
  <c r="L21" i="69"/>
  <c r="D21" i="69"/>
  <c r="B21" i="69"/>
  <c r="Z20" i="69"/>
  <c r="P20" i="69"/>
  <c r="X20" i="69" s="1"/>
  <c r="N20" i="69"/>
  <c r="L20" i="69"/>
  <c r="D20" i="69"/>
  <c r="B20" i="69"/>
  <c r="Z19" i="69"/>
  <c r="P19" i="69"/>
  <c r="X19" i="69" s="1"/>
  <c r="N19" i="69"/>
  <c r="D19" i="69"/>
  <c r="L19" i="69" s="1"/>
  <c r="B19" i="69"/>
  <c r="Z18" i="69"/>
  <c r="P18" i="69"/>
  <c r="X18" i="69" s="1"/>
  <c r="N18" i="69"/>
  <c r="D18" i="69"/>
  <c r="L18" i="69" s="1"/>
  <c r="B18" i="69"/>
  <c r="Z17" i="69"/>
  <c r="P17" i="69"/>
  <c r="X17" i="69" s="1"/>
  <c r="N17" i="69"/>
  <c r="D17" i="69"/>
  <c r="L17" i="69" s="1"/>
  <c r="B17" i="69"/>
  <c r="Z16" i="69"/>
  <c r="P16" i="69"/>
  <c r="N16" i="69"/>
  <c r="D16" i="69"/>
  <c r="L16" i="69" s="1"/>
  <c r="B16" i="69"/>
  <c r="Z15" i="69"/>
  <c r="X15" i="69"/>
  <c r="P15" i="69"/>
  <c r="N15" i="69"/>
  <c r="D15" i="69"/>
  <c r="L15" i="69" s="1"/>
  <c r="B15" i="69"/>
  <c r="Z14" i="69"/>
  <c r="X14" i="69"/>
  <c r="P14" i="69"/>
  <c r="N14" i="69"/>
  <c r="D14" i="69"/>
  <c r="L14" i="69" s="1"/>
  <c r="B14" i="69"/>
  <c r="X13" i="69"/>
  <c r="Z13" i="69" s="1"/>
  <c r="P13" i="69"/>
  <c r="D13" i="69"/>
  <c r="B13" i="69"/>
  <c r="T12" i="69"/>
  <c r="V117" i="69" s="1"/>
  <c r="H12" i="69"/>
  <c r="J117" i="69" s="1"/>
  <c r="D6" i="69"/>
  <c r="D4" i="69"/>
  <c r="F72" i="68"/>
  <c r="F69" i="68"/>
  <c r="Z67" i="68"/>
  <c r="X67" i="68"/>
  <c r="N67" i="68"/>
  <c r="L67" i="68"/>
  <c r="V65" i="68"/>
  <c r="R65" i="68"/>
  <c r="Z63" i="68"/>
  <c r="V63" i="68"/>
  <c r="T63" i="68"/>
  <c r="R63" i="68"/>
  <c r="P63" i="68"/>
  <c r="X63" i="68" s="1"/>
  <c r="H63" i="68"/>
  <c r="N63" i="68" s="1"/>
  <c r="D63" i="68"/>
  <c r="Z61" i="68"/>
  <c r="X61" i="68"/>
  <c r="V61" i="68"/>
  <c r="N61" i="68"/>
  <c r="L61" i="68"/>
  <c r="B61" i="68"/>
  <c r="T60" i="68"/>
  <c r="Z60" i="68" s="1"/>
  <c r="P60" i="68"/>
  <c r="X60" i="68" s="1"/>
  <c r="N60" i="68"/>
  <c r="L60" i="68"/>
  <c r="H60" i="68"/>
  <c r="D60" i="68"/>
  <c r="B60" i="68"/>
  <c r="Z59" i="68"/>
  <c r="X59" i="68"/>
  <c r="N59" i="68"/>
  <c r="L59" i="68"/>
  <c r="F59" i="68"/>
  <c r="B59" i="68"/>
  <c r="T58" i="68"/>
  <c r="Z58" i="68" s="1"/>
  <c r="P58" i="68"/>
  <c r="X58" i="68" s="1"/>
  <c r="H58" i="68"/>
  <c r="F58" i="68"/>
  <c r="D58" i="68"/>
  <c r="B58" i="68"/>
  <c r="X57" i="68"/>
  <c r="Z57" i="68" s="1"/>
  <c r="N57" i="68"/>
  <c r="L57" i="68"/>
  <c r="B57" i="68"/>
  <c r="Z56" i="68"/>
  <c r="X56" i="68"/>
  <c r="N56" i="68"/>
  <c r="L56" i="68"/>
  <c r="B56" i="68"/>
  <c r="Z55" i="68"/>
  <c r="X55" i="68"/>
  <c r="V55" i="68"/>
  <c r="R55" i="68"/>
  <c r="N55" i="68"/>
  <c r="L55" i="68"/>
  <c r="B55" i="68"/>
  <c r="Z54" i="68"/>
  <c r="X54" i="68"/>
  <c r="N54" i="68"/>
  <c r="L54" i="68"/>
  <c r="B54" i="68"/>
  <c r="X53" i="68"/>
  <c r="Z53" i="68" s="1"/>
  <c r="T53" i="68"/>
  <c r="P53" i="68"/>
  <c r="H53" i="68"/>
  <c r="D53" i="68"/>
  <c r="L53" i="68" s="1"/>
  <c r="B53" i="68"/>
  <c r="Z52" i="68"/>
  <c r="X52" i="68"/>
  <c r="L52" i="68"/>
  <c r="N52" i="68" s="1"/>
  <c r="F52" i="68"/>
  <c r="B52" i="68"/>
  <c r="Z51" i="68"/>
  <c r="X51" i="68"/>
  <c r="N51" i="68"/>
  <c r="L51" i="68"/>
  <c r="B51" i="68"/>
  <c r="X50" i="68"/>
  <c r="Z50" i="68" s="1"/>
  <c r="V50" i="68"/>
  <c r="T50" i="68"/>
  <c r="P50" i="68"/>
  <c r="H50" i="68"/>
  <c r="D50" i="68"/>
  <c r="L50" i="68" s="1"/>
  <c r="N50" i="68" s="1"/>
  <c r="B50" i="68"/>
  <c r="Z49" i="68"/>
  <c r="X49" i="68"/>
  <c r="N49" i="68"/>
  <c r="L49" i="68"/>
  <c r="B49" i="68"/>
  <c r="T48" i="68"/>
  <c r="R48" i="68"/>
  <c r="P48" i="68"/>
  <c r="H48" i="68"/>
  <c r="N48" i="68" s="1"/>
  <c r="D48" i="68"/>
  <c r="L48" i="68" s="1"/>
  <c r="B48" i="68"/>
  <c r="Z47" i="68"/>
  <c r="X47" i="68"/>
  <c r="V47" i="68"/>
  <c r="R47" i="68"/>
  <c r="L47" i="68"/>
  <c r="N47" i="68" s="1"/>
  <c r="B47" i="68"/>
  <c r="T46" i="68"/>
  <c r="Z46" i="68" s="1"/>
  <c r="P46" i="68"/>
  <c r="X46" i="68" s="1"/>
  <c r="N46" i="68"/>
  <c r="H46" i="68"/>
  <c r="D46" i="68"/>
  <c r="L46" i="68" s="1"/>
  <c r="B46" i="68"/>
  <c r="Z45" i="68"/>
  <c r="X45" i="68"/>
  <c r="V45" i="68"/>
  <c r="L45" i="68"/>
  <c r="N45" i="68" s="1"/>
  <c r="B45" i="68"/>
  <c r="T44" i="68"/>
  <c r="Z44" i="68" s="1"/>
  <c r="P44" i="68"/>
  <c r="X44" i="68" s="1"/>
  <c r="L44" i="68"/>
  <c r="N44" i="68" s="1"/>
  <c r="H44" i="68"/>
  <c r="D44" i="68"/>
  <c r="B44" i="68"/>
  <c r="Z43" i="68"/>
  <c r="X43" i="68"/>
  <c r="V43" i="68"/>
  <c r="N43" i="68"/>
  <c r="L43" i="68"/>
  <c r="J43" i="68"/>
  <c r="F43" i="68"/>
  <c r="B43" i="68"/>
  <c r="V42" i="68"/>
  <c r="T42" i="68"/>
  <c r="P42" i="68"/>
  <c r="X42" i="68" s="1"/>
  <c r="H42" i="68"/>
  <c r="F42" i="68"/>
  <c r="D42" i="68"/>
  <c r="B42" i="68"/>
  <c r="X41" i="68"/>
  <c r="Z41" i="68" s="1"/>
  <c r="V41" i="68"/>
  <c r="N41" i="68"/>
  <c r="L41" i="68"/>
  <c r="B41" i="68"/>
  <c r="Z40" i="68"/>
  <c r="T40" i="68"/>
  <c r="P40" i="68"/>
  <c r="X40" i="68" s="1"/>
  <c r="H40" i="68"/>
  <c r="D40" i="68"/>
  <c r="L40" i="68" s="1"/>
  <c r="B40" i="68"/>
  <c r="Z39" i="68"/>
  <c r="X39" i="68"/>
  <c r="N39" i="68"/>
  <c r="L39" i="68"/>
  <c r="B39" i="68"/>
  <c r="Z38" i="68"/>
  <c r="X38" i="68"/>
  <c r="V38" i="68"/>
  <c r="N38" i="68"/>
  <c r="L38" i="68"/>
  <c r="B38" i="68"/>
  <c r="Z37" i="68"/>
  <c r="X37" i="68"/>
  <c r="V37" i="68"/>
  <c r="L37" i="68"/>
  <c r="N37" i="68" s="1"/>
  <c r="B37" i="68"/>
  <c r="X36" i="68"/>
  <c r="Z36" i="68" s="1"/>
  <c r="N36" i="68"/>
  <c r="L36" i="68"/>
  <c r="F36" i="68"/>
  <c r="B36" i="68"/>
  <c r="Z35" i="68"/>
  <c r="X35" i="68"/>
  <c r="N35" i="68"/>
  <c r="L35" i="68"/>
  <c r="B35" i="68"/>
  <c r="Z34" i="68"/>
  <c r="X34" i="68"/>
  <c r="V34" i="68"/>
  <c r="N34" i="68"/>
  <c r="L34" i="68"/>
  <c r="B34" i="68"/>
  <c r="Z33" i="68"/>
  <c r="X33" i="68"/>
  <c r="V33" i="68"/>
  <c r="L33" i="68"/>
  <c r="N33" i="68" s="1"/>
  <c r="B33" i="68"/>
  <c r="Z32" i="68"/>
  <c r="X32" i="68"/>
  <c r="N32" i="68"/>
  <c r="L32" i="68"/>
  <c r="F32" i="68"/>
  <c r="B32" i="68"/>
  <c r="X31" i="68"/>
  <c r="Z31" i="68" s="1"/>
  <c r="V31" i="68"/>
  <c r="N31" i="68"/>
  <c r="L31" i="68"/>
  <c r="B31" i="68"/>
  <c r="X30" i="68"/>
  <c r="Z30" i="68" s="1"/>
  <c r="V30" i="68"/>
  <c r="L30" i="68"/>
  <c r="N30" i="68" s="1"/>
  <c r="F30" i="68"/>
  <c r="B30" i="68"/>
  <c r="V29" i="68"/>
  <c r="T29" i="68"/>
  <c r="R29" i="68"/>
  <c r="P29" i="68"/>
  <c r="X29" i="68" s="1"/>
  <c r="Z29" i="68" s="1"/>
  <c r="H29" i="68"/>
  <c r="F29" i="68"/>
  <c r="D29" i="68"/>
  <c r="B29" i="68"/>
  <c r="Z28" i="68"/>
  <c r="X28" i="68"/>
  <c r="V28" i="68"/>
  <c r="R28" i="68"/>
  <c r="N28" i="68"/>
  <c r="L28" i="68"/>
  <c r="B28" i="68"/>
  <c r="Z27" i="68"/>
  <c r="X27" i="68"/>
  <c r="V27" i="68"/>
  <c r="N27" i="68"/>
  <c r="L27" i="68"/>
  <c r="J27" i="68"/>
  <c r="F27" i="68"/>
  <c r="B27" i="68"/>
  <c r="X26" i="68"/>
  <c r="Z26" i="68" s="1"/>
  <c r="V26" i="68"/>
  <c r="L26" i="68"/>
  <c r="N26" i="68" s="1"/>
  <c r="F26" i="68"/>
  <c r="B26" i="68"/>
  <c r="Z25" i="68"/>
  <c r="X25" i="68"/>
  <c r="V25" i="68"/>
  <c r="N25" i="68"/>
  <c r="L25" i="68"/>
  <c r="B25" i="68"/>
  <c r="X24" i="68"/>
  <c r="Z24" i="68" s="1"/>
  <c r="V24" i="68"/>
  <c r="R24" i="68"/>
  <c r="N24" i="68"/>
  <c r="L24" i="68"/>
  <c r="B24" i="68"/>
  <c r="Z23" i="68"/>
  <c r="X23" i="68"/>
  <c r="V23" i="68"/>
  <c r="N23" i="68"/>
  <c r="L23" i="68"/>
  <c r="F23" i="68"/>
  <c r="B23" i="68"/>
  <c r="X22" i="68"/>
  <c r="Z22" i="68" s="1"/>
  <c r="V22" i="68"/>
  <c r="L22" i="68"/>
  <c r="N22" i="68" s="1"/>
  <c r="F22" i="68"/>
  <c r="B22" i="68"/>
  <c r="X21" i="68"/>
  <c r="Z21" i="68" s="1"/>
  <c r="V21" i="68"/>
  <c r="L21" i="68"/>
  <c r="N21" i="68" s="1"/>
  <c r="B21" i="68"/>
  <c r="X20" i="68"/>
  <c r="Z20" i="68" s="1"/>
  <c r="V20" i="68"/>
  <c r="R20" i="68"/>
  <c r="N20" i="68"/>
  <c r="L20" i="68"/>
  <c r="B20" i="68"/>
  <c r="V19" i="68"/>
  <c r="T19" i="68"/>
  <c r="P19" i="68"/>
  <c r="X19" i="68" s="1"/>
  <c r="Z19" i="68" s="1"/>
  <c r="L19" i="68"/>
  <c r="N19" i="68" s="1"/>
  <c r="H19" i="68"/>
  <c r="D19" i="68"/>
  <c r="B19" i="68"/>
  <c r="T18" i="68"/>
  <c r="P18" i="68"/>
  <c r="X18" i="68" s="1"/>
  <c r="N18" i="68"/>
  <c r="H18" i="68"/>
  <c r="F18" i="68"/>
  <c r="D18" i="68"/>
  <c r="L18" i="68" s="1"/>
  <c r="P16" i="68"/>
  <c r="F16" i="68"/>
  <c r="T14" i="68"/>
  <c r="Z14" i="68" s="1"/>
  <c r="P14" i="68"/>
  <c r="X14" i="68" s="1"/>
  <c r="N14" i="68"/>
  <c r="H14" i="68"/>
  <c r="F14" i="68"/>
  <c r="D14" i="68"/>
  <c r="L14" i="68" s="1"/>
  <c r="Z12" i="68"/>
  <c r="T12" i="68"/>
  <c r="V72" i="68" s="1"/>
  <c r="P12" i="68"/>
  <c r="R38" i="68" s="1"/>
  <c r="H12" i="68"/>
  <c r="D12" i="68"/>
  <c r="F54" i="68" s="1"/>
  <c r="D6" i="68"/>
  <c r="D4" i="68"/>
  <c r="F29" i="65"/>
  <c r="F26" i="65"/>
  <c r="Z24" i="65"/>
  <c r="X24" i="65"/>
  <c r="R24" i="65"/>
  <c r="N24" i="65"/>
  <c r="L24" i="65"/>
  <c r="F24" i="65"/>
  <c r="V22" i="65"/>
  <c r="X20" i="65"/>
  <c r="V20" i="65"/>
  <c r="T20" i="65"/>
  <c r="Z20" i="65" s="1"/>
  <c r="P20" i="65"/>
  <c r="N20" i="65"/>
  <c r="H20" i="65"/>
  <c r="D20" i="65"/>
  <c r="L20" i="65" s="1"/>
  <c r="X18" i="65"/>
  <c r="V18" i="65"/>
  <c r="T18" i="65"/>
  <c r="Z18" i="65" s="1"/>
  <c r="P18" i="65"/>
  <c r="N18" i="65"/>
  <c r="H18" i="65"/>
  <c r="D18" i="65"/>
  <c r="L18" i="65" s="1"/>
  <c r="V16" i="65"/>
  <c r="X14" i="65"/>
  <c r="T14" i="65"/>
  <c r="Z14" i="65" s="1"/>
  <c r="P14" i="65"/>
  <c r="P16" i="65" s="1"/>
  <c r="N14" i="65"/>
  <c r="H14" i="65"/>
  <c r="D14" i="65"/>
  <c r="L14" i="65" s="1"/>
  <c r="X12" i="65"/>
  <c r="T12" i="65"/>
  <c r="V14" i="65" s="1"/>
  <c r="P12" i="65"/>
  <c r="R22" i="65" s="1"/>
  <c r="L12" i="65"/>
  <c r="H12" i="65"/>
  <c r="N12" i="65" s="1"/>
  <c r="D12" i="65"/>
  <c r="F22" i="65" s="1"/>
  <c r="D6" i="65"/>
  <c r="D4" i="65"/>
  <c r="R115" i="64"/>
  <c r="Z110" i="64"/>
  <c r="X110" i="64"/>
  <c r="R110" i="64"/>
  <c r="N110" i="64"/>
  <c r="L110" i="64"/>
  <c r="J108" i="64"/>
  <c r="X106" i="64"/>
  <c r="Z106" i="64" s="1"/>
  <c r="P106" i="64"/>
  <c r="J106" i="64"/>
  <c r="D106" i="64"/>
  <c r="L106" i="64" s="1"/>
  <c r="N106" i="64" s="1"/>
  <c r="B106" i="64"/>
  <c r="Z105" i="64"/>
  <c r="P105" i="64"/>
  <c r="X105" i="64" s="1"/>
  <c r="N105" i="64"/>
  <c r="D105" i="64"/>
  <c r="L105" i="64" s="1"/>
  <c r="B105" i="64"/>
  <c r="X104" i="64"/>
  <c r="Z104" i="64" s="1"/>
  <c r="P104" i="64"/>
  <c r="J104" i="64"/>
  <c r="D104" i="64"/>
  <c r="L104" i="64" s="1"/>
  <c r="N104" i="64" s="1"/>
  <c r="B104" i="64"/>
  <c r="P103" i="64"/>
  <c r="X103" i="64" s="1"/>
  <c r="Z103" i="64" s="1"/>
  <c r="L103" i="64"/>
  <c r="N103" i="64" s="1"/>
  <c r="D103" i="64"/>
  <c r="B103" i="64"/>
  <c r="T102" i="64"/>
  <c r="H102" i="64"/>
  <c r="D102" i="64"/>
  <c r="L102" i="64" s="1"/>
  <c r="Z100" i="64"/>
  <c r="X100" i="64"/>
  <c r="L100" i="64"/>
  <c r="N100" i="64" s="1"/>
  <c r="B100" i="64"/>
  <c r="T99" i="64"/>
  <c r="Z99" i="64" s="1"/>
  <c r="P99" i="64"/>
  <c r="X99" i="64" s="1"/>
  <c r="N99" i="64"/>
  <c r="L99" i="64"/>
  <c r="H99" i="64"/>
  <c r="D99" i="64"/>
  <c r="B99" i="64"/>
  <c r="Z98" i="64"/>
  <c r="X98" i="64"/>
  <c r="N98" i="64"/>
  <c r="L98" i="64"/>
  <c r="B98" i="64"/>
  <c r="Z97" i="64"/>
  <c r="X97" i="64"/>
  <c r="N97" i="64"/>
  <c r="L97" i="64"/>
  <c r="B97" i="64"/>
  <c r="Z96" i="64"/>
  <c r="X96" i="64"/>
  <c r="N96" i="64"/>
  <c r="L96" i="64"/>
  <c r="B96" i="64"/>
  <c r="T95" i="64"/>
  <c r="Z95" i="64" s="1"/>
  <c r="P95" i="64"/>
  <c r="X95" i="64" s="1"/>
  <c r="N95" i="64"/>
  <c r="J95" i="64"/>
  <c r="H95" i="64"/>
  <c r="F95" i="64"/>
  <c r="D95" i="64"/>
  <c r="L95" i="64" s="1"/>
  <c r="B95" i="64"/>
  <c r="X94" i="64"/>
  <c r="Z94" i="64" s="1"/>
  <c r="L94" i="64"/>
  <c r="N94" i="64" s="1"/>
  <c r="B94" i="64"/>
  <c r="Z93" i="64"/>
  <c r="X93" i="64"/>
  <c r="T93" i="64"/>
  <c r="P93" i="64"/>
  <c r="H93" i="64"/>
  <c r="F93" i="64"/>
  <c r="D93" i="64"/>
  <c r="L93" i="64" s="1"/>
  <c r="N93" i="64" s="1"/>
  <c r="B93" i="64"/>
  <c r="Z92" i="64"/>
  <c r="X92" i="64"/>
  <c r="L92" i="64"/>
  <c r="N92" i="64" s="1"/>
  <c r="B92" i="64"/>
  <c r="Z91" i="64"/>
  <c r="T91" i="64"/>
  <c r="X91" i="64" s="1"/>
  <c r="P91" i="64"/>
  <c r="N91" i="64"/>
  <c r="L91" i="64"/>
  <c r="H91" i="64"/>
  <c r="D91" i="64"/>
  <c r="B91" i="64"/>
  <c r="X90" i="64"/>
  <c r="Z90" i="64" s="1"/>
  <c r="L90" i="64"/>
  <c r="N90" i="64" s="1"/>
  <c r="B90" i="64"/>
  <c r="Z89" i="64"/>
  <c r="X89" i="64"/>
  <c r="V89" i="64"/>
  <c r="L89" i="64"/>
  <c r="N89" i="64" s="1"/>
  <c r="B89" i="64"/>
  <c r="Z88" i="64"/>
  <c r="X88" i="64"/>
  <c r="N88" i="64"/>
  <c r="L88" i="64"/>
  <c r="B88" i="64"/>
  <c r="Z87" i="64"/>
  <c r="X87" i="64"/>
  <c r="N87" i="64"/>
  <c r="L87" i="64"/>
  <c r="B87" i="64"/>
  <c r="Z86" i="64"/>
  <c r="X86" i="64"/>
  <c r="N86" i="64"/>
  <c r="L86" i="64"/>
  <c r="B86" i="64"/>
  <c r="Z85" i="64"/>
  <c r="X85" i="64"/>
  <c r="N85" i="64"/>
  <c r="L85" i="64"/>
  <c r="B85" i="64"/>
  <c r="T84" i="64"/>
  <c r="P84" i="64"/>
  <c r="X84" i="64" s="1"/>
  <c r="L84" i="64"/>
  <c r="J84" i="64"/>
  <c r="H84" i="64"/>
  <c r="N84" i="64" s="1"/>
  <c r="D84" i="64"/>
  <c r="B84" i="64"/>
  <c r="Z83" i="64"/>
  <c r="X83" i="64"/>
  <c r="N83" i="64"/>
  <c r="L83" i="64"/>
  <c r="J83" i="64"/>
  <c r="B83" i="64"/>
  <c r="X82" i="64"/>
  <c r="Z82" i="64" s="1"/>
  <c r="L82" i="64"/>
  <c r="N82" i="64" s="1"/>
  <c r="B82" i="64"/>
  <c r="Z81" i="64"/>
  <c r="X81" i="64"/>
  <c r="T81" i="64"/>
  <c r="P81" i="64"/>
  <c r="H81" i="64"/>
  <c r="F81" i="64"/>
  <c r="D81" i="64"/>
  <c r="L81" i="64" s="1"/>
  <c r="N81" i="64" s="1"/>
  <c r="B81" i="64"/>
  <c r="Z80" i="64"/>
  <c r="X80" i="64"/>
  <c r="N80" i="64"/>
  <c r="L80" i="64"/>
  <c r="B80" i="64"/>
  <c r="Z79" i="64"/>
  <c r="X79" i="64"/>
  <c r="V79" i="64"/>
  <c r="R79" i="64"/>
  <c r="N79" i="64"/>
  <c r="L79" i="64"/>
  <c r="B79" i="64"/>
  <c r="Z78" i="64"/>
  <c r="X78" i="64"/>
  <c r="R78" i="64"/>
  <c r="N78" i="64"/>
  <c r="L78" i="64"/>
  <c r="J78" i="64"/>
  <c r="B78" i="64"/>
  <c r="Z77" i="64"/>
  <c r="X77" i="64"/>
  <c r="T77" i="64"/>
  <c r="P77" i="64"/>
  <c r="N77" i="64"/>
  <c r="J77" i="64"/>
  <c r="H77" i="64"/>
  <c r="L77" i="64" s="1"/>
  <c r="D77" i="64"/>
  <c r="B77" i="64"/>
  <c r="Z76" i="64"/>
  <c r="X76" i="64"/>
  <c r="L76" i="64"/>
  <c r="N76" i="64" s="1"/>
  <c r="B76" i="64"/>
  <c r="Z75" i="64"/>
  <c r="X75" i="64"/>
  <c r="N75" i="64"/>
  <c r="L75" i="64"/>
  <c r="B75" i="64"/>
  <c r="Z74" i="64"/>
  <c r="X74" i="64"/>
  <c r="V74" i="64"/>
  <c r="N74" i="64"/>
  <c r="L74" i="64"/>
  <c r="B74" i="64"/>
  <c r="Z73" i="64"/>
  <c r="X73" i="64"/>
  <c r="N73" i="64"/>
  <c r="L73" i="64"/>
  <c r="B73" i="64"/>
  <c r="T72" i="64"/>
  <c r="Z72" i="64" s="1"/>
  <c r="P72" i="64"/>
  <c r="X72" i="64" s="1"/>
  <c r="L72" i="64"/>
  <c r="N72" i="64" s="1"/>
  <c r="J72" i="64"/>
  <c r="H72" i="64"/>
  <c r="D72" i="64"/>
  <c r="B72" i="64"/>
  <c r="Z71" i="64"/>
  <c r="X71" i="64"/>
  <c r="N71" i="64"/>
  <c r="L71" i="64"/>
  <c r="J71" i="64"/>
  <c r="B71" i="64"/>
  <c r="X70" i="64"/>
  <c r="T70" i="64"/>
  <c r="Z70" i="64" s="1"/>
  <c r="P70" i="64"/>
  <c r="H70" i="64"/>
  <c r="F70" i="64"/>
  <c r="D70" i="64"/>
  <c r="B70" i="64"/>
  <c r="Z69" i="64"/>
  <c r="X69" i="64"/>
  <c r="N69" i="64"/>
  <c r="L69" i="64"/>
  <c r="J69" i="64"/>
  <c r="B69" i="64"/>
  <c r="T68" i="64"/>
  <c r="P68" i="64"/>
  <c r="X68" i="64" s="1"/>
  <c r="Z68" i="64" s="1"/>
  <c r="H68" i="64"/>
  <c r="D68" i="64"/>
  <c r="B68" i="64"/>
  <c r="Z67" i="64"/>
  <c r="X67" i="64"/>
  <c r="N67" i="64"/>
  <c r="L67" i="64"/>
  <c r="B67" i="64"/>
  <c r="X66" i="64"/>
  <c r="T66" i="64"/>
  <c r="Z66" i="64" s="1"/>
  <c r="P66" i="64"/>
  <c r="H66" i="64"/>
  <c r="N66" i="64" s="1"/>
  <c r="D66" i="64"/>
  <c r="L66" i="64" s="1"/>
  <c r="B66" i="64"/>
  <c r="Z65" i="64"/>
  <c r="X65" i="64"/>
  <c r="N65" i="64"/>
  <c r="L65" i="64"/>
  <c r="B65" i="64"/>
  <c r="X64" i="64"/>
  <c r="T64" i="64"/>
  <c r="R64" i="64"/>
  <c r="P64" i="64"/>
  <c r="L64" i="64"/>
  <c r="H64" i="64"/>
  <c r="N64" i="64" s="1"/>
  <c r="D64" i="64"/>
  <c r="B64" i="64"/>
  <c r="Z63" i="64"/>
  <c r="X63" i="64"/>
  <c r="R63" i="64"/>
  <c r="N63" i="64"/>
  <c r="L63" i="64"/>
  <c r="B63" i="64"/>
  <c r="T62" i="64"/>
  <c r="P62" i="64"/>
  <c r="X62" i="64" s="1"/>
  <c r="H62" i="64"/>
  <c r="D62" i="64"/>
  <c r="L62" i="64" s="1"/>
  <c r="N62" i="64" s="1"/>
  <c r="B62" i="64"/>
  <c r="Z61" i="64"/>
  <c r="X61" i="64"/>
  <c r="V61" i="64"/>
  <c r="N61" i="64"/>
  <c r="L61" i="64"/>
  <c r="B61" i="64"/>
  <c r="T60" i="64"/>
  <c r="P60" i="64"/>
  <c r="X60" i="64" s="1"/>
  <c r="L60" i="64"/>
  <c r="J60" i="64"/>
  <c r="H60" i="64"/>
  <c r="N60" i="64" s="1"/>
  <c r="D60" i="64"/>
  <c r="B60" i="64"/>
  <c r="Z59" i="64"/>
  <c r="X59" i="64"/>
  <c r="N59" i="64"/>
  <c r="L59" i="64"/>
  <c r="J59" i="64"/>
  <c r="F59" i="64"/>
  <c r="B59" i="64"/>
  <c r="X58" i="64"/>
  <c r="T58" i="64"/>
  <c r="Z58" i="64" s="1"/>
  <c r="P58" i="64"/>
  <c r="H58" i="64"/>
  <c r="D58" i="64"/>
  <c r="B58" i="64"/>
  <c r="Z57" i="64"/>
  <c r="X57" i="64"/>
  <c r="N57" i="64"/>
  <c r="L57" i="64"/>
  <c r="J57" i="64"/>
  <c r="B57" i="64"/>
  <c r="Z56" i="64"/>
  <c r="X56" i="64"/>
  <c r="N56" i="64"/>
  <c r="L56" i="64"/>
  <c r="B56" i="64"/>
  <c r="T55" i="64"/>
  <c r="P55" i="64"/>
  <c r="X55" i="64" s="1"/>
  <c r="N55" i="64"/>
  <c r="L55" i="64"/>
  <c r="H55" i="64"/>
  <c r="D55" i="64"/>
  <c r="B55" i="64"/>
  <c r="Z54" i="64"/>
  <c r="X54" i="64"/>
  <c r="V54" i="64"/>
  <c r="N54" i="64"/>
  <c r="L54" i="64"/>
  <c r="B54" i="64"/>
  <c r="Z53" i="64"/>
  <c r="X53" i="64"/>
  <c r="L53" i="64"/>
  <c r="N53" i="64" s="1"/>
  <c r="B53" i="64"/>
  <c r="T52" i="64"/>
  <c r="Z52" i="64" s="1"/>
  <c r="P52" i="64"/>
  <c r="X52" i="64" s="1"/>
  <c r="L52" i="64"/>
  <c r="J52" i="64"/>
  <c r="H52" i="64"/>
  <c r="D52" i="64"/>
  <c r="B52" i="64"/>
  <c r="Z51" i="64"/>
  <c r="X51" i="64"/>
  <c r="N51" i="64"/>
  <c r="L51" i="64"/>
  <c r="J51" i="64"/>
  <c r="B51" i="64"/>
  <c r="X50" i="64"/>
  <c r="Z50" i="64" s="1"/>
  <c r="L50" i="64"/>
  <c r="N50" i="64" s="1"/>
  <c r="B50" i="64"/>
  <c r="Z49" i="64"/>
  <c r="X49" i="64"/>
  <c r="N49" i="64"/>
  <c r="L49" i="64"/>
  <c r="B49" i="64"/>
  <c r="X48" i="64"/>
  <c r="Z48" i="64" s="1"/>
  <c r="R48" i="64"/>
  <c r="N48" i="64"/>
  <c r="L48" i="64"/>
  <c r="B48" i="64"/>
  <c r="T47" i="64"/>
  <c r="R47" i="64"/>
  <c r="P47" i="64"/>
  <c r="X47" i="64" s="1"/>
  <c r="Z47" i="64" s="1"/>
  <c r="N47" i="64"/>
  <c r="L47" i="64"/>
  <c r="H47" i="64"/>
  <c r="D47" i="64"/>
  <c r="B47" i="64"/>
  <c r="X46" i="64"/>
  <c r="Z46" i="64" s="1"/>
  <c r="R46" i="64"/>
  <c r="L46" i="64"/>
  <c r="N46" i="64" s="1"/>
  <c r="J46" i="64"/>
  <c r="B46" i="64"/>
  <c r="Z45" i="64"/>
  <c r="X45" i="64"/>
  <c r="T45" i="64"/>
  <c r="P45" i="64"/>
  <c r="J45" i="64"/>
  <c r="H45" i="64"/>
  <c r="D45" i="64"/>
  <c r="L45" i="64" s="1"/>
  <c r="N45" i="64" s="1"/>
  <c r="B45" i="64"/>
  <c r="Z44" i="64"/>
  <c r="X44" i="64"/>
  <c r="N44" i="64"/>
  <c r="L44" i="64"/>
  <c r="F44" i="64"/>
  <c r="B44" i="64"/>
  <c r="X43" i="64"/>
  <c r="Z43" i="64" s="1"/>
  <c r="N43" i="64"/>
  <c r="L43" i="64"/>
  <c r="B43" i="64"/>
  <c r="X42" i="64"/>
  <c r="V42" i="64"/>
  <c r="T42" i="64"/>
  <c r="Z42" i="64" s="1"/>
  <c r="P42" i="64"/>
  <c r="H42" i="64"/>
  <c r="D42" i="64"/>
  <c r="L42" i="64" s="1"/>
  <c r="N42" i="64" s="1"/>
  <c r="B42" i="64"/>
  <c r="Z41" i="64"/>
  <c r="X41" i="64"/>
  <c r="N41" i="64"/>
  <c r="L41" i="64"/>
  <c r="B41" i="64"/>
  <c r="X40" i="64"/>
  <c r="T40" i="64"/>
  <c r="R40" i="64"/>
  <c r="P40" i="64"/>
  <c r="L40" i="64"/>
  <c r="H40" i="64"/>
  <c r="N40" i="64" s="1"/>
  <c r="D40" i="64"/>
  <c r="B40" i="64"/>
  <c r="Z39" i="64"/>
  <c r="X39" i="64"/>
  <c r="N39" i="64"/>
  <c r="L39" i="64"/>
  <c r="J39" i="64"/>
  <c r="B39" i="64"/>
  <c r="Z38" i="64"/>
  <c r="X38" i="64"/>
  <c r="R38" i="64"/>
  <c r="N38" i="64"/>
  <c r="L38" i="64"/>
  <c r="J38" i="64"/>
  <c r="B38" i="64"/>
  <c r="Z37" i="64"/>
  <c r="X37" i="64"/>
  <c r="N37" i="64"/>
  <c r="L37" i="64"/>
  <c r="J37" i="64"/>
  <c r="B37" i="64"/>
  <c r="Z36" i="64"/>
  <c r="X36" i="64"/>
  <c r="N36" i="64"/>
  <c r="L36" i="64"/>
  <c r="B36" i="64"/>
  <c r="Z35" i="64"/>
  <c r="X35" i="64"/>
  <c r="V35" i="64"/>
  <c r="R35" i="64"/>
  <c r="N35" i="64"/>
  <c r="L35" i="64"/>
  <c r="J35" i="64"/>
  <c r="B35" i="64"/>
  <c r="Z34" i="64"/>
  <c r="X34" i="64"/>
  <c r="N34" i="64"/>
  <c r="L34" i="64"/>
  <c r="J34" i="64"/>
  <c r="B34" i="64"/>
  <c r="Z33" i="64"/>
  <c r="X33" i="64"/>
  <c r="N33" i="64"/>
  <c r="L33" i="64"/>
  <c r="J33" i="64"/>
  <c r="B33" i="64"/>
  <c r="Z32" i="64"/>
  <c r="X32" i="64"/>
  <c r="N32" i="64"/>
  <c r="L32" i="64"/>
  <c r="B32" i="64"/>
  <c r="Z31" i="64"/>
  <c r="X31" i="64"/>
  <c r="L31" i="64"/>
  <c r="N31" i="64" s="1"/>
  <c r="J31" i="64"/>
  <c r="B31" i="64"/>
  <c r="X30" i="64"/>
  <c r="Z30" i="64" s="1"/>
  <c r="L30" i="64"/>
  <c r="N30" i="64" s="1"/>
  <c r="J30" i="64"/>
  <c r="B30" i="64"/>
  <c r="Z29" i="64"/>
  <c r="X29" i="64"/>
  <c r="T29" i="64"/>
  <c r="P29" i="64"/>
  <c r="J29" i="64"/>
  <c r="H29" i="64"/>
  <c r="D29" i="64"/>
  <c r="B29" i="64"/>
  <c r="Z28" i="64"/>
  <c r="X28" i="64"/>
  <c r="L28" i="64"/>
  <c r="N28" i="64" s="1"/>
  <c r="B28" i="64"/>
  <c r="X27" i="64"/>
  <c r="Z27" i="64" s="1"/>
  <c r="N27" i="64"/>
  <c r="L27" i="64"/>
  <c r="J27" i="64"/>
  <c r="B27" i="64"/>
  <c r="X26" i="64"/>
  <c r="Z26" i="64" s="1"/>
  <c r="L26" i="64"/>
  <c r="N26" i="64" s="1"/>
  <c r="J26" i="64"/>
  <c r="B26" i="64"/>
  <c r="Z25" i="64"/>
  <c r="X25" i="64"/>
  <c r="N25" i="64"/>
  <c r="L25" i="64"/>
  <c r="B25" i="64"/>
  <c r="Z24" i="64"/>
  <c r="X24" i="64"/>
  <c r="L24" i="64"/>
  <c r="N24" i="64" s="1"/>
  <c r="B24" i="64"/>
  <c r="X23" i="64"/>
  <c r="Z23" i="64" s="1"/>
  <c r="V23" i="64"/>
  <c r="N23" i="64"/>
  <c r="L23" i="64"/>
  <c r="J23" i="64"/>
  <c r="B23" i="64"/>
  <c r="X22" i="64"/>
  <c r="Z22" i="64" s="1"/>
  <c r="L22" i="64"/>
  <c r="N22" i="64" s="1"/>
  <c r="J22" i="64"/>
  <c r="B22" i="64"/>
  <c r="Z21" i="64"/>
  <c r="X21" i="64"/>
  <c r="L21" i="64"/>
  <c r="N21" i="64" s="1"/>
  <c r="B21" i="64"/>
  <c r="Z20" i="64"/>
  <c r="X20" i="64"/>
  <c r="L20" i="64"/>
  <c r="N20" i="64" s="1"/>
  <c r="B20" i="64"/>
  <c r="V19" i="64"/>
  <c r="T19" i="64"/>
  <c r="R19" i="64"/>
  <c r="P19" i="64"/>
  <c r="J19" i="64"/>
  <c r="H19" i="64"/>
  <c r="F19" i="64"/>
  <c r="D19" i="64"/>
  <c r="L19" i="64" s="1"/>
  <c r="N19" i="64" s="1"/>
  <c r="B19" i="64"/>
  <c r="X18" i="64"/>
  <c r="T18" i="64"/>
  <c r="P18" i="64"/>
  <c r="H18" i="64"/>
  <c r="D18" i="64"/>
  <c r="V16" i="64"/>
  <c r="T16" i="64"/>
  <c r="X14" i="64"/>
  <c r="V14" i="64"/>
  <c r="T14" i="64"/>
  <c r="Z14" i="64" s="1"/>
  <c r="P14" i="64"/>
  <c r="H14" i="64"/>
  <c r="F14" i="64"/>
  <c r="D14" i="64"/>
  <c r="T12" i="64"/>
  <c r="V99" i="64" s="1"/>
  <c r="P12" i="64"/>
  <c r="R23" i="64" s="1"/>
  <c r="H12" i="64"/>
  <c r="J97" i="64" s="1"/>
  <c r="D12" i="64"/>
  <c r="F18" i="64" s="1"/>
  <c r="D6" i="64"/>
  <c r="D4" i="64"/>
  <c r="J69" i="61"/>
  <c r="J66" i="61"/>
  <c r="Z64" i="61"/>
  <c r="X64" i="61"/>
  <c r="N64" i="61"/>
  <c r="L64" i="61"/>
  <c r="J64" i="61"/>
  <c r="F64" i="61"/>
  <c r="F62" i="61"/>
  <c r="Z60" i="61"/>
  <c r="T60" i="61"/>
  <c r="P60" i="61"/>
  <c r="X60" i="61" s="1"/>
  <c r="N60" i="61"/>
  <c r="H60" i="61"/>
  <c r="F60" i="61"/>
  <c r="D60" i="61"/>
  <c r="L60" i="61" s="1"/>
  <c r="Z58" i="61"/>
  <c r="X58" i="61"/>
  <c r="L58" i="61"/>
  <c r="N58" i="61" s="1"/>
  <c r="F58" i="61"/>
  <c r="B58" i="61"/>
  <c r="T57" i="61"/>
  <c r="P57" i="61"/>
  <c r="J57" i="61"/>
  <c r="H57" i="61"/>
  <c r="F57" i="61"/>
  <c r="D57" i="61"/>
  <c r="B57" i="61"/>
  <c r="X56" i="61"/>
  <c r="Z56" i="61" s="1"/>
  <c r="L56" i="61"/>
  <c r="N56" i="61" s="1"/>
  <c r="F56" i="61"/>
  <c r="B56" i="61"/>
  <c r="T55" i="61"/>
  <c r="P55" i="61"/>
  <c r="H55" i="61"/>
  <c r="N55" i="61" s="1"/>
  <c r="F55" i="61"/>
  <c r="D55" i="61"/>
  <c r="L55" i="61" s="1"/>
  <c r="B55" i="61"/>
  <c r="Z54" i="61"/>
  <c r="X54" i="61"/>
  <c r="V54" i="61"/>
  <c r="N54" i="61"/>
  <c r="L54" i="61"/>
  <c r="B54" i="61"/>
  <c r="T53" i="61"/>
  <c r="P53" i="61"/>
  <c r="X53" i="61" s="1"/>
  <c r="Z53" i="61" s="1"/>
  <c r="N53" i="61"/>
  <c r="L53" i="61"/>
  <c r="H53" i="61"/>
  <c r="D53" i="61"/>
  <c r="B53" i="61"/>
  <c r="Z52" i="61"/>
  <c r="X52" i="61"/>
  <c r="N52" i="61"/>
  <c r="L52" i="61"/>
  <c r="J52" i="61"/>
  <c r="B52" i="61"/>
  <c r="Z51" i="61"/>
  <c r="X51" i="61"/>
  <c r="N51" i="61"/>
  <c r="L51" i="61"/>
  <c r="F51" i="61"/>
  <c r="B51" i="61"/>
  <c r="Z50" i="61"/>
  <c r="T50" i="61"/>
  <c r="P50" i="61"/>
  <c r="X50" i="61" s="1"/>
  <c r="H50" i="61"/>
  <c r="F50" i="61"/>
  <c r="D50" i="61"/>
  <c r="L50" i="61" s="1"/>
  <c r="N50" i="61" s="1"/>
  <c r="B50" i="61"/>
  <c r="X49" i="61"/>
  <c r="Z49" i="61" s="1"/>
  <c r="N49" i="61"/>
  <c r="L49" i="61"/>
  <c r="J49" i="61"/>
  <c r="B49" i="61"/>
  <c r="Z48" i="61"/>
  <c r="X48" i="61"/>
  <c r="T48" i="61"/>
  <c r="P48" i="61"/>
  <c r="J48" i="61"/>
  <c r="H48" i="61"/>
  <c r="D48" i="61"/>
  <c r="B48" i="61"/>
  <c r="Z47" i="61"/>
  <c r="X47" i="61"/>
  <c r="N47" i="61"/>
  <c r="L47" i="61"/>
  <c r="J47" i="61"/>
  <c r="B47" i="61"/>
  <c r="T46" i="61"/>
  <c r="Z46" i="61" s="1"/>
  <c r="P46" i="61"/>
  <c r="X46" i="61" s="1"/>
  <c r="H46" i="61"/>
  <c r="N46" i="61" s="1"/>
  <c r="D46" i="61"/>
  <c r="L46" i="61" s="1"/>
  <c r="B46" i="61"/>
  <c r="X45" i="61"/>
  <c r="Z45" i="61" s="1"/>
  <c r="L45" i="61"/>
  <c r="N45" i="61" s="1"/>
  <c r="J45" i="61"/>
  <c r="B45" i="61"/>
  <c r="T44" i="61"/>
  <c r="P44" i="61"/>
  <c r="X44" i="61" s="1"/>
  <c r="Z44" i="61" s="1"/>
  <c r="N44" i="61"/>
  <c r="H44" i="61"/>
  <c r="D44" i="61"/>
  <c r="L44" i="61" s="1"/>
  <c r="B44" i="61"/>
  <c r="Z43" i="61"/>
  <c r="X43" i="61"/>
  <c r="L43" i="61"/>
  <c r="N43" i="61" s="1"/>
  <c r="B43" i="61"/>
  <c r="T42" i="61"/>
  <c r="P42" i="61"/>
  <c r="N42" i="61"/>
  <c r="L42" i="61"/>
  <c r="J42" i="61"/>
  <c r="H42" i="61"/>
  <c r="D42" i="61"/>
  <c r="B42" i="61"/>
  <c r="Z41" i="61"/>
  <c r="X41" i="61"/>
  <c r="L41" i="61"/>
  <c r="N41" i="61" s="1"/>
  <c r="J41" i="61"/>
  <c r="F41" i="61"/>
  <c r="B41" i="61"/>
  <c r="T40" i="61"/>
  <c r="Z40" i="61" s="1"/>
  <c r="P40" i="61"/>
  <c r="X40" i="61" s="1"/>
  <c r="J40" i="61"/>
  <c r="H40" i="61"/>
  <c r="F40" i="61"/>
  <c r="D40" i="61"/>
  <c r="B40" i="61"/>
  <c r="Z39" i="61"/>
  <c r="X39" i="61"/>
  <c r="N39" i="61"/>
  <c r="L39" i="61"/>
  <c r="F39" i="61"/>
  <c r="B39" i="61"/>
  <c r="Z38" i="61"/>
  <c r="X38" i="61"/>
  <c r="N38" i="61"/>
  <c r="L38" i="61"/>
  <c r="J38" i="61"/>
  <c r="F38" i="61"/>
  <c r="B38" i="61"/>
  <c r="X37" i="61"/>
  <c r="Z37" i="61" s="1"/>
  <c r="N37" i="61"/>
  <c r="L37" i="61"/>
  <c r="J37" i="61"/>
  <c r="B37" i="61"/>
  <c r="X36" i="61"/>
  <c r="Z36" i="61" s="1"/>
  <c r="L36" i="61"/>
  <c r="N36" i="61" s="1"/>
  <c r="J36" i="61"/>
  <c r="B36" i="61"/>
  <c r="Z35" i="61"/>
  <c r="X35" i="61"/>
  <c r="N35" i="61"/>
  <c r="L35" i="61"/>
  <c r="F35" i="61"/>
  <c r="B35" i="61"/>
  <c r="Z34" i="61"/>
  <c r="X34" i="61"/>
  <c r="N34" i="61"/>
  <c r="L34" i="61"/>
  <c r="J34" i="61"/>
  <c r="F34" i="61"/>
  <c r="B34" i="61"/>
  <c r="X33" i="61"/>
  <c r="Z33" i="61" s="1"/>
  <c r="L33" i="61"/>
  <c r="N33" i="61" s="1"/>
  <c r="J33" i="61"/>
  <c r="B33" i="61"/>
  <c r="Z32" i="61"/>
  <c r="X32" i="61"/>
  <c r="N32" i="61"/>
  <c r="L32" i="61"/>
  <c r="J32" i="61"/>
  <c r="B32" i="61"/>
  <c r="Z31" i="61"/>
  <c r="X31" i="61"/>
  <c r="N31" i="61"/>
  <c r="L31" i="61"/>
  <c r="F31" i="61"/>
  <c r="B31" i="61"/>
  <c r="Z30" i="61"/>
  <c r="X30" i="61"/>
  <c r="L30" i="61"/>
  <c r="N30" i="61" s="1"/>
  <c r="J30" i="61"/>
  <c r="F30" i="61"/>
  <c r="B30" i="61"/>
  <c r="T29" i="61"/>
  <c r="P29" i="61"/>
  <c r="J29" i="61"/>
  <c r="H29" i="61"/>
  <c r="N29" i="61" s="1"/>
  <c r="F29" i="61"/>
  <c r="D29" i="61"/>
  <c r="L29" i="61" s="1"/>
  <c r="B29" i="61"/>
  <c r="Z28" i="61"/>
  <c r="X28" i="61"/>
  <c r="N28" i="61"/>
  <c r="L28" i="61"/>
  <c r="F28" i="61"/>
  <c r="B28" i="61"/>
  <c r="Z27" i="61"/>
  <c r="X27" i="61"/>
  <c r="L27" i="61"/>
  <c r="N27" i="61" s="1"/>
  <c r="B27" i="61"/>
  <c r="X26" i="61"/>
  <c r="Z26" i="61" s="1"/>
  <c r="N26" i="61"/>
  <c r="L26" i="61"/>
  <c r="J26" i="61"/>
  <c r="F26" i="61"/>
  <c r="B26" i="61"/>
  <c r="Z25" i="61"/>
  <c r="X25" i="61"/>
  <c r="N25" i="61"/>
  <c r="L25" i="61"/>
  <c r="J25" i="61"/>
  <c r="B25" i="61"/>
  <c r="X24" i="61"/>
  <c r="Z24" i="61" s="1"/>
  <c r="L24" i="61"/>
  <c r="N24" i="61" s="1"/>
  <c r="F24" i="61"/>
  <c r="B24" i="61"/>
  <c r="Z23" i="61"/>
  <c r="X23" i="61"/>
  <c r="L23" i="61"/>
  <c r="N23" i="61" s="1"/>
  <c r="B23" i="61"/>
  <c r="X22" i="61"/>
  <c r="Z22" i="61" s="1"/>
  <c r="N22" i="61"/>
  <c r="L22" i="61"/>
  <c r="J22" i="61"/>
  <c r="F22" i="61"/>
  <c r="B22" i="61"/>
  <c r="X21" i="61"/>
  <c r="Z21" i="61" s="1"/>
  <c r="N21" i="61"/>
  <c r="L21" i="61"/>
  <c r="J21" i="61"/>
  <c r="B21" i="61"/>
  <c r="Z20" i="61"/>
  <c r="X20" i="61"/>
  <c r="L20" i="61"/>
  <c r="N20" i="61" s="1"/>
  <c r="F20" i="61"/>
  <c r="B20" i="61"/>
  <c r="T19" i="61"/>
  <c r="P19" i="61"/>
  <c r="J19" i="61"/>
  <c r="H19" i="61"/>
  <c r="F19" i="61"/>
  <c r="D19" i="61"/>
  <c r="L19" i="61" s="1"/>
  <c r="N19" i="61" s="1"/>
  <c r="B19" i="61"/>
  <c r="T18" i="61"/>
  <c r="P18" i="61"/>
  <c r="X18" i="61" s="1"/>
  <c r="H18" i="61"/>
  <c r="N18" i="61" s="1"/>
  <c r="F18" i="61"/>
  <c r="D18" i="61"/>
  <c r="L18" i="61" s="1"/>
  <c r="V16" i="61"/>
  <c r="F16" i="61"/>
  <c r="T14" i="61"/>
  <c r="Z14" i="61" s="1"/>
  <c r="P14" i="61"/>
  <c r="H14" i="61"/>
  <c r="N14" i="61" s="1"/>
  <c r="F14" i="61"/>
  <c r="D14" i="61"/>
  <c r="L14" i="61" s="1"/>
  <c r="T12" i="61"/>
  <c r="V56" i="61" s="1"/>
  <c r="P12" i="61"/>
  <c r="N12" i="61"/>
  <c r="H12" i="61"/>
  <c r="J54" i="61" s="1"/>
  <c r="D12" i="61"/>
  <c r="F69" i="61" s="1"/>
  <c r="D6" i="61"/>
  <c r="D4" i="61"/>
  <c r="R65" i="60"/>
  <c r="Z63" i="60"/>
  <c r="X63" i="60"/>
  <c r="N63" i="60"/>
  <c r="L63" i="60"/>
  <c r="J63" i="60"/>
  <c r="J61" i="60"/>
  <c r="F61" i="60"/>
  <c r="T59" i="60"/>
  <c r="Z59" i="60" s="1"/>
  <c r="P59" i="60"/>
  <c r="X59" i="60" s="1"/>
  <c r="J59" i="60"/>
  <c r="H59" i="60"/>
  <c r="N59" i="60" s="1"/>
  <c r="F59" i="60"/>
  <c r="D59" i="60"/>
  <c r="Z57" i="60"/>
  <c r="X57" i="60"/>
  <c r="N57" i="60"/>
  <c r="L57" i="60"/>
  <c r="B57" i="60"/>
  <c r="Z56" i="60"/>
  <c r="X56" i="60"/>
  <c r="T56" i="60"/>
  <c r="P56" i="60"/>
  <c r="N56" i="60"/>
  <c r="J56" i="60"/>
  <c r="H56" i="60"/>
  <c r="D56" i="60"/>
  <c r="L56" i="60" s="1"/>
  <c r="B56" i="60"/>
  <c r="Z55" i="60"/>
  <c r="X55" i="60"/>
  <c r="L55" i="60"/>
  <c r="N55" i="60" s="1"/>
  <c r="F55" i="60"/>
  <c r="B55" i="60"/>
  <c r="X54" i="60"/>
  <c r="V54" i="60"/>
  <c r="T54" i="60"/>
  <c r="P54" i="60"/>
  <c r="J54" i="60"/>
  <c r="H54" i="60"/>
  <c r="N54" i="60" s="1"/>
  <c r="F54" i="60"/>
  <c r="D54" i="60"/>
  <c r="L54" i="60" s="1"/>
  <c r="B54" i="60"/>
  <c r="Z53" i="60"/>
  <c r="X53" i="60"/>
  <c r="V53" i="60"/>
  <c r="L53" i="60"/>
  <c r="N53" i="60" s="1"/>
  <c r="F53" i="60"/>
  <c r="B53" i="60"/>
  <c r="Z52" i="60"/>
  <c r="X52" i="60"/>
  <c r="N52" i="60"/>
  <c r="L52" i="60"/>
  <c r="B52" i="60"/>
  <c r="T51" i="60"/>
  <c r="P51" i="60"/>
  <c r="L51" i="60"/>
  <c r="N51" i="60" s="1"/>
  <c r="J51" i="60"/>
  <c r="H51" i="60"/>
  <c r="D51" i="60"/>
  <c r="B51" i="60"/>
  <c r="Z50" i="60"/>
  <c r="X50" i="60"/>
  <c r="L50" i="60"/>
  <c r="N50" i="60" s="1"/>
  <c r="J50" i="60"/>
  <c r="F50" i="60"/>
  <c r="B50" i="60"/>
  <c r="T49" i="60"/>
  <c r="P49" i="60"/>
  <c r="X49" i="60" s="1"/>
  <c r="J49" i="60"/>
  <c r="H49" i="60"/>
  <c r="F49" i="60"/>
  <c r="D49" i="60"/>
  <c r="B49" i="60"/>
  <c r="Z48" i="60"/>
  <c r="X48" i="60"/>
  <c r="N48" i="60"/>
  <c r="L48" i="60"/>
  <c r="F48" i="60"/>
  <c r="B48" i="60"/>
  <c r="Z47" i="60"/>
  <c r="X47" i="60"/>
  <c r="L47" i="60"/>
  <c r="N47" i="60" s="1"/>
  <c r="F47" i="60"/>
  <c r="B47" i="60"/>
  <c r="X46" i="60"/>
  <c r="V46" i="60"/>
  <c r="T46" i="60"/>
  <c r="P46" i="60"/>
  <c r="J46" i="60"/>
  <c r="H46" i="60"/>
  <c r="F46" i="60"/>
  <c r="D46" i="60"/>
  <c r="L46" i="60" s="1"/>
  <c r="B46" i="60"/>
  <c r="X45" i="60"/>
  <c r="Z45" i="60" s="1"/>
  <c r="N45" i="60"/>
  <c r="L45" i="60"/>
  <c r="F45" i="60"/>
  <c r="B45" i="60"/>
  <c r="T44" i="60"/>
  <c r="P44" i="60"/>
  <c r="X44" i="60" s="1"/>
  <c r="N44" i="60"/>
  <c r="H44" i="60"/>
  <c r="F44" i="60"/>
  <c r="D44" i="60"/>
  <c r="L44" i="60" s="1"/>
  <c r="B44" i="60"/>
  <c r="Z43" i="60"/>
  <c r="X43" i="60"/>
  <c r="V43" i="60"/>
  <c r="N43" i="60"/>
  <c r="L43" i="60"/>
  <c r="F43" i="60"/>
  <c r="B43" i="60"/>
  <c r="T42" i="60"/>
  <c r="P42" i="60"/>
  <c r="X42" i="60" s="1"/>
  <c r="Z42" i="60" s="1"/>
  <c r="N42" i="60"/>
  <c r="L42" i="60"/>
  <c r="H42" i="60"/>
  <c r="F42" i="60"/>
  <c r="D42" i="60"/>
  <c r="B42" i="60"/>
  <c r="X41" i="60"/>
  <c r="Z41" i="60" s="1"/>
  <c r="L41" i="60"/>
  <c r="N41" i="60" s="1"/>
  <c r="J41" i="60"/>
  <c r="F41" i="60"/>
  <c r="B41" i="60"/>
  <c r="T40" i="60"/>
  <c r="Z40" i="60" s="1"/>
  <c r="P40" i="60"/>
  <c r="X40" i="60" s="1"/>
  <c r="L40" i="60"/>
  <c r="J40" i="60"/>
  <c r="H40" i="60"/>
  <c r="F40" i="60"/>
  <c r="D40" i="60"/>
  <c r="B40" i="60"/>
  <c r="Z39" i="60"/>
  <c r="X39" i="60"/>
  <c r="N39" i="60"/>
  <c r="L39" i="60"/>
  <c r="J39" i="60"/>
  <c r="F39" i="60"/>
  <c r="B39" i="60"/>
  <c r="Z38" i="60"/>
  <c r="X38" i="60"/>
  <c r="N38" i="60"/>
  <c r="L38" i="60"/>
  <c r="J38" i="60"/>
  <c r="B38" i="60"/>
  <c r="Z37" i="60"/>
  <c r="X37" i="60"/>
  <c r="V37" i="60"/>
  <c r="N37" i="60"/>
  <c r="L37" i="60"/>
  <c r="F37" i="60"/>
  <c r="B37" i="60"/>
  <c r="Z36" i="60"/>
  <c r="X36" i="60"/>
  <c r="N36" i="60"/>
  <c r="L36" i="60"/>
  <c r="B36" i="60"/>
  <c r="Z35" i="60"/>
  <c r="X35" i="60"/>
  <c r="N35" i="60"/>
  <c r="L35" i="60"/>
  <c r="J35" i="60"/>
  <c r="F35" i="60"/>
  <c r="B35" i="60"/>
  <c r="Z34" i="60"/>
  <c r="X34" i="60"/>
  <c r="N34" i="60"/>
  <c r="L34" i="60"/>
  <c r="J34" i="60"/>
  <c r="B34" i="60"/>
  <c r="Z33" i="60"/>
  <c r="X33" i="60"/>
  <c r="N33" i="60"/>
  <c r="L33" i="60"/>
  <c r="F33" i="60"/>
  <c r="B33" i="60"/>
  <c r="Z32" i="60"/>
  <c r="X32" i="60"/>
  <c r="N32" i="60"/>
  <c r="L32" i="60"/>
  <c r="B32" i="60"/>
  <c r="X31" i="60"/>
  <c r="Z31" i="60" s="1"/>
  <c r="N31" i="60"/>
  <c r="L31" i="60"/>
  <c r="J31" i="60"/>
  <c r="F31" i="60"/>
  <c r="B31" i="60"/>
  <c r="Z30" i="60"/>
  <c r="X30" i="60"/>
  <c r="N30" i="60"/>
  <c r="L30" i="60"/>
  <c r="J30" i="60"/>
  <c r="B30" i="60"/>
  <c r="Z29" i="60"/>
  <c r="X29" i="60"/>
  <c r="V29" i="60"/>
  <c r="T29" i="60"/>
  <c r="P29" i="60"/>
  <c r="H29" i="60"/>
  <c r="D29" i="60"/>
  <c r="B29" i="60"/>
  <c r="X28" i="60"/>
  <c r="Z28" i="60" s="1"/>
  <c r="N28" i="60"/>
  <c r="L28" i="60"/>
  <c r="J28" i="60"/>
  <c r="F28" i="60"/>
  <c r="B28" i="60"/>
  <c r="Z27" i="60"/>
  <c r="X27" i="60"/>
  <c r="V27" i="60"/>
  <c r="N27" i="60"/>
  <c r="L27" i="60"/>
  <c r="F27" i="60"/>
  <c r="B27" i="60"/>
  <c r="Z26" i="60"/>
  <c r="X26" i="60"/>
  <c r="L26" i="60"/>
  <c r="N26" i="60" s="1"/>
  <c r="J26" i="60"/>
  <c r="F26" i="60"/>
  <c r="B26" i="60"/>
  <c r="Z25" i="60"/>
  <c r="X25" i="60"/>
  <c r="N25" i="60"/>
  <c r="L25" i="60"/>
  <c r="B25" i="60"/>
  <c r="X24" i="60"/>
  <c r="Z24" i="60" s="1"/>
  <c r="N24" i="60"/>
  <c r="L24" i="60"/>
  <c r="J24" i="60"/>
  <c r="F24" i="60"/>
  <c r="B24" i="60"/>
  <c r="Z23" i="60"/>
  <c r="X23" i="60"/>
  <c r="V23" i="60"/>
  <c r="R23" i="60"/>
  <c r="N23" i="60"/>
  <c r="L23" i="60"/>
  <c r="F23" i="60"/>
  <c r="B23" i="60"/>
  <c r="Z22" i="60"/>
  <c r="X22" i="60"/>
  <c r="V22" i="60"/>
  <c r="L22" i="60"/>
  <c r="N22" i="60" s="1"/>
  <c r="J22" i="60"/>
  <c r="F22" i="60"/>
  <c r="B22" i="60"/>
  <c r="X21" i="60"/>
  <c r="Z21" i="60" s="1"/>
  <c r="L21" i="60"/>
  <c r="N21" i="60" s="1"/>
  <c r="B21" i="60"/>
  <c r="Z20" i="60"/>
  <c r="X20" i="60"/>
  <c r="N20" i="60"/>
  <c r="L20" i="60"/>
  <c r="J20" i="60"/>
  <c r="F20" i="60"/>
  <c r="B20" i="60"/>
  <c r="T19" i="60"/>
  <c r="R19" i="60"/>
  <c r="P19" i="60"/>
  <c r="H19" i="60"/>
  <c r="N19" i="60" s="1"/>
  <c r="F19" i="60"/>
  <c r="D19" i="60"/>
  <c r="L19" i="60" s="1"/>
  <c r="B19" i="60"/>
  <c r="V18" i="60"/>
  <c r="T18" i="60"/>
  <c r="P18" i="60"/>
  <c r="J18" i="60"/>
  <c r="H18" i="60"/>
  <c r="N18" i="60" s="1"/>
  <c r="F18" i="60"/>
  <c r="D18" i="60"/>
  <c r="L18" i="60" s="1"/>
  <c r="V16" i="60"/>
  <c r="J16" i="60"/>
  <c r="F16" i="60"/>
  <c r="V14" i="60"/>
  <c r="T14" i="60"/>
  <c r="Z14" i="60" s="1"/>
  <c r="P14" i="60"/>
  <c r="J14" i="60"/>
  <c r="H14" i="60"/>
  <c r="N14" i="60" s="1"/>
  <c r="F14" i="60"/>
  <c r="D14" i="60"/>
  <c r="L14" i="60" s="1"/>
  <c r="X12" i="60"/>
  <c r="T12" i="60"/>
  <c r="V19" i="60" s="1"/>
  <c r="P12" i="60"/>
  <c r="R43" i="60" s="1"/>
  <c r="H12" i="60"/>
  <c r="J68" i="60" s="1"/>
  <c r="D12" i="60"/>
  <c r="F52" i="60" s="1"/>
  <c r="D6" i="60"/>
  <c r="D4" i="60"/>
  <c r="Z76" i="59"/>
  <c r="X76" i="59"/>
  <c r="N76" i="59"/>
  <c r="L76" i="59"/>
  <c r="T72" i="59"/>
  <c r="Z72" i="59" s="1"/>
  <c r="P72" i="59"/>
  <c r="X72" i="59" s="1"/>
  <c r="H72" i="59"/>
  <c r="N72" i="59" s="1"/>
  <c r="D72" i="59"/>
  <c r="Z70" i="59"/>
  <c r="X70" i="59"/>
  <c r="N70" i="59"/>
  <c r="L70" i="59"/>
  <c r="F70" i="59"/>
  <c r="B70" i="59"/>
  <c r="Z69" i="59"/>
  <c r="X69" i="59"/>
  <c r="L69" i="59"/>
  <c r="N69" i="59" s="1"/>
  <c r="B69" i="59"/>
  <c r="T68" i="59"/>
  <c r="P68" i="59"/>
  <c r="H68" i="59"/>
  <c r="F68" i="59"/>
  <c r="D68" i="59"/>
  <c r="L68" i="59" s="1"/>
  <c r="B68" i="59"/>
  <c r="Z67" i="59"/>
  <c r="X67" i="59"/>
  <c r="L67" i="59"/>
  <c r="N67" i="59" s="1"/>
  <c r="B67" i="59"/>
  <c r="T66" i="59"/>
  <c r="P66" i="59"/>
  <c r="H66" i="59"/>
  <c r="D66" i="59"/>
  <c r="L66" i="59" s="1"/>
  <c r="N66" i="59" s="1"/>
  <c r="B66" i="59"/>
  <c r="Z65" i="59"/>
  <c r="X65" i="59"/>
  <c r="N65" i="59"/>
  <c r="L65" i="59"/>
  <c r="B65" i="59"/>
  <c r="Z64" i="59"/>
  <c r="X64" i="59"/>
  <c r="V64" i="59"/>
  <c r="L64" i="59"/>
  <c r="N64" i="59" s="1"/>
  <c r="F64" i="59"/>
  <c r="B64" i="59"/>
  <c r="T63" i="59"/>
  <c r="P63" i="59"/>
  <c r="X63" i="59" s="1"/>
  <c r="H63" i="59"/>
  <c r="F63" i="59"/>
  <c r="D63" i="59"/>
  <c r="L63" i="59" s="1"/>
  <c r="B63" i="59"/>
  <c r="Z62" i="59"/>
  <c r="X62" i="59"/>
  <c r="N62" i="59"/>
  <c r="L62" i="59"/>
  <c r="B62" i="59"/>
  <c r="Z61" i="59"/>
  <c r="X61" i="59"/>
  <c r="L61" i="59"/>
  <c r="N61" i="59" s="1"/>
  <c r="F61" i="59"/>
  <c r="B61" i="59"/>
  <c r="T60" i="59"/>
  <c r="P60" i="59"/>
  <c r="H60" i="59"/>
  <c r="N60" i="59" s="1"/>
  <c r="D60" i="59"/>
  <c r="L60" i="59" s="1"/>
  <c r="B60" i="59"/>
  <c r="Z59" i="59"/>
  <c r="X59" i="59"/>
  <c r="V59" i="59"/>
  <c r="L59" i="59"/>
  <c r="N59" i="59" s="1"/>
  <c r="B59" i="59"/>
  <c r="T58" i="59"/>
  <c r="P58" i="59"/>
  <c r="H58" i="59"/>
  <c r="D58" i="59"/>
  <c r="L58" i="59" s="1"/>
  <c r="N58" i="59" s="1"/>
  <c r="B58" i="59"/>
  <c r="Z57" i="59"/>
  <c r="X57" i="59"/>
  <c r="V57" i="59"/>
  <c r="N57" i="59"/>
  <c r="L57" i="59"/>
  <c r="B57" i="59"/>
  <c r="Z56" i="59"/>
  <c r="X56" i="59"/>
  <c r="V56" i="59"/>
  <c r="L56" i="59"/>
  <c r="N56" i="59" s="1"/>
  <c r="F56" i="59"/>
  <c r="B56" i="59"/>
  <c r="X55" i="59"/>
  <c r="Z55" i="59" s="1"/>
  <c r="L55" i="59"/>
  <c r="N55" i="59" s="1"/>
  <c r="B55" i="59"/>
  <c r="X54" i="59"/>
  <c r="Z54" i="59" s="1"/>
  <c r="N54" i="59"/>
  <c r="L54" i="59"/>
  <c r="B54" i="59"/>
  <c r="T53" i="59"/>
  <c r="P53" i="59"/>
  <c r="H53" i="59"/>
  <c r="D53" i="59"/>
  <c r="L53" i="59" s="1"/>
  <c r="B53" i="59"/>
  <c r="X52" i="59"/>
  <c r="Z52" i="59" s="1"/>
  <c r="V52" i="59"/>
  <c r="N52" i="59"/>
  <c r="L52" i="59"/>
  <c r="B52" i="59"/>
  <c r="T51" i="59"/>
  <c r="P51" i="59"/>
  <c r="X51" i="59" s="1"/>
  <c r="Z51" i="59" s="1"/>
  <c r="N51" i="59"/>
  <c r="H51" i="59"/>
  <c r="D51" i="59"/>
  <c r="L51" i="59" s="1"/>
  <c r="B51" i="59"/>
  <c r="Z50" i="59"/>
  <c r="X50" i="59"/>
  <c r="L50" i="59"/>
  <c r="N50" i="59" s="1"/>
  <c r="B50" i="59"/>
  <c r="T49" i="59"/>
  <c r="P49" i="59"/>
  <c r="N49" i="59"/>
  <c r="L49" i="59"/>
  <c r="H49" i="59"/>
  <c r="D49" i="59"/>
  <c r="B49" i="59"/>
  <c r="Z48" i="59"/>
  <c r="X48" i="59"/>
  <c r="V48" i="59"/>
  <c r="L48" i="59"/>
  <c r="N48" i="59" s="1"/>
  <c r="F48" i="59"/>
  <c r="B48" i="59"/>
  <c r="T47" i="59"/>
  <c r="P47" i="59"/>
  <c r="X47" i="59" s="1"/>
  <c r="H47" i="59"/>
  <c r="F47" i="59"/>
  <c r="D47" i="59"/>
  <c r="L47" i="59" s="1"/>
  <c r="B47" i="59"/>
  <c r="Z46" i="59"/>
  <c r="X46" i="59"/>
  <c r="N46" i="59"/>
  <c r="L46" i="59"/>
  <c r="B46" i="59"/>
  <c r="Z45" i="59"/>
  <c r="X45" i="59"/>
  <c r="L45" i="59"/>
  <c r="N45" i="59" s="1"/>
  <c r="F45" i="59"/>
  <c r="B45" i="59"/>
  <c r="X44" i="59"/>
  <c r="V44" i="59"/>
  <c r="T44" i="59"/>
  <c r="P44" i="59"/>
  <c r="H44" i="59"/>
  <c r="F44" i="59"/>
  <c r="D44" i="59"/>
  <c r="L44" i="59" s="1"/>
  <c r="B44" i="59"/>
  <c r="Z43" i="59"/>
  <c r="X43" i="59"/>
  <c r="V43" i="59"/>
  <c r="N43" i="59"/>
  <c r="L43" i="59"/>
  <c r="B43" i="59"/>
  <c r="Z42" i="59"/>
  <c r="T42" i="59"/>
  <c r="P42" i="59"/>
  <c r="X42" i="59" s="1"/>
  <c r="N42" i="59"/>
  <c r="H42" i="59"/>
  <c r="F42" i="59"/>
  <c r="D42" i="59"/>
  <c r="L42" i="59" s="1"/>
  <c r="B42" i="59"/>
  <c r="Z41" i="59"/>
  <c r="X41" i="59"/>
  <c r="V41" i="59"/>
  <c r="R41" i="59"/>
  <c r="N41" i="59"/>
  <c r="L41" i="59"/>
  <c r="B41" i="59"/>
  <c r="Z40" i="59"/>
  <c r="X40" i="59"/>
  <c r="V40" i="59"/>
  <c r="N40" i="59"/>
  <c r="L40" i="59"/>
  <c r="B40" i="59"/>
  <c r="X39" i="59"/>
  <c r="Z39" i="59" s="1"/>
  <c r="N39" i="59"/>
  <c r="L39" i="59"/>
  <c r="B39" i="59"/>
  <c r="Z38" i="59"/>
  <c r="X38" i="59"/>
  <c r="N38" i="59"/>
  <c r="L38" i="59"/>
  <c r="B38" i="59"/>
  <c r="Z37" i="59"/>
  <c r="X37" i="59"/>
  <c r="V37" i="59"/>
  <c r="N37" i="59"/>
  <c r="L37" i="59"/>
  <c r="B37" i="59"/>
  <c r="Z36" i="59"/>
  <c r="X36" i="59"/>
  <c r="V36" i="59"/>
  <c r="N36" i="59"/>
  <c r="L36" i="59"/>
  <c r="F36" i="59"/>
  <c r="B36" i="59"/>
  <c r="X35" i="59"/>
  <c r="Z35" i="59" s="1"/>
  <c r="R35" i="59"/>
  <c r="L35" i="59"/>
  <c r="N35" i="59" s="1"/>
  <c r="B35" i="59"/>
  <c r="Z34" i="59"/>
  <c r="X34" i="59"/>
  <c r="N34" i="59"/>
  <c r="L34" i="59"/>
  <c r="B34" i="59"/>
  <c r="Z33" i="59"/>
  <c r="X33" i="59"/>
  <c r="V33" i="59"/>
  <c r="R33" i="59"/>
  <c r="N33" i="59"/>
  <c r="L33" i="59"/>
  <c r="B33" i="59"/>
  <c r="Z32" i="59"/>
  <c r="X32" i="59"/>
  <c r="V32" i="59"/>
  <c r="N32" i="59"/>
  <c r="L32" i="59"/>
  <c r="B32" i="59"/>
  <c r="T31" i="59"/>
  <c r="P31" i="59"/>
  <c r="H31" i="59"/>
  <c r="D31" i="59"/>
  <c r="L31" i="59" s="1"/>
  <c r="B31" i="59"/>
  <c r="Z30" i="59"/>
  <c r="X30" i="59"/>
  <c r="V30" i="59"/>
  <c r="N30" i="59"/>
  <c r="L30" i="59"/>
  <c r="F30" i="59"/>
  <c r="B30" i="59"/>
  <c r="Z29" i="59"/>
  <c r="X29" i="59"/>
  <c r="L29" i="59"/>
  <c r="N29" i="59" s="1"/>
  <c r="F29" i="59"/>
  <c r="B29" i="59"/>
  <c r="X28" i="59"/>
  <c r="Z28" i="59" s="1"/>
  <c r="V28" i="59"/>
  <c r="R28" i="59"/>
  <c r="N28" i="59"/>
  <c r="L28" i="59"/>
  <c r="B28" i="59"/>
  <c r="Z27" i="59"/>
  <c r="X27" i="59"/>
  <c r="N27" i="59"/>
  <c r="L27" i="59"/>
  <c r="B27" i="59"/>
  <c r="Z26" i="59"/>
  <c r="X26" i="59"/>
  <c r="V26" i="59"/>
  <c r="N26" i="59"/>
  <c r="L26" i="59"/>
  <c r="F26" i="59"/>
  <c r="B26" i="59"/>
  <c r="Z25" i="59"/>
  <c r="X25" i="59"/>
  <c r="L25" i="59"/>
  <c r="N25" i="59" s="1"/>
  <c r="F25" i="59"/>
  <c r="B25" i="59"/>
  <c r="X24" i="59"/>
  <c r="Z24" i="59" s="1"/>
  <c r="V24" i="59"/>
  <c r="R24" i="59"/>
  <c r="N24" i="59"/>
  <c r="L24" i="59"/>
  <c r="B24" i="59"/>
  <c r="X23" i="59"/>
  <c r="Z23" i="59" s="1"/>
  <c r="N23" i="59"/>
  <c r="L23" i="59"/>
  <c r="B23" i="59"/>
  <c r="Z22" i="59"/>
  <c r="X22" i="59"/>
  <c r="V22" i="59"/>
  <c r="N22" i="59"/>
  <c r="L22" i="59"/>
  <c r="F22" i="59"/>
  <c r="B22" i="59"/>
  <c r="Z21" i="59"/>
  <c r="X21" i="59"/>
  <c r="L21" i="59"/>
  <c r="N21" i="59" s="1"/>
  <c r="B21" i="59"/>
  <c r="T20" i="59"/>
  <c r="P20" i="59"/>
  <c r="H20" i="59"/>
  <c r="N20" i="59" s="1"/>
  <c r="F20" i="59"/>
  <c r="D20" i="59"/>
  <c r="L20" i="59" s="1"/>
  <c r="B20" i="59"/>
  <c r="Z19" i="59"/>
  <c r="X19" i="59"/>
  <c r="V19" i="59"/>
  <c r="T19" i="59"/>
  <c r="P19" i="59"/>
  <c r="H19" i="59"/>
  <c r="D19" i="59"/>
  <c r="Z15" i="59"/>
  <c r="X15" i="59"/>
  <c r="V15" i="59"/>
  <c r="T15" i="59"/>
  <c r="P15" i="59"/>
  <c r="L15" i="59"/>
  <c r="H15" i="59"/>
  <c r="N15" i="59" s="1"/>
  <c r="D15" i="59"/>
  <c r="P13" i="59"/>
  <c r="P12" i="59" s="1"/>
  <c r="R50" i="59" s="1"/>
  <c r="N13" i="59"/>
  <c r="D13" i="59"/>
  <c r="L13" i="59" s="1"/>
  <c r="B13" i="59"/>
  <c r="T12" i="59"/>
  <c r="H12" i="59"/>
  <c r="J47" i="59" s="1"/>
  <c r="D12" i="59"/>
  <c r="D6" i="59"/>
  <c r="D4" i="59"/>
  <c r="R83" i="58"/>
  <c r="J80" i="58"/>
  <c r="Z78" i="58"/>
  <c r="X78" i="58"/>
  <c r="N78" i="58"/>
  <c r="L78" i="58"/>
  <c r="F78" i="58"/>
  <c r="J76" i="58"/>
  <c r="D76" i="58"/>
  <c r="Z74" i="58"/>
  <c r="X74" i="58"/>
  <c r="T74" i="58"/>
  <c r="P74" i="58"/>
  <c r="N74" i="58"/>
  <c r="H74" i="58"/>
  <c r="D74" i="58"/>
  <c r="L74" i="58" s="1"/>
  <c r="Z72" i="58"/>
  <c r="X72" i="58"/>
  <c r="N72" i="58"/>
  <c r="L72" i="58"/>
  <c r="F72" i="58"/>
  <c r="B72" i="58"/>
  <c r="T71" i="58"/>
  <c r="P71" i="58"/>
  <c r="H71" i="58"/>
  <c r="F71" i="58"/>
  <c r="D71" i="58"/>
  <c r="B71" i="58"/>
  <c r="X70" i="58"/>
  <c r="Z70" i="58" s="1"/>
  <c r="N70" i="58"/>
  <c r="L70" i="58"/>
  <c r="B70" i="58"/>
  <c r="T69" i="58"/>
  <c r="R69" i="58"/>
  <c r="P69" i="58"/>
  <c r="X69" i="58" s="1"/>
  <c r="Z69" i="58" s="1"/>
  <c r="H69" i="58"/>
  <c r="D69" i="58"/>
  <c r="L69" i="58" s="1"/>
  <c r="N69" i="58" s="1"/>
  <c r="B69" i="58"/>
  <c r="Z68" i="58"/>
  <c r="X68" i="58"/>
  <c r="N68" i="58"/>
  <c r="L68" i="58"/>
  <c r="B68" i="58"/>
  <c r="X67" i="58"/>
  <c r="T67" i="58"/>
  <c r="P67" i="58"/>
  <c r="L67" i="58"/>
  <c r="N67" i="58" s="1"/>
  <c r="H67" i="58"/>
  <c r="D67" i="58"/>
  <c r="B67" i="58"/>
  <c r="Z66" i="58"/>
  <c r="X66" i="58"/>
  <c r="N66" i="58"/>
  <c r="L66" i="58"/>
  <c r="F66" i="58"/>
  <c r="B66" i="58"/>
  <c r="X65" i="58"/>
  <c r="Z65" i="58" s="1"/>
  <c r="L65" i="58"/>
  <c r="N65" i="58" s="1"/>
  <c r="B65" i="58"/>
  <c r="Z64" i="58"/>
  <c r="X64" i="58"/>
  <c r="N64" i="58"/>
  <c r="L64" i="58"/>
  <c r="F64" i="58"/>
  <c r="B64" i="58"/>
  <c r="T63" i="58"/>
  <c r="P63" i="58"/>
  <c r="X63" i="58" s="1"/>
  <c r="H63" i="58"/>
  <c r="F63" i="58"/>
  <c r="D63" i="58"/>
  <c r="L63" i="58" s="1"/>
  <c r="B63" i="58"/>
  <c r="X62" i="58"/>
  <c r="Z62" i="58" s="1"/>
  <c r="N62" i="58"/>
  <c r="L62" i="58"/>
  <c r="B62" i="58"/>
  <c r="T61" i="58"/>
  <c r="P61" i="58"/>
  <c r="X61" i="58" s="1"/>
  <c r="Z61" i="58" s="1"/>
  <c r="N61" i="58"/>
  <c r="H61" i="58"/>
  <c r="D61" i="58"/>
  <c r="L61" i="58" s="1"/>
  <c r="B61" i="58"/>
  <c r="Z60" i="58"/>
  <c r="X60" i="58"/>
  <c r="R60" i="58"/>
  <c r="N60" i="58"/>
  <c r="L60" i="58"/>
  <c r="B60" i="58"/>
  <c r="X59" i="58"/>
  <c r="Z59" i="58" s="1"/>
  <c r="R59" i="58"/>
  <c r="N59" i="58"/>
  <c r="L59" i="58"/>
  <c r="F59" i="58"/>
  <c r="B59" i="58"/>
  <c r="T58" i="58"/>
  <c r="R58" i="58"/>
  <c r="P58" i="58"/>
  <c r="X58" i="58" s="1"/>
  <c r="Z58" i="58" s="1"/>
  <c r="H58" i="58"/>
  <c r="F58" i="58"/>
  <c r="D58" i="58"/>
  <c r="B58" i="58"/>
  <c r="X57" i="58"/>
  <c r="Z57" i="58" s="1"/>
  <c r="R57" i="58"/>
  <c r="N57" i="58"/>
  <c r="L57" i="58"/>
  <c r="B57" i="58"/>
  <c r="Z56" i="58"/>
  <c r="X56" i="58"/>
  <c r="N56" i="58"/>
  <c r="L56" i="58"/>
  <c r="F56" i="58"/>
  <c r="B56" i="58"/>
  <c r="T55" i="58"/>
  <c r="P55" i="58"/>
  <c r="H55" i="58"/>
  <c r="F55" i="58"/>
  <c r="D55" i="58"/>
  <c r="B55" i="58"/>
  <c r="X54" i="58"/>
  <c r="Z54" i="58" s="1"/>
  <c r="R54" i="58"/>
  <c r="N54" i="58"/>
  <c r="L54" i="58"/>
  <c r="B54" i="58"/>
  <c r="T53" i="58"/>
  <c r="R53" i="58"/>
  <c r="P53" i="58"/>
  <c r="X53" i="58" s="1"/>
  <c r="Z53" i="58" s="1"/>
  <c r="H53" i="58"/>
  <c r="D53" i="58"/>
  <c r="L53" i="58" s="1"/>
  <c r="N53" i="58" s="1"/>
  <c r="B53" i="58"/>
  <c r="Z52" i="58"/>
  <c r="X52" i="58"/>
  <c r="N52" i="58"/>
  <c r="L52" i="58"/>
  <c r="B52" i="58"/>
  <c r="T51" i="58"/>
  <c r="P51" i="58"/>
  <c r="L51" i="58"/>
  <c r="N51" i="58" s="1"/>
  <c r="H51" i="58"/>
  <c r="D51" i="58"/>
  <c r="B51" i="58"/>
  <c r="Z50" i="58"/>
  <c r="X50" i="58"/>
  <c r="L50" i="58"/>
  <c r="N50" i="58" s="1"/>
  <c r="J50" i="58"/>
  <c r="F50" i="58"/>
  <c r="B50" i="58"/>
  <c r="T49" i="58"/>
  <c r="P49" i="58"/>
  <c r="J49" i="58"/>
  <c r="H49" i="58"/>
  <c r="F49" i="58"/>
  <c r="D49" i="58"/>
  <c r="L49" i="58" s="1"/>
  <c r="B49" i="58"/>
  <c r="Z48" i="58"/>
  <c r="X48" i="58"/>
  <c r="N48" i="58"/>
  <c r="L48" i="58"/>
  <c r="F48" i="58"/>
  <c r="B48" i="58"/>
  <c r="Z47" i="58"/>
  <c r="T47" i="58"/>
  <c r="P47" i="58"/>
  <c r="X47" i="58" s="1"/>
  <c r="H47" i="58"/>
  <c r="F47" i="58"/>
  <c r="D47" i="58"/>
  <c r="L47" i="58" s="1"/>
  <c r="N47" i="58" s="1"/>
  <c r="B47" i="58"/>
  <c r="Z46" i="58"/>
  <c r="X46" i="58"/>
  <c r="N46" i="58"/>
  <c r="L46" i="58"/>
  <c r="J46" i="58"/>
  <c r="F46" i="58"/>
  <c r="B46" i="58"/>
  <c r="Z45" i="58"/>
  <c r="X45" i="58"/>
  <c r="T45" i="58"/>
  <c r="P45" i="58"/>
  <c r="H45" i="58"/>
  <c r="L45" i="58" s="1"/>
  <c r="F45" i="58"/>
  <c r="D45" i="58"/>
  <c r="B45" i="58"/>
  <c r="Z44" i="58"/>
  <c r="X44" i="58"/>
  <c r="N44" i="58"/>
  <c r="L44" i="58"/>
  <c r="F44" i="58"/>
  <c r="B44" i="58"/>
  <c r="T43" i="58"/>
  <c r="R43" i="58"/>
  <c r="P43" i="58"/>
  <c r="H43" i="58"/>
  <c r="F43" i="58"/>
  <c r="D43" i="58"/>
  <c r="B43" i="58"/>
  <c r="X42" i="58"/>
  <c r="Z42" i="58" s="1"/>
  <c r="R42" i="58"/>
  <c r="N42" i="58"/>
  <c r="L42" i="58"/>
  <c r="B42" i="58"/>
  <c r="X41" i="58"/>
  <c r="Z41" i="58" s="1"/>
  <c r="T41" i="58"/>
  <c r="R41" i="58"/>
  <c r="P41" i="58"/>
  <c r="H41" i="58"/>
  <c r="D41" i="58"/>
  <c r="L41" i="58" s="1"/>
  <c r="N41" i="58" s="1"/>
  <c r="B41" i="58"/>
  <c r="Z40" i="58"/>
  <c r="X40" i="58"/>
  <c r="N40" i="58"/>
  <c r="L40" i="58"/>
  <c r="B40" i="58"/>
  <c r="Z39" i="58"/>
  <c r="X39" i="58"/>
  <c r="R39" i="58"/>
  <c r="N39" i="58"/>
  <c r="L39" i="58"/>
  <c r="J39" i="58"/>
  <c r="F39" i="58"/>
  <c r="B39" i="58"/>
  <c r="Z38" i="58"/>
  <c r="X38" i="58"/>
  <c r="N38" i="58"/>
  <c r="L38" i="58"/>
  <c r="F38" i="58"/>
  <c r="B38" i="58"/>
  <c r="Z37" i="58"/>
  <c r="X37" i="58"/>
  <c r="V37" i="58"/>
  <c r="N37" i="58"/>
  <c r="L37" i="58"/>
  <c r="F37" i="58"/>
  <c r="B37" i="58"/>
  <c r="Z36" i="58"/>
  <c r="X36" i="58"/>
  <c r="R36" i="58"/>
  <c r="N36" i="58"/>
  <c r="L36" i="58"/>
  <c r="J36" i="58"/>
  <c r="B36" i="58"/>
  <c r="X35" i="58"/>
  <c r="Z35" i="58" s="1"/>
  <c r="R35" i="58"/>
  <c r="N35" i="58"/>
  <c r="L35" i="58"/>
  <c r="F35" i="58"/>
  <c r="B35" i="58"/>
  <c r="Z34" i="58"/>
  <c r="X34" i="58"/>
  <c r="N34" i="58"/>
  <c r="L34" i="58"/>
  <c r="F34" i="58"/>
  <c r="B34" i="58"/>
  <c r="Z33" i="58"/>
  <c r="X33" i="58"/>
  <c r="R33" i="58"/>
  <c r="N33" i="58"/>
  <c r="L33" i="58"/>
  <c r="F33" i="58"/>
  <c r="B33" i="58"/>
  <c r="Z32" i="58"/>
  <c r="X32" i="58"/>
  <c r="R32" i="58"/>
  <c r="N32" i="58"/>
  <c r="L32" i="58"/>
  <c r="B32" i="58"/>
  <c r="X31" i="58"/>
  <c r="Z31" i="58" s="1"/>
  <c r="N31" i="58"/>
  <c r="L31" i="58"/>
  <c r="F31" i="58"/>
  <c r="B31" i="58"/>
  <c r="T30" i="58"/>
  <c r="P30" i="58"/>
  <c r="X30" i="58" s="1"/>
  <c r="Z30" i="58" s="1"/>
  <c r="H30" i="58"/>
  <c r="F30" i="58"/>
  <c r="D30" i="58"/>
  <c r="L30" i="58" s="1"/>
  <c r="N30" i="58" s="1"/>
  <c r="B30" i="58"/>
  <c r="X29" i="58"/>
  <c r="Z29" i="58" s="1"/>
  <c r="R29" i="58"/>
  <c r="L29" i="58"/>
  <c r="N29" i="58" s="1"/>
  <c r="B29" i="58"/>
  <c r="X28" i="58"/>
  <c r="Z28" i="58" s="1"/>
  <c r="N28" i="58"/>
  <c r="L28" i="58"/>
  <c r="J28" i="58"/>
  <c r="F28" i="58"/>
  <c r="B28" i="58"/>
  <c r="Z27" i="58"/>
  <c r="X27" i="58"/>
  <c r="R27" i="58"/>
  <c r="L27" i="58"/>
  <c r="N27" i="58" s="1"/>
  <c r="F27" i="58"/>
  <c r="B27" i="58"/>
  <c r="Z26" i="58"/>
  <c r="X26" i="58"/>
  <c r="N26" i="58"/>
  <c r="L26" i="58"/>
  <c r="F26" i="58"/>
  <c r="B26" i="58"/>
  <c r="X25" i="58"/>
  <c r="Z25" i="58" s="1"/>
  <c r="R25" i="58"/>
  <c r="N25" i="58"/>
  <c r="L25" i="58"/>
  <c r="B25" i="58"/>
  <c r="Z24" i="58"/>
  <c r="X24" i="58"/>
  <c r="N24" i="58"/>
  <c r="L24" i="58"/>
  <c r="J24" i="58"/>
  <c r="F24" i="58"/>
  <c r="B24" i="58"/>
  <c r="Z23" i="58"/>
  <c r="X23" i="58"/>
  <c r="R23" i="58"/>
  <c r="N23" i="58"/>
  <c r="L23" i="58"/>
  <c r="F23" i="58"/>
  <c r="B23" i="58"/>
  <c r="X22" i="58"/>
  <c r="Z22" i="58" s="1"/>
  <c r="L22" i="58"/>
  <c r="N22" i="58" s="1"/>
  <c r="J22" i="58"/>
  <c r="F22" i="58"/>
  <c r="B22" i="58"/>
  <c r="X21" i="58"/>
  <c r="Z21" i="58" s="1"/>
  <c r="R21" i="58"/>
  <c r="L21" i="58"/>
  <c r="N21" i="58" s="1"/>
  <c r="B21" i="58"/>
  <c r="X20" i="58"/>
  <c r="Z20" i="58" s="1"/>
  <c r="N20" i="58"/>
  <c r="L20" i="58"/>
  <c r="F20" i="58"/>
  <c r="B20" i="58"/>
  <c r="V19" i="58"/>
  <c r="T19" i="58"/>
  <c r="R19" i="58"/>
  <c r="P19" i="58"/>
  <c r="X19" i="58" s="1"/>
  <c r="H19" i="58"/>
  <c r="F19" i="58"/>
  <c r="D19" i="58"/>
  <c r="L19" i="58" s="1"/>
  <c r="B19" i="58"/>
  <c r="T18" i="58"/>
  <c r="R18" i="58"/>
  <c r="P18" i="58"/>
  <c r="J18" i="58"/>
  <c r="H18" i="58"/>
  <c r="F18" i="58"/>
  <c r="D18" i="58"/>
  <c r="L18" i="58" s="1"/>
  <c r="N18" i="58" s="1"/>
  <c r="J16" i="58"/>
  <c r="F16" i="58"/>
  <c r="D16" i="58"/>
  <c r="T14" i="58"/>
  <c r="Z14" i="58" s="1"/>
  <c r="P14" i="58"/>
  <c r="H14" i="58"/>
  <c r="N14" i="58" s="1"/>
  <c r="F14" i="58"/>
  <c r="D14" i="58"/>
  <c r="T12" i="58"/>
  <c r="V48" i="58" s="1"/>
  <c r="P12" i="58"/>
  <c r="R71" i="58" s="1"/>
  <c r="N12" i="58"/>
  <c r="H12" i="58"/>
  <c r="J83" i="58" s="1"/>
  <c r="D12" i="58"/>
  <c r="F68" i="58" s="1"/>
  <c r="D6" i="58"/>
  <c r="D4" i="58"/>
  <c r="Z80" i="57"/>
  <c r="X80" i="57"/>
  <c r="N80" i="57"/>
  <c r="L80" i="57"/>
  <c r="T76" i="57"/>
  <c r="Z76" i="57" s="1"/>
  <c r="P76" i="57"/>
  <c r="X76" i="57" s="1"/>
  <c r="L76" i="57"/>
  <c r="H76" i="57"/>
  <c r="N76" i="57" s="1"/>
  <c r="F76" i="57"/>
  <c r="D76" i="57"/>
  <c r="Z74" i="57"/>
  <c r="X74" i="57"/>
  <c r="N74" i="57"/>
  <c r="L74" i="57"/>
  <c r="B74" i="57"/>
  <c r="T73" i="57"/>
  <c r="P73" i="57"/>
  <c r="N73" i="57"/>
  <c r="L73" i="57"/>
  <c r="H73" i="57"/>
  <c r="D73" i="57"/>
  <c r="B73" i="57"/>
  <c r="Z72" i="57"/>
  <c r="X72" i="57"/>
  <c r="N72" i="57"/>
  <c r="L72" i="57"/>
  <c r="J72" i="57"/>
  <c r="B72" i="57"/>
  <c r="T71" i="57"/>
  <c r="P71" i="57"/>
  <c r="X71" i="57" s="1"/>
  <c r="H71" i="57"/>
  <c r="D71" i="57"/>
  <c r="B71" i="57"/>
  <c r="Z70" i="57"/>
  <c r="X70" i="57"/>
  <c r="N70" i="57"/>
  <c r="L70" i="57"/>
  <c r="J70" i="57"/>
  <c r="B70" i="57"/>
  <c r="Z69" i="57"/>
  <c r="X69" i="57"/>
  <c r="L69" i="57"/>
  <c r="N69" i="57" s="1"/>
  <c r="B69" i="57"/>
  <c r="T68" i="57"/>
  <c r="P68" i="57"/>
  <c r="X68" i="57" s="1"/>
  <c r="Z68" i="57" s="1"/>
  <c r="L68" i="57"/>
  <c r="N68" i="57" s="1"/>
  <c r="H68" i="57"/>
  <c r="D68" i="57"/>
  <c r="B68" i="57"/>
  <c r="Z67" i="57"/>
  <c r="X67" i="57"/>
  <c r="N67" i="57"/>
  <c r="L67" i="57"/>
  <c r="B67" i="57"/>
  <c r="T66" i="57"/>
  <c r="Z66" i="57" s="1"/>
  <c r="P66" i="57"/>
  <c r="X66" i="57" s="1"/>
  <c r="L66" i="57"/>
  <c r="H66" i="57"/>
  <c r="N66" i="57" s="1"/>
  <c r="D66" i="57"/>
  <c r="B66" i="57"/>
  <c r="X65" i="57"/>
  <c r="Z65" i="57" s="1"/>
  <c r="R65" i="57"/>
  <c r="N65" i="57"/>
  <c r="L65" i="57"/>
  <c r="J65" i="57"/>
  <c r="F65" i="57"/>
  <c r="B65" i="57"/>
  <c r="X64" i="57"/>
  <c r="Z64" i="57" s="1"/>
  <c r="T64" i="57"/>
  <c r="P64" i="57"/>
  <c r="H64" i="57"/>
  <c r="D64" i="57"/>
  <c r="L64" i="57" s="1"/>
  <c r="N64" i="57" s="1"/>
  <c r="B64" i="57"/>
  <c r="Z63" i="57"/>
  <c r="X63" i="57"/>
  <c r="N63" i="57"/>
  <c r="L63" i="57"/>
  <c r="B63" i="57"/>
  <c r="Z62" i="57"/>
  <c r="X62" i="57"/>
  <c r="R62" i="57"/>
  <c r="N62" i="57"/>
  <c r="L62" i="57"/>
  <c r="J62" i="57"/>
  <c r="B62" i="57"/>
  <c r="Z61" i="57"/>
  <c r="X61" i="57"/>
  <c r="N61" i="57"/>
  <c r="L61" i="57"/>
  <c r="J61" i="57"/>
  <c r="B61" i="57"/>
  <c r="Z60" i="57"/>
  <c r="T60" i="57"/>
  <c r="X60" i="57" s="1"/>
  <c r="P60" i="57"/>
  <c r="H60" i="57"/>
  <c r="F60" i="57"/>
  <c r="D60" i="57"/>
  <c r="B60" i="57"/>
  <c r="Z59" i="57"/>
  <c r="X59" i="57"/>
  <c r="N59" i="57"/>
  <c r="L59" i="57"/>
  <c r="J59" i="57"/>
  <c r="B59" i="57"/>
  <c r="T58" i="57"/>
  <c r="P58" i="57"/>
  <c r="X58" i="57" s="1"/>
  <c r="Z58" i="57" s="1"/>
  <c r="J58" i="57"/>
  <c r="H58" i="57"/>
  <c r="D58" i="57"/>
  <c r="L58" i="57" s="1"/>
  <c r="B58" i="57"/>
  <c r="Z57" i="57"/>
  <c r="X57" i="57"/>
  <c r="V57" i="57"/>
  <c r="N57" i="57"/>
  <c r="L57" i="57"/>
  <c r="B57" i="57"/>
  <c r="Z56" i="57"/>
  <c r="X56" i="57"/>
  <c r="N56" i="57"/>
  <c r="L56" i="57"/>
  <c r="J56" i="57"/>
  <c r="B56" i="57"/>
  <c r="Z55" i="57"/>
  <c r="X55" i="57"/>
  <c r="N55" i="57"/>
  <c r="L55" i="57"/>
  <c r="B55" i="57"/>
  <c r="Z54" i="57"/>
  <c r="T54" i="57"/>
  <c r="P54" i="57"/>
  <c r="X54" i="57" s="1"/>
  <c r="N54" i="57"/>
  <c r="L54" i="57"/>
  <c r="H54" i="57"/>
  <c r="D54" i="57"/>
  <c r="B54" i="57"/>
  <c r="Z53" i="57"/>
  <c r="X53" i="57"/>
  <c r="N53" i="57"/>
  <c r="L53" i="57"/>
  <c r="J53" i="57"/>
  <c r="B53" i="57"/>
  <c r="T52" i="57"/>
  <c r="Z52" i="57" s="1"/>
  <c r="P52" i="57"/>
  <c r="X52" i="57" s="1"/>
  <c r="J52" i="57"/>
  <c r="H52" i="57"/>
  <c r="D52" i="57"/>
  <c r="L52" i="57" s="1"/>
  <c r="B52" i="57"/>
  <c r="Z51" i="57"/>
  <c r="X51" i="57"/>
  <c r="L51" i="57"/>
  <c r="N51" i="57" s="1"/>
  <c r="B51" i="57"/>
  <c r="X50" i="57"/>
  <c r="Z50" i="57" s="1"/>
  <c r="T50" i="57"/>
  <c r="R50" i="57"/>
  <c r="P50" i="57"/>
  <c r="J50" i="57"/>
  <c r="H50" i="57"/>
  <c r="D50" i="57"/>
  <c r="L50" i="57" s="1"/>
  <c r="B50" i="57"/>
  <c r="X49" i="57"/>
  <c r="Z49" i="57" s="1"/>
  <c r="N49" i="57"/>
  <c r="L49" i="57"/>
  <c r="B49" i="57"/>
  <c r="T48" i="57"/>
  <c r="Z48" i="57" s="1"/>
  <c r="R48" i="57"/>
  <c r="P48" i="57"/>
  <c r="X48" i="57" s="1"/>
  <c r="H48" i="57"/>
  <c r="N48" i="57" s="1"/>
  <c r="D48" i="57"/>
  <c r="L48" i="57" s="1"/>
  <c r="B48" i="57"/>
  <c r="X47" i="57"/>
  <c r="Z47" i="57" s="1"/>
  <c r="V47" i="57"/>
  <c r="N47" i="57"/>
  <c r="L47" i="57"/>
  <c r="B47" i="57"/>
  <c r="T46" i="57"/>
  <c r="Z46" i="57" s="1"/>
  <c r="P46" i="57"/>
  <c r="X46" i="57" s="1"/>
  <c r="L46" i="57"/>
  <c r="N46" i="57" s="1"/>
  <c r="H46" i="57"/>
  <c r="D46" i="57"/>
  <c r="B46" i="57"/>
  <c r="X45" i="57"/>
  <c r="Z45" i="57" s="1"/>
  <c r="N45" i="57"/>
  <c r="L45" i="57"/>
  <c r="J45" i="57"/>
  <c r="B45" i="57"/>
  <c r="T44" i="57"/>
  <c r="R44" i="57"/>
  <c r="P44" i="57"/>
  <c r="L44" i="57"/>
  <c r="H44" i="57"/>
  <c r="N44" i="57" s="1"/>
  <c r="D44" i="57"/>
  <c r="B44" i="57"/>
  <c r="Z43" i="57"/>
  <c r="X43" i="57"/>
  <c r="R43" i="57"/>
  <c r="L43" i="57"/>
  <c r="N43" i="57" s="1"/>
  <c r="J43" i="57"/>
  <c r="B43" i="57"/>
  <c r="T42" i="57"/>
  <c r="P42" i="57"/>
  <c r="X42" i="57" s="1"/>
  <c r="Z42" i="57" s="1"/>
  <c r="H42" i="57"/>
  <c r="D42" i="57"/>
  <c r="B42" i="57"/>
  <c r="X41" i="57"/>
  <c r="Z41" i="57" s="1"/>
  <c r="N41" i="57"/>
  <c r="L41" i="57"/>
  <c r="B41" i="57"/>
  <c r="X40" i="57"/>
  <c r="Z40" i="57" s="1"/>
  <c r="T40" i="57"/>
  <c r="R40" i="57"/>
  <c r="P40" i="57"/>
  <c r="J40" i="57"/>
  <c r="H40" i="57"/>
  <c r="N40" i="57" s="1"/>
  <c r="D40" i="57"/>
  <c r="L40" i="57" s="1"/>
  <c r="B40" i="57"/>
  <c r="Z39" i="57"/>
  <c r="X39" i="57"/>
  <c r="R39" i="57"/>
  <c r="N39" i="57"/>
  <c r="L39" i="57"/>
  <c r="J39" i="57"/>
  <c r="F39" i="57"/>
  <c r="B39" i="57"/>
  <c r="Z38" i="57"/>
  <c r="X38" i="57"/>
  <c r="R38" i="57"/>
  <c r="N38" i="57"/>
  <c r="L38" i="57"/>
  <c r="J38" i="57"/>
  <c r="B38" i="57"/>
  <c r="X37" i="57"/>
  <c r="Z37" i="57" s="1"/>
  <c r="N37" i="57"/>
  <c r="L37" i="57"/>
  <c r="J37" i="57"/>
  <c r="B37" i="57"/>
  <c r="Z36" i="57"/>
  <c r="X36" i="57"/>
  <c r="R36" i="57"/>
  <c r="N36" i="57"/>
  <c r="L36" i="57"/>
  <c r="F36" i="57"/>
  <c r="B36" i="57"/>
  <c r="Z35" i="57"/>
  <c r="X35" i="57"/>
  <c r="R35" i="57"/>
  <c r="N35" i="57"/>
  <c r="L35" i="57"/>
  <c r="J35" i="57"/>
  <c r="F35" i="57"/>
  <c r="B35" i="57"/>
  <c r="Z34" i="57"/>
  <c r="X34" i="57"/>
  <c r="R34" i="57"/>
  <c r="N34" i="57"/>
  <c r="L34" i="57"/>
  <c r="J34" i="57"/>
  <c r="B34" i="57"/>
  <c r="X33" i="57"/>
  <c r="Z33" i="57" s="1"/>
  <c r="N33" i="57"/>
  <c r="L33" i="57"/>
  <c r="J33" i="57"/>
  <c r="B33" i="57"/>
  <c r="Z32" i="57"/>
  <c r="X32" i="57"/>
  <c r="R32" i="57"/>
  <c r="N32" i="57"/>
  <c r="L32" i="57"/>
  <c r="F32" i="57"/>
  <c r="B32" i="57"/>
  <c r="Z31" i="57"/>
  <c r="X31" i="57"/>
  <c r="R31" i="57"/>
  <c r="N31" i="57"/>
  <c r="L31" i="57"/>
  <c r="J31" i="57"/>
  <c r="F31" i="57"/>
  <c r="B31" i="57"/>
  <c r="X30" i="57"/>
  <c r="Z30" i="57" s="1"/>
  <c r="R30" i="57"/>
  <c r="N30" i="57"/>
  <c r="L30" i="57"/>
  <c r="J30" i="57"/>
  <c r="B30" i="57"/>
  <c r="X29" i="57"/>
  <c r="Z29" i="57" s="1"/>
  <c r="T29" i="57"/>
  <c r="R29" i="57"/>
  <c r="P29" i="57"/>
  <c r="H29" i="57"/>
  <c r="L29" i="57" s="1"/>
  <c r="N29" i="57" s="1"/>
  <c r="D29" i="57"/>
  <c r="B29" i="57"/>
  <c r="Z28" i="57"/>
  <c r="X28" i="57"/>
  <c r="R28" i="57"/>
  <c r="L28" i="57"/>
  <c r="N28" i="57" s="1"/>
  <c r="J28" i="57"/>
  <c r="B28" i="57"/>
  <c r="Z27" i="57"/>
  <c r="X27" i="57"/>
  <c r="R27" i="57"/>
  <c r="L27" i="57"/>
  <c r="N27" i="57" s="1"/>
  <c r="J27" i="57"/>
  <c r="B27" i="57"/>
  <c r="Z26" i="57"/>
  <c r="X26" i="57"/>
  <c r="L26" i="57"/>
  <c r="N26" i="57" s="1"/>
  <c r="J26" i="57"/>
  <c r="B26" i="57"/>
  <c r="Z25" i="57"/>
  <c r="X25" i="57"/>
  <c r="N25" i="57"/>
  <c r="L25" i="57"/>
  <c r="J25" i="57"/>
  <c r="B25" i="57"/>
  <c r="Z24" i="57"/>
  <c r="X24" i="57"/>
  <c r="R24" i="57"/>
  <c r="L24" i="57"/>
  <c r="N24" i="57" s="1"/>
  <c r="J24" i="57"/>
  <c r="B24" i="57"/>
  <c r="Z23" i="57"/>
  <c r="X23" i="57"/>
  <c r="R23" i="57"/>
  <c r="L23" i="57"/>
  <c r="N23" i="57" s="1"/>
  <c r="J23" i="57"/>
  <c r="B23" i="57"/>
  <c r="Z22" i="57"/>
  <c r="X22" i="57"/>
  <c r="L22" i="57"/>
  <c r="N22" i="57" s="1"/>
  <c r="J22" i="57"/>
  <c r="B22" i="57"/>
  <c r="Z21" i="57"/>
  <c r="X21" i="57"/>
  <c r="L21" i="57"/>
  <c r="N21" i="57" s="1"/>
  <c r="J21" i="57"/>
  <c r="B21" i="57"/>
  <c r="Z20" i="57"/>
  <c r="X20" i="57"/>
  <c r="R20" i="57"/>
  <c r="L20" i="57"/>
  <c r="N20" i="57" s="1"/>
  <c r="J20" i="57"/>
  <c r="B20" i="57"/>
  <c r="T19" i="57"/>
  <c r="P19" i="57"/>
  <c r="N19" i="57"/>
  <c r="J19" i="57"/>
  <c r="H19" i="57"/>
  <c r="D19" i="57"/>
  <c r="L19" i="57" s="1"/>
  <c r="B19" i="57"/>
  <c r="V18" i="57"/>
  <c r="T18" i="57"/>
  <c r="P18" i="57"/>
  <c r="X18" i="57" s="1"/>
  <c r="L18" i="57"/>
  <c r="J18" i="57"/>
  <c r="H18" i="57"/>
  <c r="N18" i="57" s="1"/>
  <c r="D18" i="57"/>
  <c r="J16" i="57"/>
  <c r="T14" i="57"/>
  <c r="Z14" i="57" s="1"/>
  <c r="P14" i="57"/>
  <c r="L14" i="57"/>
  <c r="J14" i="57"/>
  <c r="H14" i="57"/>
  <c r="N14" i="57" s="1"/>
  <c r="D14" i="57"/>
  <c r="T12" i="57"/>
  <c r="V16" i="57" s="1"/>
  <c r="P12" i="57"/>
  <c r="N12" i="57"/>
  <c r="L12" i="57"/>
  <c r="H12" i="57"/>
  <c r="J68" i="57" s="1"/>
  <c r="D12" i="57"/>
  <c r="D6" i="57"/>
  <c r="D4" i="57"/>
  <c r="R88" i="56"/>
  <c r="R85" i="56"/>
  <c r="Z83" i="56"/>
  <c r="X83" i="56"/>
  <c r="N83" i="56"/>
  <c r="L83" i="56"/>
  <c r="F83" i="56"/>
  <c r="J81" i="56"/>
  <c r="X79" i="56"/>
  <c r="T79" i="56"/>
  <c r="Z79" i="56" s="1"/>
  <c r="P79" i="56"/>
  <c r="J79" i="56"/>
  <c r="H79" i="56"/>
  <c r="N79" i="56" s="1"/>
  <c r="D79" i="56"/>
  <c r="L79" i="56" s="1"/>
  <c r="X77" i="56"/>
  <c r="Z77" i="56" s="1"/>
  <c r="N77" i="56"/>
  <c r="L77" i="56"/>
  <c r="F77" i="56"/>
  <c r="B77" i="56"/>
  <c r="Z76" i="56"/>
  <c r="X76" i="56"/>
  <c r="N76" i="56"/>
  <c r="L76" i="56"/>
  <c r="F76" i="56"/>
  <c r="B76" i="56"/>
  <c r="T75" i="56"/>
  <c r="P75" i="56"/>
  <c r="X75" i="56" s="1"/>
  <c r="L75" i="56"/>
  <c r="H75" i="56"/>
  <c r="N75" i="56" s="1"/>
  <c r="F75" i="56"/>
  <c r="D75" i="56"/>
  <c r="B75" i="56"/>
  <c r="X74" i="56"/>
  <c r="Z74" i="56" s="1"/>
  <c r="N74" i="56"/>
  <c r="L74" i="56"/>
  <c r="J74" i="56"/>
  <c r="B74" i="56"/>
  <c r="T73" i="56"/>
  <c r="X73" i="56" s="1"/>
  <c r="Z73" i="56" s="1"/>
  <c r="R73" i="56"/>
  <c r="P73" i="56"/>
  <c r="L73" i="56"/>
  <c r="H73" i="56"/>
  <c r="D73" i="56"/>
  <c r="B73" i="56"/>
  <c r="Z72" i="56"/>
  <c r="X72" i="56"/>
  <c r="R72" i="56"/>
  <c r="N72" i="56"/>
  <c r="L72" i="56"/>
  <c r="J72" i="56"/>
  <c r="B72" i="56"/>
  <c r="T71" i="56"/>
  <c r="P71" i="56"/>
  <c r="X71" i="56" s="1"/>
  <c r="H71" i="56"/>
  <c r="D71" i="56"/>
  <c r="B71" i="56"/>
  <c r="Z70" i="56"/>
  <c r="X70" i="56"/>
  <c r="N70" i="56"/>
  <c r="L70" i="56"/>
  <c r="B70" i="56"/>
  <c r="Z69" i="56"/>
  <c r="X69" i="56"/>
  <c r="N69" i="56"/>
  <c r="L69" i="56"/>
  <c r="F69" i="56"/>
  <c r="B69" i="56"/>
  <c r="Z68" i="56"/>
  <c r="X68" i="56"/>
  <c r="N68" i="56"/>
  <c r="L68" i="56"/>
  <c r="F68" i="56"/>
  <c r="B68" i="56"/>
  <c r="V67" i="56"/>
  <c r="T67" i="56"/>
  <c r="P67" i="56"/>
  <c r="X67" i="56" s="1"/>
  <c r="L67" i="56"/>
  <c r="H67" i="56"/>
  <c r="F67" i="56"/>
  <c r="D67" i="56"/>
  <c r="B67" i="56"/>
  <c r="X66" i="56"/>
  <c r="Z66" i="56" s="1"/>
  <c r="N66" i="56"/>
  <c r="L66" i="56"/>
  <c r="J66" i="56"/>
  <c r="B66" i="56"/>
  <c r="T65" i="56"/>
  <c r="X65" i="56" s="1"/>
  <c r="Z65" i="56" s="1"/>
  <c r="R65" i="56"/>
  <c r="P65" i="56"/>
  <c r="H65" i="56"/>
  <c r="D65" i="56"/>
  <c r="B65" i="56"/>
  <c r="Z64" i="56"/>
  <c r="X64" i="56"/>
  <c r="R64" i="56"/>
  <c r="N64" i="56"/>
  <c r="L64" i="56"/>
  <c r="J64" i="56"/>
  <c r="B64" i="56"/>
  <c r="Z63" i="56"/>
  <c r="X63" i="56"/>
  <c r="L63" i="56"/>
  <c r="N63" i="56" s="1"/>
  <c r="J63" i="56"/>
  <c r="B63" i="56"/>
  <c r="Z62" i="56"/>
  <c r="X62" i="56"/>
  <c r="N62" i="56"/>
  <c r="L62" i="56"/>
  <c r="B62" i="56"/>
  <c r="T61" i="56"/>
  <c r="P61" i="56"/>
  <c r="J61" i="56"/>
  <c r="H61" i="56"/>
  <c r="N61" i="56" s="1"/>
  <c r="D61" i="56"/>
  <c r="L61" i="56" s="1"/>
  <c r="B61" i="56"/>
  <c r="Z60" i="56"/>
  <c r="X60" i="56"/>
  <c r="V60" i="56"/>
  <c r="N60" i="56"/>
  <c r="L60" i="56"/>
  <c r="F60" i="56"/>
  <c r="B60" i="56"/>
  <c r="X59" i="56"/>
  <c r="Z59" i="56" s="1"/>
  <c r="V59" i="56"/>
  <c r="N59" i="56"/>
  <c r="L59" i="56"/>
  <c r="F59" i="56"/>
  <c r="B59" i="56"/>
  <c r="X58" i="56"/>
  <c r="Z58" i="56" s="1"/>
  <c r="L58" i="56"/>
  <c r="N58" i="56" s="1"/>
  <c r="B58" i="56"/>
  <c r="X57" i="56"/>
  <c r="T57" i="56"/>
  <c r="R57" i="56"/>
  <c r="P57" i="56"/>
  <c r="J57" i="56"/>
  <c r="H57" i="56"/>
  <c r="N57" i="56" s="1"/>
  <c r="D57" i="56"/>
  <c r="L57" i="56" s="1"/>
  <c r="B57" i="56"/>
  <c r="Z56" i="56"/>
  <c r="X56" i="56"/>
  <c r="R56" i="56"/>
  <c r="N56" i="56"/>
  <c r="L56" i="56"/>
  <c r="J56" i="56"/>
  <c r="F56" i="56"/>
  <c r="B56" i="56"/>
  <c r="X55" i="56"/>
  <c r="T55" i="56"/>
  <c r="P55" i="56"/>
  <c r="N55" i="56"/>
  <c r="H55" i="56"/>
  <c r="L55" i="56" s="1"/>
  <c r="F55" i="56"/>
  <c r="D55" i="56"/>
  <c r="B55" i="56"/>
  <c r="Z54" i="56"/>
  <c r="X54" i="56"/>
  <c r="V54" i="56"/>
  <c r="N54" i="56"/>
  <c r="L54" i="56"/>
  <c r="B54" i="56"/>
  <c r="T53" i="56"/>
  <c r="P53" i="56"/>
  <c r="J53" i="56"/>
  <c r="H53" i="56"/>
  <c r="N53" i="56" s="1"/>
  <c r="D53" i="56"/>
  <c r="L53" i="56" s="1"/>
  <c r="B53" i="56"/>
  <c r="Z52" i="56"/>
  <c r="X52" i="56"/>
  <c r="N52" i="56"/>
  <c r="L52" i="56"/>
  <c r="F52" i="56"/>
  <c r="B52" i="56"/>
  <c r="T51" i="56"/>
  <c r="Z51" i="56" s="1"/>
  <c r="P51" i="56"/>
  <c r="X51" i="56" s="1"/>
  <c r="L51" i="56"/>
  <c r="H51" i="56"/>
  <c r="N51" i="56" s="1"/>
  <c r="F51" i="56"/>
  <c r="D51" i="56"/>
  <c r="B51" i="56"/>
  <c r="Z50" i="56"/>
  <c r="X50" i="56"/>
  <c r="N50" i="56"/>
  <c r="L50" i="56"/>
  <c r="J50" i="56"/>
  <c r="F50" i="56"/>
  <c r="B50" i="56"/>
  <c r="T49" i="56"/>
  <c r="X49" i="56" s="1"/>
  <c r="R49" i="56"/>
  <c r="P49" i="56"/>
  <c r="L49" i="56"/>
  <c r="H49" i="56"/>
  <c r="F49" i="56"/>
  <c r="D49" i="56"/>
  <c r="B49" i="56"/>
  <c r="Z48" i="56"/>
  <c r="X48" i="56"/>
  <c r="V48" i="56"/>
  <c r="R48" i="56"/>
  <c r="N48" i="56"/>
  <c r="L48" i="56"/>
  <c r="J48" i="56"/>
  <c r="B48" i="56"/>
  <c r="V47" i="56"/>
  <c r="T47" i="56"/>
  <c r="P47" i="56"/>
  <c r="X47" i="56" s="1"/>
  <c r="H47" i="56"/>
  <c r="N47" i="56" s="1"/>
  <c r="D47" i="56"/>
  <c r="L47" i="56" s="1"/>
  <c r="B47" i="56"/>
  <c r="X46" i="56"/>
  <c r="Z46" i="56" s="1"/>
  <c r="N46" i="56"/>
  <c r="L46" i="56"/>
  <c r="B46" i="56"/>
  <c r="X45" i="56"/>
  <c r="Z45" i="56" s="1"/>
  <c r="N45" i="56"/>
  <c r="L45" i="56"/>
  <c r="F45" i="56"/>
  <c r="B45" i="56"/>
  <c r="V44" i="56"/>
  <c r="T44" i="56"/>
  <c r="R44" i="56"/>
  <c r="P44" i="56"/>
  <c r="X44" i="56" s="1"/>
  <c r="Z44" i="56" s="1"/>
  <c r="H44" i="56"/>
  <c r="F44" i="56"/>
  <c r="D44" i="56"/>
  <c r="L44" i="56" s="1"/>
  <c r="N44" i="56" s="1"/>
  <c r="B44" i="56"/>
  <c r="X43" i="56"/>
  <c r="Z43" i="56" s="1"/>
  <c r="R43" i="56"/>
  <c r="N43" i="56"/>
  <c r="L43" i="56"/>
  <c r="J43" i="56"/>
  <c r="F43" i="56"/>
  <c r="B43" i="56"/>
  <c r="Z42" i="56"/>
  <c r="X42" i="56"/>
  <c r="T42" i="56"/>
  <c r="R42" i="56"/>
  <c r="P42" i="56"/>
  <c r="H42" i="56"/>
  <c r="L42" i="56" s="1"/>
  <c r="F42" i="56"/>
  <c r="D42" i="56"/>
  <c r="B42" i="56"/>
  <c r="Z41" i="56"/>
  <c r="X41" i="56"/>
  <c r="R41" i="56"/>
  <c r="L41" i="56"/>
  <c r="N41" i="56" s="1"/>
  <c r="F41" i="56"/>
  <c r="B41" i="56"/>
  <c r="V40" i="56"/>
  <c r="T40" i="56"/>
  <c r="P40" i="56"/>
  <c r="X40" i="56" s="1"/>
  <c r="J40" i="56"/>
  <c r="H40" i="56"/>
  <c r="F40" i="56"/>
  <c r="D40" i="56"/>
  <c r="L40" i="56" s="1"/>
  <c r="N40" i="56" s="1"/>
  <c r="B40" i="56"/>
  <c r="Z39" i="56"/>
  <c r="X39" i="56"/>
  <c r="V39" i="56"/>
  <c r="N39" i="56"/>
  <c r="L39" i="56"/>
  <c r="F39" i="56"/>
  <c r="B39" i="56"/>
  <c r="Z38" i="56"/>
  <c r="X38" i="56"/>
  <c r="N38" i="56"/>
  <c r="L38" i="56"/>
  <c r="F38" i="56"/>
  <c r="B38" i="56"/>
  <c r="Z37" i="56"/>
  <c r="X37" i="56"/>
  <c r="N37" i="56"/>
  <c r="L37" i="56"/>
  <c r="F37" i="56"/>
  <c r="B37" i="56"/>
  <c r="Z36" i="56"/>
  <c r="X36" i="56"/>
  <c r="V36" i="56"/>
  <c r="N36" i="56"/>
  <c r="L36" i="56"/>
  <c r="F36" i="56"/>
  <c r="B36" i="56"/>
  <c r="Z35" i="56"/>
  <c r="X35" i="56"/>
  <c r="V35" i="56"/>
  <c r="N35" i="56"/>
  <c r="L35" i="56"/>
  <c r="F35" i="56"/>
  <c r="B35" i="56"/>
  <c r="Z34" i="56"/>
  <c r="X34" i="56"/>
  <c r="N34" i="56"/>
  <c r="L34" i="56"/>
  <c r="F34" i="56"/>
  <c r="B34" i="56"/>
  <c r="Z33" i="56"/>
  <c r="X33" i="56"/>
  <c r="N33" i="56"/>
  <c r="L33" i="56"/>
  <c r="F33" i="56"/>
  <c r="B33" i="56"/>
  <c r="Z32" i="56"/>
  <c r="X32" i="56"/>
  <c r="V32" i="56"/>
  <c r="N32" i="56"/>
  <c r="L32" i="56"/>
  <c r="F32" i="56"/>
  <c r="B32" i="56"/>
  <c r="X31" i="56"/>
  <c r="Z31" i="56" s="1"/>
  <c r="V31" i="56"/>
  <c r="L31" i="56"/>
  <c r="N31" i="56" s="1"/>
  <c r="F31" i="56"/>
  <c r="B31" i="56"/>
  <c r="X30" i="56"/>
  <c r="Z30" i="56" s="1"/>
  <c r="L30" i="56"/>
  <c r="N30" i="56" s="1"/>
  <c r="F30" i="56"/>
  <c r="B30" i="56"/>
  <c r="X29" i="56"/>
  <c r="T29" i="56"/>
  <c r="R29" i="56"/>
  <c r="P29" i="56"/>
  <c r="J29" i="56"/>
  <c r="H29" i="56"/>
  <c r="F29" i="56"/>
  <c r="D29" i="56"/>
  <c r="L29" i="56" s="1"/>
  <c r="B29" i="56"/>
  <c r="Z28" i="56"/>
  <c r="X28" i="56"/>
  <c r="R28" i="56"/>
  <c r="N28" i="56"/>
  <c r="L28" i="56"/>
  <c r="J28" i="56"/>
  <c r="F28" i="56"/>
  <c r="B28" i="56"/>
  <c r="X27" i="56"/>
  <c r="Z27" i="56" s="1"/>
  <c r="R27" i="56"/>
  <c r="N27" i="56"/>
  <c r="L27" i="56"/>
  <c r="J27" i="56"/>
  <c r="F27" i="56"/>
  <c r="B27" i="56"/>
  <c r="Z26" i="56"/>
  <c r="X26" i="56"/>
  <c r="N26" i="56"/>
  <c r="L26" i="56"/>
  <c r="J26" i="56"/>
  <c r="F26" i="56"/>
  <c r="B26" i="56"/>
  <c r="Z25" i="56"/>
  <c r="X25" i="56"/>
  <c r="R25" i="56"/>
  <c r="N25" i="56"/>
  <c r="L25" i="56"/>
  <c r="F25" i="56"/>
  <c r="B25" i="56"/>
  <c r="Z24" i="56"/>
  <c r="X24" i="56"/>
  <c r="R24" i="56"/>
  <c r="N24" i="56"/>
  <c r="L24" i="56"/>
  <c r="J24" i="56"/>
  <c r="F24" i="56"/>
  <c r="B24" i="56"/>
  <c r="X23" i="56"/>
  <c r="Z23" i="56" s="1"/>
  <c r="R23" i="56"/>
  <c r="N23" i="56"/>
  <c r="L23" i="56"/>
  <c r="J23" i="56"/>
  <c r="F23" i="56"/>
  <c r="B23" i="56"/>
  <c r="X22" i="56"/>
  <c r="Z22" i="56" s="1"/>
  <c r="N22" i="56"/>
  <c r="L22" i="56"/>
  <c r="J22" i="56"/>
  <c r="F22" i="56"/>
  <c r="B22" i="56"/>
  <c r="Z21" i="56"/>
  <c r="X21" i="56"/>
  <c r="R21" i="56"/>
  <c r="N21" i="56"/>
  <c r="L21" i="56"/>
  <c r="F21" i="56"/>
  <c r="B21" i="56"/>
  <c r="Z20" i="56"/>
  <c r="X20" i="56"/>
  <c r="R20" i="56"/>
  <c r="N20" i="56"/>
  <c r="L20" i="56"/>
  <c r="J20" i="56"/>
  <c r="F20" i="56"/>
  <c r="B20" i="56"/>
  <c r="X19" i="56"/>
  <c r="T19" i="56"/>
  <c r="P19" i="56"/>
  <c r="H19" i="56"/>
  <c r="F19" i="56"/>
  <c r="D19" i="56"/>
  <c r="B19" i="56"/>
  <c r="Z18" i="56"/>
  <c r="V18" i="56"/>
  <c r="T18" i="56"/>
  <c r="P18" i="56"/>
  <c r="X18" i="56" s="1"/>
  <c r="J18" i="56"/>
  <c r="H18" i="56"/>
  <c r="F18" i="56"/>
  <c r="D18" i="56"/>
  <c r="L18" i="56" s="1"/>
  <c r="V16" i="56"/>
  <c r="P16" i="56"/>
  <c r="J16" i="56"/>
  <c r="H16" i="56"/>
  <c r="F16" i="56"/>
  <c r="Z14" i="56"/>
  <c r="V14" i="56"/>
  <c r="T14" i="56"/>
  <c r="P14" i="56"/>
  <c r="X14" i="56" s="1"/>
  <c r="J14" i="56"/>
  <c r="H14" i="56"/>
  <c r="N14" i="56" s="1"/>
  <c r="F14" i="56"/>
  <c r="D14" i="56"/>
  <c r="D16" i="56" s="1"/>
  <c r="L16" i="56" s="1"/>
  <c r="Z12" i="56"/>
  <c r="T12" i="56"/>
  <c r="V68" i="56" s="1"/>
  <c r="P12" i="56"/>
  <c r="R75" i="56" s="1"/>
  <c r="L12" i="56"/>
  <c r="H12" i="56"/>
  <c r="J83" i="56" s="1"/>
  <c r="D12" i="56"/>
  <c r="F81" i="56" s="1"/>
  <c r="D6" i="56"/>
  <c r="D4" i="56"/>
  <c r="V40" i="55"/>
  <c r="R40" i="55"/>
  <c r="F40" i="55"/>
  <c r="V37" i="55"/>
  <c r="R37" i="55"/>
  <c r="Z35" i="55"/>
  <c r="X35" i="55"/>
  <c r="V35" i="55"/>
  <c r="N35" i="55"/>
  <c r="L35" i="55"/>
  <c r="F35" i="55"/>
  <c r="V33" i="55"/>
  <c r="J33" i="55"/>
  <c r="V31" i="55"/>
  <c r="T31" i="55"/>
  <c r="Z31" i="55" s="1"/>
  <c r="P31" i="55"/>
  <c r="X31" i="55" s="1"/>
  <c r="J31" i="55"/>
  <c r="H31" i="55"/>
  <c r="N31" i="55" s="1"/>
  <c r="D31" i="55"/>
  <c r="L31" i="55" s="1"/>
  <c r="Z29" i="55"/>
  <c r="X29" i="55"/>
  <c r="V29" i="55"/>
  <c r="N29" i="55"/>
  <c r="L29" i="55"/>
  <c r="J29" i="55"/>
  <c r="B29" i="55"/>
  <c r="Z28" i="55"/>
  <c r="X28" i="55"/>
  <c r="V28" i="55"/>
  <c r="L28" i="55"/>
  <c r="N28" i="55" s="1"/>
  <c r="J28" i="55"/>
  <c r="B28" i="55"/>
  <c r="Z27" i="55"/>
  <c r="V27" i="55"/>
  <c r="T27" i="55"/>
  <c r="P27" i="55"/>
  <c r="X27" i="55" s="1"/>
  <c r="J27" i="55"/>
  <c r="H27" i="55"/>
  <c r="D27" i="55"/>
  <c r="L27" i="55" s="1"/>
  <c r="B27" i="55"/>
  <c r="X26" i="55"/>
  <c r="Z26" i="55" s="1"/>
  <c r="V26" i="55"/>
  <c r="N26" i="55"/>
  <c r="L26" i="55"/>
  <c r="F26" i="55"/>
  <c r="B26" i="55"/>
  <c r="V25" i="55"/>
  <c r="T25" i="55"/>
  <c r="P25" i="55"/>
  <c r="X25" i="55" s="1"/>
  <c r="Z25" i="55" s="1"/>
  <c r="N25" i="55"/>
  <c r="L25" i="55"/>
  <c r="H25" i="55"/>
  <c r="F25" i="55"/>
  <c r="D25" i="55"/>
  <c r="B25" i="55"/>
  <c r="X24" i="55"/>
  <c r="Z24" i="55" s="1"/>
  <c r="N24" i="55"/>
  <c r="L24" i="55"/>
  <c r="J24" i="55"/>
  <c r="B24" i="55"/>
  <c r="X23" i="55"/>
  <c r="Z23" i="55" s="1"/>
  <c r="V23" i="55"/>
  <c r="T23" i="55"/>
  <c r="P23" i="55"/>
  <c r="N23" i="55"/>
  <c r="L23" i="55"/>
  <c r="H23" i="55"/>
  <c r="D23" i="55"/>
  <c r="B23" i="55"/>
  <c r="Z22" i="55"/>
  <c r="X22" i="55"/>
  <c r="V22" i="55"/>
  <c r="R22" i="55"/>
  <c r="L22" i="55"/>
  <c r="N22" i="55" s="1"/>
  <c r="J22" i="55"/>
  <c r="B22" i="55"/>
  <c r="V21" i="55"/>
  <c r="T21" i="55"/>
  <c r="P21" i="55"/>
  <c r="J21" i="55"/>
  <c r="H21" i="55"/>
  <c r="D21" i="55"/>
  <c r="L21" i="55" s="1"/>
  <c r="N21" i="55" s="1"/>
  <c r="B21" i="55"/>
  <c r="X20" i="55"/>
  <c r="Z20" i="55" s="1"/>
  <c r="V20" i="55"/>
  <c r="L20" i="55"/>
  <c r="N20" i="55" s="1"/>
  <c r="B20" i="55"/>
  <c r="V19" i="55"/>
  <c r="T19" i="55"/>
  <c r="P19" i="55"/>
  <c r="X19" i="55" s="1"/>
  <c r="Z19" i="55" s="1"/>
  <c r="J19" i="55"/>
  <c r="H19" i="55"/>
  <c r="F19" i="55"/>
  <c r="D19" i="55"/>
  <c r="L19" i="55" s="1"/>
  <c r="N19" i="55" s="1"/>
  <c r="B19" i="55"/>
  <c r="T18" i="55"/>
  <c r="P18" i="55"/>
  <c r="L18" i="55"/>
  <c r="H18" i="55"/>
  <c r="F18" i="55"/>
  <c r="D18" i="55"/>
  <c r="T16" i="55"/>
  <c r="T33" i="55" s="1"/>
  <c r="R16" i="55"/>
  <c r="F16" i="55"/>
  <c r="T14" i="55"/>
  <c r="Z14" i="55" s="1"/>
  <c r="P14" i="55"/>
  <c r="H14" i="55"/>
  <c r="F14" i="55"/>
  <c r="D14" i="55"/>
  <c r="Z12" i="55"/>
  <c r="T12" i="55"/>
  <c r="V24" i="55" s="1"/>
  <c r="P12" i="55"/>
  <c r="R25" i="55" s="1"/>
  <c r="N12" i="55"/>
  <c r="H12" i="55"/>
  <c r="J20" i="55" s="1"/>
  <c r="D12" i="55"/>
  <c r="D6" i="55"/>
  <c r="D4" i="55"/>
  <c r="V31" i="54"/>
  <c r="V29" i="54"/>
  <c r="T29" i="54"/>
  <c r="P29" i="54"/>
  <c r="X29" i="54" s="1"/>
  <c r="Z29" i="54" s="1"/>
  <c r="H29" i="54"/>
  <c r="D29" i="54"/>
  <c r="L29" i="54" s="1"/>
  <c r="Z28" i="54"/>
  <c r="V28" i="54"/>
  <c r="T28" i="54"/>
  <c r="P28" i="54"/>
  <c r="X28" i="54" s="1"/>
  <c r="H28" i="54"/>
  <c r="D28" i="54"/>
  <c r="L28" i="54" s="1"/>
  <c r="N28" i="54" s="1"/>
  <c r="V26" i="54"/>
  <c r="Z24" i="54"/>
  <c r="X24" i="54"/>
  <c r="V24" i="54"/>
  <c r="N24" i="54"/>
  <c r="L24" i="54"/>
  <c r="J24" i="54"/>
  <c r="T22" i="54"/>
  <c r="R22" i="54"/>
  <c r="F22" i="54"/>
  <c r="X20" i="54"/>
  <c r="T20" i="54"/>
  <c r="Z20" i="54" s="1"/>
  <c r="R20" i="54"/>
  <c r="P20" i="54"/>
  <c r="H20" i="54"/>
  <c r="F20" i="54"/>
  <c r="D20" i="54"/>
  <c r="X18" i="54"/>
  <c r="T18" i="54"/>
  <c r="Z18" i="54" s="1"/>
  <c r="R18" i="54"/>
  <c r="P18" i="54"/>
  <c r="N18" i="54"/>
  <c r="L18" i="54"/>
  <c r="H18" i="54"/>
  <c r="D18" i="54"/>
  <c r="T16" i="54"/>
  <c r="Z16" i="54" s="1"/>
  <c r="R16" i="54"/>
  <c r="T14" i="54"/>
  <c r="Z14" i="54" s="1"/>
  <c r="P14" i="54"/>
  <c r="L14" i="54"/>
  <c r="H14" i="54"/>
  <c r="F14" i="54"/>
  <c r="D14" i="54"/>
  <c r="Z12" i="54"/>
  <c r="X12" i="54"/>
  <c r="T12" i="54"/>
  <c r="V22" i="54" s="1"/>
  <c r="P12" i="54"/>
  <c r="R14" i="54" s="1"/>
  <c r="N12" i="54"/>
  <c r="H12" i="54"/>
  <c r="D12" i="54"/>
  <c r="D6" i="54"/>
  <c r="D4" i="54"/>
  <c r="X114" i="51"/>
  <c r="Z114" i="51" s="1"/>
  <c r="V114" i="51"/>
  <c r="L114" i="51"/>
  <c r="N114" i="51" s="1"/>
  <c r="Z110" i="51"/>
  <c r="X110" i="51"/>
  <c r="P110" i="51"/>
  <c r="D110" i="51"/>
  <c r="L110" i="51" s="1"/>
  <c r="N110" i="51" s="1"/>
  <c r="B110" i="51"/>
  <c r="Z109" i="51"/>
  <c r="X109" i="51"/>
  <c r="P109" i="51"/>
  <c r="P106" i="51" s="1"/>
  <c r="N109" i="51"/>
  <c r="D109" i="51"/>
  <c r="B109" i="51"/>
  <c r="Z108" i="51"/>
  <c r="V108" i="51"/>
  <c r="P108" i="51"/>
  <c r="X108" i="51" s="1"/>
  <c r="N108" i="51"/>
  <c r="D108" i="51"/>
  <c r="L108" i="51" s="1"/>
  <c r="B108" i="51"/>
  <c r="Z107" i="51"/>
  <c r="X107" i="51"/>
  <c r="P107" i="51"/>
  <c r="N107" i="51"/>
  <c r="D107" i="51"/>
  <c r="L107" i="51" s="1"/>
  <c r="B107" i="51"/>
  <c r="Z106" i="51"/>
  <c r="X106" i="51"/>
  <c r="T106" i="51"/>
  <c r="H106" i="51"/>
  <c r="Z104" i="51"/>
  <c r="X104" i="51"/>
  <c r="N104" i="51"/>
  <c r="L104" i="51"/>
  <c r="B104" i="51"/>
  <c r="V103" i="51"/>
  <c r="T103" i="51"/>
  <c r="P103" i="51"/>
  <c r="L103" i="51"/>
  <c r="H103" i="51"/>
  <c r="N103" i="51" s="1"/>
  <c r="D103" i="51"/>
  <c r="B103" i="51"/>
  <c r="X102" i="51"/>
  <c r="Z102" i="51" s="1"/>
  <c r="V102" i="51"/>
  <c r="N102" i="51"/>
  <c r="L102" i="51"/>
  <c r="B102" i="51"/>
  <c r="T101" i="51"/>
  <c r="Z101" i="51" s="1"/>
  <c r="P101" i="51"/>
  <c r="X101" i="51" s="1"/>
  <c r="N101" i="51"/>
  <c r="H101" i="51"/>
  <c r="L101" i="51" s="1"/>
  <c r="D101" i="51"/>
  <c r="B101" i="51"/>
  <c r="Z100" i="51"/>
  <c r="X100" i="51"/>
  <c r="V100" i="51"/>
  <c r="N100" i="51"/>
  <c r="L100" i="51"/>
  <c r="B100" i="51"/>
  <c r="X99" i="51"/>
  <c r="Z99" i="51" s="1"/>
  <c r="L99" i="51"/>
  <c r="N99" i="51" s="1"/>
  <c r="B99" i="51"/>
  <c r="V98" i="51"/>
  <c r="T98" i="51"/>
  <c r="P98" i="51"/>
  <c r="X98" i="51" s="1"/>
  <c r="Z98" i="51" s="1"/>
  <c r="H98" i="51"/>
  <c r="D98" i="51"/>
  <c r="B98" i="51"/>
  <c r="Z97" i="51"/>
  <c r="X97" i="51"/>
  <c r="N97" i="51"/>
  <c r="L97" i="51"/>
  <c r="B97" i="51"/>
  <c r="Z96" i="51"/>
  <c r="X96" i="51"/>
  <c r="N96" i="51"/>
  <c r="L96" i="51"/>
  <c r="B96" i="51"/>
  <c r="V95" i="51"/>
  <c r="T95" i="51"/>
  <c r="P95" i="51"/>
  <c r="L95" i="51"/>
  <c r="H95" i="51"/>
  <c r="N95" i="51" s="1"/>
  <c r="D95" i="51"/>
  <c r="B95" i="51"/>
  <c r="Z94" i="51"/>
  <c r="X94" i="51"/>
  <c r="V94" i="51"/>
  <c r="N94" i="51"/>
  <c r="L94" i="51"/>
  <c r="B94" i="51"/>
  <c r="T93" i="51"/>
  <c r="Z93" i="51" s="1"/>
  <c r="P93" i="51"/>
  <c r="X93" i="51" s="1"/>
  <c r="N93" i="51"/>
  <c r="H93" i="51"/>
  <c r="L93" i="51" s="1"/>
  <c r="D93" i="51"/>
  <c r="B93" i="51"/>
  <c r="Z92" i="51"/>
  <c r="X92" i="51"/>
  <c r="V92" i="51"/>
  <c r="N92" i="51"/>
  <c r="L92" i="51"/>
  <c r="B92" i="51"/>
  <c r="Z91" i="51"/>
  <c r="T91" i="51"/>
  <c r="P91" i="51"/>
  <c r="X91" i="51" s="1"/>
  <c r="N91" i="51"/>
  <c r="L91" i="51"/>
  <c r="H91" i="51"/>
  <c r="D91" i="51"/>
  <c r="B91" i="51"/>
  <c r="X90" i="51"/>
  <c r="Z90" i="51" s="1"/>
  <c r="L90" i="51"/>
  <c r="N90" i="51" s="1"/>
  <c r="B90" i="51"/>
  <c r="X89" i="51"/>
  <c r="T89" i="51"/>
  <c r="Z89" i="51" s="1"/>
  <c r="P89" i="51"/>
  <c r="H89" i="51"/>
  <c r="D89" i="51"/>
  <c r="B89" i="51"/>
  <c r="Z88" i="51"/>
  <c r="X88" i="51"/>
  <c r="L88" i="51"/>
  <c r="N88" i="51" s="1"/>
  <c r="B88" i="51"/>
  <c r="Z87" i="51"/>
  <c r="T87" i="51"/>
  <c r="X87" i="51" s="1"/>
  <c r="P87" i="51"/>
  <c r="H87" i="51"/>
  <c r="N87" i="51" s="1"/>
  <c r="D87" i="51"/>
  <c r="L87" i="51" s="1"/>
  <c r="B87" i="51"/>
  <c r="Z86" i="51"/>
  <c r="X86" i="51"/>
  <c r="V86" i="51"/>
  <c r="L86" i="51"/>
  <c r="N86" i="51" s="1"/>
  <c r="B86" i="51"/>
  <c r="Z85" i="51"/>
  <c r="X85" i="51"/>
  <c r="V85" i="51"/>
  <c r="T85" i="51"/>
  <c r="P85" i="51"/>
  <c r="H85" i="51"/>
  <c r="D85" i="51"/>
  <c r="L85" i="51" s="1"/>
  <c r="N85" i="51" s="1"/>
  <c r="B85" i="51"/>
  <c r="Z84" i="51"/>
  <c r="X84" i="51"/>
  <c r="N84" i="51"/>
  <c r="L84" i="51"/>
  <c r="B84" i="51"/>
  <c r="V83" i="51"/>
  <c r="T83" i="51"/>
  <c r="P83" i="51"/>
  <c r="L83" i="51"/>
  <c r="H83" i="51"/>
  <c r="N83" i="51" s="1"/>
  <c r="D83" i="51"/>
  <c r="B83" i="51"/>
  <c r="X82" i="51"/>
  <c r="Z82" i="51" s="1"/>
  <c r="V82" i="51"/>
  <c r="N82" i="51"/>
  <c r="L82" i="51"/>
  <c r="B82" i="51"/>
  <c r="T81" i="51"/>
  <c r="P81" i="51"/>
  <c r="X81" i="51" s="1"/>
  <c r="H81" i="51"/>
  <c r="N81" i="51" s="1"/>
  <c r="D81" i="51"/>
  <c r="L81" i="51" s="1"/>
  <c r="B81" i="51"/>
  <c r="Z80" i="51"/>
  <c r="X80" i="51"/>
  <c r="V80" i="51"/>
  <c r="N80" i="51"/>
  <c r="L80" i="51"/>
  <c r="B80" i="51"/>
  <c r="Z79" i="51"/>
  <c r="X79" i="51"/>
  <c r="N79" i="51"/>
  <c r="L79" i="51"/>
  <c r="J79" i="51"/>
  <c r="B79" i="51"/>
  <c r="Z78" i="51"/>
  <c r="X78" i="51"/>
  <c r="V78" i="51"/>
  <c r="L78" i="51"/>
  <c r="N78" i="51" s="1"/>
  <c r="B78" i="51"/>
  <c r="Z77" i="51"/>
  <c r="X77" i="51"/>
  <c r="V77" i="51"/>
  <c r="N77" i="51"/>
  <c r="L77" i="51"/>
  <c r="B77" i="51"/>
  <c r="Z76" i="51"/>
  <c r="X76" i="51"/>
  <c r="V76" i="51"/>
  <c r="N76" i="51"/>
  <c r="L76" i="51"/>
  <c r="B76" i="51"/>
  <c r="Z75" i="51"/>
  <c r="X75" i="51"/>
  <c r="N75" i="51"/>
  <c r="L75" i="51"/>
  <c r="B75" i="51"/>
  <c r="Z74" i="51"/>
  <c r="X74" i="51"/>
  <c r="V74" i="51"/>
  <c r="L74" i="51"/>
  <c r="N74" i="51" s="1"/>
  <c r="B74" i="51"/>
  <c r="Z73" i="51"/>
  <c r="X73" i="51"/>
  <c r="V73" i="51"/>
  <c r="N73" i="51"/>
  <c r="L73" i="51"/>
  <c r="B73" i="51"/>
  <c r="Z72" i="51"/>
  <c r="X72" i="51"/>
  <c r="V72" i="51"/>
  <c r="N72" i="51"/>
  <c r="L72" i="51"/>
  <c r="B72" i="51"/>
  <c r="X71" i="51"/>
  <c r="Z71" i="51" s="1"/>
  <c r="V71" i="51"/>
  <c r="L71" i="51"/>
  <c r="N71" i="51" s="1"/>
  <c r="B71" i="51"/>
  <c r="V70" i="51"/>
  <c r="T70" i="51"/>
  <c r="P70" i="51"/>
  <c r="X70" i="51" s="1"/>
  <c r="Z70" i="51" s="1"/>
  <c r="H70" i="51"/>
  <c r="D70" i="51"/>
  <c r="B70" i="51"/>
  <c r="Z69" i="51"/>
  <c r="X69" i="51"/>
  <c r="N69" i="51"/>
  <c r="L69" i="51"/>
  <c r="B69" i="51"/>
  <c r="X68" i="51"/>
  <c r="Z68" i="51" s="1"/>
  <c r="N68" i="51"/>
  <c r="L68" i="51"/>
  <c r="B68" i="51"/>
  <c r="X67" i="51"/>
  <c r="Z67" i="51" s="1"/>
  <c r="V67" i="51"/>
  <c r="N67" i="51"/>
  <c r="L67" i="51"/>
  <c r="B67" i="51"/>
  <c r="Z66" i="51"/>
  <c r="X66" i="51"/>
  <c r="N66" i="51"/>
  <c r="L66" i="51"/>
  <c r="B66" i="51"/>
  <c r="Z65" i="51"/>
  <c r="X65" i="51"/>
  <c r="N65" i="51"/>
  <c r="L65" i="51"/>
  <c r="B65" i="51"/>
  <c r="X64" i="51"/>
  <c r="Z64" i="51" s="1"/>
  <c r="V64" i="51"/>
  <c r="N64" i="51"/>
  <c r="L64" i="51"/>
  <c r="B64" i="51"/>
  <c r="X63" i="51"/>
  <c r="Z63" i="51" s="1"/>
  <c r="V63" i="51"/>
  <c r="N63" i="51"/>
  <c r="L63" i="51"/>
  <c r="B63" i="51"/>
  <c r="X62" i="51"/>
  <c r="Z62" i="51" s="1"/>
  <c r="L62" i="51"/>
  <c r="N62" i="51" s="1"/>
  <c r="B62" i="51"/>
  <c r="X61" i="51"/>
  <c r="Z61" i="51" s="1"/>
  <c r="N61" i="51"/>
  <c r="L61" i="51"/>
  <c r="B61" i="51"/>
  <c r="Z60" i="51"/>
  <c r="X60" i="51"/>
  <c r="V60" i="51"/>
  <c r="N60" i="51"/>
  <c r="L60" i="51"/>
  <c r="B60" i="51"/>
  <c r="V59" i="51"/>
  <c r="T59" i="51"/>
  <c r="P59" i="51"/>
  <c r="L59" i="51"/>
  <c r="H59" i="51"/>
  <c r="D59" i="51"/>
  <c r="B59" i="51"/>
  <c r="V58" i="51"/>
  <c r="T58" i="51"/>
  <c r="P58" i="51"/>
  <c r="N58" i="51"/>
  <c r="H58" i="51"/>
  <c r="D58" i="51"/>
  <c r="L58" i="51" s="1"/>
  <c r="V56" i="51"/>
  <c r="T56" i="51"/>
  <c r="Z54" i="51"/>
  <c r="X54" i="51"/>
  <c r="V54" i="51"/>
  <c r="N54" i="51"/>
  <c r="L54" i="51"/>
  <c r="B54" i="51"/>
  <c r="Z53" i="51"/>
  <c r="X53" i="51"/>
  <c r="V53" i="51"/>
  <c r="N53" i="51"/>
  <c r="L53" i="51"/>
  <c r="B53" i="51"/>
  <c r="Z52" i="51"/>
  <c r="X52" i="51"/>
  <c r="V52" i="51"/>
  <c r="N52" i="51"/>
  <c r="L52" i="51"/>
  <c r="B52" i="51"/>
  <c r="Z51" i="51"/>
  <c r="X51" i="51"/>
  <c r="N51" i="51"/>
  <c r="L51" i="51"/>
  <c r="B51" i="51"/>
  <c r="Z50" i="51"/>
  <c r="X50" i="51"/>
  <c r="V50" i="51"/>
  <c r="N50" i="51"/>
  <c r="L50" i="51"/>
  <c r="B50" i="51"/>
  <c r="Z49" i="51"/>
  <c r="X49" i="51"/>
  <c r="V49" i="51"/>
  <c r="N49" i="51"/>
  <c r="L49" i="51"/>
  <c r="B49" i="51"/>
  <c r="Z48" i="51"/>
  <c r="X48" i="51"/>
  <c r="V48" i="51"/>
  <c r="N48" i="51"/>
  <c r="L48" i="51"/>
  <c r="B48" i="51"/>
  <c r="Z47" i="51"/>
  <c r="X47" i="51"/>
  <c r="N47" i="51"/>
  <c r="L47" i="51"/>
  <c r="B47" i="51"/>
  <c r="Z46" i="51"/>
  <c r="X46" i="51"/>
  <c r="V46" i="51"/>
  <c r="N46" i="51"/>
  <c r="L46" i="51"/>
  <c r="B46" i="51"/>
  <c r="Z45" i="51"/>
  <c r="X45" i="51"/>
  <c r="V45" i="51"/>
  <c r="N45" i="51"/>
  <c r="L45" i="51"/>
  <c r="J45" i="51"/>
  <c r="B45" i="51"/>
  <c r="Z44" i="51"/>
  <c r="X44" i="51"/>
  <c r="V44" i="51"/>
  <c r="N44" i="51"/>
  <c r="L44" i="51"/>
  <c r="B44" i="51"/>
  <c r="Z43" i="51"/>
  <c r="X43" i="51"/>
  <c r="N43" i="51"/>
  <c r="L43" i="51"/>
  <c r="B43" i="51"/>
  <c r="Z42" i="51"/>
  <c r="X42" i="51"/>
  <c r="V42" i="51"/>
  <c r="N42" i="51"/>
  <c r="L42" i="51"/>
  <c r="B42" i="51"/>
  <c r="Z41" i="51"/>
  <c r="X41" i="51"/>
  <c r="V41" i="51"/>
  <c r="N41" i="51"/>
  <c r="L41" i="51"/>
  <c r="B41" i="51"/>
  <c r="T40" i="51"/>
  <c r="V40" i="51" s="1"/>
  <c r="P40" i="51"/>
  <c r="X40" i="51" s="1"/>
  <c r="Z40" i="51" s="1"/>
  <c r="H40" i="51"/>
  <c r="D40" i="51"/>
  <c r="Z38" i="51"/>
  <c r="P38" i="51"/>
  <c r="X38" i="51" s="1"/>
  <c r="N38" i="51"/>
  <c r="D38" i="51"/>
  <c r="L38" i="51" s="1"/>
  <c r="B38" i="51"/>
  <c r="Z37" i="51"/>
  <c r="P37" i="51"/>
  <c r="X37" i="51" s="1"/>
  <c r="N37" i="51"/>
  <c r="D37" i="51"/>
  <c r="L37" i="51" s="1"/>
  <c r="B37" i="51"/>
  <c r="Z36" i="51"/>
  <c r="X36" i="51"/>
  <c r="P36" i="51"/>
  <c r="N36" i="51"/>
  <c r="D36" i="51"/>
  <c r="L36" i="51" s="1"/>
  <c r="B36" i="51"/>
  <c r="Z35" i="51"/>
  <c r="X35" i="51"/>
  <c r="P35" i="51"/>
  <c r="N35" i="51"/>
  <c r="D35" i="51"/>
  <c r="L35" i="51" s="1"/>
  <c r="B35" i="51"/>
  <c r="Z34" i="51"/>
  <c r="P34" i="51"/>
  <c r="X34" i="51" s="1"/>
  <c r="N34" i="51"/>
  <c r="L34" i="51"/>
  <c r="D34" i="51"/>
  <c r="B34" i="51"/>
  <c r="Z33" i="51"/>
  <c r="X33" i="51"/>
  <c r="P33" i="51"/>
  <c r="N33" i="51"/>
  <c r="L33" i="51"/>
  <c r="D33" i="51"/>
  <c r="B33" i="51"/>
  <c r="Z32" i="51"/>
  <c r="X32" i="51"/>
  <c r="P32" i="51"/>
  <c r="N32" i="51"/>
  <c r="L32" i="51"/>
  <c r="D32" i="51"/>
  <c r="B32" i="51"/>
  <c r="Z31" i="51"/>
  <c r="P31" i="51"/>
  <c r="X31" i="51" s="1"/>
  <c r="N31" i="51"/>
  <c r="D31" i="51"/>
  <c r="L31" i="51" s="1"/>
  <c r="B31" i="51"/>
  <c r="Z30" i="51"/>
  <c r="X30" i="51"/>
  <c r="P30" i="51"/>
  <c r="N30" i="51"/>
  <c r="L30" i="51"/>
  <c r="D30" i="51"/>
  <c r="B30" i="51"/>
  <c r="Z29" i="51"/>
  <c r="P29" i="51"/>
  <c r="X29" i="51" s="1"/>
  <c r="N29" i="51"/>
  <c r="D29" i="51"/>
  <c r="L29" i="51" s="1"/>
  <c r="B29" i="51"/>
  <c r="Z28" i="51"/>
  <c r="P28" i="51"/>
  <c r="X28" i="51" s="1"/>
  <c r="N28" i="51"/>
  <c r="L28" i="51"/>
  <c r="D28" i="51"/>
  <c r="B28" i="51"/>
  <c r="Z27" i="51"/>
  <c r="P27" i="51"/>
  <c r="X27" i="51" s="1"/>
  <c r="N27" i="51"/>
  <c r="L27" i="51"/>
  <c r="D27" i="51"/>
  <c r="B27" i="51"/>
  <c r="Z26" i="51"/>
  <c r="P26" i="51"/>
  <c r="X26" i="51" s="1"/>
  <c r="N26" i="51"/>
  <c r="D26" i="51"/>
  <c r="L26" i="51" s="1"/>
  <c r="B26" i="51"/>
  <c r="Z25" i="51"/>
  <c r="X25" i="51"/>
  <c r="P25" i="51"/>
  <c r="N25" i="51"/>
  <c r="D25" i="51"/>
  <c r="L25" i="51" s="1"/>
  <c r="B25" i="51"/>
  <c r="Z24" i="51"/>
  <c r="X24" i="51"/>
  <c r="P24" i="51"/>
  <c r="N24" i="51"/>
  <c r="D24" i="51"/>
  <c r="L24" i="51" s="1"/>
  <c r="B24" i="51"/>
  <c r="Z23" i="51"/>
  <c r="X23" i="51"/>
  <c r="P23" i="51"/>
  <c r="N23" i="51"/>
  <c r="D23" i="51"/>
  <c r="L23" i="51" s="1"/>
  <c r="B23" i="51"/>
  <c r="Z22" i="51"/>
  <c r="P22" i="51"/>
  <c r="X22" i="51" s="1"/>
  <c r="N22" i="51"/>
  <c r="D22" i="51"/>
  <c r="L22" i="51" s="1"/>
  <c r="B22" i="51"/>
  <c r="X21" i="51"/>
  <c r="Z21" i="51" s="1"/>
  <c r="P21" i="51"/>
  <c r="N21" i="51"/>
  <c r="L21" i="51"/>
  <c r="D21" i="51"/>
  <c r="B21" i="51"/>
  <c r="Z20" i="51"/>
  <c r="X20" i="51"/>
  <c r="P20" i="51"/>
  <c r="N20" i="51"/>
  <c r="L20" i="51"/>
  <c r="D20" i="51"/>
  <c r="B20" i="51"/>
  <c r="Z19" i="51"/>
  <c r="X19" i="51"/>
  <c r="P19" i="51"/>
  <c r="N19" i="51"/>
  <c r="D19" i="51"/>
  <c r="L19" i="51" s="1"/>
  <c r="B19" i="51"/>
  <c r="Z18" i="51"/>
  <c r="X18" i="51"/>
  <c r="P18" i="51"/>
  <c r="N18" i="51"/>
  <c r="L18" i="51"/>
  <c r="D18" i="51"/>
  <c r="B18" i="51"/>
  <c r="Z17" i="51"/>
  <c r="P17" i="51"/>
  <c r="X17" i="51" s="1"/>
  <c r="N17" i="51"/>
  <c r="L17" i="51"/>
  <c r="D17" i="51"/>
  <c r="B17" i="51"/>
  <c r="Z16" i="51"/>
  <c r="P16" i="51"/>
  <c r="X16" i="51" s="1"/>
  <c r="N16" i="51"/>
  <c r="L16" i="51"/>
  <c r="D16" i="51"/>
  <c r="B16" i="51"/>
  <c r="Z15" i="51"/>
  <c r="P15" i="51"/>
  <c r="X15" i="51" s="1"/>
  <c r="N15" i="51"/>
  <c r="L15" i="51"/>
  <c r="D15" i="51"/>
  <c r="B15" i="51"/>
  <c r="Z14" i="51"/>
  <c r="P14" i="51"/>
  <c r="X14" i="51" s="1"/>
  <c r="N14" i="51"/>
  <c r="D14" i="51"/>
  <c r="L14" i="51" s="1"/>
  <c r="B14" i="51"/>
  <c r="P13" i="51"/>
  <c r="D13" i="51"/>
  <c r="B13" i="51"/>
  <c r="T12" i="51"/>
  <c r="V107" i="51" s="1"/>
  <c r="H12" i="51"/>
  <c r="D4" i="51"/>
  <c r="X77" i="48"/>
  <c r="Z77" i="48" s="1"/>
  <c r="L77" i="48"/>
  <c r="N77" i="48" s="1"/>
  <c r="F77" i="48"/>
  <c r="T75" i="48"/>
  <c r="T79" i="48" s="1"/>
  <c r="Z73" i="48"/>
  <c r="X73" i="48"/>
  <c r="P73" i="48"/>
  <c r="D73" i="48"/>
  <c r="L73" i="48" s="1"/>
  <c r="N73" i="48" s="1"/>
  <c r="B73" i="48"/>
  <c r="X72" i="48"/>
  <c r="Z72" i="48" s="1"/>
  <c r="T72" i="48"/>
  <c r="P72" i="48"/>
  <c r="H72" i="48"/>
  <c r="X70" i="48"/>
  <c r="Z70" i="48" s="1"/>
  <c r="N70" i="48"/>
  <c r="L70" i="48"/>
  <c r="B70" i="48"/>
  <c r="X69" i="48"/>
  <c r="V69" i="48"/>
  <c r="T69" i="48"/>
  <c r="P69" i="48"/>
  <c r="L69" i="48"/>
  <c r="H69" i="48"/>
  <c r="N69" i="48" s="1"/>
  <c r="D69" i="48"/>
  <c r="B69" i="48"/>
  <c r="Z68" i="48"/>
  <c r="X68" i="48"/>
  <c r="N68" i="48"/>
  <c r="L68" i="48"/>
  <c r="J68" i="48"/>
  <c r="B68" i="48"/>
  <c r="T67" i="48"/>
  <c r="P67" i="48"/>
  <c r="X67" i="48" s="1"/>
  <c r="H67" i="48"/>
  <c r="D67" i="48"/>
  <c r="B67" i="48"/>
  <c r="Z66" i="48"/>
  <c r="X66" i="48"/>
  <c r="N66" i="48"/>
  <c r="L66" i="48"/>
  <c r="B66" i="48"/>
  <c r="Z65" i="48"/>
  <c r="X65" i="48"/>
  <c r="N65" i="48"/>
  <c r="L65" i="48"/>
  <c r="F65" i="48"/>
  <c r="B65" i="48"/>
  <c r="Z64" i="48"/>
  <c r="X64" i="48"/>
  <c r="N64" i="48"/>
  <c r="L64" i="48"/>
  <c r="B64" i="48"/>
  <c r="T63" i="48"/>
  <c r="P63" i="48"/>
  <c r="X63" i="48" s="1"/>
  <c r="Z63" i="48" s="1"/>
  <c r="L63" i="48"/>
  <c r="N63" i="48" s="1"/>
  <c r="H63" i="48"/>
  <c r="D63" i="48"/>
  <c r="B63" i="48"/>
  <c r="Z62" i="48"/>
  <c r="X62" i="48"/>
  <c r="N62" i="48"/>
  <c r="L62" i="48"/>
  <c r="J62" i="48"/>
  <c r="B62" i="48"/>
  <c r="T61" i="48"/>
  <c r="P61" i="48"/>
  <c r="L61" i="48"/>
  <c r="H61" i="48"/>
  <c r="N61" i="48" s="1"/>
  <c r="D61" i="48"/>
  <c r="B61" i="48"/>
  <c r="Z60" i="48"/>
  <c r="X60" i="48"/>
  <c r="N60" i="48"/>
  <c r="L60" i="48"/>
  <c r="J60" i="48"/>
  <c r="B60" i="48"/>
  <c r="Z59" i="48"/>
  <c r="X59" i="48"/>
  <c r="L59" i="48"/>
  <c r="N59" i="48" s="1"/>
  <c r="J59" i="48"/>
  <c r="B59" i="48"/>
  <c r="Z58" i="48"/>
  <c r="X58" i="48"/>
  <c r="V58" i="48"/>
  <c r="N58" i="48"/>
  <c r="L58" i="48"/>
  <c r="J58" i="48"/>
  <c r="F58" i="48"/>
  <c r="B58" i="48"/>
  <c r="T57" i="48"/>
  <c r="Z57" i="48" s="1"/>
  <c r="P57" i="48"/>
  <c r="X57" i="48" s="1"/>
  <c r="H57" i="48"/>
  <c r="D57" i="48"/>
  <c r="B57" i="48"/>
  <c r="Z56" i="48"/>
  <c r="X56" i="48"/>
  <c r="N56" i="48"/>
  <c r="L56" i="48"/>
  <c r="B56" i="48"/>
  <c r="T55" i="48"/>
  <c r="P55" i="48"/>
  <c r="X55" i="48" s="1"/>
  <c r="Z55" i="48" s="1"/>
  <c r="L55" i="48"/>
  <c r="N55" i="48" s="1"/>
  <c r="H55" i="48"/>
  <c r="D55" i="48"/>
  <c r="B55" i="48"/>
  <c r="X54" i="48"/>
  <c r="Z54" i="48" s="1"/>
  <c r="N54" i="48"/>
  <c r="L54" i="48"/>
  <c r="J54" i="48"/>
  <c r="B54" i="48"/>
  <c r="T53" i="48"/>
  <c r="P53" i="48"/>
  <c r="L53" i="48"/>
  <c r="H53" i="48"/>
  <c r="D53" i="48"/>
  <c r="B53" i="48"/>
  <c r="X52" i="48"/>
  <c r="Z52" i="48" s="1"/>
  <c r="N52" i="48"/>
  <c r="L52" i="48"/>
  <c r="J52" i="48"/>
  <c r="B52" i="48"/>
  <c r="T51" i="48"/>
  <c r="P51" i="48"/>
  <c r="H51" i="48"/>
  <c r="N51" i="48" s="1"/>
  <c r="D51" i="48"/>
  <c r="L51" i="48" s="1"/>
  <c r="B51" i="48"/>
  <c r="X50" i="48"/>
  <c r="Z50" i="48" s="1"/>
  <c r="V50" i="48"/>
  <c r="R50" i="48"/>
  <c r="L50" i="48"/>
  <c r="N50" i="48" s="1"/>
  <c r="B50" i="48"/>
  <c r="T49" i="48"/>
  <c r="P49" i="48"/>
  <c r="X49" i="48" s="1"/>
  <c r="Z49" i="48" s="1"/>
  <c r="H49" i="48"/>
  <c r="D49" i="48"/>
  <c r="L49" i="48" s="1"/>
  <c r="N49" i="48" s="1"/>
  <c r="B49" i="48"/>
  <c r="Z48" i="48"/>
  <c r="X48" i="48"/>
  <c r="N48" i="48"/>
  <c r="L48" i="48"/>
  <c r="J48" i="48"/>
  <c r="F48" i="48"/>
  <c r="B48" i="48"/>
  <c r="X47" i="48"/>
  <c r="T47" i="48"/>
  <c r="P47" i="48"/>
  <c r="L47" i="48"/>
  <c r="J47" i="48"/>
  <c r="H47" i="48"/>
  <c r="F47" i="48"/>
  <c r="D47" i="48"/>
  <c r="B47" i="48"/>
  <c r="Z46" i="48"/>
  <c r="X46" i="48"/>
  <c r="L46" i="48"/>
  <c r="N46" i="48" s="1"/>
  <c r="F46" i="48"/>
  <c r="B46" i="48"/>
  <c r="T45" i="48"/>
  <c r="P45" i="48"/>
  <c r="X45" i="48" s="1"/>
  <c r="Z45" i="48" s="1"/>
  <c r="H45" i="48"/>
  <c r="D45" i="48"/>
  <c r="B45" i="48"/>
  <c r="Z44" i="48"/>
  <c r="X44" i="48"/>
  <c r="N44" i="48"/>
  <c r="L44" i="48"/>
  <c r="B44" i="48"/>
  <c r="X43" i="48"/>
  <c r="Z43" i="48" s="1"/>
  <c r="T43" i="48"/>
  <c r="P43" i="48"/>
  <c r="H43" i="48"/>
  <c r="D43" i="48"/>
  <c r="L43" i="48" s="1"/>
  <c r="N43" i="48" s="1"/>
  <c r="B43" i="48"/>
  <c r="X42" i="48"/>
  <c r="Z42" i="48" s="1"/>
  <c r="N42" i="48"/>
  <c r="L42" i="48"/>
  <c r="J42" i="48"/>
  <c r="B42" i="48"/>
  <c r="T41" i="48"/>
  <c r="P41" i="48"/>
  <c r="H41" i="48"/>
  <c r="D41" i="48"/>
  <c r="B41" i="48"/>
  <c r="Z40" i="48"/>
  <c r="X40" i="48"/>
  <c r="N40" i="48"/>
  <c r="L40" i="48"/>
  <c r="J40" i="48"/>
  <c r="B40" i="48"/>
  <c r="Z39" i="48"/>
  <c r="X39" i="48"/>
  <c r="R39" i="48"/>
  <c r="N39" i="48"/>
  <c r="L39" i="48"/>
  <c r="J39" i="48"/>
  <c r="B39" i="48"/>
  <c r="Z38" i="48"/>
  <c r="X38" i="48"/>
  <c r="L38" i="48"/>
  <c r="N38" i="48" s="1"/>
  <c r="J38" i="48"/>
  <c r="B38" i="48"/>
  <c r="Z37" i="48"/>
  <c r="X37" i="48"/>
  <c r="N37" i="48"/>
  <c r="L37" i="48"/>
  <c r="B37" i="48"/>
  <c r="Z36" i="48"/>
  <c r="X36" i="48"/>
  <c r="N36" i="48"/>
  <c r="L36" i="48"/>
  <c r="J36" i="48"/>
  <c r="B36" i="48"/>
  <c r="Z35" i="48"/>
  <c r="X35" i="48"/>
  <c r="N35" i="48"/>
  <c r="L35" i="48"/>
  <c r="J35" i="48"/>
  <c r="B35" i="48"/>
  <c r="Z34" i="48"/>
  <c r="X34" i="48"/>
  <c r="L34" i="48"/>
  <c r="N34" i="48" s="1"/>
  <c r="J34" i="48"/>
  <c r="F34" i="48"/>
  <c r="B34" i="48"/>
  <c r="Z33" i="48"/>
  <c r="X33" i="48"/>
  <c r="N33" i="48"/>
  <c r="L33" i="48"/>
  <c r="B33" i="48"/>
  <c r="X32" i="48"/>
  <c r="Z32" i="48" s="1"/>
  <c r="V32" i="48"/>
  <c r="R32" i="48"/>
  <c r="N32" i="48"/>
  <c r="L32" i="48"/>
  <c r="J32" i="48"/>
  <c r="B32" i="48"/>
  <c r="Z31" i="48"/>
  <c r="X31" i="48"/>
  <c r="N31" i="48"/>
  <c r="L31" i="48"/>
  <c r="F31" i="48"/>
  <c r="B31" i="48"/>
  <c r="Z30" i="48"/>
  <c r="V30" i="48"/>
  <c r="T30" i="48"/>
  <c r="P30" i="48"/>
  <c r="X30" i="48" s="1"/>
  <c r="H30" i="48"/>
  <c r="D30" i="48"/>
  <c r="B30" i="48"/>
  <c r="X29" i="48"/>
  <c r="Z29" i="48" s="1"/>
  <c r="L29" i="48"/>
  <c r="N29" i="48" s="1"/>
  <c r="J29" i="48"/>
  <c r="F29" i="48"/>
  <c r="B29" i="48"/>
  <c r="Z28" i="48"/>
  <c r="X28" i="48"/>
  <c r="N28" i="48"/>
  <c r="L28" i="48"/>
  <c r="B28" i="48"/>
  <c r="Z27" i="48"/>
  <c r="X27" i="48"/>
  <c r="R27" i="48"/>
  <c r="L27" i="48"/>
  <c r="N27" i="48" s="1"/>
  <c r="F27" i="48"/>
  <c r="B27" i="48"/>
  <c r="Z26" i="48"/>
  <c r="X26" i="48"/>
  <c r="N26" i="48"/>
  <c r="L26" i="48"/>
  <c r="J26" i="48"/>
  <c r="B26" i="48"/>
  <c r="X25" i="48"/>
  <c r="Z25" i="48" s="1"/>
  <c r="L25" i="48"/>
  <c r="N25" i="48" s="1"/>
  <c r="F25" i="48"/>
  <c r="B25" i="48"/>
  <c r="Z24" i="48"/>
  <c r="X24" i="48"/>
  <c r="N24" i="48"/>
  <c r="L24" i="48"/>
  <c r="B24" i="48"/>
  <c r="X23" i="48"/>
  <c r="Z23" i="48" s="1"/>
  <c r="V23" i="48"/>
  <c r="L23" i="48"/>
  <c r="N23" i="48" s="1"/>
  <c r="F23" i="48"/>
  <c r="B23" i="48"/>
  <c r="X22" i="48"/>
  <c r="Z22" i="48" s="1"/>
  <c r="L22" i="48"/>
  <c r="N22" i="48" s="1"/>
  <c r="J22" i="48"/>
  <c r="B22" i="48"/>
  <c r="X21" i="48"/>
  <c r="Z21" i="48" s="1"/>
  <c r="L21" i="48"/>
  <c r="N21" i="48" s="1"/>
  <c r="J21" i="48"/>
  <c r="F21" i="48"/>
  <c r="B21" i="48"/>
  <c r="T20" i="48"/>
  <c r="R20" i="48"/>
  <c r="P20" i="48"/>
  <c r="X20" i="48" s="1"/>
  <c r="Z20" i="48" s="1"/>
  <c r="H20" i="48"/>
  <c r="F20" i="48"/>
  <c r="D20" i="48"/>
  <c r="B20" i="48"/>
  <c r="T19" i="48"/>
  <c r="P19" i="48"/>
  <c r="H19" i="48"/>
  <c r="F19" i="48"/>
  <c r="D19" i="48"/>
  <c r="T17" i="48"/>
  <c r="D17" i="48"/>
  <c r="T15" i="48"/>
  <c r="Z15" i="48" s="1"/>
  <c r="P15" i="48"/>
  <c r="H15" i="48"/>
  <c r="F15" i="48"/>
  <c r="D15" i="48"/>
  <c r="X13" i="48"/>
  <c r="Z13" i="48" s="1"/>
  <c r="P13" i="48"/>
  <c r="N13" i="48"/>
  <c r="L13" i="48"/>
  <c r="D13" i="48"/>
  <c r="D12" i="48" s="1"/>
  <c r="B13" i="48"/>
  <c r="X12" i="48"/>
  <c r="Z12" i="48" s="1"/>
  <c r="T12" i="48"/>
  <c r="V64" i="48" s="1"/>
  <c r="P12" i="48"/>
  <c r="R69" i="48" s="1"/>
  <c r="H12" i="48"/>
  <c r="D4" i="48"/>
  <c r="X104" i="45"/>
  <c r="Z104" i="45" s="1"/>
  <c r="N104" i="45"/>
  <c r="L104" i="45"/>
  <c r="Z100" i="45"/>
  <c r="V100" i="45"/>
  <c r="T100" i="45"/>
  <c r="X100" i="45" s="1"/>
  <c r="P100" i="45"/>
  <c r="N100" i="45"/>
  <c r="H100" i="45"/>
  <c r="D100" i="45"/>
  <c r="L100" i="45" s="1"/>
  <c r="Z98" i="45"/>
  <c r="X98" i="45"/>
  <c r="L98" i="45"/>
  <c r="N98" i="45" s="1"/>
  <c r="B98" i="45"/>
  <c r="X97" i="45"/>
  <c r="Z97" i="45" s="1"/>
  <c r="V97" i="45"/>
  <c r="R97" i="45"/>
  <c r="L97" i="45"/>
  <c r="N97" i="45" s="1"/>
  <c r="B97" i="45"/>
  <c r="T96" i="45"/>
  <c r="P96" i="45"/>
  <c r="X96" i="45" s="1"/>
  <c r="Z96" i="45" s="1"/>
  <c r="J96" i="45"/>
  <c r="H96" i="45"/>
  <c r="L96" i="45" s="1"/>
  <c r="N96" i="45" s="1"/>
  <c r="D96" i="45"/>
  <c r="B96" i="45"/>
  <c r="X95" i="45"/>
  <c r="Z95" i="45" s="1"/>
  <c r="N95" i="45"/>
  <c r="L95" i="45"/>
  <c r="F95" i="45"/>
  <c r="B95" i="45"/>
  <c r="X94" i="45"/>
  <c r="T94" i="45"/>
  <c r="Z94" i="45" s="1"/>
  <c r="P94" i="45"/>
  <c r="L94" i="45"/>
  <c r="J94" i="45"/>
  <c r="H94" i="45"/>
  <c r="D94" i="45"/>
  <c r="B94" i="45"/>
  <c r="Z93" i="45"/>
  <c r="X93" i="45"/>
  <c r="L93" i="45"/>
  <c r="N93" i="45" s="1"/>
  <c r="J93" i="45"/>
  <c r="B93" i="45"/>
  <c r="Z92" i="45"/>
  <c r="X92" i="45"/>
  <c r="T92" i="45"/>
  <c r="P92" i="45"/>
  <c r="H92" i="45"/>
  <c r="F92" i="45"/>
  <c r="D92" i="45"/>
  <c r="L92" i="45" s="1"/>
  <c r="B92" i="45"/>
  <c r="Z91" i="45"/>
  <c r="X91" i="45"/>
  <c r="N91" i="45"/>
  <c r="L91" i="45"/>
  <c r="B91" i="45"/>
  <c r="Z90" i="45"/>
  <c r="X90" i="45"/>
  <c r="L90" i="45"/>
  <c r="N90" i="45" s="1"/>
  <c r="B90" i="45"/>
  <c r="X89" i="45"/>
  <c r="Z89" i="45" s="1"/>
  <c r="V89" i="45"/>
  <c r="R89" i="45"/>
  <c r="L89" i="45"/>
  <c r="N89" i="45" s="1"/>
  <c r="J89" i="45"/>
  <c r="B89" i="45"/>
  <c r="X88" i="45"/>
  <c r="Z88" i="45" s="1"/>
  <c r="L88" i="45"/>
  <c r="N88" i="45" s="1"/>
  <c r="J88" i="45"/>
  <c r="B88" i="45"/>
  <c r="Z87" i="45"/>
  <c r="X87" i="45"/>
  <c r="L87" i="45"/>
  <c r="N87" i="45" s="1"/>
  <c r="B87" i="45"/>
  <c r="Z86" i="45"/>
  <c r="X86" i="45"/>
  <c r="L86" i="45"/>
  <c r="N86" i="45" s="1"/>
  <c r="B86" i="45"/>
  <c r="X85" i="45"/>
  <c r="Z85" i="45" s="1"/>
  <c r="L85" i="45"/>
  <c r="N85" i="45" s="1"/>
  <c r="J85" i="45"/>
  <c r="B85" i="45"/>
  <c r="X84" i="45"/>
  <c r="Z84" i="45" s="1"/>
  <c r="L84" i="45"/>
  <c r="N84" i="45" s="1"/>
  <c r="J84" i="45"/>
  <c r="B84" i="45"/>
  <c r="Z83" i="45"/>
  <c r="X83" i="45"/>
  <c r="L83" i="45"/>
  <c r="N83" i="45" s="1"/>
  <c r="B83" i="45"/>
  <c r="T82" i="45"/>
  <c r="X82" i="45" s="1"/>
  <c r="Z82" i="45" s="1"/>
  <c r="P82" i="45"/>
  <c r="H82" i="45"/>
  <c r="D82" i="45"/>
  <c r="L82" i="45" s="1"/>
  <c r="N82" i="45" s="1"/>
  <c r="B82" i="45"/>
  <c r="X81" i="45"/>
  <c r="Z81" i="45" s="1"/>
  <c r="N81" i="45"/>
  <c r="L81" i="45"/>
  <c r="B81" i="45"/>
  <c r="X80" i="45"/>
  <c r="Z80" i="45" s="1"/>
  <c r="N80" i="45"/>
  <c r="L80" i="45"/>
  <c r="B80" i="45"/>
  <c r="X79" i="45"/>
  <c r="Z79" i="45" s="1"/>
  <c r="N79" i="45"/>
  <c r="L79" i="45"/>
  <c r="B79" i="45"/>
  <c r="X78" i="45"/>
  <c r="Z78" i="45" s="1"/>
  <c r="N78" i="45"/>
  <c r="L78" i="45"/>
  <c r="B78" i="45"/>
  <c r="X77" i="45"/>
  <c r="Z77" i="45" s="1"/>
  <c r="T77" i="45"/>
  <c r="P77" i="45"/>
  <c r="H77" i="45"/>
  <c r="D77" i="45"/>
  <c r="L77" i="45" s="1"/>
  <c r="N77" i="45" s="1"/>
  <c r="B77" i="45"/>
  <c r="Z76" i="45"/>
  <c r="X76" i="45"/>
  <c r="L76" i="45"/>
  <c r="N76" i="45" s="1"/>
  <c r="B76" i="45"/>
  <c r="X75" i="45"/>
  <c r="Z75" i="45" s="1"/>
  <c r="R75" i="45"/>
  <c r="N75" i="45"/>
  <c r="L75" i="45"/>
  <c r="B75" i="45"/>
  <c r="Z74" i="45"/>
  <c r="X74" i="45"/>
  <c r="N74" i="45"/>
  <c r="L74" i="45"/>
  <c r="J74" i="45"/>
  <c r="B74" i="45"/>
  <c r="Z73" i="45"/>
  <c r="X73" i="45"/>
  <c r="L73" i="45"/>
  <c r="N73" i="45" s="1"/>
  <c r="J73" i="45"/>
  <c r="B73" i="45"/>
  <c r="Z72" i="45"/>
  <c r="X72" i="45"/>
  <c r="T72" i="45"/>
  <c r="P72" i="45"/>
  <c r="H72" i="45"/>
  <c r="D72" i="45"/>
  <c r="L72" i="45" s="1"/>
  <c r="B72" i="45"/>
  <c r="Z71" i="45"/>
  <c r="X71" i="45"/>
  <c r="N71" i="45"/>
  <c r="L71" i="45"/>
  <c r="B71" i="45"/>
  <c r="Z70" i="45"/>
  <c r="V70" i="45"/>
  <c r="T70" i="45"/>
  <c r="X70" i="45" s="1"/>
  <c r="P70" i="45"/>
  <c r="H70" i="45"/>
  <c r="D70" i="45"/>
  <c r="L70" i="45" s="1"/>
  <c r="N70" i="45" s="1"/>
  <c r="B70" i="45"/>
  <c r="X69" i="45"/>
  <c r="Z69" i="45" s="1"/>
  <c r="N69" i="45"/>
  <c r="L69" i="45"/>
  <c r="B69" i="45"/>
  <c r="X68" i="45"/>
  <c r="T68" i="45"/>
  <c r="Z68" i="45" s="1"/>
  <c r="P68" i="45"/>
  <c r="H68" i="45"/>
  <c r="D68" i="45"/>
  <c r="B68" i="45"/>
  <c r="Z67" i="45"/>
  <c r="X67" i="45"/>
  <c r="N67" i="45"/>
  <c r="L67" i="45"/>
  <c r="B67" i="45"/>
  <c r="T66" i="45"/>
  <c r="P66" i="45"/>
  <c r="N66" i="45"/>
  <c r="L66" i="45"/>
  <c r="H66" i="45"/>
  <c r="D66" i="45"/>
  <c r="B66" i="45"/>
  <c r="X65" i="45"/>
  <c r="Z65" i="45" s="1"/>
  <c r="L65" i="45"/>
  <c r="N65" i="45" s="1"/>
  <c r="J65" i="45"/>
  <c r="B65" i="45"/>
  <c r="T64" i="45"/>
  <c r="P64" i="45"/>
  <c r="X64" i="45" s="1"/>
  <c r="Z64" i="45" s="1"/>
  <c r="N64" i="45"/>
  <c r="J64" i="45"/>
  <c r="H64" i="45"/>
  <c r="L64" i="45" s="1"/>
  <c r="D64" i="45"/>
  <c r="B64" i="45"/>
  <c r="Z63" i="45"/>
  <c r="X63" i="45"/>
  <c r="L63" i="45"/>
  <c r="N63" i="45" s="1"/>
  <c r="B63" i="45"/>
  <c r="T62" i="45"/>
  <c r="P62" i="45"/>
  <c r="L62" i="45"/>
  <c r="J62" i="45"/>
  <c r="H62" i="45"/>
  <c r="D62" i="45"/>
  <c r="B62" i="45"/>
  <c r="Z61" i="45"/>
  <c r="X61" i="45"/>
  <c r="L61" i="45"/>
  <c r="N61" i="45" s="1"/>
  <c r="J61" i="45"/>
  <c r="B61" i="45"/>
  <c r="Z60" i="45"/>
  <c r="X60" i="45"/>
  <c r="T60" i="45"/>
  <c r="P60" i="45"/>
  <c r="H60" i="45"/>
  <c r="D60" i="45"/>
  <c r="B60" i="45"/>
  <c r="Z59" i="45"/>
  <c r="X59" i="45"/>
  <c r="N59" i="45"/>
  <c r="L59" i="45"/>
  <c r="B59" i="45"/>
  <c r="Z58" i="45"/>
  <c r="X58" i="45"/>
  <c r="L58" i="45"/>
  <c r="N58" i="45" s="1"/>
  <c r="B58" i="45"/>
  <c r="T57" i="45"/>
  <c r="P57" i="45"/>
  <c r="H57" i="45"/>
  <c r="D57" i="45"/>
  <c r="L57" i="45" s="1"/>
  <c r="N57" i="45" s="1"/>
  <c r="B57" i="45"/>
  <c r="X56" i="45"/>
  <c r="Z56" i="45" s="1"/>
  <c r="V56" i="45"/>
  <c r="N56" i="45"/>
  <c r="L56" i="45"/>
  <c r="B56" i="45"/>
  <c r="T55" i="45"/>
  <c r="P55" i="45"/>
  <c r="X55" i="45" s="1"/>
  <c r="Z55" i="45" s="1"/>
  <c r="L55" i="45"/>
  <c r="N55" i="45" s="1"/>
  <c r="J55" i="45"/>
  <c r="H55" i="45"/>
  <c r="D55" i="45"/>
  <c r="B55" i="45"/>
  <c r="Z54" i="45"/>
  <c r="X54" i="45"/>
  <c r="N54" i="45"/>
  <c r="L54" i="45"/>
  <c r="J54" i="45"/>
  <c r="B54" i="45"/>
  <c r="Z53" i="45"/>
  <c r="X53" i="45"/>
  <c r="L53" i="45"/>
  <c r="N53" i="45" s="1"/>
  <c r="J53" i="45"/>
  <c r="F53" i="45"/>
  <c r="B53" i="45"/>
  <c r="Z52" i="45"/>
  <c r="X52" i="45"/>
  <c r="T52" i="45"/>
  <c r="P52" i="45"/>
  <c r="H52" i="45"/>
  <c r="D52" i="45"/>
  <c r="B52" i="45"/>
  <c r="Z51" i="45"/>
  <c r="X51" i="45"/>
  <c r="N51" i="45"/>
  <c r="L51" i="45"/>
  <c r="B51" i="45"/>
  <c r="Z50" i="45"/>
  <c r="T50" i="45"/>
  <c r="X50" i="45" s="1"/>
  <c r="P50" i="45"/>
  <c r="H50" i="45"/>
  <c r="D50" i="45"/>
  <c r="L50" i="45" s="1"/>
  <c r="N50" i="45" s="1"/>
  <c r="B50" i="45"/>
  <c r="Z49" i="45"/>
  <c r="X49" i="45"/>
  <c r="N49" i="45"/>
  <c r="L49" i="45"/>
  <c r="B49" i="45"/>
  <c r="Z48" i="45"/>
  <c r="X48" i="45"/>
  <c r="N48" i="45"/>
  <c r="L48" i="45"/>
  <c r="B48" i="45"/>
  <c r="Z47" i="45"/>
  <c r="X47" i="45"/>
  <c r="L47" i="45"/>
  <c r="N47" i="45" s="1"/>
  <c r="J47" i="45"/>
  <c r="B47" i="45"/>
  <c r="X46" i="45"/>
  <c r="Z46" i="45" s="1"/>
  <c r="N46" i="45"/>
  <c r="L46" i="45"/>
  <c r="B46" i="45"/>
  <c r="Z45" i="45"/>
  <c r="X45" i="45"/>
  <c r="N45" i="45"/>
  <c r="L45" i="45"/>
  <c r="B45" i="45"/>
  <c r="X44" i="45"/>
  <c r="Z44" i="45" s="1"/>
  <c r="N44" i="45"/>
  <c r="L44" i="45"/>
  <c r="B44" i="45"/>
  <c r="Z43" i="45"/>
  <c r="X43" i="45"/>
  <c r="L43" i="45"/>
  <c r="N43" i="45" s="1"/>
  <c r="J43" i="45"/>
  <c r="F43" i="45"/>
  <c r="B43" i="45"/>
  <c r="Z42" i="45"/>
  <c r="X42" i="45"/>
  <c r="N42" i="45"/>
  <c r="L42" i="45"/>
  <c r="B42" i="45"/>
  <c r="X41" i="45"/>
  <c r="Z41" i="45" s="1"/>
  <c r="N41" i="45"/>
  <c r="L41" i="45"/>
  <c r="B41" i="45"/>
  <c r="Z40" i="45"/>
  <c r="X40" i="45"/>
  <c r="V40" i="45"/>
  <c r="N40" i="45"/>
  <c r="L40" i="45"/>
  <c r="B40" i="45"/>
  <c r="T39" i="45"/>
  <c r="R39" i="45"/>
  <c r="P39" i="45"/>
  <c r="X39" i="45" s="1"/>
  <c r="Z39" i="45" s="1"/>
  <c r="L39" i="45"/>
  <c r="N39" i="45" s="1"/>
  <c r="J39" i="45"/>
  <c r="H39" i="45"/>
  <c r="D39" i="45"/>
  <c r="B39" i="45"/>
  <c r="Z38" i="45"/>
  <c r="X38" i="45"/>
  <c r="N38" i="45"/>
  <c r="L38" i="45"/>
  <c r="J38" i="45"/>
  <c r="B38" i="45"/>
  <c r="Z37" i="45"/>
  <c r="X37" i="45"/>
  <c r="L37" i="45"/>
  <c r="N37" i="45" s="1"/>
  <c r="J37" i="45"/>
  <c r="F37" i="45"/>
  <c r="B37" i="45"/>
  <c r="Z36" i="45"/>
  <c r="X36" i="45"/>
  <c r="L36" i="45"/>
  <c r="N36" i="45" s="1"/>
  <c r="B36" i="45"/>
  <c r="Z35" i="45"/>
  <c r="X35" i="45"/>
  <c r="N35" i="45"/>
  <c r="L35" i="45"/>
  <c r="B35" i="45"/>
  <c r="Z34" i="45"/>
  <c r="X34" i="45"/>
  <c r="R34" i="45"/>
  <c r="N34" i="45"/>
  <c r="L34" i="45"/>
  <c r="J34" i="45"/>
  <c r="B34" i="45"/>
  <c r="Z33" i="45"/>
  <c r="X33" i="45"/>
  <c r="L33" i="45"/>
  <c r="N33" i="45" s="1"/>
  <c r="J33" i="45"/>
  <c r="F33" i="45"/>
  <c r="B33" i="45"/>
  <c r="Z32" i="45"/>
  <c r="X32" i="45"/>
  <c r="L32" i="45"/>
  <c r="N32" i="45" s="1"/>
  <c r="B32" i="45"/>
  <c r="X31" i="45"/>
  <c r="Z31" i="45" s="1"/>
  <c r="N31" i="45"/>
  <c r="L31" i="45"/>
  <c r="B31" i="45"/>
  <c r="Z30" i="45"/>
  <c r="X30" i="45"/>
  <c r="R30" i="45"/>
  <c r="N30" i="45"/>
  <c r="L30" i="45"/>
  <c r="J30" i="45"/>
  <c r="B30" i="45"/>
  <c r="Z29" i="45"/>
  <c r="X29" i="45"/>
  <c r="L29" i="45"/>
  <c r="N29" i="45" s="1"/>
  <c r="J29" i="45"/>
  <c r="F29" i="45"/>
  <c r="B29" i="45"/>
  <c r="Z28" i="45"/>
  <c r="X28" i="45"/>
  <c r="T28" i="45"/>
  <c r="P28" i="45"/>
  <c r="H28" i="45"/>
  <c r="D28" i="45"/>
  <c r="L28" i="45" s="1"/>
  <c r="B28" i="45"/>
  <c r="T27" i="45"/>
  <c r="P27" i="45"/>
  <c r="X27" i="45" s="1"/>
  <c r="Z27" i="45" s="1"/>
  <c r="H27" i="45"/>
  <c r="D27" i="45"/>
  <c r="J25" i="45"/>
  <c r="H25" i="45"/>
  <c r="Z23" i="45"/>
  <c r="X23" i="45"/>
  <c r="N23" i="45"/>
  <c r="L23" i="45"/>
  <c r="B23" i="45"/>
  <c r="Z22" i="45"/>
  <c r="X22" i="45"/>
  <c r="V22" i="45"/>
  <c r="N22" i="45"/>
  <c r="L22" i="45"/>
  <c r="B22" i="45"/>
  <c r="X21" i="45"/>
  <c r="Z21" i="45" s="1"/>
  <c r="L21" i="45"/>
  <c r="N21" i="45" s="1"/>
  <c r="J21" i="45"/>
  <c r="B21" i="45"/>
  <c r="T20" i="45"/>
  <c r="P20" i="45"/>
  <c r="X20" i="45" s="1"/>
  <c r="Z20" i="45" s="1"/>
  <c r="N20" i="45"/>
  <c r="J20" i="45"/>
  <c r="H20" i="45"/>
  <c r="L20" i="45" s="1"/>
  <c r="D20" i="45"/>
  <c r="Z18" i="45"/>
  <c r="P18" i="45"/>
  <c r="X18" i="45" s="1"/>
  <c r="N18" i="45"/>
  <c r="D18" i="45"/>
  <c r="L18" i="45" s="1"/>
  <c r="B18" i="45"/>
  <c r="Z17" i="45"/>
  <c r="X17" i="45"/>
  <c r="P17" i="45"/>
  <c r="N17" i="45"/>
  <c r="L17" i="45"/>
  <c r="D17" i="45"/>
  <c r="B17" i="45"/>
  <c r="Z16" i="45"/>
  <c r="P16" i="45"/>
  <c r="X16" i="45" s="1"/>
  <c r="N16" i="45"/>
  <c r="L16" i="45"/>
  <c r="D16" i="45"/>
  <c r="B16" i="45"/>
  <c r="P15" i="45"/>
  <c r="X15" i="45" s="1"/>
  <c r="Z15" i="45" s="1"/>
  <c r="L15" i="45"/>
  <c r="N15" i="45" s="1"/>
  <c r="D15" i="45"/>
  <c r="B15" i="45"/>
  <c r="Z14" i="45"/>
  <c r="X14" i="45"/>
  <c r="P14" i="45"/>
  <c r="P12" i="45" s="1"/>
  <c r="R65" i="45" s="1"/>
  <c r="N14" i="45"/>
  <c r="L14" i="45"/>
  <c r="D14" i="45"/>
  <c r="D12" i="45" s="1"/>
  <c r="F63" i="45" s="1"/>
  <c r="B14" i="45"/>
  <c r="Z13" i="45"/>
  <c r="P13" i="45"/>
  <c r="X13" i="45" s="1"/>
  <c r="N13" i="45"/>
  <c r="D13" i="45"/>
  <c r="L13" i="45" s="1"/>
  <c r="B13" i="45"/>
  <c r="T12" i="45"/>
  <c r="H12" i="45"/>
  <c r="J80" i="45" s="1"/>
  <c r="D4" i="45"/>
  <c r="Z134" i="42"/>
  <c r="X134" i="42"/>
  <c r="N134" i="42"/>
  <c r="L134" i="42"/>
  <c r="Z130" i="42"/>
  <c r="P130" i="42"/>
  <c r="N130" i="42"/>
  <c r="L130" i="42"/>
  <c r="D130" i="42"/>
  <c r="B130" i="42"/>
  <c r="Z129" i="42"/>
  <c r="X129" i="42"/>
  <c r="P129" i="42"/>
  <c r="N129" i="42"/>
  <c r="L129" i="42"/>
  <c r="D129" i="42"/>
  <c r="B129" i="42"/>
  <c r="Z128" i="42"/>
  <c r="X128" i="42"/>
  <c r="P128" i="42"/>
  <c r="L128" i="42"/>
  <c r="N128" i="42" s="1"/>
  <c r="D128" i="42"/>
  <c r="D126" i="42" s="1"/>
  <c r="L126" i="42" s="1"/>
  <c r="B128" i="42"/>
  <c r="P127" i="42"/>
  <c r="X127" i="42" s="1"/>
  <c r="Z127" i="42" s="1"/>
  <c r="J127" i="42"/>
  <c r="D127" i="42"/>
  <c r="L127" i="42" s="1"/>
  <c r="N127" i="42" s="1"/>
  <c r="B127" i="42"/>
  <c r="T126" i="42"/>
  <c r="H126" i="42"/>
  <c r="Z124" i="42"/>
  <c r="X124" i="42"/>
  <c r="N124" i="42"/>
  <c r="L124" i="42"/>
  <c r="B124" i="42"/>
  <c r="Z123" i="42"/>
  <c r="T123" i="42"/>
  <c r="X123" i="42" s="1"/>
  <c r="P123" i="42"/>
  <c r="H123" i="42"/>
  <c r="D123" i="42"/>
  <c r="L123" i="42" s="1"/>
  <c r="N123" i="42" s="1"/>
  <c r="B123" i="42"/>
  <c r="Z122" i="42"/>
  <c r="X122" i="42"/>
  <c r="V122" i="42"/>
  <c r="N122" i="42"/>
  <c r="L122" i="42"/>
  <c r="B122" i="42"/>
  <c r="Z121" i="42"/>
  <c r="X121" i="42"/>
  <c r="N121" i="42"/>
  <c r="L121" i="42"/>
  <c r="B121" i="42"/>
  <c r="Z120" i="42"/>
  <c r="X120" i="42"/>
  <c r="L120" i="42"/>
  <c r="N120" i="42" s="1"/>
  <c r="B120" i="42"/>
  <c r="T119" i="42"/>
  <c r="P119" i="42"/>
  <c r="H119" i="42"/>
  <c r="D119" i="42"/>
  <c r="L119" i="42" s="1"/>
  <c r="B119" i="42"/>
  <c r="X118" i="42"/>
  <c r="Z118" i="42" s="1"/>
  <c r="L118" i="42"/>
  <c r="N118" i="42" s="1"/>
  <c r="B118" i="42"/>
  <c r="X117" i="42"/>
  <c r="Z117" i="42" s="1"/>
  <c r="T117" i="42"/>
  <c r="P117" i="42"/>
  <c r="H117" i="42"/>
  <c r="D117" i="42"/>
  <c r="L117" i="42" s="1"/>
  <c r="B117" i="42"/>
  <c r="Z116" i="42"/>
  <c r="X116" i="42"/>
  <c r="N116" i="42"/>
  <c r="L116" i="42"/>
  <c r="B116" i="42"/>
  <c r="Z115" i="42"/>
  <c r="X115" i="42"/>
  <c r="L115" i="42"/>
  <c r="N115" i="42" s="1"/>
  <c r="B115" i="42"/>
  <c r="T114" i="42"/>
  <c r="P114" i="42"/>
  <c r="N114" i="42"/>
  <c r="H114" i="42"/>
  <c r="D114" i="42"/>
  <c r="L114" i="42" s="1"/>
  <c r="B114" i="42"/>
  <c r="X113" i="42"/>
  <c r="Z113" i="42" s="1"/>
  <c r="L113" i="42"/>
  <c r="N113" i="42" s="1"/>
  <c r="B113" i="42"/>
  <c r="Z112" i="42"/>
  <c r="X112" i="42"/>
  <c r="N112" i="42"/>
  <c r="L112" i="42"/>
  <c r="B112" i="42"/>
  <c r="X111" i="42"/>
  <c r="Z111" i="42" s="1"/>
  <c r="N111" i="42"/>
  <c r="L111" i="42"/>
  <c r="B111" i="42"/>
  <c r="X110" i="42"/>
  <c r="Z110" i="42" s="1"/>
  <c r="V110" i="42"/>
  <c r="L110" i="42"/>
  <c r="N110" i="42" s="1"/>
  <c r="B110" i="42"/>
  <c r="X109" i="42"/>
  <c r="Z109" i="42" s="1"/>
  <c r="L109" i="42"/>
  <c r="N109" i="42" s="1"/>
  <c r="B109" i="42"/>
  <c r="Z108" i="42"/>
  <c r="X108" i="42"/>
  <c r="L108" i="42"/>
  <c r="N108" i="42" s="1"/>
  <c r="B108" i="42"/>
  <c r="X107" i="42"/>
  <c r="Z107" i="42" s="1"/>
  <c r="N107" i="42"/>
  <c r="L107" i="42"/>
  <c r="B107" i="42"/>
  <c r="X106" i="42"/>
  <c r="Z106" i="42" s="1"/>
  <c r="L106" i="42"/>
  <c r="N106" i="42" s="1"/>
  <c r="J106" i="42"/>
  <c r="B106" i="42"/>
  <c r="X105" i="42"/>
  <c r="Z105" i="42" s="1"/>
  <c r="N105" i="42"/>
  <c r="L105" i="42"/>
  <c r="B105" i="42"/>
  <c r="Z104" i="42"/>
  <c r="X104" i="42"/>
  <c r="L104" i="42"/>
  <c r="N104" i="42" s="1"/>
  <c r="B104" i="42"/>
  <c r="T103" i="42"/>
  <c r="P103" i="42"/>
  <c r="H103" i="42"/>
  <c r="D103" i="42"/>
  <c r="L103" i="42" s="1"/>
  <c r="B103" i="42"/>
  <c r="X102" i="42"/>
  <c r="Z102" i="42" s="1"/>
  <c r="L102" i="42"/>
  <c r="N102" i="42" s="1"/>
  <c r="J102" i="42"/>
  <c r="B102" i="42"/>
  <c r="Z101" i="42"/>
  <c r="X101" i="42"/>
  <c r="N101" i="42"/>
  <c r="L101" i="42"/>
  <c r="B101" i="42"/>
  <c r="T100" i="42"/>
  <c r="P100" i="42"/>
  <c r="H100" i="42"/>
  <c r="D100" i="42"/>
  <c r="B100" i="42"/>
  <c r="Z99" i="42"/>
  <c r="X99" i="42"/>
  <c r="L99" i="42"/>
  <c r="N99" i="42" s="1"/>
  <c r="B99" i="42"/>
  <c r="X98" i="42"/>
  <c r="Z98" i="42" s="1"/>
  <c r="V98" i="42"/>
  <c r="L98" i="42"/>
  <c r="N98" i="42" s="1"/>
  <c r="B98" i="42"/>
  <c r="X97" i="42"/>
  <c r="Z97" i="42" s="1"/>
  <c r="L97" i="42"/>
  <c r="N97" i="42" s="1"/>
  <c r="B97" i="42"/>
  <c r="Z96" i="42"/>
  <c r="X96" i="42"/>
  <c r="N96" i="42"/>
  <c r="L96" i="42"/>
  <c r="B96" i="42"/>
  <c r="Z95" i="42"/>
  <c r="X95" i="42"/>
  <c r="L95" i="42"/>
  <c r="N95" i="42" s="1"/>
  <c r="B95" i="42"/>
  <c r="T94" i="42"/>
  <c r="P94" i="42"/>
  <c r="X94" i="42" s="1"/>
  <c r="N94" i="42"/>
  <c r="H94" i="42"/>
  <c r="D94" i="42"/>
  <c r="L94" i="42" s="1"/>
  <c r="B94" i="42"/>
  <c r="X93" i="42"/>
  <c r="Z93" i="42" s="1"/>
  <c r="L93" i="42"/>
  <c r="N93" i="42" s="1"/>
  <c r="B93" i="42"/>
  <c r="Z92" i="42"/>
  <c r="X92" i="42"/>
  <c r="N92" i="42"/>
  <c r="L92" i="42"/>
  <c r="B92" i="42"/>
  <c r="X91" i="42"/>
  <c r="Z91" i="42" s="1"/>
  <c r="N91" i="42"/>
  <c r="L91" i="42"/>
  <c r="B91" i="42"/>
  <c r="X90" i="42"/>
  <c r="Z90" i="42" s="1"/>
  <c r="V90" i="42"/>
  <c r="T90" i="42"/>
  <c r="P90" i="42"/>
  <c r="N90" i="42"/>
  <c r="H90" i="42"/>
  <c r="D90" i="42"/>
  <c r="L90" i="42" s="1"/>
  <c r="B90" i="42"/>
  <c r="X89" i="42"/>
  <c r="Z89" i="42" s="1"/>
  <c r="L89" i="42"/>
  <c r="N89" i="42" s="1"/>
  <c r="B89" i="42"/>
  <c r="Z88" i="42"/>
  <c r="X88" i="42"/>
  <c r="N88" i="42"/>
  <c r="L88" i="42"/>
  <c r="B88" i="42"/>
  <c r="Z87" i="42"/>
  <c r="X87" i="42"/>
  <c r="N87" i="42"/>
  <c r="L87" i="42"/>
  <c r="J87" i="42"/>
  <c r="B87" i="42"/>
  <c r="X86" i="42"/>
  <c r="Z86" i="42" s="1"/>
  <c r="L86" i="42"/>
  <c r="N86" i="42" s="1"/>
  <c r="B86" i="42"/>
  <c r="T85" i="42"/>
  <c r="P85" i="42"/>
  <c r="X85" i="42" s="1"/>
  <c r="Z85" i="42" s="1"/>
  <c r="H85" i="42"/>
  <c r="D85" i="42"/>
  <c r="B85" i="42"/>
  <c r="Z84" i="42"/>
  <c r="X84" i="42"/>
  <c r="N84" i="42"/>
  <c r="L84" i="42"/>
  <c r="B84" i="42"/>
  <c r="T83" i="42"/>
  <c r="P83" i="42"/>
  <c r="L83" i="42"/>
  <c r="N83" i="42" s="1"/>
  <c r="H83" i="42"/>
  <c r="D83" i="42"/>
  <c r="B83" i="42"/>
  <c r="Z82" i="42"/>
  <c r="X82" i="42"/>
  <c r="N82" i="42"/>
  <c r="L82" i="42"/>
  <c r="J82" i="42"/>
  <c r="B82" i="42"/>
  <c r="X81" i="42"/>
  <c r="T81" i="42"/>
  <c r="Z81" i="42" s="1"/>
  <c r="P81" i="42"/>
  <c r="H81" i="42"/>
  <c r="D81" i="42"/>
  <c r="B81" i="42"/>
  <c r="X80" i="42"/>
  <c r="Z80" i="42" s="1"/>
  <c r="V80" i="42"/>
  <c r="R80" i="42"/>
  <c r="N80" i="42"/>
  <c r="L80" i="42"/>
  <c r="B80" i="42"/>
  <c r="T79" i="42"/>
  <c r="P79" i="42"/>
  <c r="H79" i="42"/>
  <c r="D79" i="42"/>
  <c r="L79" i="42" s="1"/>
  <c r="N79" i="42" s="1"/>
  <c r="B79" i="42"/>
  <c r="X78" i="42"/>
  <c r="Z78" i="42" s="1"/>
  <c r="V78" i="42"/>
  <c r="N78" i="42"/>
  <c r="L78" i="42"/>
  <c r="B78" i="42"/>
  <c r="X77" i="42"/>
  <c r="Z77" i="42" s="1"/>
  <c r="T77" i="42"/>
  <c r="P77" i="42"/>
  <c r="L77" i="42"/>
  <c r="J77" i="42"/>
  <c r="H77" i="42"/>
  <c r="D77" i="42"/>
  <c r="B77" i="42"/>
  <c r="Z76" i="42"/>
  <c r="X76" i="42"/>
  <c r="L76" i="42"/>
  <c r="N76" i="42" s="1"/>
  <c r="B76" i="42"/>
  <c r="X75" i="42"/>
  <c r="Z75" i="42" s="1"/>
  <c r="N75" i="42"/>
  <c r="L75" i="42"/>
  <c r="B75" i="42"/>
  <c r="Z74" i="42"/>
  <c r="X74" i="42"/>
  <c r="T74" i="42"/>
  <c r="P74" i="42"/>
  <c r="H74" i="42"/>
  <c r="D74" i="42"/>
  <c r="L74" i="42" s="1"/>
  <c r="N74" i="42" s="1"/>
  <c r="B74" i="42"/>
  <c r="X73" i="42"/>
  <c r="Z73" i="42" s="1"/>
  <c r="L73" i="42"/>
  <c r="N73" i="42" s="1"/>
  <c r="B73" i="42"/>
  <c r="T72" i="42"/>
  <c r="P72" i="42"/>
  <c r="H72" i="42"/>
  <c r="D72" i="42"/>
  <c r="B72" i="42"/>
  <c r="Z71" i="42"/>
  <c r="X71" i="42"/>
  <c r="L71" i="42"/>
  <c r="N71" i="42" s="1"/>
  <c r="B71" i="42"/>
  <c r="V70" i="42"/>
  <c r="T70" i="42"/>
  <c r="P70" i="42"/>
  <c r="H70" i="42"/>
  <c r="D70" i="42"/>
  <c r="L70" i="42" s="1"/>
  <c r="N70" i="42" s="1"/>
  <c r="B70" i="42"/>
  <c r="X69" i="42"/>
  <c r="Z69" i="42" s="1"/>
  <c r="R69" i="42"/>
  <c r="N69" i="42"/>
  <c r="L69" i="42"/>
  <c r="B69" i="42"/>
  <c r="Z68" i="42"/>
  <c r="T68" i="42"/>
  <c r="P68" i="42"/>
  <c r="X68" i="42" s="1"/>
  <c r="N68" i="42"/>
  <c r="L68" i="42"/>
  <c r="H68" i="42"/>
  <c r="D68" i="42"/>
  <c r="B68" i="42"/>
  <c r="Z67" i="42"/>
  <c r="X67" i="42"/>
  <c r="N67" i="42"/>
  <c r="L67" i="42"/>
  <c r="B67" i="42"/>
  <c r="T66" i="42"/>
  <c r="Z66" i="42" s="1"/>
  <c r="P66" i="42"/>
  <c r="N66" i="42"/>
  <c r="L66" i="42"/>
  <c r="H66" i="42"/>
  <c r="D66" i="42"/>
  <c r="B66" i="42"/>
  <c r="X65" i="42"/>
  <c r="Z65" i="42" s="1"/>
  <c r="L65" i="42"/>
  <c r="N65" i="42" s="1"/>
  <c r="B65" i="42"/>
  <c r="Z64" i="42"/>
  <c r="X64" i="42"/>
  <c r="N64" i="42"/>
  <c r="L64" i="42"/>
  <c r="B64" i="42"/>
  <c r="Z63" i="42"/>
  <c r="X63" i="42"/>
  <c r="L63" i="42"/>
  <c r="N63" i="42" s="1"/>
  <c r="B63" i="42"/>
  <c r="X62" i="42"/>
  <c r="Z62" i="42" s="1"/>
  <c r="V62" i="42"/>
  <c r="L62" i="42"/>
  <c r="N62" i="42" s="1"/>
  <c r="B62" i="42"/>
  <c r="X61" i="42"/>
  <c r="Z61" i="42" s="1"/>
  <c r="T61" i="42"/>
  <c r="P61" i="42"/>
  <c r="L61" i="42"/>
  <c r="J61" i="42"/>
  <c r="H61" i="42"/>
  <c r="D61" i="42"/>
  <c r="B61" i="42"/>
  <c r="Z60" i="42"/>
  <c r="X60" i="42"/>
  <c r="L60" i="42"/>
  <c r="N60" i="42" s="1"/>
  <c r="B60" i="42"/>
  <c r="T59" i="42"/>
  <c r="P59" i="42"/>
  <c r="L59" i="42"/>
  <c r="H59" i="42"/>
  <c r="D59" i="42"/>
  <c r="B59" i="42"/>
  <c r="X58" i="42"/>
  <c r="Z58" i="42" s="1"/>
  <c r="L58" i="42"/>
  <c r="N58" i="42" s="1"/>
  <c r="B58" i="42"/>
  <c r="Z57" i="42"/>
  <c r="X57" i="42"/>
  <c r="T57" i="42"/>
  <c r="P57" i="42"/>
  <c r="H57" i="42"/>
  <c r="D57" i="42"/>
  <c r="L57" i="42" s="1"/>
  <c r="B57" i="42"/>
  <c r="Z56" i="42"/>
  <c r="X56" i="42"/>
  <c r="N56" i="42"/>
  <c r="L56" i="42"/>
  <c r="B56" i="42"/>
  <c r="Z55" i="42"/>
  <c r="X55" i="42"/>
  <c r="T55" i="42"/>
  <c r="P55" i="42"/>
  <c r="L55" i="42"/>
  <c r="N55" i="42" s="1"/>
  <c r="H55" i="42"/>
  <c r="D55" i="42"/>
  <c r="B55" i="42"/>
  <c r="Z54" i="42"/>
  <c r="X54" i="42"/>
  <c r="V54" i="42"/>
  <c r="N54" i="42"/>
  <c r="L54" i="42"/>
  <c r="B54" i="42"/>
  <c r="Z53" i="42"/>
  <c r="X53" i="42"/>
  <c r="N53" i="42"/>
  <c r="L53" i="42"/>
  <c r="B53" i="42"/>
  <c r="Z52" i="42"/>
  <c r="X52" i="42"/>
  <c r="L52" i="42"/>
  <c r="N52" i="42" s="1"/>
  <c r="B52" i="42"/>
  <c r="X51" i="42"/>
  <c r="Z51" i="42" s="1"/>
  <c r="N51" i="42"/>
  <c r="L51" i="42"/>
  <c r="B51" i="42"/>
  <c r="Z50" i="42"/>
  <c r="X50" i="42"/>
  <c r="N50" i="42"/>
  <c r="L50" i="42"/>
  <c r="B50" i="42"/>
  <c r="X49" i="42"/>
  <c r="Z49" i="42" s="1"/>
  <c r="R49" i="42"/>
  <c r="N49" i="42"/>
  <c r="L49" i="42"/>
  <c r="B49" i="42"/>
  <c r="Z48" i="42"/>
  <c r="X48" i="42"/>
  <c r="N48" i="42"/>
  <c r="L48" i="42"/>
  <c r="B48" i="42"/>
  <c r="Z47" i="42"/>
  <c r="X47" i="42"/>
  <c r="N47" i="42"/>
  <c r="L47" i="42"/>
  <c r="B47" i="42"/>
  <c r="Z46" i="42"/>
  <c r="X46" i="42"/>
  <c r="L46" i="42"/>
  <c r="N46" i="42" s="1"/>
  <c r="B46" i="42"/>
  <c r="X45" i="42"/>
  <c r="Z45" i="42" s="1"/>
  <c r="V45" i="42"/>
  <c r="N45" i="42"/>
  <c r="L45" i="42"/>
  <c r="B45" i="42"/>
  <c r="T44" i="42"/>
  <c r="P44" i="42"/>
  <c r="X44" i="42" s="1"/>
  <c r="Z44" i="42" s="1"/>
  <c r="L44" i="42"/>
  <c r="N44" i="42" s="1"/>
  <c r="J44" i="42"/>
  <c r="H44" i="42"/>
  <c r="D44" i="42"/>
  <c r="B44" i="42"/>
  <c r="Z43" i="42"/>
  <c r="X43" i="42"/>
  <c r="L43" i="42"/>
  <c r="N43" i="42" s="1"/>
  <c r="B43" i="42"/>
  <c r="X42" i="42"/>
  <c r="Z42" i="42" s="1"/>
  <c r="V42" i="42"/>
  <c r="L42" i="42"/>
  <c r="N42" i="42" s="1"/>
  <c r="B42" i="42"/>
  <c r="Z41" i="42"/>
  <c r="X41" i="42"/>
  <c r="L41" i="42"/>
  <c r="N41" i="42" s="1"/>
  <c r="B41" i="42"/>
  <c r="Z40" i="42"/>
  <c r="X40" i="42"/>
  <c r="V40" i="42"/>
  <c r="N40" i="42"/>
  <c r="L40" i="42"/>
  <c r="B40" i="42"/>
  <c r="Z39" i="42"/>
  <c r="X39" i="42"/>
  <c r="N39" i="42"/>
  <c r="L39" i="42"/>
  <c r="B39" i="42"/>
  <c r="X38" i="42"/>
  <c r="Z38" i="42" s="1"/>
  <c r="L38" i="42"/>
  <c r="N38" i="42" s="1"/>
  <c r="B38" i="42"/>
  <c r="X37" i="42"/>
  <c r="Z37" i="42" s="1"/>
  <c r="L37" i="42"/>
  <c r="N37" i="42" s="1"/>
  <c r="J37" i="42"/>
  <c r="B37" i="42"/>
  <c r="Z36" i="42"/>
  <c r="X36" i="42"/>
  <c r="N36" i="42"/>
  <c r="L36" i="42"/>
  <c r="B36" i="42"/>
  <c r="Z35" i="42"/>
  <c r="X35" i="42"/>
  <c r="V35" i="42"/>
  <c r="N35" i="42"/>
  <c r="L35" i="42"/>
  <c r="B35" i="42"/>
  <c r="X34" i="42"/>
  <c r="Z34" i="42" s="1"/>
  <c r="L34" i="42"/>
  <c r="N34" i="42" s="1"/>
  <c r="J34" i="42"/>
  <c r="B34" i="42"/>
  <c r="Z33" i="42"/>
  <c r="X33" i="42"/>
  <c r="T33" i="42"/>
  <c r="P33" i="42"/>
  <c r="H33" i="42"/>
  <c r="D33" i="42"/>
  <c r="L33" i="42" s="1"/>
  <c r="N33" i="42" s="1"/>
  <c r="B33" i="42"/>
  <c r="T32" i="42"/>
  <c r="P32" i="42"/>
  <c r="H32" i="42"/>
  <c r="D32" i="42"/>
  <c r="L32" i="42" s="1"/>
  <c r="T30" i="42"/>
  <c r="Z28" i="42"/>
  <c r="X28" i="42"/>
  <c r="N28" i="42"/>
  <c r="L28" i="42"/>
  <c r="B28" i="42"/>
  <c r="Z27" i="42"/>
  <c r="X27" i="42"/>
  <c r="N27" i="42"/>
  <c r="L27" i="42"/>
  <c r="B27" i="42"/>
  <c r="X26" i="42"/>
  <c r="Z26" i="42" s="1"/>
  <c r="V26" i="42"/>
  <c r="N26" i="42"/>
  <c r="L26" i="42"/>
  <c r="B26" i="42"/>
  <c r="T25" i="42"/>
  <c r="P25" i="42"/>
  <c r="X25" i="42" s="1"/>
  <c r="Z25" i="42" s="1"/>
  <c r="N25" i="42"/>
  <c r="L25" i="42"/>
  <c r="H25" i="42"/>
  <c r="D25" i="42"/>
  <c r="Z23" i="42"/>
  <c r="P23" i="42"/>
  <c r="X23" i="42" s="1"/>
  <c r="N23" i="42"/>
  <c r="D23" i="42"/>
  <c r="L23" i="42" s="1"/>
  <c r="B23" i="42"/>
  <c r="Z22" i="42"/>
  <c r="X22" i="42"/>
  <c r="P22" i="42"/>
  <c r="N22" i="42"/>
  <c r="L22" i="42"/>
  <c r="D22" i="42"/>
  <c r="B22" i="42"/>
  <c r="Z21" i="42"/>
  <c r="P21" i="42"/>
  <c r="X21" i="42" s="1"/>
  <c r="N21" i="42"/>
  <c r="D21" i="42"/>
  <c r="L21" i="42" s="1"/>
  <c r="B21" i="42"/>
  <c r="Z20" i="42"/>
  <c r="P20" i="42"/>
  <c r="X20" i="42" s="1"/>
  <c r="N20" i="42"/>
  <c r="L20" i="42"/>
  <c r="D20" i="42"/>
  <c r="B20" i="42"/>
  <c r="P19" i="42"/>
  <c r="X19" i="42" s="1"/>
  <c r="Z19" i="42" s="1"/>
  <c r="D19" i="42"/>
  <c r="L19" i="42" s="1"/>
  <c r="N19" i="42" s="1"/>
  <c r="B19" i="42"/>
  <c r="Z18" i="42"/>
  <c r="P18" i="42"/>
  <c r="X18" i="42" s="1"/>
  <c r="N18" i="42"/>
  <c r="D18" i="42"/>
  <c r="L18" i="42" s="1"/>
  <c r="B18" i="42"/>
  <c r="Z17" i="42"/>
  <c r="P17" i="42"/>
  <c r="X17" i="42" s="1"/>
  <c r="N17" i="42"/>
  <c r="D17" i="42"/>
  <c r="L17" i="42" s="1"/>
  <c r="B17" i="42"/>
  <c r="Z16" i="42"/>
  <c r="X16" i="42"/>
  <c r="P16" i="42"/>
  <c r="N16" i="42"/>
  <c r="L16" i="42"/>
  <c r="D16" i="42"/>
  <c r="B16" i="42"/>
  <c r="Z15" i="42"/>
  <c r="X15" i="42"/>
  <c r="P15" i="42"/>
  <c r="N15" i="42"/>
  <c r="L15" i="42"/>
  <c r="D15" i="42"/>
  <c r="B15" i="42"/>
  <c r="Z14" i="42"/>
  <c r="P14" i="42"/>
  <c r="X14" i="42" s="1"/>
  <c r="N14" i="42"/>
  <c r="D14" i="42"/>
  <c r="L14" i="42" s="1"/>
  <c r="B14" i="42"/>
  <c r="Z13" i="42"/>
  <c r="X13" i="42"/>
  <c r="P13" i="42"/>
  <c r="P12" i="42" s="1"/>
  <c r="R72" i="42" s="1"/>
  <c r="L13" i="42"/>
  <c r="N13" i="42" s="1"/>
  <c r="D13" i="42"/>
  <c r="B13" i="42"/>
  <c r="T12" i="42"/>
  <c r="V106" i="42" s="1"/>
  <c r="H12" i="42"/>
  <c r="J110" i="42" s="1"/>
  <c r="D4" i="42"/>
  <c r="X146" i="39"/>
  <c r="Z146" i="39" s="1"/>
  <c r="L146" i="39"/>
  <c r="N146" i="39" s="1"/>
  <c r="J146" i="39"/>
  <c r="Z142" i="39"/>
  <c r="X142" i="39"/>
  <c r="P142" i="39"/>
  <c r="N142" i="39"/>
  <c r="D142" i="39"/>
  <c r="L142" i="39" s="1"/>
  <c r="B142" i="39"/>
  <c r="Z141" i="39"/>
  <c r="X141" i="39"/>
  <c r="P141" i="39"/>
  <c r="N141" i="39"/>
  <c r="L141" i="39"/>
  <c r="D141" i="39"/>
  <c r="D138" i="39" s="1"/>
  <c r="L138" i="39" s="1"/>
  <c r="B141" i="39"/>
  <c r="Z140" i="39"/>
  <c r="X140" i="39"/>
  <c r="P140" i="39"/>
  <c r="P138" i="39" s="1"/>
  <c r="X138" i="39" s="1"/>
  <c r="D140" i="39"/>
  <c r="L140" i="39" s="1"/>
  <c r="N140" i="39" s="1"/>
  <c r="B140" i="39"/>
  <c r="Z139" i="39"/>
  <c r="X139" i="39"/>
  <c r="P139" i="39"/>
  <c r="N139" i="39"/>
  <c r="L139" i="39"/>
  <c r="D139" i="39"/>
  <c r="B139" i="39"/>
  <c r="V138" i="39"/>
  <c r="T138" i="39"/>
  <c r="H138" i="39"/>
  <c r="X136" i="39"/>
  <c r="Z136" i="39" s="1"/>
  <c r="V136" i="39"/>
  <c r="N136" i="39"/>
  <c r="L136" i="39"/>
  <c r="B136" i="39"/>
  <c r="T135" i="39"/>
  <c r="P135" i="39"/>
  <c r="X135" i="39" s="1"/>
  <c r="Z135" i="39" s="1"/>
  <c r="N135" i="39"/>
  <c r="L135" i="39"/>
  <c r="H135" i="39"/>
  <c r="D135" i="39"/>
  <c r="B135" i="39"/>
  <c r="Z134" i="39"/>
  <c r="X134" i="39"/>
  <c r="N134" i="39"/>
  <c r="L134" i="39"/>
  <c r="B134" i="39"/>
  <c r="Z133" i="39"/>
  <c r="X133" i="39"/>
  <c r="N133" i="39"/>
  <c r="L133" i="39"/>
  <c r="J133" i="39"/>
  <c r="B133" i="39"/>
  <c r="Z132" i="39"/>
  <c r="X132" i="39"/>
  <c r="L132" i="39"/>
  <c r="N132" i="39" s="1"/>
  <c r="B132" i="39"/>
  <c r="Z131" i="39"/>
  <c r="X131" i="39"/>
  <c r="T131" i="39"/>
  <c r="P131" i="39"/>
  <c r="H131" i="39"/>
  <c r="D131" i="39"/>
  <c r="L131" i="39" s="1"/>
  <c r="N131" i="39" s="1"/>
  <c r="B131" i="39"/>
  <c r="Z130" i="39"/>
  <c r="X130" i="39"/>
  <c r="N130" i="39"/>
  <c r="L130" i="39"/>
  <c r="B130" i="39"/>
  <c r="V129" i="39"/>
  <c r="T129" i="39"/>
  <c r="P129" i="39"/>
  <c r="X129" i="39" s="1"/>
  <c r="L129" i="39"/>
  <c r="H129" i="39"/>
  <c r="N129" i="39" s="1"/>
  <c r="D129" i="39"/>
  <c r="B129" i="39"/>
  <c r="X128" i="39"/>
  <c r="Z128" i="39" s="1"/>
  <c r="V128" i="39"/>
  <c r="N128" i="39"/>
  <c r="L128" i="39"/>
  <c r="B128" i="39"/>
  <c r="Z127" i="39"/>
  <c r="X127" i="39"/>
  <c r="L127" i="39"/>
  <c r="N127" i="39" s="1"/>
  <c r="B127" i="39"/>
  <c r="T126" i="39"/>
  <c r="P126" i="39"/>
  <c r="X126" i="39" s="1"/>
  <c r="L126" i="39"/>
  <c r="J126" i="39"/>
  <c r="H126" i="39"/>
  <c r="N126" i="39" s="1"/>
  <c r="D126" i="39"/>
  <c r="B126" i="39"/>
  <c r="X125" i="39"/>
  <c r="Z125" i="39" s="1"/>
  <c r="L125" i="39"/>
  <c r="N125" i="39" s="1"/>
  <c r="J125" i="39"/>
  <c r="B125" i="39"/>
  <c r="Z124" i="39"/>
  <c r="X124" i="39"/>
  <c r="L124" i="39"/>
  <c r="N124" i="39" s="1"/>
  <c r="B124" i="39"/>
  <c r="X123" i="39"/>
  <c r="Z123" i="39" s="1"/>
  <c r="N123" i="39"/>
  <c r="L123" i="39"/>
  <c r="B123" i="39"/>
  <c r="X122" i="39"/>
  <c r="Z122" i="39" s="1"/>
  <c r="N122" i="39"/>
  <c r="L122" i="39"/>
  <c r="B122" i="39"/>
  <c r="X121" i="39"/>
  <c r="Z121" i="39" s="1"/>
  <c r="L121" i="39"/>
  <c r="N121" i="39" s="1"/>
  <c r="J121" i="39"/>
  <c r="B121" i="39"/>
  <c r="Z120" i="39"/>
  <c r="X120" i="39"/>
  <c r="L120" i="39"/>
  <c r="N120" i="39" s="1"/>
  <c r="B120" i="39"/>
  <c r="Z119" i="39"/>
  <c r="X119" i="39"/>
  <c r="L119" i="39"/>
  <c r="N119" i="39" s="1"/>
  <c r="B119" i="39"/>
  <c r="X118" i="39"/>
  <c r="Z118" i="39" s="1"/>
  <c r="N118" i="39"/>
  <c r="L118" i="39"/>
  <c r="B118" i="39"/>
  <c r="X117" i="39"/>
  <c r="Z117" i="39" s="1"/>
  <c r="L117" i="39"/>
  <c r="N117" i="39" s="1"/>
  <c r="J117" i="39"/>
  <c r="B117" i="39"/>
  <c r="Z116" i="39"/>
  <c r="X116" i="39"/>
  <c r="L116" i="39"/>
  <c r="N116" i="39" s="1"/>
  <c r="B116" i="39"/>
  <c r="X115" i="39"/>
  <c r="Z115" i="39" s="1"/>
  <c r="T115" i="39"/>
  <c r="P115" i="39"/>
  <c r="H115" i="39"/>
  <c r="D115" i="39"/>
  <c r="L115" i="39" s="1"/>
  <c r="B115" i="39"/>
  <c r="Z114" i="39"/>
  <c r="X114" i="39"/>
  <c r="N114" i="39"/>
  <c r="L114" i="39"/>
  <c r="B114" i="39"/>
  <c r="Z113" i="39"/>
  <c r="X113" i="39"/>
  <c r="V113" i="39"/>
  <c r="N113" i="39"/>
  <c r="L113" i="39"/>
  <c r="B113" i="39"/>
  <c r="T112" i="39"/>
  <c r="P112" i="39"/>
  <c r="X112" i="39" s="1"/>
  <c r="N112" i="39"/>
  <c r="L112" i="39"/>
  <c r="H112" i="39"/>
  <c r="D112" i="39"/>
  <c r="B112" i="39"/>
  <c r="Z111" i="39"/>
  <c r="X111" i="39"/>
  <c r="L111" i="39"/>
  <c r="N111" i="39" s="1"/>
  <c r="B111" i="39"/>
  <c r="Z110" i="39"/>
  <c r="X110" i="39"/>
  <c r="L110" i="39"/>
  <c r="N110" i="39" s="1"/>
  <c r="B110" i="39"/>
  <c r="Z109" i="39"/>
  <c r="X109" i="39"/>
  <c r="L109" i="39"/>
  <c r="N109" i="39" s="1"/>
  <c r="B109" i="39"/>
  <c r="X108" i="39"/>
  <c r="Z108" i="39" s="1"/>
  <c r="V108" i="39"/>
  <c r="N108" i="39"/>
  <c r="L108" i="39"/>
  <c r="B108" i="39"/>
  <c r="Z107" i="39"/>
  <c r="X107" i="39"/>
  <c r="L107" i="39"/>
  <c r="N107" i="39" s="1"/>
  <c r="B107" i="39"/>
  <c r="Z106" i="39"/>
  <c r="X106" i="39"/>
  <c r="N106" i="39"/>
  <c r="L106" i="39"/>
  <c r="B106" i="39"/>
  <c r="Z105" i="39"/>
  <c r="X105" i="39"/>
  <c r="T105" i="39"/>
  <c r="P105" i="39"/>
  <c r="H105" i="39"/>
  <c r="D105" i="39"/>
  <c r="L105" i="39" s="1"/>
  <c r="B105" i="39"/>
  <c r="Z104" i="39"/>
  <c r="X104" i="39"/>
  <c r="L104" i="39"/>
  <c r="N104" i="39" s="1"/>
  <c r="B104" i="39"/>
  <c r="Z103" i="39"/>
  <c r="X103" i="39"/>
  <c r="N103" i="39"/>
  <c r="L103" i="39"/>
  <c r="B103" i="39"/>
  <c r="X102" i="39"/>
  <c r="Z102" i="39" s="1"/>
  <c r="N102" i="39"/>
  <c r="L102" i="39"/>
  <c r="B102" i="39"/>
  <c r="T101" i="39"/>
  <c r="Z101" i="39" s="1"/>
  <c r="P101" i="39"/>
  <c r="X101" i="39" s="1"/>
  <c r="N101" i="39"/>
  <c r="L101" i="39"/>
  <c r="H101" i="39"/>
  <c r="D101" i="39"/>
  <c r="B101" i="39"/>
  <c r="X100" i="39"/>
  <c r="Z100" i="39" s="1"/>
  <c r="L100" i="39"/>
  <c r="N100" i="39" s="1"/>
  <c r="J100" i="39"/>
  <c r="B100" i="39"/>
  <c r="X99" i="39"/>
  <c r="Z99" i="39" s="1"/>
  <c r="N99" i="39"/>
  <c r="L99" i="39"/>
  <c r="B99" i="39"/>
  <c r="Z98" i="39"/>
  <c r="X98" i="39"/>
  <c r="N98" i="39"/>
  <c r="L98" i="39"/>
  <c r="B98" i="39"/>
  <c r="X97" i="39"/>
  <c r="Z97" i="39" s="1"/>
  <c r="V97" i="39"/>
  <c r="N97" i="39"/>
  <c r="L97" i="39"/>
  <c r="B97" i="39"/>
  <c r="T96" i="39"/>
  <c r="Z96" i="39" s="1"/>
  <c r="P96" i="39"/>
  <c r="X96" i="39" s="1"/>
  <c r="N96" i="39"/>
  <c r="L96" i="39"/>
  <c r="H96" i="39"/>
  <c r="D96" i="39"/>
  <c r="B96" i="39"/>
  <c r="Z95" i="39"/>
  <c r="X95" i="39"/>
  <c r="L95" i="39"/>
  <c r="N95" i="39" s="1"/>
  <c r="J95" i="39"/>
  <c r="B95" i="39"/>
  <c r="T94" i="39"/>
  <c r="Z94" i="39" s="1"/>
  <c r="P94" i="39"/>
  <c r="X94" i="39" s="1"/>
  <c r="L94" i="39"/>
  <c r="J94" i="39"/>
  <c r="H94" i="39"/>
  <c r="N94" i="39" s="1"/>
  <c r="D94" i="39"/>
  <c r="B94" i="39"/>
  <c r="Z93" i="39"/>
  <c r="X93" i="39"/>
  <c r="N93" i="39"/>
  <c r="L93" i="39"/>
  <c r="J93" i="39"/>
  <c r="B93" i="39"/>
  <c r="Z92" i="39"/>
  <c r="T92" i="39"/>
  <c r="P92" i="39"/>
  <c r="X92" i="39" s="1"/>
  <c r="H92" i="39"/>
  <c r="N92" i="39" s="1"/>
  <c r="D92" i="39"/>
  <c r="B92" i="39"/>
  <c r="Z91" i="39"/>
  <c r="X91" i="39"/>
  <c r="N91" i="39"/>
  <c r="L91" i="39"/>
  <c r="B91" i="39"/>
  <c r="Z90" i="39"/>
  <c r="X90" i="39"/>
  <c r="T90" i="39"/>
  <c r="P90" i="39"/>
  <c r="H90" i="39"/>
  <c r="N90" i="39" s="1"/>
  <c r="D90" i="39"/>
  <c r="L90" i="39" s="1"/>
  <c r="B90" i="39"/>
  <c r="Z89" i="39"/>
  <c r="X89" i="39"/>
  <c r="N89" i="39"/>
  <c r="L89" i="39"/>
  <c r="B89" i="39"/>
  <c r="X88" i="39"/>
  <c r="V88" i="39"/>
  <c r="T88" i="39"/>
  <c r="Z88" i="39" s="1"/>
  <c r="P88" i="39"/>
  <c r="H88" i="39"/>
  <c r="D88" i="39"/>
  <c r="L88" i="39" s="1"/>
  <c r="B88" i="39"/>
  <c r="Z87" i="39"/>
  <c r="X87" i="39"/>
  <c r="V87" i="39"/>
  <c r="L87" i="39"/>
  <c r="N87" i="39" s="1"/>
  <c r="B87" i="39"/>
  <c r="T86" i="39"/>
  <c r="P86" i="39"/>
  <c r="X86" i="39" s="1"/>
  <c r="H86" i="39"/>
  <c r="D86" i="39"/>
  <c r="L86" i="39" s="1"/>
  <c r="N86" i="39" s="1"/>
  <c r="B86" i="39"/>
  <c r="X85" i="39"/>
  <c r="Z85" i="39" s="1"/>
  <c r="V85" i="39"/>
  <c r="N85" i="39"/>
  <c r="L85" i="39"/>
  <c r="B85" i="39"/>
  <c r="X84" i="39"/>
  <c r="Z84" i="39" s="1"/>
  <c r="L84" i="39"/>
  <c r="N84" i="39" s="1"/>
  <c r="J84" i="39"/>
  <c r="B84" i="39"/>
  <c r="X83" i="39"/>
  <c r="Z83" i="39" s="1"/>
  <c r="T83" i="39"/>
  <c r="P83" i="39"/>
  <c r="H83" i="39"/>
  <c r="D83" i="39"/>
  <c r="B83" i="39"/>
  <c r="Z82" i="39"/>
  <c r="X82" i="39"/>
  <c r="N82" i="39"/>
  <c r="L82" i="39"/>
  <c r="B82" i="39"/>
  <c r="Z81" i="39"/>
  <c r="X81" i="39"/>
  <c r="T81" i="39"/>
  <c r="P81" i="39"/>
  <c r="H81" i="39"/>
  <c r="N81" i="39" s="1"/>
  <c r="D81" i="39"/>
  <c r="L81" i="39" s="1"/>
  <c r="B81" i="39"/>
  <c r="Z80" i="39"/>
  <c r="X80" i="39"/>
  <c r="L80" i="39"/>
  <c r="N80" i="39" s="1"/>
  <c r="B80" i="39"/>
  <c r="Z79" i="39"/>
  <c r="X79" i="39"/>
  <c r="V79" i="39"/>
  <c r="T79" i="39"/>
  <c r="P79" i="39"/>
  <c r="H79" i="39"/>
  <c r="D79" i="39"/>
  <c r="L79" i="39" s="1"/>
  <c r="B79" i="39"/>
  <c r="Z78" i="39"/>
  <c r="X78" i="39"/>
  <c r="N78" i="39"/>
  <c r="L78" i="39"/>
  <c r="B78" i="39"/>
  <c r="T77" i="39"/>
  <c r="P77" i="39"/>
  <c r="L77" i="39"/>
  <c r="N77" i="39" s="1"/>
  <c r="H77" i="39"/>
  <c r="D77" i="39"/>
  <c r="B77" i="39"/>
  <c r="X76" i="39"/>
  <c r="Z76" i="39" s="1"/>
  <c r="V76" i="39"/>
  <c r="N76" i="39"/>
  <c r="L76" i="39"/>
  <c r="B76" i="39"/>
  <c r="T75" i="39"/>
  <c r="P75" i="39"/>
  <c r="X75" i="39" s="1"/>
  <c r="N75" i="39"/>
  <c r="L75" i="39"/>
  <c r="H75" i="39"/>
  <c r="D75" i="39"/>
  <c r="B75" i="39"/>
  <c r="Z74" i="39"/>
  <c r="X74" i="39"/>
  <c r="N74" i="39"/>
  <c r="L74" i="39"/>
  <c r="B74" i="39"/>
  <c r="T73" i="39"/>
  <c r="Z73" i="39" s="1"/>
  <c r="P73" i="39"/>
  <c r="X73" i="39" s="1"/>
  <c r="N73" i="39"/>
  <c r="L73" i="39"/>
  <c r="J73" i="39"/>
  <c r="H73" i="39"/>
  <c r="D73" i="39"/>
  <c r="B73" i="39"/>
  <c r="X72" i="39"/>
  <c r="Z72" i="39" s="1"/>
  <c r="L72" i="39"/>
  <c r="N72" i="39" s="1"/>
  <c r="J72" i="39"/>
  <c r="B72" i="39"/>
  <c r="X71" i="39"/>
  <c r="Z71" i="39" s="1"/>
  <c r="N71" i="39"/>
  <c r="L71" i="39"/>
  <c r="B71" i="39"/>
  <c r="X70" i="39"/>
  <c r="Z70" i="39" s="1"/>
  <c r="N70" i="39"/>
  <c r="L70" i="39"/>
  <c r="B70" i="39"/>
  <c r="X69" i="39"/>
  <c r="Z69" i="39" s="1"/>
  <c r="V69" i="39"/>
  <c r="N69" i="39"/>
  <c r="L69" i="39"/>
  <c r="B69" i="39"/>
  <c r="T68" i="39"/>
  <c r="P68" i="39"/>
  <c r="X68" i="39" s="1"/>
  <c r="L68" i="39"/>
  <c r="N68" i="39" s="1"/>
  <c r="H68" i="39"/>
  <c r="D68" i="39"/>
  <c r="B68" i="39"/>
  <c r="Z67" i="39"/>
  <c r="X67" i="39"/>
  <c r="L67" i="39"/>
  <c r="N67" i="39" s="1"/>
  <c r="J67" i="39"/>
  <c r="B67" i="39"/>
  <c r="T66" i="39"/>
  <c r="P66" i="39"/>
  <c r="X66" i="39" s="1"/>
  <c r="L66" i="39"/>
  <c r="H66" i="39"/>
  <c r="D66" i="39"/>
  <c r="B66" i="39"/>
  <c r="Z65" i="39"/>
  <c r="X65" i="39"/>
  <c r="L65" i="39"/>
  <c r="N65" i="39" s="1"/>
  <c r="J65" i="39"/>
  <c r="B65" i="39"/>
  <c r="T64" i="39"/>
  <c r="P64" i="39"/>
  <c r="X64" i="39" s="1"/>
  <c r="Z64" i="39" s="1"/>
  <c r="H64" i="39"/>
  <c r="D64" i="39"/>
  <c r="B64" i="39"/>
  <c r="X63" i="39"/>
  <c r="Z63" i="39" s="1"/>
  <c r="N63" i="39"/>
  <c r="L63" i="39"/>
  <c r="B63" i="39"/>
  <c r="X62" i="39"/>
  <c r="Z62" i="39" s="1"/>
  <c r="T62" i="39"/>
  <c r="P62" i="39"/>
  <c r="H62" i="39"/>
  <c r="D62" i="39"/>
  <c r="L62" i="39" s="1"/>
  <c r="B62" i="39"/>
  <c r="Z61" i="39"/>
  <c r="X61" i="39"/>
  <c r="N61" i="39"/>
  <c r="L61" i="39"/>
  <c r="B61" i="39"/>
  <c r="Z60" i="39"/>
  <c r="X60" i="39"/>
  <c r="V60" i="39"/>
  <c r="N60" i="39"/>
  <c r="L60" i="39"/>
  <c r="B60" i="39"/>
  <c r="Z59" i="39"/>
  <c r="X59" i="39"/>
  <c r="L59" i="39"/>
  <c r="N59" i="39" s="1"/>
  <c r="J59" i="39"/>
  <c r="B59" i="39"/>
  <c r="Z58" i="39"/>
  <c r="X58" i="39"/>
  <c r="L58" i="39"/>
  <c r="N58" i="39" s="1"/>
  <c r="B58" i="39"/>
  <c r="Z57" i="39"/>
  <c r="X57" i="39"/>
  <c r="N57" i="39"/>
  <c r="L57" i="39"/>
  <c r="B57" i="39"/>
  <c r="X56" i="39"/>
  <c r="Z56" i="39" s="1"/>
  <c r="V56" i="39"/>
  <c r="N56" i="39"/>
  <c r="L56" i="39"/>
  <c r="B56" i="39"/>
  <c r="Z55" i="39"/>
  <c r="X55" i="39"/>
  <c r="L55" i="39"/>
  <c r="N55" i="39" s="1"/>
  <c r="J55" i="39"/>
  <c r="B55" i="39"/>
  <c r="Z54" i="39"/>
  <c r="X54" i="39"/>
  <c r="N54" i="39"/>
  <c r="L54" i="39"/>
  <c r="B54" i="39"/>
  <c r="Z53" i="39"/>
  <c r="X53" i="39"/>
  <c r="L53" i="39"/>
  <c r="N53" i="39" s="1"/>
  <c r="B53" i="39"/>
  <c r="X52" i="39"/>
  <c r="Z52" i="39" s="1"/>
  <c r="V52" i="39"/>
  <c r="N52" i="39"/>
  <c r="L52" i="39"/>
  <c r="B52" i="39"/>
  <c r="T51" i="39"/>
  <c r="P51" i="39"/>
  <c r="X51" i="39" s="1"/>
  <c r="N51" i="39"/>
  <c r="L51" i="39"/>
  <c r="H51" i="39"/>
  <c r="D51" i="39"/>
  <c r="B51" i="39"/>
  <c r="X50" i="39"/>
  <c r="Z50" i="39" s="1"/>
  <c r="L50" i="39"/>
  <c r="N50" i="39" s="1"/>
  <c r="B50" i="39"/>
  <c r="X49" i="39"/>
  <c r="Z49" i="39" s="1"/>
  <c r="L49" i="39"/>
  <c r="N49" i="39" s="1"/>
  <c r="J49" i="39"/>
  <c r="B49" i="39"/>
  <c r="Z48" i="39"/>
  <c r="X48" i="39"/>
  <c r="L48" i="39"/>
  <c r="N48" i="39" s="1"/>
  <c r="B48" i="39"/>
  <c r="Z47" i="39"/>
  <c r="X47" i="39"/>
  <c r="V47" i="39"/>
  <c r="N47" i="39"/>
  <c r="L47" i="39"/>
  <c r="B47" i="39"/>
  <c r="X46" i="39"/>
  <c r="Z46" i="39" s="1"/>
  <c r="N46" i="39"/>
  <c r="L46" i="39"/>
  <c r="B46" i="39"/>
  <c r="X45" i="39"/>
  <c r="Z45" i="39" s="1"/>
  <c r="L45" i="39"/>
  <c r="N45" i="39" s="1"/>
  <c r="J45" i="39"/>
  <c r="B45" i="39"/>
  <c r="Z44" i="39"/>
  <c r="X44" i="39"/>
  <c r="L44" i="39"/>
  <c r="N44" i="39" s="1"/>
  <c r="B44" i="39"/>
  <c r="X43" i="39"/>
  <c r="Z43" i="39" s="1"/>
  <c r="V43" i="39"/>
  <c r="N43" i="39"/>
  <c r="L43" i="39"/>
  <c r="B43" i="39"/>
  <c r="X42" i="39"/>
  <c r="Z42" i="39" s="1"/>
  <c r="N42" i="39"/>
  <c r="L42" i="39"/>
  <c r="B42" i="39"/>
  <c r="X41" i="39"/>
  <c r="Z41" i="39" s="1"/>
  <c r="L41" i="39"/>
  <c r="N41" i="39" s="1"/>
  <c r="J41" i="39"/>
  <c r="B41" i="39"/>
  <c r="T40" i="39"/>
  <c r="P40" i="39"/>
  <c r="X40" i="39" s="1"/>
  <c r="Z40" i="39" s="1"/>
  <c r="H40" i="39"/>
  <c r="N40" i="39" s="1"/>
  <c r="D40" i="39"/>
  <c r="L40" i="39" s="1"/>
  <c r="B40" i="39"/>
  <c r="T39" i="39"/>
  <c r="P39" i="39"/>
  <c r="X39" i="39" s="1"/>
  <c r="H39" i="39"/>
  <c r="D39" i="39"/>
  <c r="H37" i="39"/>
  <c r="Z35" i="39"/>
  <c r="X35" i="39"/>
  <c r="N35" i="39"/>
  <c r="L35" i="39"/>
  <c r="B35" i="39"/>
  <c r="Z34" i="39"/>
  <c r="X34" i="39"/>
  <c r="N34" i="39"/>
  <c r="L34" i="39"/>
  <c r="B34" i="39"/>
  <c r="X33" i="39"/>
  <c r="Z33" i="39" s="1"/>
  <c r="V33" i="39"/>
  <c r="N33" i="39"/>
  <c r="L33" i="39"/>
  <c r="B33" i="39"/>
  <c r="T32" i="39"/>
  <c r="P32" i="39"/>
  <c r="X32" i="39" s="1"/>
  <c r="Z32" i="39" s="1"/>
  <c r="L32" i="39"/>
  <c r="N32" i="39" s="1"/>
  <c r="H32" i="39"/>
  <c r="D32" i="39"/>
  <c r="Z30" i="39"/>
  <c r="X30" i="39"/>
  <c r="P30" i="39"/>
  <c r="N30" i="39"/>
  <c r="D30" i="39"/>
  <c r="L30" i="39" s="1"/>
  <c r="B30" i="39"/>
  <c r="Z29" i="39"/>
  <c r="X29" i="39"/>
  <c r="P29" i="39"/>
  <c r="N29" i="39"/>
  <c r="D29" i="39"/>
  <c r="L29" i="39" s="1"/>
  <c r="B29" i="39"/>
  <c r="Z28" i="39"/>
  <c r="P28" i="39"/>
  <c r="X28" i="39" s="1"/>
  <c r="N28" i="39"/>
  <c r="L28" i="39"/>
  <c r="D28" i="39"/>
  <c r="B28" i="39"/>
  <c r="Z27" i="39"/>
  <c r="X27" i="39"/>
  <c r="P27" i="39"/>
  <c r="N27" i="39"/>
  <c r="L27" i="39"/>
  <c r="D27" i="39"/>
  <c r="B27" i="39"/>
  <c r="Z26" i="39"/>
  <c r="P26" i="39"/>
  <c r="X26" i="39" s="1"/>
  <c r="N26" i="39"/>
  <c r="L26" i="39"/>
  <c r="D26" i="39"/>
  <c r="B26" i="39"/>
  <c r="Z25" i="39"/>
  <c r="P25" i="39"/>
  <c r="X25" i="39" s="1"/>
  <c r="N25" i="39"/>
  <c r="D25" i="39"/>
  <c r="L25" i="39" s="1"/>
  <c r="B25" i="39"/>
  <c r="Z24" i="39"/>
  <c r="X24" i="39"/>
  <c r="P24" i="39"/>
  <c r="N24" i="39"/>
  <c r="L24" i="39"/>
  <c r="D24" i="39"/>
  <c r="B24" i="39"/>
  <c r="Z23" i="39"/>
  <c r="X23" i="39"/>
  <c r="P23" i="39"/>
  <c r="N23" i="39"/>
  <c r="D23" i="39"/>
  <c r="L23" i="39" s="1"/>
  <c r="B23" i="39"/>
  <c r="Z22" i="39"/>
  <c r="P22" i="39"/>
  <c r="X22" i="39" s="1"/>
  <c r="N22" i="39"/>
  <c r="L22" i="39"/>
  <c r="D22" i="39"/>
  <c r="B22" i="39"/>
  <c r="P21" i="39"/>
  <c r="X21" i="39" s="1"/>
  <c r="Z21" i="39" s="1"/>
  <c r="L21" i="39"/>
  <c r="N21" i="39" s="1"/>
  <c r="D21" i="39"/>
  <c r="B21" i="39"/>
  <c r="Z20" i="39"/>
  <c r="P20" i="39"/>
  <c r="X20" i="39" s="1"/>
  <c r="N20" i="39"/>
  <c r="L20" i="39"/>
  <c r="D20" i="39"/>
  <c r="B20" i="39"/>
  <c r="Z19" i="39"/>
  <c r="X19" i="39"/>
  <c r="P19" i="39"/>
  <c r="N19" i="39"/>
  <c r="L19" i="39"/>
  <c r="D19" i="39"/>
  <c r="B19" i="39"/>
  <c r="Z18" i="39"/>
  <c r="X18" i="39"/>
  <c r="P18" i="39"/>
  <c r="N18" i="39"/>
  <c r="D18" i="39"/>
  <c r="L18" i="39" s="1"/>
  <c r="B18" i="39"/>
  <c r="Z17" i="39"/>
  <c r="X17" i="39"/>
  <c r="P17" i="39"/>
  <c r="N17" i="39"/>
  <c r="D17" i="39"/>
  <c r="L17" i="39" s="1"/>
  <c r="B17" i="39"/>
  <c r="Z16" i="39"/>
  <c r="P16" i="39"/>
  <c r="X16" i="39" s="1"/>
  <c r="N16" i="39"/>
  <c r="D16" i="39"/>
  <c r="L16" i="39" s="1"/>
  <c r="B16" i="39"/>
  <c r="Z15" i="39"/>
  <c r="P15" i="39"/>
  <c r="X15" i="39" s="1"/>
  <c r="N15" i="39"/>
  <c r="L15" i="39"/>
  <c r="D15" i="39"/>
  <c r="B15" i="39"/>
  <c r="Z14" i="39"/>
  <c r="P14" i="39"/>
  <c r="X14" i="39" s="1"/>
  <c r="N14" i="39"/>
  <c r="L14" i="39"/>
  <c r="D14" i="39"/>
  <c r="B14" i="39"/>
  <c r="P13" i="39"/>
  <c r="X13" i="39" s="1"/>
  <c r="Z13" i="39" s="1"/>
  <c r="D13" i="39"/>
  <c r="B13" i="39"/>
  <c r="T12" i="39"/>
  <c r="H12" i="39"/>
  <c r="J136" i="39" s="1"/>
  <c r="D4" i="39"/>
  <c r="X141" i="36"/>
  <c r="Z141" i="36" s="1"/>
  <c r="V141" i="36"/>
  <c r="L141" i="36"/>
  <c r="N141" i="36" s="1"/>
  <c r="J141" i="36"/>
  <c r="Z137" i="36"/>
  <c r="P137" i="36"/>
  <c r="X137" i="36" s="1"/>
  <c r="N137" i="36"/>
  <c r="L137" i="36"/>
  <c r="D137" i="36"/>
  <c r="B137" i="36"/>
  <c r="Z136" i="36"/>
  <c r="X136" i="36"/>
  <c r="P136" i="36"/>
  <c r="N136" i="36"/>
  <c r="L136" i="36"/>
  <c r="J136" i="36"/>
  <c r="D136" i="36"/>
  <c r="B136" i="36"/>
  <c r="Z135" i="36"/>
  <c r="X135" i="36"/>
  <c r="P135" i="36"/>
  <c r="L135" i="36"/>
  <c r="N135" i="36" s="1"/>
  <c r="J135" i="36"/>
  <c r="D135" i="36"/>
  <c r="B135" i="36"/>
  <c r="X134" i="36"/>
  <c r="Z134" i="36" s="1"/>
  <c r="P134" i="36"/>
  <c r="D134" i="36"/>
  <c r="B134" i="36"/>
  <c r="T133" i="36"/>
  <c r="H133" i="36"/>
  <c r="X131" i="36"/>
  <c r="Z131" i="36" s="1"/>
  <c r="N131" i="36"/>
  <c r="L131" i="36"/>
  <c r="B131" i="36"/>
  <c r="X130" i="36"/>
  <c r="Z130" i="36" s="1"/>
  <c r="T130" i="36"/>
  <c r="P130" i="36"/>
  <c r="L130" i="36"/>
  <c r="N130" i="36" s="1"/>
  <c r="H130" i="36"/>
  <c r="D130" i="36"/>
  <c r="B130" i="36"/>
  <c r="Z129" i="36"/>
  <c r="X129" i="36"/>
  <c r="N129" i="36"/>
  <c r="L129" i="36"/>
  <c r="J129" i="36"/>
  <c r="B129" i="36"/>
  <c r="Z128" i="36"/>
  <c r="X128" i="36"/>
  <c r="V128" i="36"/>
  <c r="N128" i="36"/>
  <c r="L128" i="36"/>
  <c r="J128" i="36"/>
  <c r="B128" i="36"/>
  <c r="Z127" i="36"/>
  <c r="X127" i="36"/>
  <c r="L127" i="36"/>
  <c r="N127" i="36" s="1"/>
  <c r="J127" i="36"/>
  <c r="B127" i="36"/>
  <c r="X126" i="36"/>
  <c r="T126" i="36"/>
  <c r="Z126" i="36" s="1"/>
  <c r="P126" i="36"/>
  <c r="H126" i="36"/>
  <c r="D126" i="36"/>
  <c r="B126" i="36"/>
  <c r="Z125" i="36"/>
  <c r="X125" i="36"/>
  <c r="L125" i="36"/>
  <c r="N125" i="36" s="1"/>
  <c r="J125" i="36"/>
  <c r="B125" i="36"/>
  <c r="T124" i="36"/>
  <c r="Z124" i="36" s="1"/>
  <c r="P124" i="36"/>
  <c r="X124" i="36" s="1"/>
  <c r="H124" i="36"/>
  <c r="D124" i="36"/>
  <c r="L124" i="36" s="1"/>
  <c r="B124" i="36"/>
  <c r="X123" i="36"/>
  <c r="Z123" i="36" s="1"/>
  <c r="N123" i="36"/>
  <c r="L123" i="36"/>
  <c r="B123" i="36"/>
  <c r="X122" i="36"/>
  <c r="Z122" i="36" s="1"/>
  <c r="L122" i="36"/>
  <c r="N122" i="36" s="1"/>
  <c r="B122" i="36"/>
  <c r="T121" i="36"/>
  <c r="P121" i="36"/>
  <c r="L121" i="36"/>
  <c r="J121" i="36"/>
  <c r="H121" i="36"/>
  <c r="N121" i="36" s="1"/>
  <c r="D121" i="36"/>
  <c r="B121" i="36"/>
  <c r="X120" i="36"/>
  <c r="Z120" i="36" s="1"/>
  <c r="V120" i="36"/>
  <c r="L120" i="36"/>
  <c r="N120" i="36" s="1"/>
  <c r="J120" i="36"/>
  <c r="B120" i="36"/>
  <c r="Z119" i="36"/>
  <c r="X119" i="36"/>
  <c r="L119" i="36"/>
  <c r="N119" i="36" s="1"/>
  <c r="J119" i="36"/>
  <c r="B119" i="36"/>
  <c r="X118" i="36"/>
  <c r="Z118" i="36" s="1"/>
  <c r="N118" i="36"/>
  <c r="L118" i="36"/>
  <c r="B118" i="36"/>
  <c r="Z117" i="36"/>
  <c r="X117" i="36"/>
  <c r="N117" i="36"/>
  <c r="L117" i="36"/>
  <c r="J117" i="36"/>
  <c r="B117" i="36"/>
  <c r="X116" i="36"/>
  <c r="Z116" i="36" s="1"/>
  <c r="V116" i="36"/>
  <c r="L116" i="36"/>
  <c r="N116" i="36" s="1"/>
  <c r="J116" i="36"/>
  <c r="B116" i="36"/>
  <c r="Z115" i="36"/>
  <c r="X115" i="36"/>
  <c r="L115" i="36"/>
  <c r="N115" i="36" s="1"/>
  <c r="J115" i="36"/>
  <c r="B115" i="36"/>
  <c r="X114" i="36"/>
  <c r="Z114" i="36" s="1"/>
  <c r="N114" i="36"/>
  <c r="L114" i="36"/>
  <c r="B114" i="36"/>
  <c r="Z113" i="36"/>
  <c r="X113" i="36"/>
  <c r="N113" i="36"/>
  <c r="L113" i="36"/>
  <c r="J113" i="36"/>
  <c r="B113" i="36"/>
  <c r="X112" i="36"/>
  <c r="Z112" i="36" s="1"/>
  <c r="V112" i="36"/>
  <c r="L112" i="36"/>
  <c r="N112" i="36" s="1"/>
  <c r="J112" i="36"/>
  <c r="B112" i="36"/>
  <c r="Z111" i="36"/>
  <c r="X111" i="36"/>
  <c r="L111" i="36"/>
  <c r="N111" i="36" s="1"/>
  <c r="J111" i="36"/>
  <c r="B111" i="36"/>
  <c r="X110" i="36"/>
  <c r="T110" i="36"/>
  <c r="Z110" i="36" s="1"/>
  <c r="P110" i="36"/>
  <c r="H110" i="36"/>
  <c r="D110" i="36"/>
  <c r="B110" i="36"/>
  <c r="Z109" i="36"/>
  <c r="X109" i="36"/>
  <c r="L109" i="36"/>
  <c r="N109" i="36" s="1"/>
  <c r="J109" i="36"/>
  <c r="B109" i="36"/>
  <c r="Z108" i="36"/>
  <c r="X108" i="36"/>
  <c r="N108" i="36"/>
  <c r="L108" i="36"/>
  <c r="B108" i="36"/>
  <c r="X107" i="36"/>
  <c r="Z107" i="36" s="1"/>
  <c r="V107" i="36"/>
  <c r="T107" i="36"/>
  <c r="P107" i="36"/>
  <c r="N107" i="36"/>
  <c r="L107" i="36"/>
  <c r="J107" i="36"/>
  <c r="H107" i="36"/>
  <c r="D107" i="36"/>
  <c r="B107" i="36"/>
  <c r="X106" i="36"/>
  <c r="Z106" i="36" s="1"/>
  <c r="L106" i="36"/>
  <c r="N106" i="36" s="1"/>
  <c r="J106" i="36"/>
  <c r="B106" i="36"/>
  <c r="X105" i="36"/>
  <c r="Z105" i="36" s="1"/>
  <c r="N105" i="36"/>
  <c r="L105" i="36"/>
  <c r="B105" i="36"/>
  <c r="X104" i="36"/>
  <c r="Z104" i="36" s="1"/>
  <c r="L104" i="36"/>
  <c r="N104" i="36" s="1"/>
  <c r="J104" i="36"/>
  <c r="B104" i="36"/>
  <c r="X103" i="36"/>
  <c r="Z103" i="36" s="1"/>
  <c r="N103" i="36"/>
  <c r="L103" i="36"/>
  <c r="B103" i="36"/>
  <c r="X102" i="36"/>
  <c r="Z102" i="36" s="1"/>
  <c r="L102" i="36"/>
  <c r="N102" i="36" s="1"/>
  <c r="J102" i="36"/>
  <c r="B102" i="36"/>
  <c r="T101" i="36"/>
  <c r="P101" i="36"/>
  <c r="L101" i="36"/>
  <c r="J101" i="36"/>
  <c r="H101" i="36"/>
  <c r="N101" i="36" s="1"/>
  <c r="D101" i="36"/>
  <c r="B101" i="36"/>
  <c r="X100" i="36"/>
  <c r="Z100" i="36" s="1"/>
  <c r="V100" i="36"/>
  <c r="L100" i="36"/>
  <c r="N100" i="36" s="1"/>
  <c r="J100" i="36"/>
  <c r="B100" i="36"/>
  <c r="Z99" i="36"/>
  <c r="X99" i="36"/>
  <c r="N99" i="36"/>
  <c r="L99" i="36"/>
  <c r="J99" i="36"/>
  <c r="B99" i="36"/>
  <c r="X98" i="36"/>
  <c r="Z98" i="36" s="1"/>
  <c r="N98" i="36"/>
  <c r="L98" i="36"/>
  <c r="B98" i="36"/>
  <c r="T97" i="36"/>
  <c r="P97" i="36"/>
  <c r="X97" i="36" s="1"/>
  <c r="Z97" i="36" s="1"/>
  <c r="H97" i="36"/>
  <c r="D97" i="36"/>
  <c r="L97" i="36" s="1"/>
  <c r="N97" i="36" s="1"/>
  <c r="B97" i="36"/>
  <c r="X96" i="36"/>
  <c r="Z96" i="36" s="1"/>
  <c r="L96" i="36"/>
  <c r="N96" i="36" s="1"/>
  <c r="B96" i="36"/>
  <c r="X95" i="36"/>
  <c r="Z95" i="36" s="1"/>
  <c r="V95" i="36"/>
  <c r="L95" i="36"/>
  <c r="N95" i="36" s="1"/>
  <c r="J95" i="36"/>
  <c r="B95" i="36"/>
  <c r="Z94" i="36"/>
  <c r="X94" i="36"/>
  <c r="N94" i="36"/>
  <c r="L94" i="36"/>
  <c r="B94" i="36"/>
  <c r="Z93" i="36"/>
  <c r="X93" i="36"/>
  <c r="L93" i="36"/>
  <c r="N93" i="36" s="1"/>
  <c r="J93" i="36"/>
  <c r="B93" i="36"/>
  <c r="T92" i="36"/>
  <c r="P92" i="36"/>
  <c r="X92" i="36" s="1"/>
  <c r="H92" i="36"/>
  <c r="D92" i="36"/>
  <c r="L92" i="36" s="1"/>
  <c r="B92" i="36"/>
  <c r="X91" i="36"/>
  <c r="Z91" i="36" s="1"/>
  <c r="N91" i="36"/>
  <c r="L91" i="36"/>
  <c r="B91" i="36"/>
  <c r="X90" i="36"/>
  <c r="Z90" i="36" s="1"/>
  <c r="T90" i="36"/>
  <c r="P90" i="36"/>
  <c r="L90" i="36"/>
  <c r="N90" i="36" s="1"/>
  <c r="H90" i="36"/>
  <c r="D90" i="36"/>
  <c r="B90" i="36"/>
  <c r="Z89" i="36"/>
  <c r="X89" i="36"/>
  <c r="N89" i="36"/>
  <c r="L89" i="36"/>
  <c r="J89" i="36"/>
  <c r="B89" i="36"/>
  <c r="T88" i="36"/>
  <c r="P88" i="36"/>
  <c r="L88" i="36"/>
  <c r="H88" i="36"/>
  <c r="N88" i="36" s="1"/>
  <c r="D88" i="36"/>
  <c r="B88" i="36"/>
  <c r="Z87" i="36"/>
  <c r="X87" i="36"/>
  <c r="V87" i="36"/>
  <c r="N87" i="36"/>
  <c r="L87" i="36"/>
  <c r="J87" i="36"/>
  <c r="B87" i="36"/>
  <c r="T86" i="36"/>
  <c r="Z86" i="36" s="1"/>
  <c r="P86" i="36"/>
  <c r="X86" i="36" s="1"/>
  <c r="H86" i="36"/>
  <c r="J86" i="36" s="1"/>
  <c r="D86" i="36"/>
  <c r="L86" i="36" s="1"/>
  <c r="B86" i="36"/>
  <c r="X85" i="36"/>
  <c r="Z85" i="36" s="1"/>
  <c r="N85" i="36"/>
  <c r="L85" i="36"/>
  <c r="B85" i="36"/>
  <c r="X84" i="36"/>
  <c r="Z84" i="36" s="1"/>
  <c r="T84" i="36"/>
  <c r="P84" i="36"/>
  <c r="N84" i="36"/>
  <c r="L84" i="36"/>
  <c r="H84" i="36"/>
  <c r="D84" i="36"/>
  <c r="B84" i="36"/>
  <c r="Z83" i="36"/>
  <c r="X83" i="36"/>
  <c r="L83" i="36"/>
  <c r="N83" i="36" s="1"/>
  <c r="J83" i="36"/>
  <c r="B83" i="36"/>
  <c r="X82" i="36"/>
  <c r="T82" i="36"/>
  <c r="Z82" i="36" s="1"/>
  <c r="P82" i="36"/>
  <c r="H82" i="36"/>
  <c r="J82" i="36" s="1"/>
  <c r="D82" i="36"/>
  <c r="B82" i="36"/>
  <c r="Z81" i="36"/>
  <c r="X81" i="36"/>
  <c r="V81" i="36"/>
  <c r="L81" i="36"/>
  <c r="N81" i="36" s="1"/>
  <c r="J81" i="36"/>
  <c r="B81" i="36"/>
  <c r="X80" i="36"/>
  <c r="Z80" i="36" s="1"/>
  <c r="L80" i="36"/>
  <c r="N80" i="36" s="1"/>
  <c r="B80" i="36"/>
  <c r="X79" i="36"/>
  <c r="Z79" i="36" s="1"/>
  <c r="V79" i="36"/>
  <c r="T79" i="36"/>
  <c r="P79" i="36"/>
  <c r="N79" i="36"/>
  <c r="L79" i="36"/>
  <c r="J79" i="36"/>
  <c r="H79" i="36"/>
  <c r="D79" i="36"/>
  <c r="B79" i="36"/>
  <c r="X78" i="36"/>
  <c r="Z78" i="36" s="1"/>
  <c r="L78" i="36"/>
  <c r="N78" i="36" s="1"/>
  <c r="J78" i="36"/>
  <c r="B78" i="36"/>
  <c r="T77" i="36"/>
  <c r="P77" i="36"/>
  <c r="J77" i="36"/>
  <c r="H77" i="36"/>
  <c r="D77" i="36"/>
  <c r="B77" i="36"/>
  <c r="X76" i="36"/>
  <c r="Z76" i="36" s="1"/>
  <c r="V76" i="36"/>
  <c r="L76" i="36"/>
  <c r="N76" i="36" s="1"/>
  <c r="J76" i="36"/>
  <c r="B76" i="36"/>
  <c r="T75" i="36"/>
  <c r="P75" i="36"/>
  <c r="X75" i="36" s="1"/>
  <c r="Z75" i="36" s="1"/>
  <c r="N75" i="36"/>
  <c r="H75" i="36"/>
  <c r="D75" i="36"/>
  <c r="L75" i="36" s="1"/>
  <c r="B75" i="36"/>
  <c r="Z74" i="36"/>
  <c r="X74" i="36"/>
  <c r="L74" i="36"/>
  <c r="N74" i="36" s="1"/>
  <c r="B74" i="36"/>
  <c r="Z73" i="36"/>
  <c r="X73" i="36"/>
  <c r="V73" i="36"/>
  <c r="T73" i="36"/>
  <c r="P73" i="36"/>
  <c r="L73" i="36"/>
  <c r="N73" i="36" s="1"/>
  <c r="J73" i="36"/>
  <c r="H73" i="36"/>
  <c r="D73" i="36"/>
  <c r="B73" i="36"/>
  <c r="X72" i="36"/>
  <c r="Z72" i="36" s="1"/>
  <c r="L72" i="36"/>
  <c r="N72" i="36" s="1"/>
  <c r="J72" i="36"/>
  <c r="B72" i="36"/>
  <c r="X71" i="36"/>
  <c r="Z71" i="36" s="1"/>
  <c r="V71" i="36"/>
  <c r="N71" i="36"/>
  <c r="L71" i="36"/>
  <c r="B71" i="36"/>
  <c r="X70" i="36"/>
  <c r="Z70" i="36" s="1"/>
  <c r="T70" i="36"/>
  <c r="P70" i="36"/>
  <c r="L70" i="36"/>
  <c r="N70" i="36" s="1"/>
  <c r="J70" i="36"/>
  <c r="H70" i="36"/>
  <c r="D70" i="36"/>
  <c r="B70" i="36"/>
  <c r="Z69" i="36"/>
  <c r="X69" i="36"/>
  <c r="N69" i="36"/>
  <c r="L69" i="36"/>
  <c r="J69" i="36"/>
  <c r="B69" i="36"/>
  <c r="V68" i="36"/>
  <c r="T68" i="36"/>
  <c r="P68" i="36"/>
  <c r="L68" i="36"/>
  <c r="H68" i="36"/>
  <c r="N68" i="36" s="1"/>
  <c r="D68" i="36"/>
  <c r="B68" i="36"/>
  <c r="X67" i="36"/>
  <c r="Z67" i="36" s="1"/>
  <c r="V67" i="36"/>
  <c r="L67" i="36"/>
  <c r="N67" i="36" s="1"/>
  <c r="J67" i="36"/>
  <c r="B67" i="36"/>
  <c r="Z66" i="36"/>
  <c r="X66" i="36"/>
  <c r="N66" i="36"/>
  <c r="L66" i="36"/>
  <c r="B66" i="36"/>
  <c r="Z65" i="36"/>
  <c r="X65" i="36"/>
  <c r="V65" i="36"/>
  <c r="L65" i="36"/>
  <c r="N65" i="36" s="1"/>
  <c r="J65" i="36"/>
  <c r="B65" i="36"/>
  <c r="X64" i="36"/>
  <c r="Z64" i="36" s="1"/>
  <c r="L64" i="36"/>
  <c r="N64" i="36" s="1"/>
  <c r="J64" i="36"/>
  <c r="B64" i="36"/>
  <c r="X63" i="36"/>
  <c r="Z63" i="36" s="1"/>
  <c r="V63" i="36"/>
  <c r="T63" i="36"/>
  <c r="P63" i="36"/>
  <c r="N63" i="36"/>
  <c r="L63" i="36"/>
  <c r="J63" i="36"/>
  <c r="H63" i="36"/>
  <c r="D63" i="36"/>
  <c r="B63" i="36"/>
  <c r="Z62" i="36"/>
  <c r="X62" i="36"/>
  <c r="L62" i="36"/>
  <c r="N62" i="36" s="1"/>
  <c r="J62" i="36"/>
  <c r="B62" i="36"/>
  <c r="T61" i="36"/>
  <c r="P61" i="36"/>
  <c r="J61" i="36"/>
  <c r="H61" i="36"/>
  <c r="D61" i="36"/>
  <c r="B61" i="36"/>
  <c r="X60" i="36"/>
  <c r="Z60" i="36" s="1"/>
  <c r="V60" i="36"/>
  <c r="L60" i="36"/>
  <c r="N60" i="36" s="1"/>
  <c r="J60" i="36"/>
  <c r="B60" i="36"/>
  <c r="Z59" i="36"/>
  <c r="X59" i="36"/>
  <c r="L59" i="36"/>
  <c r="N59" i="36" s="1"/>
  <c r="J59" i="36"/>
  <c r="B59" i="36"/>
  <c r="T58" i="36"/>
  <c r="P58" i="36"/>
  <c r="H58" i="36"/>
  <c r="D58" i="36"/>
  <c r="B58" i="36"/>
  <c r="Z57" i="36"/>
  <c r="X57" i="36"/>
  <c r="V57" i="36"/>
  <c r="L57" i="36"/>
  <c r="N57" i="36" s="1"/>
  <c r="J57" i="36"/>
  <c r="B57" i="36"/>
  <c r="T56" i="36"/>
  <c r="Z56" i="36" s="1"/>
  <c r="P56" i="36"/>
  <c r="X56" i="36" s="1"/>
  <c r="H56" i="36"/>
  <c r="N56" i="36" s="1"/>
  <c r="D56" i="36"/>
  <c r="L56" i="36" s="1"/>
  <c r="B56" i="36"/>
  <c r="Z55" i="36"/>
  <c r="X55" i="36"/>
  <c r="V55" i="36"/>
  <c r="N55" i="36"/>
  <c r="L55" i="36"/>
  <c r="B55" i="36"/>
  <c r="Z54" i="36"/>
  <c r="X54" i="36"/>
  <c r="N54" i="36"/>
  <c r="L54" i="36"/>
  <c r="J54" i="36"/>
  <c r="B54" i="36"/>
  <c r="X53" i="36"/>
  <c r="Z53" i="36" s="1"/>
  <c r="V53" i="36"/>
  <c r="N53" i="36"/>
  <c r="L53" i="36"/>
  <c r="J53" i="36"/>
  <c r="B53" i="36"/>
  <c r="X52" i="36"/>
  <c r="Z52" i="36" s="1"/>
  <c r="L52" i="36"/>
  <c r="N52" i="36" s="1"/>
  <c r="J52" i="36"/>
  <c r="B52" i="36"/>
  <c r="Z51" i="36"/>
  <c r="X51" i="36"/>
  <c r="V51" i="36"/>
  <c r="N51" i="36"/>
  <c r="L51" i="36"/>
  <c r="B51" i="36"/>
  <c r="Z50" i="36"/>
  <c r="X50" i="36"/>
  <c r="L50" i="36"/>
  <c r="N50" i="36" s="1"/>
  <c r="J50" i="36"/>
  <c r="B50" i="36"/>
  <c r="X49" i="36"/>
  <c r="Z49" i="36" s="1"/>
  <c r="V49" i="36"/>
  <c r="N49" i="36"/>
  <c r="L49" i="36"/>
  <c r="J49" i="36"/>
  <c r="B49" i="36"/>
  <c r="Z48" i="36"/>
  <c r="X48" i="36"/>
  <c r="N48" i="36"/>
  <c r="L48" i="36"/>
  <c r="J48" i="36"/>
  <c r="F48" i="36"/>
  <c r="B48" i="36"/>
  <c r="X47" i="36"/>
  <c r="Z47" i="36" s="1"/>
  <c r="V47" i="36"/>
  <c r="N47" i="36"/>
  <c r="L47" i="36"/>
  <c r="B47" i="36"/>
  <c r="Z46" i="36"/>
  <c r="X46" i="36"/>
  <c r="L46" i="36"/>
  <c r="N46" i="36" s="1"/>
  <c r="J46" i="36"/>
  <c r="B46" i="36"/>
  <c r="T45" i="36"/>
  <c r="P45" i="36"/>
  <c r="J45" i="36"/>
  <c r="H45" i="36"/>
  <c r="D45" i="36"/>
  <c r="B45" i="36"/>
  <c r="X44" i="36"/>
  <c r="Z44" i="36" s="1"/>
  <c r="V44" i="36"/>
  <c r="L44" i="36"/>
  <c r="N44" i="36" s="1"/>
  <c r="J44" i="36"/>
  <c r="B44" i="36"/>
  <c r="Z43" i="36"/>
  <c r="X43" i="36"/>
  <c r="L43" i="36"/>
  <c r="N43" i="36" s="1"/>
  <c r="J43" i="36"/>
  <c r="B43" i="36"/>
  <c r="X42" i="36"/>
  <c r="Z42" i="36" s="1"/>
  <c r="V42" i="36"/>
  <c r="N42" i="36"/>
  <c r="L42" i="36"/>
  <c r="J42" i="36"/>
  <c r="B42" i="36"/>
  <c r="Z41" i="36"/>
  <c r="X41" i="36"/>
  <c r="N41" i="36"/>
  <c r="L41" i="36"/>
  <c r="J41" i="36"/>
  <c r="B41" i="36"/>
  <c r="X40" i="36"/>
  <c r="Z40" i="36" s="1"/>
  <c r="V40" i="36"/>
  <c r="N40" i="36"/>
  <c r="L40" i="36"/>
  <c r="J40" i="36"/>
  <c r="B40" i="36"/>
  <c r="Z39" i="36"/>
  <c r="X39" i="36"/>
  <c r="L39" i="36"/>
  <c r="N39" i="36" s="1"/>
  <c r="J39" i="36"/>
  <c r="B39" i="36"/>
  <c r="X38" i="36"/>
  <c r="Z38" i="36" s="1"/>
  <c r="V38" i="36"/>
  <c r="N38" i="36"/>
  <c r="L38" i="36"/>
  <c r="J38" i="36"/>
  <c r="B38" i="36"/>
  <c r="Z37" i="36"/>
  <c r="X37" i="36"/>
  <c r="N37" i="36"/>
  <c r="L37" i="36"/>
  <c r="J37" i="36"/>
  <c r="B37" i="36"/>
  <c r="X36" i="36"/>
  <c r="Z36" i="36" s="1"/>
  <c r="V36" i="36"/>
  <c r="L36" i="36"/>
  <c r="N36" i="36" s="1"/>
  <c r="J36" i="36"/>
  <c r="B36" i="36"/>
  <c r="Z35" i="36"/>
  <c r="X35" i="36"/>
  <c r="L35" i="36"/>
  <c r="N35" i="36" s="1"/>
  <c r="J35" i="36"/>
  <c r="B35" i="36"/>
  <c r="X34" i="36"/>
  <c r="V34" i="36"/>
  <c r="T34" i="36"/>
  <c r="Z34" i="36" s="1"/>
  <c r="P34" i="36"/>
  <c r="H34" i="36"/>
  <c r="D34" i="36"/>
  <c r="B34" i="36"/>
  <c r="Z33" i="36"/>
  <c r="X33" i="36"/>
  <c r="V33" i="36"/>
  <c r="T33" i="36"/>
  <c r="P33" i="36"/>
  <c r="L33" i="36"/>
  <c r="N33" i="36" s="1"/>
  <c r="J33" i="36"/>
  <c r="H33" i="36"/>
  <c r="D33" i="36"/>
  <c r="Z29" i="36"/>
  <c r="X29" i="36"/>
  <c r="V29" i="36"/>
  <c r="N29" i="36"/>
  <c r="L29" i="36"/>
  <c r="J29" i="36"/>
  <c r="B29" i="36"/>
  <c r="Z28" i="36"/>
  <c r="X28" i="36"/>
  <c r="V28" i="36"/>
  <c r="N28" i="36"/>
  <c r="L28" i="36"/>
  <c r="J28" i="36"/>
  <c r="B28" i="36"/>
  <c r="X27" i="36"/>
  <c r="Z27" i="36" s="1"/>
  <c r="V27" i="36"/>
  <c r="L27" i="36"/>
  <c r="N27" i="36" s="1"/>
  <c r="J27" i="36"/>
  <c r="B27" i="36"/>
  <c r="T26" i="36"/>
  <c r="P26" i="36"/>
  <c r="X26" i="36" s="1"/>
  <c r="H26" i="36"/>
  <c r="J26" i="36" s="1"/>
  <c r="D26" i="36"/>
  <c r="L26" i="36" s="1"/>
  <c r="Z24" i="36"/>
  <c r="P24" i="36"/>
  <c r="X24" i="36" s="1"/>
  <c r="N24" i="36"/>
  <c r="L24" i="36"/>
  <c r="D24" i="36"/>
  <c r="B24" i="36"/>
  <c r="Z23" i="36"/>
  <c r="P23" i="36"/>
  <c r="X23" i="36" s="1"/>
  <c r="N23" i="36"/>
  <c r="L23" i="36"/>
  <c r="D23" i="36"/>
  <c r="B23" i="36"/>
  <c r="Z22" i="36"/>
  <c r="P22" i="36"/>
  <c r="X22" i="36" s="1"/>
  <c r="N22" i="36"/>
  <c r="D22" i="36"/>
  <c r="L22" i="36" s="1"/>
  <c r="B22" i="36"/>
  <c r="Z21" i="36"/>
  <c r="X21" i="36"/>
  <c r="P21" i="36"/>
  <c r="N21" i="36"/>
  <c r="D21" i="36"/>
  <c r="L21" i="36" s="1"/>
  <c r="B21" i="36"/>
  <c r="Z20" i="36"/>
  <c r="X20" i="36"/>
  <c r="P20" i="36"/>
  <c r="N20" i="36"/>
  <c r="D20" i="36"/>
  <c r="L20" i="36" s="1"/>
  <c r="B20" i="36"/>
  <c r="Z19" i="36"/>
  <c r="X19" i="36"/>
  <c r="P19" i="36"/>
  <c r="D19" i="36"/>
  <c r="L19" i="36" s="1"/>
  <c r="N19" i="36" s="1"/>
  <c r="B19" i="36"/>
  <c r="Z18" i="36"/>
  <c r="P18" i="36"/>
  <c r="X18" i="36" s="1"/>
  <c r="N18" i="36"/>
  <c r="L18" i="36"/>
  <c r="D18" i="36"/>
  <c r="B18" i="36"/>
  <c r="Z17" i="36"/>
  <c r="P17" i="36"/>
  <c r="X17" i="36" s="1"/>
  <c r="N17" i="36"/>
  <c r="L17" i="36"/>
  <c r="D17" i="36"/>
  <c r="B17" i="36"/>
  <c r="Z16" i="36"/>
  <c r="P16" i="36"/>
  <c r="X16" i="36" s="1"/>
  <c r="N16" i="36"/>
  <c r="L16" i="36"/>
  <c r="D16" i="36"/>
  <c r="B16" i="36"/>
  <c r="Z15" i="36"/>
  <c r="P15" i="36"/>
  <c r="P12" i="36" s="1"/>
  <c r="R121" i="36" s="1"/>
  <c r="N15" i="36"/>
  <c r="D15" i="36"/>
  <c r="L15" i="36" s="1"/>
  <c r="B15" i="36"/>
  <c r="Z14" i="36"/>
  <c r="X14" i="36"/>
  <c r="P14" i="36"/>
  <c r="N14" i="36"/>
  <c r="D14" i="36"/>
  <c r="L14" i="36" s="1"/>
  <c r="B14" i="36"/>
  <c r="Z13" i="36"/>
  <c r="P13" i="36"/>
  <c r="X13" i="36" s="1"/>
  <c r="D13" i="36"/>
  <c r="D12" i="36" s="1"/>
  <c r="F104" i="36" s="1"/>
  <c r="B13" i="36"/>
  <c r="T12" i="36"/>
  <c r="V129" i="36" s="1"/>
  <c r="H12" i="36"/>
  <c r="D4" i="36"/>
  <c r="Z109" i="33"/>
  <c r="X109" i="33"/>
  <c r="L109" i="33"/>
  <c r="N109" i="33" s="1"/>
  <c r="J109" i="33"/>
  <c r="Z105" i="33"/>
  <c r="P105" i="33"/>
  <c r="X105" i="33" s="1"/>
  <c r="N105" i="33"/>
  <c r="D105" i="33"/>
  <c r="L105" i="33" s="1"/>
  <c r="B105" i="33"/>
  <c r="P104" i="33"/>
  <c r="X104" i="33" s="1"/>
  <c r="Z104" i="33" s="1"/>
  <c r="D104" i="33"/>
  <c r="L104" i="33" s="1"/>
  <c r="N104" i="33" s="1"/>
  <c r="B104" i="33"/>
  <c r="Z103" i="33"/>
  <c r="P103" i="33"/>
  <c r="X103" i="33" s="1"/>
  <c r="N103" i="33"/>
  <c r="L103" i="33"/>
  <c r="D103" i="33"/>
  <c r="B103" i="33"/>
  <c r="X102" i="33"/>
  <c r="Z102" i="33" s="1"/>
  <c r="P102" i="33"/>
  <c r="N102" i="33"/>
  <c r="L102" i="33"/>
  <c r="D102" i="33"/>
  <c r="B102" i="33"/>
  <c r="Z101" i="33"/>
  <c r="X101" i="33"/>
  <c r="V101" i="33"/>
  <c r="P101" i="33"/>
  <c r="N101" i="33"/>
  <c r="L101" i="33"/>
  <c r="J101" i="33"/>
  <c r="D101" i="33"/>
  <c r="B101" i="33"/>
  <c r="Z100" i="33"/>
  <c r="X100" i="33"/>
  <c r="V100" i="33"/>
  <c r="P100" i="33"/>
  <c r="N100" i="33"/>
  <c r="D100" i="33"/>
  <c r="L100" i="33" s="1"/>
  <c r="B100" i="33"/>
  <c r="Z99" i="33"/>
  <c r="P99" i="33"/>
  <c r="X99" i="33" s="1"/>
  <c r="N99" i="33"/>
  <c r="D99" i="33"/>
  <c r="L99" i="33" s="1"/>
  <c r="B99" i="33"/>
  <c r="T98" i="33"/>
  <c r="H98" i="33"/>
  <c r="Z96" i="33"/>
  <c r="X96" i="33"/>
  <c r="N96" i="33"/>
  <c r="L96" i="33"/>
  <c r="B96" i="33"/>
  <c r="Z95" i="33"/>
  <c r="X95" i="33"/>
  <c r="T95" i="33"/>
  <c r="P95" i="33"/>
  <c r="N95" i="33"/>
  <c r="L95" i="33"/>
  <c r="J95" i="33"/>
  <c r="H95" i="33"/>
  <c r="D95" i="33"/>
  <c r="B95" i="33"/>
  <c r="Z94" i="33"/>
  <c r="X94" i="33"/>
  <c r="N94" i="33"/>
  <c r="L94" i="33"/>
  <c r="J94" i="33"/>
  <c r="B94" i="33"/>
  <c r="X93" i="33"/>
  <c r="Z93" i="33" s="1"/>
  <c r="N93" i="33"/>
  <c r="L93" i="33"/>
  <c r="B93" i="33"/>
  <c r="X92" i="33"/>
  <c r="Z92" i="33" s="1"/>
  <c r="T92" i="33"/>
  <c r="P92" i="33"/>
  <c r="N92" i="33"/>
  <c r="L92" i="33"/>
  <c r="H92" i="33"/>
  <c r="D92" i="33"/>
  <c r="B92" i="33"/>
  <c r="Z91" i="33"/>
  <c r="X91" i="33"/>
  <c r="L91" i="33"/>
  <c r="N91" i="33" s="1"/>
  <c r="B91" i="33"/>
  <c r="Z90" i="33"/>
  <c r="X90" i="33"/>
  <c r="V90" i="33"/>
  <c r="N90" i="33"/>
  <c r="L90" i="33"/>
  <c r="B90" i="33"/>
  <c r="Z89" i="33"/>
  <c r="X89" i="33"/>
  <c r="L89" i="33"/>
  <c r="N89" i="33" s="1"/>
  <c r="J89" i="33"/>
  <c r="B89" i="33"/>
  <c r="Z88" i="33"/>
  <c r="X88" i="33"/>
  <c r="N88" i="33"/>
  <c r="L88" i="33"/>
  <c r="B88" i="33"/>
  <c r="Z87" i="33"/>
  <c r="X87" i="33"/>
  <c r="N87" i="33"/>
  <c r="L87" i="33"/>
  <c r="B87" i="33"/>
  <c r="V86" i="33"/>
  <c r="T86" i="33"/>
  <c r="P86" i="33"/>
  <c r="J86" i="33"/>
  <c r="H86" i="33"/>
  <c r="D86" i="33"/>
  <c r="B86" i="33"/>
  <c r="Z85" i="33"/>
  <c r="X85" i="33"/>
  <c r="V85" i="33"/>
  <c r="N85" i="33"/>
  <c r="L85" i="33"/>
  <c r="J85" i="33"/>
  <c r="B85" i="33"/>
  <c r="Z84" i="33"/>
  <c r="X84" i="33"/>
  <c r="L84" i="33"/>
  <c r="N84" i="33" s="1"/>
  <c r="B84" i="33"/>
  <c r="X83" i="33"/>
  <c r="Z83" i="33" s="1"/>
  <c r="T83" i="33"/>
  <c r="P83" i="33"/>
  <c r="L83" i="33"/>
  <c r="N83" i="33" s="1"/>
  <c r="J83" i="33"/>
  <c r="H83" i="33"/>
  <c r="D83" i="33"/>
  <c r="B83" i="33"/>
  <c r="Z82" i="33"/>
  <c r="X82" i="33"/>
  <c r="N82" i="33"/>
  <c r="L82" i="33"/>
  <c r="J82" i="33"/>
  <c r="B82" i="33"/>
  <c r="X81" i="33"/>
  <c r="Z81" i="33" s="1"/>
  <c r="N81" i="33"/>
  <c r="L81" i="33"/>
  <c r="B81" i="33"/>
  <c r="Z80" i="33"/>
  <c r="X80" i="33"/>
  <c r="T80" i="33"/>
  <c r="P80" i="33"/>
  <c r="N80" i="33"/>
  <c r="L80" i="33"/>
  <c r="H80" i="33"/>
  <c r="D80" i="33"/>
  <c r="B80" i="33"/>
  <c r="Z79" i="33"/>
  <c r="X79" i="33"/>
  <c r="L79" i="33"/>
  <c r="N79" i="33" s="1"/>
  <c r="J79" i="33"/>
  <c r="B79" i="33"/>
  <c r="T78" i="33"/>
  <c r="P78" i="33"/>
  <c r="J78" i="33"/>
  <c r="H78" i="33"/>
  <c r="D78" i="33"/>
  <c r="B78" i="33"/>
  <c r="X77" i="33"/>
  <c r="Z77" i="33" s="1"/>
  <c r="V77" i="33"/>
  <c r="L77" i="33"/>
  <c r="N77" i="33" s="1"/>
  <c r="J77" i="33"/>
  <c r="B77" i="33"/>
  <c r="T76" i="33"/>
  <c r="Z76" i="33" s="1"/>
  <c r="P76" i="33"/>
  <c r="X76" i="33" s="1"/>
  <c r="H76" i="33"/>
  <c r="N76" i="33" s="1"/>
  <c r="D76" i="33"/>
  <c r="L76" i="33" s="1"/>
  <c r="B76" i="33"/>
  <c r="Z75" i="33"/>
  <c r="X75" i="33"/>
  <c r="N75" i="33"/>
  <c r="L75" i="33"/>
  <c r="B75" i="33"/>
  <c r="Z74" i="33"/>
  <c r="X74" i="33"/>
  <c r="L74" i="33"/>
  <c r="N74" i="33" s="1"/>
  <c r="J74" i="33"/>
  <c r="B74" i="33"/>
  <c r="T73" i="33"/>
  <c r="P73" i="33"/>
  <c r="H73" i="33"/>
  <c r="D73" i="33"/>
  <c r="B73" i="33"/>
  <c r="X72" i="33"/>
  <c r="Z72" i="33" s="1"/>
  <c r="N72" i="33"/>
  <c r="L72" i="33"/>
  <c r="B72" i="33"/>
  <c r="T71" i="33"/>
  <c r="P71" i="33"/>
  <c r="X71" i="33" s="1"/>
  <c r="Z71" i="33" s="1"/>
  <c r="H71" i="33"/>
  <c r="D71" i="33"/>
  <c r="L71" i="33" s="1"/>
  <c r="N71" i="33" s="1"/>
  <c r="B71" i="33"/>
  <c r="X70" i="33"/>
  <c r="Z70" i="33" s="1"/>
  <c r="N70" i="33"/>
  <c r="L70" i="33"/>
  <c r="B70" i="33"/>
  <c r="X69" i="33"/>
  <c r="Z69" i="33" s="1"/>
  <c r="V69" i="33"/>
  <c r="T69" i="33"/>
  <c r="P69" i="33"/>
  <c r="L69" i="33"/>
  <c r="N69" i="33" s="1"/>
  <c r="J69" i="33"/>
  <c r="H69" i="33"/>
  <c r="D69" i="33"/>
  <c r="B69" i="33"/>
  <c r="X68" i="33"/>
  <c r="Z68" i="33" s="1"/>
  <c r="L68" i="33"/>
  <c r="N68" i="33" s="1"/>
  <c r="J68" i="33"/>
  <c r="B68" i="33"/>
  <c r="T67" i="33"/>
  <c r="P67" i="33"/>
  <c r="H67" i="33"/>
  <c r="D67" i="33"/>
  <c r="B67" i="33"/>
  <c r="Z66" i="33"/>
  <c r="X66" i="33"/>
  <c r="V66" i="33"/>
  <c r="N66" i="33"/>
  <c r="L66" i="33"/>
  <c r="B66" i="33"/>
  <c r="Z65" i="33"/>
  <c r="T65" i="33"/>
  <c r="P65" i="33"/>
  <c r="X65" i="33" s="1"/>
  <c r="N65" i="33"/>
  <c r="H65" i="33"/>
  <c r="D65" i="33"/>
  <c r="L65" i="33" s="1"/>
  <c r="B65" i="33"/>
  <c r="Z64" i="33"/>
  <c r="X64" i="33"/>
  <c r="L64" i="33"/>
  <c r="N64" i="33" s="1"/>
  <c r="B64" i="33"/>
  <c r="X63" i="33"/>
  <c r="Z63" i="33" s="1"/>
  <c r="T63" i="33"/>
  <c r="P63" i="33"/>
  <c r="L63" i="33"/>
  <c r="N63" i="33" s="1"/>
  <c r="J63" i="33"/>
  <c r="H63" i="33"/>
  <c r="D63" i="33"/>
  <c r="B63" i="33"/>
  <c r="Z62" i="33"/>
  <c r="X62" i="33"/>
  <c r="N62" i="33"/>
  <c r="L62" i="33"/>
  <c r="J62" i="33"/>
  <c r="B62" i="33"/>
  <c r="Z61" i="33"/>
  <c r="X61" i="33"/>
  <c r="N61" i="33"/>
  <c r="L61" i="33"/>
  <c r="B61" i="33"/>
  <c r="Z60" i="33"/>
  <c r="X60" i="33"/>
  <c r="L60" i="33"/>
  <c r="N60" i="33" s="1"/>
  <c r="J60" i="33"/>
  <c r="B60" i="33"/>
  <c r="X59" i="33"/>
  <c r="Z59" i="33" s="1"/>
  <c r="N59" i="33"/>
  <c r="L59" i="33"/>
  <c r="B59" i="33"/>
  <c r="Z58" i="33"/>
  <c r="X58" i="33"/>
  <c r="N58" i="33"/>
  <c r="L58" i="33"/>
  <c r="J58" i="33"/>
  <c r="B58" i="33"/>
  <c r="Z57" i="33"/>
  <c r="X57" i="33"/>
  <c r="N57" i="33"/>
  <c r="L57" i="33"/>
  <c r="B57" i="33"/>
  <c r="X56" i="33"/>
  <c r="Z56" i="33" s="1"/>
  <c r="L56" i="33"/>
  <c r="N56" i="33" s="1"/>
  <c r="J56" i="33"/>
  <c r="B56" i="33"/>
  <c r="Z55" i="33"/>
  <c r="X55" i="33"/>
  <c r="N55" i="33"/>
  <c r="L55" i="33"/>
  <c r="B55" i="33"/>
  <c r="Z54" i="33"/>
  <c r="X54" i="33"/>
  <c r="L54" i="33"/>
  <c r="N54" i="33" s="1"/>
  <c r="J54" i="33"/>
  <c r="B54" i="33"/>
  <c r="X53" i="33"/>
  <c r="Z53" i="33" s="1"/>
  <c r="N53" i="33"/>
  <c r="L53" i="33"/>
  <c r="B53" i="33"/>
  <c r="Z52" i="33"/>
  <c r="X52" i="33"/>
  <c r="T52" i="33"/>
  <c r="P52" i="33"/>
  <c r="N52" i="33"/>
  <c r="L52" i="33"/>
  <c r="H52" i="33"/>
  <c r="D52" i="33"/>
  <c r="B52" i="33"/>
  <c r="Z51" i="33"/>
  <c r="X51" i="33"/>
  <c r="L51" i="33"/>
  <c r="N51" i="33" s="1"/>
  <c r="J51" i="33"/>
  <c r="B51" i="33"/>
  <c r="X50" i="33"/>
  <c r="Z50" i="33" s="1"/>
  <c r="V50" i="33"/>
  <c r="L50" i="33"/>
  <c r="N50" i="33" s="1"/>
  <c r="J50" i="33"/>
  <c r="B50" i="33"/>
  <c r="Z49" i="33"/>
  <c r="X49" i="33"/>
  <c r="L49" i="33"/>
  <c r="N49" i="33" s="1"/>
  <c r="J49" i="33"/>
  <c r="B49" i="33"/>
  <c r="Z48" i="33"/>
  <c r="X48" i="33"/>
  <c r="N48" i="33"/>
  <c r="L48" i="33"/>
  <c r="B48" i="33"/>
  <c r="Z47" i="33"/>
  <c r="X47" i="33"/>
  <c r="L47" i="33"/>
  <c r="N47" i="33" s="1"/>
  <c r="J47" i="33"/>
  <c r="B47" i="33"/>
  <c r="X46" i="33"/>
  <c r="Z46" i="33" s="1"/>
  <c r="V46" i="33"/>
  <c r="L46" i="33"/>
  <c r="N46" i="33" s="1"/>
  <c r="J46" i="33"/>
  <c r="B46" i="33"/>
  <c r="Z45" i="33"/>
  <c r="X45" i="33"/>
  <c r="L45" i="33"/>
  <c r="N45" i="33" s="1"/>
  <c r="J45" i="33"/>
  <c r="B45" i="33"/>
  <c r="X44" i="33"/>
  <c r="Z44" i="33" s="1"/>
  <c r="N44" i="33"/>
  <c r="L44" i="33"/>
  <c r="B44" i="33"/>
  <c r="Z43" i="33"/>
  <c r="X43" i="33"/>
  <c r="L43" i="33"/>
  <c r="N43" i="33" s="1"/>
  <c r="J43" i="33"/>
  <c r="B43" i="33"/>
  <c r="V42" i="33"/>
  <c r="T42" i="33"/>
  <c r="P42" i="33"/>
  <c r="L42" i="33"/>
  <c r="J42" i="33"/>
  <c r="H42" i="33"/>
  <c r="N42" i="33" s="1"/>
  <c r="D42" i="33"/>
  <c r="B42" i="33"/>
  <c r="X41" i="33"/>
  <c r="Z41" i="33" s="1"/>
  <c r="V41" i="33"/>
  <c r="T41" i="33"/>
  <c r="P41" i="33"/>
  <c r="L41" i="33"/>
  <c r="N41" i="33" s="1"/>
  <c r="J41" i="33"/>
  <c r="H41" i="33"/>
  <c r="D41" i="33"/>
  <c r="Z37" i="33"/>
  <c r="X37" i="33"/>
  <c r="V37" i="33"/>
  <c r="N37" i="33"/>
  <c r="L37" i="33"/>
  <c r="J37" i="33"/>
  <c r="B37" i="33"/>
  <c r="Z36" i="33"/>
  <c r="X36" i="33"/>
  <c r="N36" i="33"/>
  <c r="L36" i="33"/>
  <c r="B36" i="33"/>
  <c r="Z35" i="33"/>
  <c r="X35" i="33"/>
  <c r="N35" i="33"/>
  <c r="L35" i="33"/>
  <c r="J35" i="33"/>
  <c r="B35" i="33"/>
  <c r="Z34" i="33"/>
  <c r="X34" i="33"/>
  <c r="N34" i="33"/>
  <c r="L34" i="33"/>
  <c r="B34" i="33"/>
  <c r="Z33" i="33"/>
  <c r="X33" i="33"/>
  <c r="V33" i="33"/>
  <c r="N33" i="33"/>
  <c r="L33" i="33"/>
  <c r="J33" i="33"/>
  <c r="B33" i="33"/>
  <c r="Z32" i="33"/>
  <c r="X32" i="33"/>
  <c r="N32" i="33"/>
  <c r="L32" i="33"/>
  <c r="B32" i="33"/>
  <c r="X31" i="33"/>
  <c r="Z31" i="33" s="1"/>
  <c r="T31" i="33"/>
  <c r="P31" i="33"/>
  <c r="N31" i="33"/>
  <c r="L31" i="33"/>
  <c r="J31" i="33"/>
  <c r="H31" i="33"/>
  <c r="D31" i="33"/>
  <c r="Z29" i="33"/>
  <c r="X29" i="33"/>
  <c r="P29" i="33"/>
  <c r="N29" i="33"/>
  <c r="D29" i="33"/>
  <c r="L29" i="33" s="1"/>
  <c r="B29" i="33"/>
  <c r="Z28" i="33"/>
  <c r="X28" i="33"/>
  <c r="P28" i="33"/>
  <c r="N28" i="33"/>
  <c r="D28" i="33"/>
  <c r="L28" i="33" s="1"/>
  <c r="B28" i="33"/>
  <c r="Z27" i="33"/>
  <c r="X27" i="33"/>
  <c r="P27" i="33"/>
  <c r="N27" i="33"/>
  <c r="D27" i="33"/>
  <c r="L27" i="33" s="1"/>
  <c r="B27" i="33"/>
  <c r="Z26" i="33"/>
  <c r="P26" i="33"/>
  <c r="X26" i="33" s="1"/>
  <c r="N26" i="33"/>
  <c r="L26" i="33"/>
  <c r="D26" i="33"/>
  <c r="B26" i="33"/>
  <c r="Z25" i="33"/>
  <c r="P25" i="33"/>
  <c r="X25" i="33" s="1"/>
  <c r="N25" i="33"/>
  <c r="L25" i="33"/>
  <c r="D25" i="33"/>
  <c r="B25" i="33"/>
  <c r="Z24" i="33"/>
  <c r="P24" i="33"/>
  <c r="X24" i="33" s="1"/>
  <c r="N24" i="33"/>
  <c r="L24" i="33"/>
  <c r="D24" i="33"/>
  <c r="B24" i="33"/>
  <c r="Z23" i="33"/>
  <c r="X23" i="33"/>
  <c r="P23" i="33"/>
  <c r="N23" i="33"/>
  <c r="D23" i="33"/>
  <c r="L23" i="33" s="1"/>
  <c r="B23" i="33"/>
  <c r="Z22" i="33"/>
  <c r="X22" i="33"/>
  <c r="P22" i="33"/>
  <c r="N22" i="33"/>
  <c r="D22" i="33"/>
  <c r="L22" i="33" s="1"/>
  <c r="B22" i="33"/>
  <c r="Z21" i="33"/>
  <c r="P21" i="33"/>
  <c r="X21" i="33" s="1"/>
  <c r="N21" i="33"/>
  <c r="D21" i="33"/>
  <c r="L21" i="33" s="1"/>
  <c r="B21" i="33"/>
  <c r="P20" i="33"/>
  <c r="X20" i="33" s="1"/>
  <c r="Z20" i="33" s="1"/>
  <c r="D20" i="33"/>
  <c r="L20" i="33" s="1"/>
  <c r="N20" i="33" s="1"/>
  <c r="B20" i="33"/>
  <c r="Z19" i="33"/>
  <c r="P19" i="33"/>
  <c r="X19" i="33" s="1"/>
  <c r="N19" i="33"/>
  <c r="L19" i="33"/>
  <c r="D19" i="33"/>
  <c r="B19" i="33"/>
  <c r="Z18" i="33"/>
  <c r="P18" i="33"/>
  <c r="N18" i="33"/>
  <c r="D18" i="33"/>
  <c r="L18" i="33" s="1"/>
  <c r="B18" i="33"/>
  <c r="Z17" i="33"/>
  <c r="X17" i="33"/>
  <c r="P17" i="33"/>
  <c r="N17" i="33"/>
  <c r="D17" i="33"/>
  <c r="L17" i="33" s="1"/>
  <c r="B17" i="33"/>
  <c r="Z16" i="33"/>
  <c r="X16" i="33"/>
  <c r="P16" i="33"/>
  <c r="N16" i="33"/>
  <c r="D16" i="33"/>
  <c r="L16" i="33" s="1"/>
  <c r="B16" i="33"/>
  <c r="Z15" i="33"/>
  <c r="X15" i="33"/>
  <c r="P15" i="33"/>
  <c r="N15" i="33"/>
  <c r="D15" i="33"/>
  <c r="L15" i="33" s="1"/>
  <c r="B15" i="33"/>
  <c r="Z14" i="33"/>
  <c r="P14" i="33"/>
  <c r="X14" i="33" s="1"/>
  <c r="N14" i="33"/>
  <c r="L14" i="33"/>
  <c r="D14" i="33"/>
  <c r="B14" i="33"/>
  <c r="P13" i="33"/>
  <c r="X13" i="33" s="1"/>
  <c r="Z13" i="33" s="1"/>
  <c r="L13" i="33"/>
  <c r="N13" i="33" s="1"/>
  <c r="D13" i="33"/>
  <c r="B13" i="33"/>
  <c r="T12" i="33"/>
  <c r="V103" i="33" s="1"/>
  <c r="H12" i="33"/>
  <c r="D4" i="33"/>
  <c r="X158" i="30"/>
  <c r="Z158" i="30" s="1"/>
  <c r="N158" i="30"/>
  <c r="L158" i="30"/>
  <c r="X154" i="30"/>
  <c r="Z154" i="30" s="1"/>
  <c r="V154" i="30"/>
  <c r="P154" i="30"/>
  <c r="L154" i="30"/>
  <c r="N154" i="30" s="1"/>
  <c r="J154" i="30"/>
  <c r="D154" i="30"/>
  <c r="B154" i="30"/>
  <c r="X153" i="30"/>
  <c r="Z153" i="30" s="1"/>
  <c r="V153" i="30"/>
  <c r="P153" i="30"/>
  <c r="D153" i="30"/>
  <c r="L153" i="30" s="1"/>
  <c r="N153" i="30" s="1"/>
  <c r="B153" i="30"/>
  <c r="P152" i="30"/>
  <c r="X152" i="30" s="1"/>
  <c r="Z152" i="30" s="1"/>
  <c r="D152" i="30"/>
  <c r="B152" i="30"/>
  <c r="T151" i="30"/>
  <c r="P151" i="30"/>
  <c r="X151" i="30" s="1"/>
  <c r="H151" i="30"/>
  <c r="Z149" i="30"/>
  <c r="X149" i="30"/>
  <c r="L149" i="30"/>
  <c r="N149" i="30" s="1"/>
  <c r="B149" i="30"/>
  <c r="X148" i="30"/>
  <c r="Z148" i="30" s="1"/>
  <c r="T148" i="30"/>
  <c r="P148" i="30"/>
  <c r="L148" i="30"/>
  <c r="N148" i="30" s="1"/>
  <c r="J148" i="30"/>
  <c r="H148" i="30"/>
  <c r="D148" i="30"/>
  <c r="B148" i="30"/>
  <c r="Z147" i="30"/>
  <c r="X147" i="30"/>
  <c r="L147" i="30"/>
  <c r="N147" i="30" s="1"/>
  <c r="J147" i="30"/>
  <c r="B147" i="30"/>
  <c r="Z146" i="30"/>
  <c r="X146" i="30"/>
  <c r="N146" i="30"/>
  <c r="L146" i="30"/>
  <c r="B146" i="30"/>
  <c r="Z145" i="30"/>
  <c r="X145" i="30"/>
  <c r="T145" i="30"/>
  <c r="P145" i="30"/>
  <c r="N145" i="30"/>
  <c r="L145" i="30"/>
  <c r="H145" i="30"/>
  <c r="D145" i="30"/>
  <c r="B145" i="30"/>
  <c r="Z144" i="30"/>
  <c r="X144" i="30"/>
  <c r="L144" i="30"/>
  <c r="N144" i="30" s="1"/>
  <c r="B144" i="30"/>
  <c r="T143" i="30"/>
  <c r="P143" i="30"/>
  <c r="L143" i="30"/>
  <c r="J143" i="30"/>
  <c r="H143" i="30"/>
  <c r="N143" i="30" s="1"/>
  <c r="D143" i="30"/>
  <c r="B143" i="30"/>
  <c r="X142" i="30"/>
  <c r="Z142" i="30" s="1"/>
  <c r="V142" i="30"/>
  <c r="L142" i="30"/>
  <c r="N142" i="30" s="1"/>
  <c r="B142" i="30"/>
  <c r="Z141" i="30"/>
  <c r="X141" i="30"/>
  <c r="L141" i="30"/>
  <c r="N141" i="30" s="1"/>
  <c r="B141" i="30"/>
  <c r="X140" i="30"/>
  <c r="Z140" i="30" s="1"/>
  <c r="T140" i="30"/>
  <c r="P140" i="30"/>
  <c r="L140" i="30"/>
  <c r="N140" i="30" s="1"/>
  <c r="J140" i="30"/>
  <c r="H140" i="30"/>
  <c r="D140" i="30"/>
  <c r="B140" i="30"/>
  <c r="Z139" i="30"/>
  <c r="X139" i="30"/>
  <c r="N139" i="30"/>
  <c r="L139" i="30"/>
  <c r="J139" i="30"/>
  <c r="B139" i="30"/>
  <c r="X138" i="30"/>
  <c r="Z138" i="30" s="1"/>
  <c r="N138" i="30"/>
  <c r="L138" i="30"/>
  <c r="B138" i="30"/>
  <c r="Z137" i="30"/>
  <c r="X137" i="30"/>
  <c r="N137" i="30"/>
  <c r="L137" i="30"/>
  <c r="J137" i="30"/>
  <c r="B137" i="30"/>
  <c r="X136" i="30"/>
  <c r="Z136" i="30" s="1"/>
  <c r="N136" i="30"/>
  <c r="L136" i="30"/>
  <c r="B136" i="30"/>
  <c r="Z135" i="30"/>
  <c r="X135" i="30"/>
  <c r="L135" i="30"/>
  <c r="N135" i="30" s="1"/>
  <c r="J135" i="30"/>
  <c r="B135" i="30"/>
  <c r="X134" i="30"/>
  <c r="Z134" i="30" s="1"/>
  <c r="N134" i="30"/>
  <c r="L134" i="30"/>
  <c r="B134" i="30"/>
  <c r="X133" i="30"/>
  <c r="Z133" i="30" s="1"/>
  <c r="T133" i="30"/>
  <c r="P133" i="30"/>
  <c r="N133" i="30"/>
  <c r="L133" i="30"/>
  <c r="H133" i="30"/>
  <c r="D133" i="30"/>
  <c r="B133" i="30"/>
  <c r="Z132" i="30"/>
  <c r="X132" i="30"/>
  <c r="L132" i="30"/>
  <c r="N132" i="30" s="1"/>
  <c r="J132" i="30"/>
  <c r="B132" i="30"/>
  <c r="X131" i="30"/>
  <c r="Z131" i="30" s="1"/>
  <c r="L131" i="30"/>
  <c r="N131" i="30" s="1"/>
  <c r="B131" i="30"/>
  <c r="T130" i="30"/>
  <c r="P130" i="30"/>
  <c r="X130" i="30" s="1"/>
  <c r="Z130" i="30" s="1"/>
  <c r="N130" i="30"/>
  <c r="H130" i="30"/>
  <c r="D130" i="30"/>
  <c r="L130" i="30" s="1"/>
  <c r="B130" i="30"/>
  <c r="Z129" i="30"/>
  <c r="X129" i="30"/>
  <c r="L129" i="30"/>
  <c r="N129" i="30" s="1"/>
  <c r="B129" i="30"/>
  <c r="X128" i="30"/>
  <c r="Z128" i="30" s="1"/>
  <c r="L128" i="30"/>
  <c r="N128" i="30" s="1"/>
  <c r="B128" i="30"/>
  <c r="X127" i="30"/>
  <c r="Z127" i="30" s="1"/>
  <c r="N127" i="30"/>
  <c r="L127" i="30"/>
  <c r="B127" i="30"/>
  <c r="X126" i="30"/>
  <c r="Z126" i="30" s="1"/>
  <c r="T126" i="30"/>
  <c r="P126" i="30"/>
  <c r="L126" i="30"/>
  <c r="N126" i="30" s="1"/>
  <c r="J126" i="30"/>
  <c r="H126" i="30"/>
  <c r="D126" i="30"/>
  <c r="B126" i="30"/>
  <c r="Z125" i="30"/>
  <c r="X125" i="30"/>
  <c r="L125" i="30"/>
  <c r="N125" i="30" s="1"/>
  <c r="J125" i="30"/>
  <c r="B125" i="30"/>
  <c r="X124" i="30"/>
  <c r="Z124" i="30" s="1"/>
  <c r="N124" i="30"/>
  <c r="L124" i="30"/>
  <c r="B124" i="30"/>
  <c r="Z123" i="30"/>
  <c r="X123" i="30"/>
  <c r="L123" i="30"/>
  <c r="N123" i="30" s="1"/>
  <c r="J123" i="30"/>
  <c r="B123" i="30"/>
  <c r="T122" i="30"/>
  <c r="P122" i="30"/>
  <c r="H122" i="30"/>
  <c r="D122" i="30"/>
  <c r="B122" i="30"/>
  <c r="X121" i="30"/>
  <c r="Z121" i="30" s="1"/>
  <c r="V121" i="30"/>
  <c r="N121" i="30"/>
  <c r="L121" i="30"/>
  <c r="B121" i="30"/>
  <c r="Z120" i="30"/>
  <c r="X120" i="30"/>
  <c r="N120" i="30"/>
  <c r="L120" i="30"/>
  <c r="J120" i="30"/>
  <c r="B120" i="30"/>
  <c r="T119" i="30"/>
  <c r="P119" i="30"/>
  <c r="L119" i="30"/>
  <c r="J119" i="30"/>
  <c r="H119" i="30"/>
  <c r="N119" i="30" s="1"/>
  <c r="D119" i="30"/>
  <c r="B119" i="30"/>
  <c r="X118" i="30"/>
  <c r="Z118" i="30" s="1"/>
  <c r="L118" i="30"/>
  <c r="N118" i="30" s="1"/>
  <c r="J118" i="30"/>
  <c r="B118" i="30"/>
  <c r="T117" i="30"/>
  <c r="Z117" i="30" s="1"/>
  <c r="P117" i="30"/>
  <c r="X117" i="30" s="1"/>
  <c r="H117" i="30"/>
  <c r="J117" i="30" s="1"/>
  <c r="D117" i="30"/>
  <c r="L117" i="30" s="1"/>
  <c r="B117" i="30"/>
  <c r="X116" i="30"/>
  <c r="Z116" i="30" s="1"/>
  <c r="N116" i="30"/>
  <c r="L116" i="30"/>
  <c r="B116" i="30"/>
  <c r="Z115" i="30"/>
  <c r="X115" i="30"/>
  <c r="T115" i="30"/>
  <c r="P115" i="30"/>
  <c r="N115" i="30"/>
  <c r="L115" i="30"/>
  <c r="H115" i="30"/>
  <c r="D115" i="30"/>
  <c r="B115" i="30"/>
  <c r="Z114" i="30"/>
  <c r="X114" i="30"/>
  <c r="L114" i="30"/>
  <c r="N114" i="30" s="1"/>
  <c r="J114" i="30"/>
  <c r="B114" i="30"/>
  <c r="X113" i="30"/>
  <c r="V113" i="30"/>
  <c r="T113" i="30"/>
  <c r="Z113" i="30" s="1"/>
  <c r="P113" i="30"/>
  <c r="J113" i="30"/>
  <c r="H113" i="30"/>
  <c r="D113" i="30"/>
  <c r="B113" i="30"/>
  <c r="X112" i="30"/>
  <c r="Z112" i="30" s="1"/>
  <c r="L112" i="30"/>
  <c r="N112" i="30" s="1"/>
  <c r="J112" i="30"/>
  <c r="B112" i="30"/>
  <c r="T111" i="30"/>
  <c r="Z111" i="30" s="1"/>
  <c r="P111" i="30"/>
  <c r="X111" i="30" s="1"/>
  <c r="H111" i="30"/>
  <c r="N111" i="30" s="1"/>
  <c r="D111" i="30"/>
  <c r="L111" i="30" s="1"/>
  <c r="B111" i="30"/>
  <c r="X110" i="30"/>
  <c r="Z110" i="30" s="1"/>
  <c r="N110" i="30"/>
  <c r="L110" i="30"/>
  <c r="B110" i="30"/>
  <c r="X109" i="30"/>
  <c r="Z109" i="30" s="1"/>
  <c r="T109" i="30"/>
  <c r="P109" i="30"/>
  <c r="N109" i="30"/>
  <c r="L109" i="30"/>
  <c r="H109" i="30"/>
  <c r="D109" i="30"/>
  <c r="B109" i="30"/>
  <c r="Z108" i="30"/>
  <c r="X108" i="30"/>
  <c r="N108" i="30"/>
  <c r="L108" i="30"/>
  <c r="J108" i="30"/>
  <c r="B108" i="30"/>
  <c r="X107" i="30"/>
  <c r="Z107" i="30" s="1"/>
  <c r="L107" i="30"/>
  <c r="N107" i="30" s="1"/>
  <c r="J107" i="30"/>
  <c r="B107" i="30"/>
  <c r="T106" i="30"/>
  <c r="P106" i="30"/>
  <c r="X106" i="30" s="1"/>
  <c r="Z106" i="30" s="1"/>
  <c r="H106" i="30"/>
  <c r="D106" i="30"/>
  <c r="L106" i="30" s="1"/>
  <c r="N106" i="30" s="1"/>
  <c r="B106" i="30"/>
  <c r="Z105" i="30"/>
  <c r="X105" i="30"/>
  <c r="L105" i="30"/>
  <c r="N105" i="30" s="1"/>
  <c r="B105" i="30"/>
  <c r="X104" i="30"/>
  <c r="Z104" i="30" s="1"/>
  <c r="T104" i="30"/>
  <c r="P104" i="30"/>
  <c r="L104" i="30"/>
  <c r="N104" i="30" s="1"/>
  <c r="J104" i="30"/>
  <c r="H104" i="30"/>
  <c r="D104" i="30"/>
  <c r="B104" i="30"/>
  <c r="Z103" i="30"/>
  <c r="X103" i="30"/>
  <c r="L103" i="30"/>
  <c r="N103" i="30" s="1"/>
  <c r="J103" i="30"/>
  <c r="B103" i="30"/>
  <c r="T102" i="30"/>
  <c r="P102" i="30"/>
  <c r="H102" i="30"/>
  <c r="D102" i="30"/>
  <c r="B102" i="30"/>
  <c r="Z101" i="30"/>
  <c r="X101" i="30"/>
  <c r="V101" i="30"/>
  <c r="N101" i="30"/>
  <c r="L101" i="30"/>
  <c r="B101" i="30"/>
  <c r="Z100" i="30"/>
  <c r="X100" i="30"/>
  <c r="L100" i="30"/>
  <c r="N100" i="30" s="1"/>
  <c r="J100" i="30"/>
  <c r="B100" i="30"/>
  <c r="V99" i="30"/>
  <c r="T99" i="30"/>
  <c r="P99" i="30"/>
  <c r="L99" i="30"/>
  <c r="J99" i="30"/>
  <c r="H99" i="30"/>
  <c r="N99" i="30" s="1"/>
  <c r="D99" i="30"/>
  <c r="B99" i="30"/>
  <c r="X98" i="30"/>
  <c r="Z98" i="30" s="1"/>
  <c r="V98" i="30"/>
  <c r="L98" i="30"/>
  <c r="N98" i="30" s="1"/>
  <c r="J98" i="30"/>
  <c r="B98" i="30"/>
  <c r="T97" i="30"/>
  <c r="P97" i="30"/>
  <c r="X97" i="30" s="1"/>
  <c r="H97" i="30"/>
  <c r="J97" i="30" s="1"/>
  <c r="D97" i="30"/>
  <c r="L97" i="30" s="1"/>
  <c r="B97" i="30"/>
  <c r="X96" i="30"/>
  <c r="Z96" i="30" s="1"/>
  <c r="N96" i="30"/>
  <c r="L96" i="30"/>
  <c r="B96" i="30"/>
  <c r="Z95" i="30"/>
  <c r="X95" i="30"/>
  <c r="N95" i="30"/>
  <c r="L95" i="30"/>
  <c r="J95" i="30"/>
  <c r="B95" i="30"/>
  <c r="T94" i="30"/>
  <c r="P94" i="30"/>
  <c r="H94" i="30"/>
  <c r="D94" i="30"/>
  <c r="B94" i="30"/>
  <c r="X93" i="30"/>
  <c r="Z93" i="30" s="1"/>
  <c r="V93" i="30"/>
  <c r="N93" i="30"/>
  <c r="L93" i="30"/>
  <c r="B93" i="30"/>
  <c r="T92" i="30"/>
  <c r="P92" i="30"/>
  <c r="X92" i="30" s="1"/>
  <c r="Z92" i="30" s="1"/>
  <c r="H92" i="30"/>
  <c r="D92" i="30"/>
  <c r="L92" i="30" s="1"/>
  <c r="N92" i="30" s="1"/>
  <c r="B92" i="30"/>
  <c r="Z91" i="30"/>
  <c r="X91" i="30"/>
  <c r="N91" i="30"/>
  <c r="L91" i="30"/>
  <c r="B91" i="30"/>
  <c r="Z90" i="30"/>
  <c r="X90" i="30"/>
  <c r="V90" i="30"/>
  <c r="N90" i="30"/>
  <c r="L90" i="30"/>
  <c r="J90" i="30"/>
  <c r="B90" i="30"/>
  <c r="Z89" i="30"/>
  <c r="X89" i="30"/>
  <c r="N89" i="30"/>
  <c r="L89" i="30"/>
  <c r="B89" i="30"/>
  <c r="X88" i="30"/>
  <c r="Z88" i="30" s="1"/>
  <c r="N88" i="30"/>
  <c r="L88" i="30"/>
  <c r="J88" i="30"/>
  <c r="B88" i="30"/>
  <c r="Z87" i="30"/>
  <c r="X87" i="30"/>
  <c r="N87" i="30"/>
  <c r="L87" i="30"/>
  <c r="B87" i="30"/>
  <c r="Z86" i="30"/>
  <c r="X86" i="30"/>
  <c r="V86" i="30"/>
  <c r="N86" i="30"/>
  <c r="L86" i="30"/>
  <c r="J86" i="30"/>
  <c r="B86" i="30"/>
  <c r="Z85" i="30"/>
  <c r="X85" i="30"/>
  <c r="N85" i="30"/>
  <c r="L85" i="30"/>
  <c r="B85" i="30"/>
  <c r="Z84" i="30"/>
  <c r="X84" i="30"/>
  <c r="N84" i="30"/>
  <c r="L84" i="30"/>
  <c r="J84" i="30"/>
  <c r="B84" i="30"/>
  <c r="X83" i="30"/>
  <c r="Z83" i="30" s="1"/>
  <c r="N83" i="30"/>
  <c r="L83" i="30"/>
  <c r="B83" i="30"/>
  <c r="Z82" i="30"/>
  <c r="X82" i="30"/>
  <c r="V82" i="30"/>
  <c r="N82" i="30"/>
  <c r="L82" i="30"/>
  <c r="J82" i="30"/>
  <c r="B82" i="30"/>
  <c r="T81" i="30"/>
  <c r="P81" i="30"/>
  <c r="X81" i="30" s="1"/>
  <c r="H81" i="30"/>
  <c r="J81" i="30" s="1"/>
  <c r="D81" i="30"/>
  <c r="L81" i="30" s="1"/>
  <c r="B81" i="30"/>
  <c r="Z80" i="30"/>
  <c r="X80" i="30"/>
  <c r="N80" i="30"/>
  <c r="L80" i="30"/>
  <c r="B80" i="30"/>
  <c r="Z79" i="30"/>
  <c r="X79" i="30"/>
  <c r="L79" i="30"/>
  <c r="N79" i="30" s="1"/>
  <c r="J79" i="30"/>
  <c r="B79" i="30"/>
  <c r="X78" i="30"/>
  <c r="Z78" i="30" s="1"/>
  <c r="N78" i="30"/>
  <c r="L78" i="30"/>
  <c r="B78" i="30"/>
  <c r="Z77" i="30"/>
  <c r="X77" i="30"/>
  <c r="N77" i="30"/>
  <c r="L77" i="30"/>
  <c r="J77" i="30"/>
  <c r="B77" i="30"/>
  <c r="X76" i="30"/>
  <c r="Z76" i="30" s="1"/>
  <c r="N76" i="30"/>
  <c r="L76" i="30"/>
  <c r="B76" i="30"/>
  <c r="Z75" i="30"/>
  <c r="X75" i="30"/>
  <c r="L75" i="30"/>
  <c r="N75" i="30" s="1"/>
  <c r="J75" i="30"/>
  <c r="B75" i="30"/>
  <c r="X74" i="30"/>
  <c r="Z74" i="30" s="1"/>
  <c r="N74" i="30"/>
  <c r="L74" i="30"/>
  <c r="B74" i="30"/>
  <c r="X73" i="30"/>
  <c r="Z73" i="30" s="1"/>
  <c r="L73" i="30"/>
  <c r="N73" i="30" s="1"/>
  <c r="J73" i="30"/>
  <c r="B73" i="30"/>
  <c r="X72" i="30"/>
  <c r="Z72" i="30" s="1"/>
  <c r="N72" i="30"/>
  <c r="L72" i="30"/>
  <c r="B72" i="30"/>
  <c r="Z71" i="30"/>
  <c r="X71" i="30"/>
  <c r="T71" i="30"/>
  <c r="P71" i="30"/>
  <c r="L71" i="30"/>
  <c r="N71" i="30" s="1"/>
  <c r="H71" i="30"/>
  <c r="D71" i="30"/>
  <c r="B71" i="30"/>
  <c r="T70" i="30"/>
  <c r="P70" i="30"/>
  <c r="X70" i="30" s="1"/>
  <c r="Z70" i="30" s="1"/>
  <c r="N70" i="30"/>
  <c r="H70" i="30"/>
  <c r="D70" i="30"/>
  <c r="L70" i="30" s="1"/>
  <c r="Z66" i="30"/>
  <c r="X66" i="30"/>
  <c r="N66" i="30"/>
  <c r="L66" i="30"/>
  <c r="J66" i="30"/>
  <c r="B66" i="30"/>
  <c r="Z65" i="30"/>
  <c r="X65" i="30"/>
  <c r="N65" i="30"/>
  <c r="L65" i="30"/>
  <c r="J65" i="30"/>
  <c r="B65" i="30"/>
  <c r="Z64" i="30"/>
  <c r="X64" i="30"/>
  <c r="N64" i="30"/>
  <c r="L64" i="30"/>
  <c r="J64" i="30"/>
  <c r="B64" i="30"/>
  <c r="Z63" i="30"/>
  <c r="X63" i="30"/>
  <c r="V63" i="30"/>
  <c r="N63" i="30"/>
  <c r="L63" i="30"/>
  <c r="J63" i="30"/>
  <c r="B63" i="30"/>
  <c r="Z62" i="30"/>
  <c r="X62" i="30"/>
  <c r="N62" i="30"/>
  <c r="L62" i="30"/>
  <c r="J62" i="30"/>
  <c r="B62" i="30"/>
  <c r="Z61" i="30"/>
  <c r="X61" i="30"/>
  <c r="V61" i="30"/>
  <c r="N61" i="30"/>
  <c r="L61" i="30"/>
  <c r="J61" i="30"/>
  <c r="B61" i="30"/>
  <c r="Z60" i="30"/>
  <c r="X60" i="30"/>
  <c r="N60" i="30"/>
  <c r="L60" i="30"/>
  <c r="J60" i="30"/>
  <c r="B60" i="30"/>
  <c r="Z59" i="30"/>
  <c r="X59" i="30"/>
  <c r="V59" i="30"/>
  <c r="N59" i="30"/>
  <c r="L59" i="30"/>
  <c r="J59" i="30"/>
  <c r="B59" i="30"/>
  <c r="Z58" i="30"/>
  <c r="X58" i="30"/>
  <c r="N58" i="30"/>
  <c r="L58" i="30"/>
  <c r="J58" i="30"/>
  <c r="B58" i="30"/>
  <c r="Z57" i="30"/>
  <c r="X57" i="30"/>
  <c r="V57" i="30"/>
  <c r="N57" i="30"/>
  <c r="L57" i="30"/>
  <c r="J57" i="30"/>
  <c r="B57" i="30"/>
  <c r="Z56" i="30"/>
  <c r="X56" i="30"/>
  <c r="N56" i="30"/>
  <c r="L56" i="30"/>
  <c r="J56" i="30"/>
  <c r="B56" i="30"/>
  <c r="Z55" i="30"/>
  <c r="X55" i="30"/>
  <c r="V55" i="30"/>
  <c r="N55" i="30"/>
  <c r="L55" i="30"/>
  <c r="J55" i="30"/>
  <c r="B55" i="30"/>
  <c r="Z54" i="30"/>
  <c r="X54" i="30"/>
  <c r="N54" i="30"/>
  <c r="L54" i="30"/>
  <c r="J54" i="30"/>
  <c r="B54" i="30"/>
  <c r="Z53" i="30"/>
  <c r="X53" i="30"/>
  <c r="V53" i="30"/>
  <c r="N53" i="30"/>
  <c r="L53" i="30"/>
  <c r="J53" i="30"/>
  <c r="B53" i="30"/>
  <c r="Z52" i="30"/>
  <c r="X52" i="30"/>
  <c r="N52" i="30"/>
  <c r="L52" i="30"/>
  <c r="J52" i="30"/>
  <c r="B52" i="30"/>
  <c r="Z51" i="30"/>
  <c r="X51" i="30"/>
  <c r="V51" i="30"/>
  <c r="N51" i="30"/>
  <c r="L51" i="30"/>
  <c r="J51" i="30"/>
  <c r="B51" i="30"/>
  <c r="Z50" i="30"/>
  <c r="X50" i="30"/>
  <c r="N50" i="30"/>
  <c r="L50" i="30"/>
  <c r="J50" i="30"/>
  <c r="B50" i="30"/>
  <c r="Z49" i="30"/>
  <c r="X49" i="30"/>
  <c r="V49" i="30"/>
  <c r="N49" i="30"/>
  <c r="L49" i="30"/>
  <c r="J49" i="30"/>
  <c r="B49" i="30"/>
  <c r="Z48" i="30"/>
  <c r="X48" i="30"/>
  <c r="N48" i="30"/>
  <c r="L48" i="30"/>
  <c r="J48" i="30"/>
  <c r="B48" i="30"/>
  <c r="Z47" i="30"/>
  <c r="X47" i="30"/>
  <c r="V47" i="30"/>
  <c r="N47" i="30"/>
  <c r="L47" i="30"/>
  <c r="J47" i="30"/>
  <c r="B47" i="30"/>
  <c r="Z46" i="30"/>
  <c r="X46" i="30"/>
  <c r="N46" i="30"/>
  <c r="L46" i="30"/>
  <c r="J46" i="30"/>
  <c r="B46" i="30"/>
  <c r="Z45" i="30"/>
  <c r="X45" i="30"/>
  <c r="V45" i="30"/>
  <c r="N45" i="30"/>
  <c r="L45" i="30"/>
  <c r="J45" i="30"/>
  <c r="B45" i="30"/>
  <c r="Z44" i="30"/>
  <c r="X44" i="30"/>
  <c r="L44" i="30"/>
  <c r="N44" i="30" s="1"/>
  <c r="J44" i="30"/>
  <c r="B44" i="30"/>
  <c r="V43" i="30"/>
  <c r="T43" i="30"/>
  <c r="P43" i="30"/>
  <c r="J43" i="30"/>
  <c r="H43" i="30"/>
  <c r="H68" i="30" s="1"/>
  <c r="H156" i="30" s="1"/>
  <c r="D43" i="30"/>
  <c r="Z41" i="30"/>
  <c r="P41" i="30"/>
  <c r="X41" i="30" s="1"/>
  <c r="N41" i="30"/>
  <c r="D41" i="30"/>
  <c r="L41" i="30" s="1"/>
  <c r="B41" i="30"/>
  <c r="Z40" i="30"/>
  <c r="X40" i="30"/>
  <c r="P40" i="30"/>
  <c r="N40" i="30"/>
  <c r="D40" i="30"/>
  <c r="L40" i="30" s="1"/>
  <c r="B40" i="30"/>
  <c r="Z39" i="30"/>
  <c r="X39" i="30"/>
  <c r="P39" i="30"/>
  <c r="N39" i="30"/>
  <c r="D39" i="30"/>
  <c r="L39" i="30" s="1"/>
  <c r="B39" i="30"/>
  <c r="Z38" i="30"/>
  <c r="X38" i="30"/>
  <c r="P38" i="30"/>
  <c r="N38" i="30"/>
  <c r="D38" i="30"/>
  <c r="L38" i="30" s="1"/>
  <c r="B38" i="30"/>
  <c r="Z37" i="30"/>
  <c r="P37" i="30"/>
  <c r="X37" i="30" s="1"/>
  <c r="N37" i="30"/>
  <c r="D37" i="30"/>
  <c r="L37" i="30" s="1"/>
  <c r="B37" i="30"/>
  <c r="Z36" i="30"/>
  <c r="P36" i="30"/>
  <c r="X36" i="30" s="1"/>
  <c r="N36" i="30"/>
  <c r="L36" i="30"/>
  <c r="D36" i="30"/>
  <c r="B36" i="30"/>
  <c r="Z35" i="30"/>
  <c r="P35" i="30"/>
  <c r="X35" i="30" s="1"/>
  <c r="N35" i="30"/>
  <c r="L35" i="30"/>
  <c r="D35" i="30"/>
  <c r="B35" i="30"/>
  <c r="Z34" i="30"/>
  <c r="P34" i="30"/>
  <c r="X34" i="30" s="1"/>
  <c r="N34" i="30"/>
  <c r="D34" i="30"/>
  <c r="L34" i="30" s="1"/>
  <c r="B34" i="30"/>
  <c r="Z33" i="30"/>
  <c r="X33" i="30"/>
  <c r="P33" i="30"/>
  <c r="N33" i="30"/>
  <c r="D33" i="30"/>
  <c r="L33" i="30" s="1"/>
  <c r="B33" i="30"/>
  <c r="Z32" i="30"/>
  <c r="P32" i="30"/>
  <c r="X32" i="30" s="1"/>
  <c r="N32" i="30"/>
  <c r="D32" i="30"/>
  <c r="L32" i="30" s="1"/>
  <c r="B32" i="30"/>
  <c r="Z31" i="30"/>
  <c r="P31" i="30"/>
  <c r="X31" i="30" s="1"/>
  <c r="N31" i="30"/>
  <c r="L31" i="30"/>
  <c r="D31" i="30"/>
  <c r="B31" i="30"/>
  <c r="Z30" i="30"/>
  <c r="P30" i="30"/>
  <c r="X30" i="30" s="1"/>
  <c r="N30" i="30"/>
  <c r="L30" i="30"/>
  <c r="D30" i="30"/>
  <c r="B30" i="30"/>
  <c r="Z29" i="30"/>
  <c r="P29" i="30"/>
  <c r="X29" i="30" s="1"/>
  <c r="N29" i="30"/>
  <c r="D29" i="30"/>
  <c r="L29" i="30" s="1"/>
  <c r="B29" i="30"/>
  <c r="Z28" i="30"/>
  <c r="P28" i="30"/>
  <c r="X28" i="30" s="1"/>
  <c r="N28" i="30"/>
  <c r="D28" i="30"/>
  <c r="L28" i="30" s="1"/>
  <c r="B28" i="30"/>
  <c r="Z27" i="30"/>
  <c r="X27" i="30"/>
  <c r="P27" i="30"/>
  <c r="N27" i="30"/>
  <c r="D27" i="30"/>
  <c r="L27" i="30" s="1"/>
  <c r="B27" i="30"/>
  <c r="Z26" i="30"/>
  <c r="X26" i="30"/>
  <c r="P26" i="30"/>
  <c r="N26" i="30"/>
  <c r="D26" i="30"/>
  <c r="L26" i="30" s="1"/>
  <c r="B26" i="30"/>
  <c r="Z25" i="30"/>
  <c r="P25" i="30"/>
  <c r="X25" i="30" s="1"/>
  <c r="N25" i="30"/>
  <c r="D25" i="30"/>
  <c r="L25" i="30" s="1"/>
  <c r="B25" i="30"/>
  <c r="Z24" i="30"/>
  <c r="P24" i="30"/>
  <c r="X24" i="30" s="1"/>
  <c r="N24" i="30"/>
  <c r="L24" i="30"/>
  <c r="D24" i="30"/>
  <c r="B24" i="30"/>
  <c r="Z23" i="30"/>
  <c r="P23" i="30"/>
  <c r="X23" i="30" s="1"/>
  <c r="N23" i="30"/>
  <c r="L23" i="30"/>
  <c r="D23" i="30"/>
  <c r="B23" i="30"/>
  <c r="Z22" i="30"/>
  <c r="P22" i="30"/>
  <c r="X22" i="30" s="1"/>
  <c r="N22" i="30"/>
  <c r="D22" i="30"/>
  <c r="L22" i="30" s="1"/>
  <c r="B22" i="30"/>
  <c r="Z21" i="30"/>
  <c r="X21" i="30"/>
  <c r="P21" i="30"/>
  <c r="N21" i="30"/>
  <c r="D21" i="30"/>
  <c r="L21" i="30" s="1"/>
  <c r="B21" i="30"/>
  <c r="Z20" i="30"/>
  <c r="P20" i="30"/>
  <c r="X20" i="30" s="1"/>
  <c r="N20" i="30"/>
  <c r="D20" i="30"/>
  <c r="L20" i="30" s="1"/>
  <c r="B20" i="30"/>
  <c r="Z19" i="30"/>
  <c r="P19" i="30"/>
  <c r="X19" i="30" s="1"/>
  <c r="N19" i="30"/>
  <c r="L19" i="30"/>
  <c r="D19" i="30"/>
  <c r="B19" i="30"/>
  <c r="Z18" i="30"/>
  <c r="P18" i="30"/>
  <c r="X18" i="30" s="1"/>
  <c r="N18" i="30"/>
  <c r="L18" i="30"/>
  <c r="D18" i="30"/>
  <c r="B18" i="30"/>
  <c r="Z17" i="30"/>
  <c r="P17" i="30"/>
  <c r="X17" i="30" s="1"/>
  <c r="N17" i="30"/>
  <c r="D17" i="30"/>
  <c r="L17" i="30" s="1"/>
  <c r="B17" i="30"/>
  <c r="Z16" i="30"/>
  <c r="P16" i="30"/>
  <c r="X16" i="30" s="1"/>
  <c r="N16" i="30"/>
  <c r="D16" i="30"/>
  <c r="L16" i="30" s="1"/>
  <c r="B16" i="30"/>
  <c r="Z15" i="30"/>
  <c r="X15" i="30"/>
  <c r="P15" i="30"/>
  <c r="N15" i="30"/>
  <c r="D15" i="30"/>
  <c r="L15" i="30" s="1"/>
  <c r="B15" i="30"/>
  <c r="Z14" i="30"/>
  <c r="X14" i="30"/>
  <c r="P14" i="30"/>
  <c r="N14" i="30"/>
  <c r="D14" i="30"/>
  <c r="L14" i="30" s="1"/>
  <c r="B14" i="30"/>
  <c r="P13" i="30"/>
  <c r="X13" i="30" s="1"/>
  <c r="Z13" i="30" s="1"/>
  <c r="D13" i="30"/>
  <c r="B13" i="30"/>
  <c r="T12" i="30"/>
  <c r="V143" i="30" s="1"/>
  <c r="H12" i="30"/>
  <c r="J136" i="30" s="1"/>
  <c r="D4" i="30"/>
  <c r="Z129" i="27"/>
  <c r="X129" i="27"/>
  <c r="L129" i="27"/>
  <c r="N129" i="27" s="1"/>
  <c r="P125" i="27"/>
  <c r="X125" i="27" s="1"/>
  <c r="Z125" i="27" s="1"/>
  <c r="D125" i="27"/>
  <c r="L125" i="27" s="1"/>
  <c r="N125" i="27" s="1"/>
  <c r="B125" i="27"/>
  <c r="Z124" i="27"/>
  <c r="X124" i="27"/>
  <c r="P124" i="27"/>
  <c r="N124" i="27"/>
  <c r="D124" i="27"/>
  <c r="L124" i="27" s="1"/>
  <c r="B124" i="27"/>
  <c r="Z123" i="27"/>
  <c r="P123" i="27"/>
  <c r="X123" i="27" s="1"/>
  <c r="N123" i="27"/>
  <c r="D123" i="27"/>
  <c r="B123" i="27"/>
  <c r="Z122" i="27"/>
  <c r="P122" i="27"/>
  <c r="X122" i="27" s="1"/>
  <c r="N122" i="27"/>
  <c r="L122" i="27"/>
  <c r="D122" i="27"/>
  <c r="B122" i="27"/>
  <c r="T121" i="27"/>
  <c r="H121" i="27"/>
  <c r="X119" i="27"/>
  <c r="Z119" i="27" s="1"/>
  <c r="N119" i="27"/>
  <c r="L119" i="27"/>
  <c r="J119" i="27"/>
  <c r="B119" i="27"/>
  <c r="Z118" i="27"/>
  <c r="X118" i="27"/>
  <c r="V118" i="27"/>
  <c r="N118" i="27"/>
  <c r="L118" i="27"/>
  <c r="B118" i="27"/>
  <c r="X117" i="27"/>
  <c r="Z117" i="27" s="1"/>
  <c r="T117" i="27"/>
  <c r="P117" i="27"/>
  <c r="N117" i="27"/>
  <c r="L117" i="27"/>
  <c r="H117" i="27"/>
  <c r="D117" i="27"/>
  <c r="B117" i="27"/>
  <c r="Z116" i="27"/>
  <c r="X116" i="27"/>
  <c r="N116" i="27"/>
  <c r="L116" i="27"/>
  <c r="B116" i="27"/>
  <c r="X115" i="27"/>
  <c r="Z115" i="27" s="1"/>
  <c r="T115" i="27"/>
  <c r="P115" i="27"/>
  <c r="H115" i="27"/>
  <c r="D115" i="27"/>
  <c r="B115" i="27"/>
  <c r="X114" i="27"/>
  <c r="Z114" i="27" s="1"/>
  <c r="V114" i="27"/>
  <c r="L114" i="27"/>
  <c r="N114" i="27" s="1"/>
  <c r="B114" i="27"/>
  <c r="X113" i="27"/>
  <c r="Z113" i="27" s="1"/>
  <c r="V113" i="27"/>
  <c r="L113" i="27"/>
  <c r="N113" i="27" s="1"/>
  <c r="B113" i="27"/>
  <c r="T112" i="27"/>
  <c r="P112" i="27"/>
  <c r="X112" i="27" s="1"/>
  <c r="Z112" i="27" s="1"/>
  <c r="L112" i="27"/>
  <c r="H112" i="27"/>
  <c r="D112" i="27"/>
  <c r="B112" i="27"/>
  <c r="Z111" i="27"/>
  <c r="X111" i="27"/>
  <c r="N111" i="27"/>
  <c r="L111" i="27"/>
  <c r="B111" i="27"/>
  <c r="X110" i="27"/>
  <c r="Z110" i="27" s="1"/>
  <c r="N110" i="27"/>
  <c r="L110" i="27"/>
  <c r="B110" i="27"/>
  <c r="Z109" i="27"/>
  <c r="X109" i="27"/>
  <c r="V109" i="27"/>
  <c r="N109" i="27"/>
  <c r="L109" i="27"/>
  <c r="J109" i="27"/>
  <c r="B109" i="27"/>
  <c r="T108" i="27"/>
  <c r="P108" i="27"/>
  <c r="X108" i="27" s="1"/>
  <c r="H108" i="27"/>
  <c r="D108" i="27"/>
  <c r="B108" i="27"/>
  <c r="X107" i="27"/>
  <c r="Z107" i="27" s="1"/>
  <c r="N107" i="27"/>
  <c r="L107" i="27"/>
  <c r="B107" i="27"/>
  <c r="T106" i="27"/>
  <c r="P106" i="27"/>
  <c r="H106" i="27"/>
  <c r="D106" i="27"/>
  <c r="B106" i="27"/>
  <c r="X105" i="27"/>
  <c r="Z105" i="27" s="1"/>
  <c r="V105" i="27"/>
  <c r="N105" i="27"/>
  <c r="L105" i="27"/>
  <c r="B105" i="27"/>
  <c r="X104" i="27"/>
  <c r="Z104" i="27" s="1"/>
  <c r="L104" i="27"/>
  <c r="N104" i="27" s="1"/>
  <c r="B104" i="27"/>
  <c r="Z103" i="27"/>
  <c r="X103" i="27"/>
  <c r="N103" i="27"/>
  <c r="L103" i="27"/>
  <c r="B103" i="27"/>
  <c r="T102" i="27"/>
  <c r="P102" i="27"/>
  <c r="X102" i="27" s="1"/>
  <c r="L102" i="27"/>
  <c r="N102" i="27" s="1"/>
  <c r="H102" i="27"/>
  <c r="D102" i="27"/>
  <c r="B102" i="27"/>
  <c r="Z101" i="27"/>
  <c r="X101" i="27"/>
  <c r="L101" i="27"/>
  <c r="N101" i="27" s="1"/>
  <c r="B101" i="27"/>
  <c r="T100" i="27"/>
  <c r="P100" i="27"/>
  <c r="X100" i="27" s="1"/>
  <c r="L100" i="27"/>
  <c r="H100" i="27"/>
  <c r="D100" i="27"/>
  <c r="B100" i="27"/>
  <c r="Z99" i="27"/>
  <c r="X99" i="27"/>
  <c r="N99" i="27"/>
  <c r="L99" i="27"/>
  <c r="B99" i="27"/>
  <c r="T98" i="27"/>
  <c r="P98" i="27"/>
  <c r="X98" i="27" s="1"/>
  <c r="Z98" i="27" s="1"/>
  <c r="H98" i="27"/>
  <c r="N98" i="27" s="1"/>
  <c r="D98" i="27"/>
  <c r="L98" i="27" s="1"/>
  <c r="B98" i="27"/>
  <c r="Z97" i="27"/>
  <c r="X97" i="27"/>
  <c r="V97" i="27"/>
  <c r="N97" i="27"/>
  <c r="L97" i="27"/>
  <c r="B97" i="27"/>
  <c r="Z96" i="27"/>
  <c r="X96" i="27"/>
  <c r="V96" i="27"/>
  <c r="L96" i="27"/>
  <c r="N96" i="27" s="1"/>
  <c r="B96" i="27"/>
  <c r="T95" i="27"/>
  <c r="P95" i="27"/>
  <c r="H95" i="27"/>
  <c r="D95" i="27"/>
  <c r="B95" i="27"/>
  <c r="X94" i="27"/>
  <c r="Z94" i="27" s="1"/>
  <c r="V94" i="27"/>
  <c r="N94" i="27"/>
  <c r="L94" i="27"/>
  <c r="B94" i="27"/>
  <c r="X93" i="27"/>
  <c r="Z93" i="27" s="1"/>
  <c r="T93" i="27"/>
  <c r="P93" i="27"/>
  <c r="H93" i="27"/>
  <c r="D93" i="27"/>
  <c r="B93" i="27"/>
  <c r="X92" i="27"/>
  <c r="Z92" i="27" s="1"/>
  <c r="N92" i="27"/>
  <c r="L92" i="27"/>
  <c r="B92" i="27"/>
  <c r="X91" i="27"/>
  <c r="T91" i="27"/>
  <c r="Z91" i="27" s="1"/>
  <c r="P91" i="27"/>
  <c r="H91" i="27"/>
  <c r="D91" i="27"/>
  <c r="L91" i="27" s="1"/>
  <c r="N91" i="27" s="1"/>
  <c r="B91" i="27"/>
  <c r="Z90" i="27"/>
  <c r="X90" i="27"/>
  <c r="N90" i="27"/>
  <c r="L90" i="27"/>
  <c r="B90" i="27"/>
  <c r="X89" i="27"/>
  <c r="Z89" i="27" s="1"/>
  <c r="V89" i="27"/>
  <c r="L89" i="27"/>
  <c r="N89" i="27" s="1"/>
  <c r="B89" i="27"/>
  <c r="Z88" i="27"/>
  <c r="X88" i="27"/>
  <c r="V88" i="27"/>
  <c r="T88" i="27"/>
  <c r="P88" i="27"/>
  <c r="H88" i="27"/>
  <c r="D88" i="27"/>
  <c r="B88" i="27"/>
  <c r="Z87" i="27"/>
  <c r="X87" i="27"/>
  <c r="L87" i="27"/>
  <c r="N87" i="27" s="1"/>
  <c r="B87" i="27"/>
  <c r="V86" i="27"/>
  <c r="T86" i="27"/>
  <c r="P86" i="27"/>
  <c r="L86" i="27"/>
  <c r="N86" i="27" s="1"/>
  <c r="H86" i="27"/>
  <c r="D86" i="27"/>
  <c r="B86" i="27"/>
  <c r="Z85" i="27"/>
  <c r="X85" i="27"/>
  <c r="N85" i="27"/>
  <c r="L85" i="27"/>
  <c r="J85" i="27"/>
  <c r="B85" i="27"/>
  <c r="Z84" i="27"/>
  <c r="X84" i="27"/>
  <c r="N84" i="27"/>
  <c r="L84" i="27"/>
  <c r="B84" i="27"/>
  <c r="Z83" i="27"/>
  <c r="X83" i="27"/>
  <c r="V83" i="27"/>
  <c r="N83" i="27"/>
  <c r="L83" i="27"/>
  <c r="B83" i="27"/>
  <c r="Z82" i="27"/>
  <c r="X82" i="27"/>
  <c r="L82" i="27"/>
  <c r="N82" i="27" s="1"/>
  <c r="B82" i="27"/>
  <c r="Z81" i="27"/>
  <c r="X81" i="27"/>
  <c r="N81" i="27"/>
  <c r="L81" i="27"/>
  <c r="B81" i="27"/>
  <c r="X80" i="27"/>
  <c r="Z80" i="27" s="1"/>
  <c r="N80" i="27"/>
  <c r="L80" i="27"/>
  <c r="B80" i="27"/>
  <c r="X79" i="27"/>
  <c r="Z79" i="27" s="1"/>
  <c r="V79" i="27"/>
  <c r="N79" i="27"/>
  <c r="L79" i="27"/>
  <c r="B79" i="27"/>
  <c r="Z78" i="27"/>
  <c r="X78" i="27"/>
  <c r="V78" i="27"/>
  <c r="N78" i="27"/>
  <c r="L78" i="27"/>
  <c r="B78" i="27"/>
  <c r="Z77" i="27"/>
  <c r="X77" i="27"/>
  <c r="V77" i="27"/>
  <c r="L77" i="27"/>
  <c r="N77" i="27" s="1"/>
  <c r="J77" i="27"/>
  <c r="B77" i="27"/>
  <c r="Z76" i="27"/>
  <c r="X76" i="27"/>
  <c r="V76" i="27"/>
  <c r="N76" i="27"/>
  <c r="L76" i="27"/>
  <c r="J76" i="27"/>
  <c r="B76" i="27"/>
  <c r="X75" i="27"/>
  <c r="T75" i="27"/>
  <c r="Z75" i="27" s="1"/>
  <c r="P75" i="27"/>
  <c r="N75" i="27"/>
  <c r="H75" i="27"/>
  <c r="D75" i="27"/>
  <c r="L75" i="27" s="1"/>
  <c r="B75" i="27"/>
  <c r="X74" i="27"/>
  <c r="Z74" i="27" s="1"/>
  <c r="N74" i="27"/>
  <c r="L74" i="27"/>
  <c r="J74" i="27"/>
  <c r="B74" i="27"/>
  <c r="X73" i="27"/>
  <c r="Z73" i="27" s="1"/>
  <c r="V73" i="27"/>
  <c r="L73" i="27"/>
  <c r="N73" i="27" s="1"/>
  <c r="B73" i="27"/>
  <c r="X72" i="27"/>
  <c r="Z72" i="27" s="1"/>
  <c r="V72" i="27"/>
  <c r="L72" i="27"/>
  <c r="N72" i="27" s="1"/>
  <c r="J72" i="27"/>
  <c r="B72" i="27"/>
  <c r="Z71" i="27"/>
  <c r="X71" i="27"/>
  <c r="V71" i="27"/>
  <c r="N71" i="27"/>
  <c r="L71" i="27"/>
  <c r="B71" i="27"/>
  <c r="Z70" i="27"/>
  <c r="X70" i="27"/>
  <c r="V70" i="27"/>
  <c r="N70" i="27"/>
  <c r="L70" i="27"/>
  <c r="B70" i="27"/>
  <c r="Z69" i="27"/>
  <c r="X69" i="27"/>
  <c r="V69" i="27"/>
  <c r="L69" i="27"/>
  <c r="N69" i="27" s="1"/>
  <c r="B69" i="27"/>
  <c r="X68" i="27"/>
  <c r="Z68" i="27" s="1"/>
  <c r="V68" i="27"/>
  <c r="L68" i="27"/>
  <c r="N68" i="27" s="1"/>
  <c r="J68" i="27"/>
  <c r="B68" i="27"/>
  <c r="X67" i="27"/>
  <c r="Z67" i="27" s="1"/>
  <c r="V67" i="27"/>
  <c r="N67" i="27"/>
  <c r="L67" i="27"/>
  <c r="B67" i="27"/>
  <c r="Z66" i="27"/>
  <c r="X66" i="27"/>
  <c r="V66" i="27"/>
  <c r="L66" i="27"/>
  <c r="N66" i="27" s="1"/>
  <c r="B66" i="27"/>
  <c r="Z65" i="27"/>
  <c r="X65" i="27"/>
  <c r="V65" i="27"/>
  <c r="L65" i="27"/>
  <c r="N65" i="27" s="1"/>
  <c r="B65" i="27"/>
  <c r="X64" i="27"/>
  <c r="Z64" i="27" s="1"/>
  <c r="T64" i="27"/>
  <c r="V64" i="27" s="1"/>
  <c r="P64" i="27"/>
  <c r="J64" i="27"/>
  <c r="H64" i="27"/>
  <c r="D64" i="27"/>
  <c r="L64" i="27" s="1"/>
  <c r="N64" i="27" s="1"/>
  <c r="B64" i="27"/>
  <c r="V63" i="27"/>
  <c r="T63" i="27"/>
  <c r="P63" i="27"/>
  <c r="X63" i="27" s="1"/>
  <c r="Z63" i="27" s="1"/>
  <c r="L63" i="27"/>
  <c r="H63" i="27"/>
  <c r="N63" i="27" s="1"/>
  <c r="D63" i="27"/>
  <c r="Z59" i="27"/>
  <c r="X59" i="27"/>
  <c r="V59" i="27"/>
  <c r="N59" i="27"/>
  <c r="L59" i="27"/>
  <c r="B59" i="27"/>
  <c r="Z58" i="27"/>
  <c r="X58" i="27"/>
  <c r="V58" i="27"/>
  <c r="N58" i="27"/>
  <c r="L58" i="27"/>
  <c r="B58" i="27"/>
  <c r="Z57" i="27"/>
  <c r="X57" i="27"/>
  <c r="N57" i="27"/>
  <c r="L57" i="27"/>
  <c r="J57" i="27"/>
  <c r="B57" i="27"/>
  <c r="Z56" i="27"/>
  <c r="X56" i="27"/>
  <c r="V56" i="27"/>
  <c r="N56" i="27"/>
  <c r="L56" i="27"/>
  <c r="B56" i="27"/>
  <c r="Z55" i="27"/>
  <c r="X55" i="27"/>
  <c r="V55" i="27"/>
  <c r="N55" i="27"/>
  <c r="L55" i="27"/>
  <c r="B55" i="27"/>
  <c r="Z54" i="27"/>
  <c r="X54" i="27"/>
  <c r="V54" i="27"/>
  <c r="N54" i="27"/>
  <c r="L54" i="27"/>
  <c r="B54" i="27"/>
  <c r="Z53" i="27"/>
  <c r="X53" i="27"/>
  <c r="N53" i="27"/>
  <c r="L53" i="27"/>
  <c r="B53" i="27"/>
  <c r="Z52" i="27"/>
  <c r="X52" i="27"/>
  <c r="V52" i="27"/>
  <c r="N52" i="27"/>
  <c r="L52" i="27"/>
  <c r="B52" i="27"/>
  <c r="Z51" i="27"/>
  <c r="X51" i="27"/>
  <c r="V51" i="27"/>
  <c r="N51" i="27"/>
  <c r="L51" i="27"/>
  <c r="B51" i="27"/>
  <c r="Z50" i="27"/>
  <c r="X50" i="27"/>
  <c r="V50" i="27"/>
  <c r="N50" i="27"/>
  <c r="L50" i="27"/>
  <c r="B50" i="27"/>
  <c r="Z49" i="27"/>
  <c r="X49" i="27"/>
  <c r="N49" i="27"/>
  <c r="L49" i="27"/>
  <c r="J49" i="27"/>
  <c r="B49" i="27"/>
  <c r="Z48" i="27"/>
  <c r="X48" i="27"/>
  <c r="V48" i="27"/>
  <c r="N48" i="27"/>
  <c r="L48" i="27"/>
  <c r="B48" i="27"/>
  <c r="Z47" i="27"/>
  <c r="X47" i="27"/>
  <c r="V47" i="27"/>
  <c r="N47" i="27"/>
  <c r="L47" i="27"/>
  <c r="B47" i="27"/>
  <c r="Z46" i="27"/>
  <c r="X46" i="27"/>
  <c r="V46" i="27"/>
  <c r="N46" i="27"/>
  <c r="L46" i="27"/>
  <c r="B46" i="27"/>
  <c r="Z45" i="27"/>
  <c r="X45" i="27"/>
  <c r="N45" i="27"/>
  <c r="L45" i="27"/>
  <c r="J45" i="27"/>
  <c r="B45" i="27"/>
  <c r="Z44" i="27"/>
  <c r="X44" i="27"/>
  <c r="V44" i="27"/>
  <c r="N44" i="27"/>
  <c r="L44" i="27"/>
  <c r="B44" i="27"/>
  <c r="Z43" i="27"/>
  <c r="X43" i="27"/>
  <c r="V43" i="27"/>
  <c r="L43" i="27"/>
  <c r="N43" i="27" s="1"/>
  <c r="B43" i="27"/>
  <c r="T42" i="27"/>
  <c r="P42" i="27"/>
  <c r="X42" i="27" s="1"/>
  <c r="L42" i="27"/>
  <c r="N42" i="27" s="1"/>
  <c r="J42" i="27"/>
  <c r="H42" i="27"/>
  <c r="D42" i="27"/>
  <c r="Z40" i="27"/>
  <c r="X40" i="27"/>
  <c r="P40" i="27"/>
  <c r="N40" i="27"/>
  <c r="D40" i="27"/>
  <c r="L40" i="27" s="1"/>
  <c r="B40" i="27"/>
  <c r="Z39" i="27"/>
  <c r="X39" i="27"/>
  <c r="P39" i="27"/>
  <c r="N39" i="27"/>
  <c r="D39" i="27"/>
  <c r="L39" i="27" s="1"/>
  <c r="B39" i="27"/>
  <c r="Z38" i="27"/>
  <c r="X38" i="27"/>
  <c r="P38" i="27"/>
  <c r="N38" i="27"/>
  <c r="D38" i="27"/>
  <c r="L38" i="27" s="1"/>
  <c r="B38" i="27"/>
  <c r="Z37" i="27"/>
  <c r="X37" i="27"/>
  <c r="P37" i="27"/>
  <c r="N37" i="27"/>
  <c r="D37" i="27"/>
  <c r="L37" i="27" s="1"/>
  <c r="B37" i="27"/>
  <c r="Z36" i="27"/>
  <c r="X36" i="27"/>
  <c r="P36" i="27"/>
  <c r="N36" i="27"/>
  <c r="L36" i="27"/>
  <c r="D36" i="27"/>
  <c r="B36" i="27"/>
  <c r="Z35" i="27"/>
  <c r="P35" i="27"/>
  <c r="X35" i="27" s="1"/>
  <c r="N35" i="27"/>
  <c r="D35" i="27"/>
  <c r="L35" i="27" s="1"/>
  <c r="B35" i="27"/>
  <c r="Z34" i="27"/>
  <c r="P34" i="27"/>
  <c r="X34" i="27" s="1"/>
  <c r="N34" i="27"/>
  <c r="L34" i="27"/>
  <c r="D34" i="27"/>
  <c r="B34" i="27"/>
  <c r="Z33" i="27"/>
  <c r="P33" i="27"/>
  <c r="X33" i="27" s="1"/>
  <c r="N33" i="27"/>
  <c r="L33" i="27"/>
  <c r="D33" i="27"/>
  <c r="B33" i="27"/>
  <c r="Z32" i="27"/>
  <c r="P32" i="27"/>
  <c r="X32" i="27" s="1"/>
  <c r="N32" i="27"/>
  <c r="D32" i="27"/>
  <c r="L32" i="27" s="1"/>
  <c r="B32" i="27"/>
  <c r="Z31" i="27"/>
  <c r="P31" i="27"/>
  <c r="X31" i="27" s="1"/>
  <c r="N31" i="27"/>
  <c r="L31" i="27"/>
  <c r="D31" i="27"/>
  <c r="B31" i="27"/>
  <c r="Z30" i="27"/>
  <c r="P30" i="27"/>
  <c r="X30" i="27" s="1"/>
  <c r="N30" i="27"/>
  <c r="L30" i="27"/>
  <c r="D30" i="27"/>
  <c r="B30" i="27"/>
  <c r="Z29" i="27"/>
  <c r="P29" i="27"/>
  <c r="X29" i="27" s="1"/>
  <c r="N29" i="27"/>
  <c r="D29" i="27"/>
  <c r="L29" i="27" s="1"/>
  <c r="B29" i="27"/>
  <c r="Z28" i="27"/>
  <c r="P28" i="27"/>
  <c r="X28" i="27" s="1"/>
  <c r="N28" i="27"/>
  <c r="L28" i="27"/>
  <c r="D28" i="27"/>
  <c r="B28" i="27"/>
  <c r="Z27" i="27"/>
  <c r="X27" i="27"/>
  <c r="P27" i="27"/>
  <c r="N27" i="27"/>
  <c r="D27" i="27"/>
  <c r="L27" i="27" s="1"/>
  <c r="B27" i="27"/>
  <c r="Z26" i="27"/>
  <c r="X26" i="27"/>
  <c r="P26" i="27"/>
  <c r="N26" i="27"/>
  <c r="D26" i="27"/>
  <c r="L26" i="27" s="1"/>
  <c r="B26" i="27"/>
  <c r="Z25" i="27"/>
  <c r="X25" i="27"/>
  <c r="P25" i="27"/>
  <c r="N25" i="27"/>
  <c r="D25" i="27"/>
  <c r="L25" i="27" s="1"/>
  <c r="B25" i="27"/>
  <c r="Z24" i="27"/>
  <c r="X24" i="27"/>
  <c r="P24" i="27"/>
  <c r="N24" i="27"/>
  <c r="L24" i="27"/>
  <c r="D24" i="27"/>
  <c r="B24" i="27"/>
  <c r="Z23" i="27"/>
  <c r="P23" i="27"/>
  <c r="X23" i="27" s="1"/>
  <c r="N23" i="27"/>
  <c r="D23" i="27"/>
  <c r="L23" i="27" s="1"/>
  <c r="B23" i="27"/>
  <c r="Z22" i="27"/>
  <c r="X22" i="27"/>
  <c r="P22" i="27"/>
  <c r="N22" i="27"/>
  <c r="L22" i="27"/>
  <c r="D22" i="27"/>
  <c r="B22" i="27"/>
  <c r="P21" i="27"/>
  <c r="X21" i="27" s="1"/>
  <c r="Z21" i="27" s="1"/>
  <c r="L21" i="27"/>
  <c r="N21" i="27" s="1"/>
  <c r="D21" i="27"/>
  <c r="B21" i="27"/>
  <c r="Z20" i="27"/>
  <c r="P20" i="27"/>
  <c r="X20" i="27" s="1"/>
  <c r="N20" i="27"/>
  <c r="D20" i="27"/>
  <c r="L20" i="27" s="1"/>
  <c r="B20" i="27"/>
  <c r="Z19" i="27"/>
  <c r="P19" i="27"/>
  <c r="X19" i="27" s="1"/>
  <c r="N19" i="27"/>
  <c r="L19" i="27"/>
  <c r="D19" i="27"/>
  <c r="B19" i="27"/>
  <c r="Z18" i="27"/>
  <c r="P18" i="27"/>
  <c r="X18" i="27" s="1"/>
  <c r="N18" i="27"/>
  <c r="D18" i="27"/>
  <c r="L18" i="27" s="1"/>
  <c r="B18" i="27"/>
  <c r="Z17" i="27"/>
  <c r="P17" i="27"/>
  <c r="X17" i="27" s="1"/>
  <c r="N17" i="27"/>
  <c r="D17" i="27"/>
  <c r="L17" i="27" s="1"/>
  <c r="B17" i="27"/>
  <c r="Z16" i="27"/>
  <c r="P16" i="27"/>
  <c r="X16" i="27" s="1"/>
  <c r="N16" i="27"/>
  <c r="D16" i="27"/>
  <c r="L16" i="27" s="1"/>
  <c r="B16" i="27"/>
  <c r="Z15" i="27"/>
  <c r="X15" i="27"/>
  <c r="P15" i="27"/>
  <c r="N15" i="27"/>
  <c r="D15" i="27"/>
  <c r="L15" i="27" s="1"/>
  <c r="B15" i="27"/>
  <c r="Z14" i="27"/>
  <c r="X14" i="27"/>
  <c r="P14" i="27"/>
  <c r="N14" i="27"/>
  <c r="D14" i="27"/>
  <c r="L14" i="27" s="1"/>
  <c r="B14" i="27"/>
  <c r="Z13" i="27"/>
  <c r="X13" i="27"/>
  <c r="P13" i="27"/>
  <c r="N13" i="27"/>
  <c r="D13" i="27"/>
  <c r="B13" i="27"/>
  <c r="T12" i="27"/>
  <c r="V124" i="27" s="1"/>
  <c r="P12" i="27"/>
  <c r="R124" i="27" s="1"/>
  <c r="H12" i="27"/>
  <c r="J53" i="27" s="1"/>
  <c r="D4" i="27"/>
  <c r="X140" i="24"/>
  <c r="Z140" i="24" s="1"/>
  <c r="N140" i="24"/>
  <c r="L140" i="24"/>
  <c r="Z136" i="24"/>
  <c r="V136" i="24"/>
  <c r="P136" i="24"/>
  <c r="X136" i="24" s="1"/>
  <c r="N136" i="24"/>
  <c r="D136" i="24"/>
  <c r="D135" i="24" s="1"/>
  <c r="L135" i="24" s="1"/>
  <c r="B136" i="24"/>
  <c r="Z135" i="24"/>
  <c r="T135" i="24"/>
  <c r="N135" i="24"/>
  <c r="H135" i="24"/>
  <c r="Z133" i="24"/>
  <c r="X133" i="24"/>
  <c r="N133" i="24"/>
  <c r="L133" i="24"/>
  <c r="B133" i="24"/>
  <c r="Z132" i="24"/>
  <c r="T132" i="24"/>
  <c r="X132" i="24" s="1"/>
  <c r="P132" i="24"/>
  <c r="J132" i="24"/>
  <c r="H132" i="24"/>
  <c r="N132" i="24" s="1"/>
  <c r="D132" i="24"/>
  <c r="B132" i="24"/>
  <c r="Z131" i="24"/>
  <c r="X131" i="24"/>
  <c r="L131" i="24"/>
  <c r="N131" i="24" s="1"/>
  <c r="B131" i="24"/>
  <c r="Z130" i="24"/>
  <c r="X130" i="24"/>
  <c r="T130" i="24"/>
  <c r="P130" i="24"/>
  <c r="H130" i="24"/>
  <c r="D130" i="24"/>
  <c r="B130" i="24"/>
  <c r="Z129" i="24"/>
  <c r="X129" i="24"/>
  <c r="N129" i="24"/>
  <c r="L129" i="24"/>
  <c r="B129" i="24"/>
  <c r="Z128" i="24"/>
  <c r="X128" i="24"/>
  <c r="V128" i="24"/>
  <c r="T128" i="24"/>
  <c r="P128" i="24"/>
  <c r="L128" i="24"/>
  <c r="H128" i="24"/>
  <c r="D128" i="24"/>
  <c r="B128" i="24"/>
  <c r="Z127" i="24"/>
  <c r="X127" i="24"/>
  <c r="N127" i="24"/>
  <c r="L127" i="24"/>
  <c r="B127" i="24"/>
  <c r="Z126" i="24"/>
  <c r="X126" i="24"/>
  <c r="N126" i="24"/>
  <c r="L126" i="24"/>
  <c r="J126" i="24"/>
  <c r="B126" i="24"/>
  <c r="Z125" i="24"/>
  <c r="X125" i="24"/>
  <c r="V125" i="24"/>
  <c r="N125" i="24"/>
  <c r="L125" i="24"/>
  <c r="B125" i="24"/>
  <c r="X124" i="24"/>
  <c r="Z124" i="24" s="1"/>
  <c r="T124" i="24"/>
  <c r="P124" i="24"/>
  <c r="L124" i="24"/>
  <c r="N124" i="24" s="1"/>
  <c r="J124" i="24"/>
  <c r="H124" i="24"/>
  <c r="D124" i="24"/>
  <c r="B124" i="24"/>
  <c r="Z123" i="24"/>
  <c r="X123" i="24"/>
  <c r="V123" i="24"/>
  <c r="N123" i="24"/>
  <c r="L123" i="24"/>
  <c r="B123" i="24"/>
  <c r="T122" i="24"/>
  <c r="Z122" i="24" s="1"/>
  <c r="P122" i="24"/>
  <c r="X122" i="24" s="1"/>
  <c r="L122" i="24"/>
  <c r="J122" i="24"/>
  <c r="H122" i="24"/>
  <c r="N122" i="24" s="1"/>
  <c r="D122" i="24"/>
  <c r="B122" i="24"/>
  <c r="Z121" i="24"/>
  <c r="X121" i="24"/>
  <c r="N121" i="24"/>
  <c r="L121" i="24"/>
  <c r="J121" i="24"/>
  <c r="B121" i="24"/>
  <c r="X120" i="24"/>
  <c r="Z120" i="24" s="1"/>
  <c r="N120" i="24"/>
  <c r="L120" i="24"/>
  <c r="B120" i="24"/>
  <c r="X119" i="24"/>
  <c r="T119" i="24"/>
  <c r="Z119" i="24" s="1"/>
  <c r="P119" i="24"/>
  <c r="L119" i="24"/>
  <c r="N119" i="24" s="1"/>
  <c r="J119" i="24"/>
  <c r="H119" i="24"/>
  <c r="D119" i="24"/>
  <c r="B119" i="24"/>
  <c r="Z118" i="24"/>
  <c r="X118" i="24"/>
  <c r="V118" i="24"/>
  <c r="N118" i="24"/>
  <c r="L118" i="24"/>
  <c r="J118" i="24"/>
  <c r="B118" i="24"/>
  <c r="Z117" i="24"/>
  <c r="X117" i="24"/>
  <c r="N117" i="24"/>
  <c r="L117" i="24"/>
  <c r="B117" i="24"/>
  <c r="Z116" i="24"/>
  <c r="X116" i="24"/>
  <c r="T116" i="24"/>
  <c r="P116" i="24"/>
  <c r="J116" i="24"/>
  <c r="H116" i="24"/>
  <c r="L116" i="24" s="1"/>
  <c r="D116" i="24"/>
  <c r="B116" i="24"/>
  <c r="Z115" i="24"/>
  <c r="X115" i="24"/>
  <c r="V115" i="24"/>
  <c r="N115" i="24"/>
  <c r="L115" i="24"/>
  <c r="B115" i="24"/>
  <c r="X114" i="24"/>
  <c r="Z114" i="24" s="1"/>
  <c r="T114" i="24"/>
  <c r="P114" i="24"/>
  <c r="L114" i="24"/>
  <c r="J114" i="24"/>
  <c r="H114" i="24"/>
  <c r="D114" i="24"/>
  <c r="B114" i="24"/>
  <c r="Z113" i="24"/>
  <c r="X113" i="24"/>
  <c r="V113" i="24"/>
  <c r="N113" i="24"/>
  <c r="L113" i="24"/>
  <c r="J113" i="24"/>
  <c r="B113" i="24"/>
  <c r="T112" i="24"/>
  <c r="P112" i="24"/>
  <c r="X112" i="24" s="1"/>
  <c r="L112" i="24"/>
  <c r="H112" i="24"/>
  <c r="D112" i="24"/>
  <c r="B112" i="24"/>
  <c r="Z111" i="24"/>
  <c r="X111" i="24"/>
  <c r="N111" i="24"/>
  <c r="L111" i="24"/>
  <c r="J111" i="24"/>
  <c r="B111" i="24"/>
  <c r="T110" i="24"/>
  <c r="Z110" i="24" s="1"/>
  <c r="P110" i="24"/>
  <c r="H110" i="24"/>
  <c r="N110" i="24" s="1"/>
  <c r="D110" i="24"/>
  <c r="L110" i="24" s="1"/>
  <c r="B110" i="24"/>
  <c r="Z109" i="24"/>
  <c r="X109" i="24"/>
  <c r="V109" i="24"/>
  <c r="N109" i="24"/>
  <c r="L109" i="24"/>
  <c r="B109" i="24"/>
  <c r="T108" i="24"/>
  <c r="P108" i="24"/>
  <c r="X108" i="24" s="1"/>
  <c r="H108" i="24"/>
  <c r="N108" i="24" s="1"/>
  <c r="D108" i="24"/>
  <c r="L108" i="24" s="1"/>
  <c r="B108" i="24"/>
  <c r="Z107" i="24"/>
  <c r="X107" i="24"/>
  <c r="N107" i="24"/>
  <c r="L107" i="24"/>
  <c r="B107" i="24"/>
  <c r="X106" i="24"/>
  <c r="Z106" i="24" s="1"/>
  <c r="N106" i="24"/>
  <c r="L106" i="24"/>
  <c r="B106" i="24"/>
  <c r="X105" i="24"/>
  <c r="Z105" i="24" s="1"/>
  <c r="T105" i="24"/>
  <c r="P105" i="24"/>
  <c r="H105" i="24"/>
  <c r="D105" i="24"/>
  <c r="L105" i="24" s="1"/>
  <c r="N105" i="24" s="1"/>
  <c r="B105" i="24"/>
  <c r="Z104" i="24"/>
  <c r="X104" i="24"/>
  <c r="N104" i="24"/>
  <c r="L104" i="24"/>
  <c r="J104" i="24"/>
  <c r="B104" i="24"/>
  <c r="V103" i="24"/>
  <c r="T103" i="24"/>
  <c r="X103" i="24" s="1"/>
  <c r="P103" i="24"/>
  <c r="H103" i="24"/>
  <c r="N103" i="24" s="1"/>
  <c r="D103" i="24"/>
  <c r="B103" i="24"/>
  <c r="X102" i="24"/>
  <c r="Z102" i="24" s="1"/>
  <c r="V102" i="24"/>
  <c r="L102" i="24"/>
  <c r="N102" i="24" s="1"/>
  <c r="B102" i="24"/>
  <c r="X101" i="24"/>
  <c r="Z101" i="24" s="1"/>
  <c r="V101" i="24"/>
  <c r="T101" i="24"/>
  <c r="P101" i="24"/>
  <c r="N101" i="24"/>
  <c r="J101" i="24"/>
  <c r="H101" i="24"/>
  <c r="D101" i="24"/>
  <c r="L101" i="24" s="1"/>
  <c r="B101" i="24"/>
  <c r="Z100" i="24"/>
  <c r="X100" i="24"/>
  <c r="V100" i="24"/>
  <c r="N100" i="24"/>
  <c r="L100" i="24"/>
  <c r="B100" i="24"/>
  <c r="Z99" i="24"/>
  <c r="X99" i="24"/>
  <c r="N99" i="24"/>
  <c r="L99" i="24"/>
  <c r="J99" i="24"/>
  <c r="B99" i="24"/>
  <c r="X98" i="24"/>
  <c r="Z98" i="24" s="1"/>
  <c r="N98" i="24"/>
  <c r="L98" i="24"/>
  <c r="J98" i="24"/>
  <c r="B98" i="24"/>
  <c r="X97" i="24"/>
  <c r="Z97" i="24" s="1"/>
  <c r="V97" i="24"/>
  <c r="N97" i="24"/>
  <c r="L97" i="24"/>
  <c r="B97" i="24"/>
  <c r="Z96" i="24"/>
  <c r="X96" i="24"/>
  <c r="N96" i="24"/>
  <c r="L96" i="24"/>
  <c r="B96" i="24"/>
  <c r="Z95" i="24"/>
  <c r="X95" i="24"/>
  <c r="N95" i="24"/>
  <c r="L95" i="24"/>
  <c r="B95" i="24"/>
  <c r="Z94" i="24"/>
  <c r="X94" i="24"/>
  <c r="N94" i="24"/>
  <c r="L94" i="24"/>
  <c r="J94" i="24"/>
  <c r="B94" i="24"/>
  <c r="Z93" i="24"/>
  <c r="X93" i="24"/>
  <c r="V93" i="24"/>
  <c r="N93" i="24"/>
  <c r="L93" i="24"/>
  <c r="J93" i="24"/>
  <c r="B93" i="24"/>
  <c r="Z92" i="24"/>
  <c r="X92" i="24"/>
  <c r="V92" i="24"/>
  <c r="N92" i="24"/>
  <c r="L92" i="24"/>
  <c r="B92" i="24"/>
  <c r="Z91" i="24"/>
  <c r="X91" i="24"/>
  <c r="L91" i="24"/>
  <c r="N91" i="24" s="1"/>
  <c r="J91" i="24"/>
  <c r="B91" i="24"/>
  <c r="T90" i="24"/>
  <c r="P90" i="24"/>
  <c r="X90" i="24" s="1"/>
  <c r="H90" i="24"/>
  <c r="D90" i="24"/>
  <c r="L90" i="24" s="1"/>
  <c r="N90" i="24" s="1"/>
  <c r="B90" i="24"/>
  <c r="Z89" i="24"/>
  <c r="X89" i="24"/>
  <c r="V89" i="24"/>
  <c r="N89" i="24"/>
  <c r="L89" i="24"/>
  <c r="B89" i="24"/>
  <c r="X88" i="24"/>
  <c r="Z88" i="24" s="1"/>
  <c r="L88" i="24"/>
  <c r="N88" i="24" s="1"/>
  <c r="B88" i="24"/>
  <c r="Z87" i="24"/>
  <c r="X87" i="24"/>
  <c r="N87" i="24"/>
  <c r="L87" i="24"/>
  <c r="J87" i="24"/>
  <c r="B87" i="24"/>
  <c r="Z86" i="24"/>
  <c r="X86" i="24"/>
  <c r="V86" i="24"/>
  <c r="N86" i="24"/>
  <c r="L86" i="24"/>
  <c r="B86" i="24"/>
  <c r="Z85" i="24"/>
  <c r="X85" i="24"/>
  <c r="V85" i="24"/>
  <c r="L85" i="24"/>
  <c r="N85" i="24" s="1"/>
  <c r="J85" i="24"/>
  <c r="B85" i="24"/>
  <c r="Z84" i="24"/>
  <c r="X84" i="24"/>
  <c r="L84" i="24"/>
  <c r="N84" i="24" s="1"/>
  <c r="J84" i="24"/>
  <c r="B84" i="24"/>
  <c r="X83" i="24"/>
  <c r="Z83" i="24" s="1"/>
  <c r="N83" i="24"/>
  <c r="L83" i="24"/>
  <c r="B83" i="24"/>
  <c r="X82" i="24"/>
  <c r="Z82" i="24" s="1"/>
  <c r="V82" i="24"/>
  <c r="L82" i="24"/>
  <c r="N82" i="24" s="1"/>
  <c r="J82" i="24"/>
  <c r="B82" i="24"/>
  <c r="Z81" i="24"/>
  <c r="X81" i="24"/>
  <c r="N81" i="24"/>
  <c r="L81" i="24"/>
  <c r="J81" i="24"/>
  <c r="B81" i="24"/>
  <c r="X80" i="24"/>
  <c r="T80" i="24"/>
  <c r="Z80" i="24" s="1"/>
  <c r="P80" i="24"/>
  <c r="H80" i="24"/>
  <c r="J80" i="24" s="1"/>
  <c r="D80" i="24"/>
  <c r="L80" i="24" s="1"/>
  <c r="B80" i="24"/>
  <c r="Z79" i="24"/>
  <c r="T79" i="24"/>
  <c r="P79" i="24"/>
  <c r="X79" i="24" s="1"/>
  <c r="H79" i="24"/>
  <c r="J79" i="24" s="1"/>
  <c r="D79" i="24"/>
  <c r="L79" i="24" s="1"/>
  <c r="Z75" i="24"/>
  <c r="X75" i="24"/>
  <c r="V75" i="24"/>
  <c r="N75" i="24"/>
  <c r="L75" i="24"/>
  <c r="B75" i="24"/>
  <c r="Z74" i="24"/>
  <c r="X74" i="24"/>
  <c r="V74" i="24"/>
  <c r="N74" i="24"/>
  <c r="L74" i="24"/>
  <c r="J74" i="24"/>
  <c r="B74" i="24"/>
  <c r="Z73" i="24"/>
  <c r="X73" i="24"/>
  <c r="N73" i="24"/>
  <c r="L73" i="24"/>
  <c r="J73" i="24"/>
  <c r="B73" i="24"/>
  <c r="Z72" i="24"/>
  <c r="X72" i="24"/>
  <c r="V72" i="24"/>
  <c r="N72" i="24"/>
  <c r="L72" i="24"/>
  <c r="B72" i="24"/>
  <c r="Z71" i="24"/>
  <c r="X71" i="24"/>
  <c r="N71" i="24"/>
  <c r="L71" i="24"/>
  <c r="J71" i="24"/>
  <c r="B71" i="24"/>
  <c r="Z70" i="24"/>
  <c r="X70" i="24"/>
  <c r="V70" i="24"/>
  <c r="N70" i="24"/>
  <c r="L70" i="24"/>
  <c r="J70" i="24"/>
  <c r="B70" i="24"/>
  <c r="Z69" i="24"/>
  <c r="X69" i="24"/>
  <c r="N69" i="24"/>
  <c r="L69" i="24"/>
  <c r="J69" i="24"/>
  <c r="B69" i="24"/>
  <c r="Z68" i="24"/>
  <c r="X68" i="24"/>
  <c r="N68" i="24"/>
  <c r="L68" i="24"/>
  <c r="B68" i="24"/>
  <c r="Z67" i="24"/>
  <c r="X67" i="24"/>
  <c r="V67" i="24"/>
  <c r="N67" i="24"/>
  <c r="L67" i="24"/>
  <c r="J67" i="24"/>
  <c r="B67" i="24"/>
  <c r="Z66" i="24"/>
  <c r="X66" i="24"/>
  <c r="N66" i="24"/>
  <c r="L66" i="24"/>
  <c r="B66" i="24"/>
  <c r="Z65" i="24"/>
  <c r="X65" i="24"/>
  <c r="N65" i="24"/>
  <c r="L65" i="24"/>
  <c r="J65" i="24"/>
  <c r="B65" i="24"/>
  <c r="Z64" i="24"/>
  <c r="X64" i="24"/>
  <c r="V64" i="24"/>
  <c r="N64" i="24"/>
  <c r="L64" i="24"/>
  <c r="B64" i="24"/>
  <c r="Z63" i="24"/>
  <c r="X63" i="24"/>
  <c r="V63" i="24"/>
  <c r="N63" i="24"/>
  <c r="L63" i="24"/>
  <c r="J63" i="24"/>
  <c r="B63" i="24"/>
  <c r="Z62" i="24"/>
  <c r="X62" i="24"/>
  <c r="N62" i="24"/>
  <c r="L62" i="24"/>
  <c r="J62" i="24"/>
  <c r="B62" i="24"/>
  <c r="Z61" i="24"/>
  <c r="X61" i="24"/>
  <c r="V61" i="24"/>
  <c r="N61" i="24"/>
  <c r="L61" i="24"/>
  <c r="J61" i="24"/>
  <c r="B61" i="24"/>
  <c r="Z60" i="24"/>
  <c r="X60" i="24"/>
  <c r="N60" i="24"/>
  <c r="L60" i="24"/>
  <c r="J60" i="24"/>
  <c r="B60" i="24"/>
  <c r="Z59" i="24"/>
  <c r="X59" i="24"/>
  <c r="V59" i="24"/>
  <c r="N59" i="24"/>
  <c r="L59" i="24"/>
  <c r="J59" i="24"/>
  <c r="B59" i="24"/>
  <c r="Z58" i="24"/>
  <c r="X58" i="24"/>
  <c r="N58" i="24"/>
  <c r="L58" i="24"/>
  <c r="J58" i="24"/>
  <c r="B58" i="24"/>
  <c r="Z57" i="24"/>
  <c r="X57" i="24"/>
  <c r="V57" i="24"/>
  <c r="N57" i="24"/>
  <c r="L57" i="24"/>
  <c r="B57" i="24"/>
  <c r="Z56" i="24"/>
  <c r="X56" i="24"/>
  <c r="V56" i="24"/>
  <c r="N56" i="24"/>
  <c r="L56" i="24"/>
  <c r="J56" i="24"/>
  <c r="B56" i="24"/>
  <c r="Z55" i="24"/>
  <c r="X55" i="24"/>
  <c r="N55" i="24"/>
  <c r="L55" i="24"/>
  <c r="B55" i="24"/>
  <c r="Z54" i="24"/>
  <c r="X54" i="24"/>
  <c r="N54" i="24"/>
  <c r="L54" i="24"/>
  <c r="J54" i="24"/>
  <c r="B54" i="24"/>
  <c r="Z53" i="24"/>
  <c r="X53" i="24"/>
  <c r="N53" i="24"/>
  <c r="L53" i="24"/>
  <c r="B53" i="24"/>
  <c r="X52" i="24"/>
  <c r="Z52" i="24" s="1"/>
  <c r="V52" i="24"/>
  <c r="L52" i="24"/>
  <c r="N52" i="24" s="1"/>
  <c r="J52" i="24"/>
  <c r="B52" i="24"/>
  <c r="T51" i="24"/>
  <c r="P51" i="24"/>
  <c r="X51" i="24" s="1"/>
  <c r="J51" i="24"/>
  <c r="H51" i="24"/>
  <c r="H77" i="24" s="1"/>
  <c r="D51" i="24"/>
  <c r="L51" i="24" s="1"/>
  <c r="N51" i="24" s="1"/>
  <c r="Z49" i="24"/>
  <c r="P49" i="24"/>
  <c r="X49" i="24" s="1"/>
  <c r="N49" i="24"/>
  <c r="L49" i="24"/>
  <c r="D49" i="24"/>
  <c r="B49" i="24"/>
  <c r="Z48" i="24"/>
  <c r="X48" i="24"/>
  <c r="P48" i="24"/>
  <c r="N48" i="24"/>
  <c r="L48" i="24"/>
  <c r="D48" i="24"/>
  <c r="B48" i="24"/>
  <c r="Z47" i="24"/>
  <c r="P47" i="24"/>
  <c r="X47" i="24" s="1"/>
  <c r="N47" i="24"/>
  <c r="L47" i="24"/>
  <c r="D47" i="24"/>
  <c r="B47" i="24"/>
  <c r="Z46" i="24"/>
  <c r="X46" i="24"/>
  <c r="P46" i="24"/>
  <c r="N46" i="24"/>
  <c r="D46" i="24"/>
  <c r="L46" i="24" s="1"/>
  <c r="B46" i="24"/>
  <c r="Z45" i="24"/>
  <c r="P45" i="24"/>
  <c r="X45" i="24" s="1"/>
  <c r="N45" i="24"/>
  <c r="L45" i="24"/>
  <c r="D45" i="24"/>
  <c r="B45" i="24"/>
  <c r="Z44" i="24"/>
  <c r="X44" i="24"/>
  <c r="P44" i="24"/>
  <c r="N44" i="24"/>
  <c r="D44" i="24"/>
  <c r="L44" i="24" s="1"/>
  <c r="B44" i="24"/>
  <c r="Z43" i="24"/>
  <c r="P43" i="24"/>
  <c r="X43" i="24" s="1"/>
  <c r="N43" i="24"/>
  <c r="L43" i="24"/>
  <c r="D43" i="24"/>
  <c r="B43" i="24"/>
  <c r="Z42" i="24"/>
  <c r="P42" i="24"/>
  <c r="X42" i="24" s="1"/>
  <c r="N42" i="24"/>
  <c r="D42" i="24"/>
  <c r="L42" i="24" s="1"/>
  <c r="B42" i="24"/>
  <c r="Z41" i="24"/>
  <c r="P41" i="24"/>
  <c r="X41" i="24" s="1"/>
  <c r="N41" i="24"/>
  <c r="L41" i="24"/>
  <c r="D41" i="24"/>
  <c r="B41" i="24"/>
  <c r="Z40" i="24"/>
  <c r="X40" i="24"/>
  <c r="P40" i="24"/>
  <c r="N40" i="24"/>
  <c r="D40" i="24"/>
  <c r="L40" i="24" s="1"/>
  <c r="B40" i="24"/>
  <c r="Z39" i="24"/>
  <c r="X39" i="24"/>
  <c r="P39" i="24"/>
  <c r="N39" i="24"/>
  <c r="D39" i="24"/>
  <c r="L39" i="24" s="1"/>
  <c r="B39" i="24"/>
  <c r="Z38" i="24"/>
  <c r="X38" i="24"/>
  <c r="P38" i="24"/>
  <c r="N38" i="24"/>
  <c r="D38" i="24"/>
  <c r="L38" i="24" s="1"/>
  <c r="B38" i="24"/>
  <c r="Z37" i="24"/>
  <c r="P37" i="24"/>
  <c r="X37" i="24" s="1"/>
  <c r="N37" i="24"/>
  <c r="L37" i="24"/>
  <c r="D37" i="24"/>
  <c r="B37" i="24"/>
  <c r="Z36" i="24"/>
  <c r="X36" i="24"/>
  <c r="P36" i="24"/>
  <c r="N36" i="24"/>
  <c r="L36" i="24"/>
  <c r="D36" i="24"/>
  <c r="B36" i="24"/>
  <c r="Z35" i="24"/>
  <c r="P35" i="24"/>
  <c r="X35" i="24" s="1"/>
  <c r="N35" i="24"/>
  <c r="L35" i="24"/>
  <c r="D35" i="24"/>
  <c r="B35" i="24"/>
  <c r="Z34" i="24"/>
  <c r="X34" i="24"/>
  <c r="P34" i="24"/>
  <c r="N34" i="24"/>
  <c r="D34" i="24"/>
  <c r="L34" i="24" s="1"/>
  <c r="B34" i="24"/>
  <c r="Z33" i="24"/>
  <c r="P33" i="24"/>
  <c r="X33" i="24" s="1"/>
  <c r="N33" i="24"/>
  <c r="L33" i="24"/>
  <c r="D33" i="24"/>
  <c r="B33" i="24"/>
  <c r="Z32" i="24"/>
  <c r="X32" i="24"/>
  <c r="P32" i="24"/>
  <c r="N32" i="24"/>
  <c r="D32" i="24"/>
  <c r="L32" i="24" s="1"/>
  <c r="B32" i="24"/>
  <c r="P31" i="24"/>
  <c r="X31" i="24" s="1"/>
  <c r="Z31" i="24" s="1"/>
  <c r="L31" i="24"/>
  <c r="N31" i="24" s="1"/>
  <c r="D31" i="24"/>
  <c r="B31" i="24"/>
  <c r="Z30" i="24"/>
  <c r="P30" i="24"/>
  <c r="X30" i="24" s="1"/>
  <c r="N30" i="24"/>
  <c r="D30" i="24"/>
  <c r="L30" i="24" s="1"/>
  <c r="B30" i="24"/>
  <c r="Z29" i="24"/>
  <c r="P29" i="24"/>
  <c r="X29" i="24" s="1"/>
  <c r="N29" i="24"/>
  <c r="L29" i="24"/>
  <c r="D29" i="24"/>
  <c r="B29" i="24"/>
  <c r="Z28" i="24"/>
  <c r="X28" i="24"/>
  <c r="P28" i="24"/>
  <c r="N28" i="24"/>
  <c r="D28" i="24"/>
  <c r="L28" i="24" s="1"/>
  <c r="B28" i="24"/>
  <c r="Z27" i="24"/>
  <c r="X27" i="24"/>
  <c r="P27" i="24"/>
  <c r="N27" i="24"/>
  <c r="D27" i="24"/>
  <c r="L27" i="24" s="1"/>
  <c r="B27" i="24"/>
  <c r="Z26" i="24"/>
  <c r="X26" i="24"/>
  <c r="P26" i="24"/>
  <c r="N26" i="24"/>
  <c r="D26" i="24"/>
  <c r="L26" i="24" s="1"/>
  <c r="B26" i="24"/>
  <c r="Z25" i="24"/>
  <c r="P25" i="24"/>
  <c r="X25" i="24" s="1"/>
  <c r="N25" i="24"/>
  <c r="L25" i="24"/>
  <c r="D25" i="24"/>
  <c r="B25" i="24"/>
  <c r="Z24" i="24"/>
  <c r="X24" i="24"/>
  <c r="P24" i="24"/>
  <c r="N24" i="24"/>
  <c r="L24" i="24"/>
  <c r="D24" i="24"/>
  <c r="B24" i="24"/>
  <c r="Z23" i="24"/>
  <c r="P23" i="24"/>
  <c r="X23" i="24" s="1"/>
  <c r="N23" i="24"/>
  <c r="L23" i="24"/>
  <c r="D23" i="24"/>
  <c r="B23" i="24"/>
  <c r="Z22" i="24"/>
  <c r="X22" i="24"/>
  <c r="P22" i="24"/>
  <c r="N22" i="24"/>
  <c r="D22" i="24"/>
  <c r="L22" i="24" s="1"/>
  <c r="B22" i="24"/>
  <c r="Z21" i="24"/>
  <c r="P21" i="24"/>
  <c r="X21" i="24" s="1"/>
  <c r="N21" i="24"/>
  <c r="L21" i="24"/>
  <c r="D21" i="24"/>
  <c r="B21" i="24"/>
  <c r="Z20" i="24"/>
  <c r="X20" i="24"/>
  <c r="P20" i="24"/>
  <c r="N20" i="24"/>
  <c r="D20" i="24"/>
  <c r="L20" i="24" s="1"/>
  <c r="B20" i="24"/>
  <c r="Z19" i="24"/>
  <c r="P19" i="24"/>
  <c r="X19" i="24" s="1"/>
  <c r="N19" i="24"/>
  <c r="L19" i="24"/>
  <c r="D19" i="24"/>
  <c r="B19" i="24"/>
  <c r="Z18" i="24"/>
  <c r="P18" i="24"/>
  <c r="X18" i="24" s="1"/>
  <c r="N18" i="24"/>
  <c r="D18" i="24"/>
  <c r="L18" i="24" s="1"/>
  <c r="B18" i="24"/>
  <c r="Z17" i="24"/>
  <c r="P17" i="24"/>
  <c r="X17" i="24" s="1"/>
  <c r="N17" i="24"/>
  <c r="L17" i="24"/>
  <c r="D17" i="24"/>
  <c r="B17" i="24"/>
  <c r="Z16" i="24"/>
  <c r="X16" i="24"/>
  <c r="P16" i="24"/>
  <c r="N16" i="24"/>
  <c r="D16" i="24"/>
  <c r="L16" i="24" s="1"/>
  <c r="B16" i="24"/>
  <c r="Z15" i="24"/>
  <c r="X15" i="24"/>
  <c r="P15" i="24"/>
  <c r="N15" i="24"/>
  <c r="D15" i="24"/>
  <c r="L15" i="24" s="1"/>
  <c r="B15" i="24"/>
  <c r="Z14" i="24"/>
  <c r="X14" i="24"/>
  <c r="P14" i="24"/>
  <c r="N14" i="24"/>
  <c r="D14" i="24"/>
  <c r="L14" i="24" s="1"/>
  <c r="B14" i="24"/>
  <c r="P13" i="24"/>
  <c r="X13" i="24" s="1"/>
  <c r="Z13" i="24" s="1"/>
  <c r="L13" i="24"/>
  <c r="N13" i="24" s="1"/>
  <c r="D13" i="24"/>
  <c r="D12" i="24" s="1"/>
  <c r="B13" i="24"/>
  <c r="T12" i="24"/>
  <c r="V129" i="24" s="1"/>
  <c r="H12" i="24"/>
  <c r="J125" i="24" s="1"/>
  <c r="D4" i="24"/>
  <c r="Z120" i="21"/>
  <c r="X120" i="21"/>
  <c r="N120" i="21"/>
  <c r="L120" i="21"/>
  <c r="T116" i="21"/>
  <c r="X116" i="21" s="1"/>
  <c r="P116" i="21"/>
  <c r="H116" i="21"/>
  <c r="N116" i="21" s="1"/>
  <c r="D116" i="21"/>
  <c r="X114" i="21"/>
  <c r="Z114" i="21" s="1"/>
  <c r="N114" i="21"/>
  <c r="L114" i="21"/>
  <c r="B114" i="21"/>
  <c r="T113" i="21"/>
  <c r="P113" i="21"/>
  <c r="X113" i="21" s="1"/>
  <c r="Z113" i="21" s="1"/>
  <c r="L113" i="21"/>
  <c r="N113" i="21" s="1"/>
  <c r="H113" i="21"/>
  <c r="D113" i="21"/>
  <c r="B113" i="21"/>
  <c r="Z112" i="21"/>
  <c r="X112" i="21"/>
  <c r="N112" i="21"/>
  <c r="L112" i="21"/>
  <c r="B112" i="21"/>
  <c r="X111" i="21"/>
  <c r="Z111" i="21" s="1"/>
  <c r="T111" i="21"/>
  <c r="P111" i="21"/>
  <c r="H111" i="21"/>
  <c r="N111" i="21" s="1"/>
  <c r="D111" i="21"/>
  <c r="B111" i="21"/>
  <c r="Z110" i="21"/>
  <c r="X110" i="21"/>
  <c r="L110" i="21"/>
  <c r="N110" i="21" s="1"/>
  <c r="B110" i="21"/>
  <c r="T109" i="21"/>
  <c r="P109" i="21"/>
  <c r="H109" i="21"/>
  <c r="D109" i="21"/>
  <c r="L109" i="21" s="1"/>
  <c r="B109" i="21"/>
  <c r="Z108" i="21"/>
  <c r="X108" i="21"/>
  <c r="N108" i="21"/>
  <c r="L108" i="21"/>
  <c r="B108" i="21"/>
  <c r="X107" i="21"/>
  <c r="T107" i="21"/>
  <c r="Z107" i="21" s="1"/>
  <c r="P107" i="21"/>
  <c r="H107" i="21"/>
  <c r="D107" i="21"/>
  <c r="L107" i="21" s="1"/>
  <c r="N107" i="21" s="1"/>
  <c r="B107" i="21"/>
  <c r="Z106" i="21"/>
  <c r="X106" i="21"/>
  <c r="N106" i="21"/>
  <c r="L106" i="21"/>
  <c r="B106" i="21"/>
  <c r="X105" i="21"/>
  <c r="Z105" i="21" s="1"/>
  <c r="L105" i="21"/>
  <c r="N105" i="21" s="1"/>
  <c r="B105" i="21"/>
  <c r="Z104" i="21"/>
  <c r="X104" i="21"/>
  <c r="N104" i="21"/>
  <c r="L104" i="21"/>
  <c r="B104" i="21"/>
  <c r="X103" i="21"/>
  <c r="Z103" i="21" s="1"/>
  <c r="N103" i="21"/>
  <c r="L103" i="21"/>
  <c r="B103" i="21"/>
  <c r="Z102" i="21"/>
  <c r="X102" i="21"/>
  <c r="N102" i="21"/>
  <c r="L102" i="21"/>
  <c r="B102" i="21"/>
  <c r="X101" i="21"/>
  <c r="Z101" i="21" s="1"/>
  <c r="L101" i="21"/>
  <c r="N101" i="21" s="1"/>
  <c r="B101" i="21"/>
  <c r="Z100" i="21"/>
  <c r="X100" i="21"/>
  <c r="N100" i="21"/>
  <c r="L100" i="21"/>
  <c r="B100" i="21"/>
  <c r="X99" i="21"/>
  <c r="Z99" i="21" s="1"/>
  <c r="L99" i="21"/>
  <c r="N99" i="21" s="1"/>
  <c r="B99" i="21"/>
  <c r="Z98" i="21"/>
  <c r="X98" i="21"/>
  <c r="N98" i="21"/>
  <c r="L98" i="21"/>
  <c r="B98" i="21"/>
  <c r="T97" i="21"/>
  <c r="P97" i="21"/>
  <c r="L97" i="21"/>
  <c r="N97" i="21" s="1"/>
  <c r="H97" i="21"/>
  <c r="D97" i="21"/>
  <c r="B97" i="21"/>
  <c r="Z96" i="21"/>
  <c r="X96" i="21"/>
  <c r="N96" i="21"/>
  <c r="L96" i="21"/>
  <c r="B96" i="21"/>
  <c r="T95" i="21"/>
  <c r="P95" i="21"/>
  <c r="X95" i="21" s="1"/>
  <c r="H95" i="21"/>
  <c r="D95" i="21"/>
  <c r="B95" i="21"/>
  <c r="X94" i="21"/>
  <c r="Z94" i="21" s="1"/>
  <c r="N94" i="21"/>
  <c r="L94" i="21"/>
  <c r="B94" i="21"/>
  <c r="Z93" i="21"/>
  <c r="X93" i="21"/>
  <c r="L93" i="21"/>
  <c r="N93" i="21" s="1"/>
  <c r="B93" i="21"/>
  <c r="Z92" i="21"/>
  <c r="X92" i="21"/>
  <c r="N92" i="21"/>
  <c r="L92" i="21"/>
  <c r="B92" i="21"/>
  <c r="X91" i="21"/>
  <c r="Z91" i="21" s="1"/>
  <c r="L91" i="21"/>
  <c r="N91" i="21" s="1"/>
  <c r="B91" i="21"/>
  <c r="Z90" i="21"/>
  <c r="X90" i="21"/>
  <c r="N90" i="21"/>
  <c r="L90" i="21"/>
  <c r="B90" i="21"/>
  <c r="T89" i="21"/>
  <c r="P89" i="21"/>
  <c r="X89" i="21" s="1"/>
  <c r="Z89" i="21" s="1"/>
  <c r="L89" i="21"/>
  <c r="H89" i="21"/>
  <c r="N89" i="21" s="1"/>
  <c r="D89" i="21"/>
  <c r="B89" i="21"/>
  <c r="Z88" i="21"/>
  <c r="X88" i="21"/>
  <c r="N88" i="21"/>
  <c r="L88" i="21"/>
  <c r="B88" i="21"/>
  <c r="Z87" i="21"/>
  <c r="X87" i="21"/>
  <c r="N87" i="21"/>
  <c r="L87" i="21"/>
  <c r="B87" i="21"/>
  <c r="T86" i="21"/>
  <c r="P86" i="21"/>
  <c r="X86" i="21" s="1"/>
  <c r="Z86" i="21" s="1"/>
  <c r="H86" i="21"/>
  <c r="D86" i="21"/>
  <c r="L86" i="21" s="1"/>
  <c r="B86" i="21"/>
  <c r="X85" i="21"/>
  <c r="Z85" i="21" s="1"/>
  <c r="N85" i="21"/>
  <c r="L85" i="21"/>
  <c r="B85" i="21"/>
  <c r="Z84" i="21"/>
  <c r="X84" i="21"/>
  <c r="N84" i="21"/>
  <c r="L84" i="21"/>
  <c r="B84" i="21"/>
  <c r="Z83" i="21"/>
  <c r="X83" i="21"/>
  <c r="N83" i="21"/>
  <c r="L83" i="21"/>
  <c r="B83" i="21"/>
  <c r="Z82" i="21"/>
  <c r="X82" i="21"/>
  <c r="T82" i="21"/>
  <c r="P82" i="21"/>
  <c r="N82" i="21"/>
  <c r="L82" i="21"/>
  <c r="H82" i="21"/>
  <c r="D82" i="21"/>
  <c r="B82" i="21"/>
  <c r="Z81" i="21"/>
  <c r="X81" i="21"/>
  <c r="L81" i="21"/>
  <c r="N81" i="21" s="1"/>
  <c r="B81" i="21"/>
  <c r="T80" i="21"/>
  <c r="X80" i="21" s="1"/>
  <c r="Z80" i="21" s="1"/>
  <c r="P80" i="21"/>
  <c r="H80" i="21"/>
  <c r="L80" i="21" s="1"/>
  <c r="D80" i="21"/>
  <c r="B80" i="21"/>
  <c r="Z79" i="21"/>
  <c r="X79" i="21"/>
  <c r="N79" i="21"/>
  <c r="L79" i="21"/>
  <c r="B79" i="21"/>
  <c r="Z78" i="21"/>
  <c r="T78" i="21"/>
  <c r="P78" i="21"/>
  <c r="X78" i="21" s="1"/>
  <c r="H78" i="21"/>
  <c r="N78" i="21" s="1"/>
  <c r="D78" i="21"/>
  <c r="L78" i="21" s="1"/>
  <c r="B78" i="21"/>
  <c r="X77" i="21"/>
  <c r="Z77" i="21" s="1"/>
  <c r="N77" i="21"/>
  <c r="L77" i="21"/>
  <c r="B77" i="21"/>
  <c r="Z76" i="21"/>
  <c r="X76" i="21"/>
  <c r="T76" i="21"/>
  <c r="P76" i="21"/>
  <c r="N76" i="21"/>
  <c r="L76" i="21"/>
  <c r="H76" i="21"/>
  <c r="D76" i="21"/>
  <c r="B76" i="21"/>
  <c r="X75" i="21"/>
  <c r="Z75" i="21" s="1"/>
  <c r="L75" i="21"/>
  <c r="N75" i="21" s="1"/>
  <c r="B75" i="21"/>
  <c r="T74" i="21"/>
  <c r="X74" i="21" s="1"/>
  <c r="P74" i="21"/>
  <c r="H74" i="21"/>
  <c r="L74" i="21" s="1"/>
  <c r="N74" i="21" s="1"/>
  <c r="D74" i="21"/>
  <c r="B74" i="21"/>
  <c r="X73" i="21"/>
  <c r="Z73" i="21" s="1"/>
  <c r="L73" i="21"/>
  <c r="N73" i="21" s="1"/>
  <c r="B73" i="21"/>
  <c r="T72" i="21"/>
  <c r="P72" i="21"/>
  <c r="X72" i="21" s="1"/>
  <c r="H72" i="21"/>
  <c r="D72" i="21"/>
  <c r="L72" i="21" s="1"/>
  <c r="N72" i="21" s="1"/>
  <c r="B72" i="21"/>
  <c r="Z71" i="21"/>
  <c r="X71" i="21"/>
  <c r="N71" i="21"/>
  <c r="L71" i="21"/>
  <c r="B71" i="21"/>
  <c r="Z70" i="21"/>
  <c r="X70" i="21"/>
  <c r="T70" i="21"/>
  <c r="P70" i="21"/>
  <c r="N70" i="21"/>
  <c r="L70" i="21"/>
  <c r="H70" i="21"/>
  <c r="D70" i="21"/>
  <c r="B70" i="21"/>
  <c r="Z69" i="21"/>
  <c r="X69" i="21"/>
  <c r="L69" i="21"/>
  <c r="N69" i="21" s="1"/>
  <c r="B69" i="21"/>
  <c r="T68" i="21"/>
  <c r="X68" i="21" s="1"/>
  <c r="Z68" i="21" s="1"/>
  <c r="P68" i="21"/>
  <c r="H68" i="21"/>
  <c r="L68" i="21" s="1"/>
  <c r="D68" i="21"/>
  <c r="B68" i="21"/>
  <c r="X67" i="21"/>
  <c r="Z67" i="21" s="1"/>
  <c r="L67" i="21"/>
  <c r="N67" i="21" s="1"/>
  <c r="B67" i="21"/>
  <c r="T66" i="21"/>
  <c r="P66" i="21"/>
  <c r="X66" i="21" s="1"/>
  <c r="Z66" i="21" s="1"/>
  <c r="H66" i="21"/>
  <c r="D66" i="21"/>
  <c r="L66" i="21" s="1"/>
  <c r="B66" i="21"/>
  <c r="Z65" i="21"/>
  <c r="X65" i="21"/>
  <c r="N65" i="21"/>
  <c r="L65" i="21"/>
  <c r="B65" i="21"/>
  <c r="Z64" i="21"/>
  <c r="X64" i="21"/>
  <c r="T64" i="21"/>
  <c r="P64" i="21"/>
  <c r="N64" i="21"/>
  <c r="L64" i="21"/>
  <c r="H64" i="21"/>
  <c r="D64" i="21"/>
  <c r="B64" i="21"/>
  <c r="X63" i="21"/>
  <c r="Z63" i="21" s="1"/>
  <c r="L63" i="21"/>
  <c r="N63" i="21" s="1"/>
  <c r="B63" i="21"/>
  <c r="X62" i="21"/>
  <c r="Z62" i="21" s="1"/>
  <c r="N62" i="21"/>
  <c r="L62" i="21"/>
  <c r="B62" i="21"/>
  <c r="Z61" i="21"/>
  <c r="X61" i="21"/>
  <c r="L61" i="21"/>
  <c r="N61" i="21" s="1"/>
  <c r="B61" i="21"/>
  <c r="T60" i="21"/>
  <c r="X60" i="21" s="1"/>
  <c r="Z60" i="21" s="1"/>
  <c r="P60" i="21"/>
  <c r="H60" i="21"/>
  <c r="L60" i="21" s="1"/>
  <c r="D60" i="21"/>
  <c r="B60" i="21"/>
  <c r="X59" i="21"/>
  <c r="Z59" i="21" s="1"/>
  <c r="L59" i="21"/>
  <c r="N59" i="21" s="1"/>
  <c r="B59" i="21"/>
  <c r="T58" i="21"/>
  <c r="P58" i="21"/>
  <c r="X58" i="21" s="1"/>
  <c r="Z58" i="21" s="1"/>
  <c r="H58" i="21"/>
  <c r="N58" i="21" s="1"/>
  <c r="D58" i="21"/>
  <c r="L58" i="21" s="1"/>
  <c r="B58" i="21"/>
  <c r="X57" i="21"/>
  <c r="Z57" i="21" s="1"/>
  <c r="N57" i="21"/>
  <c r="L57" i="21"/>
  <c r="B57" i="21"/>
  <c r="X56" i="21"/>
  <c r="Z56" i="21" s="1"/>
  <c r="T56" i="21"/>
  <c r="P56" i="21"/>
  <c r="N56" i="21"/>
  <c r="L56" i="21"/>
  <c r="H56" i="21"/>
  <c r="D56" i="21"/>
  <c r="B56" i="21"/>
  <c r="X55" i="21"/>
  <c r="Z55" i="21" s="1"/>
  <c r="L55" i="21"/>
  <c r="N55" i="21" s="1"/>
  <c r="B55" i="21"/>
  <c r="T54" i="21"/>
  <c r="X54" i="21" s="1"/>
  <c r="P54" i="21"/>
  <c r="H54" i="21"/>
  <c r="L54" i="21" s="1"/>
  <c r="N54" i="21" s="1"/>
  <c r="D54" i="21"/>
  <c r="B54" i="21"/>
  <c r="Z53" i="21"/>
  <c r="X53" i="21"/>
  <c r="N53" i="21"/>
  <c r="L53" i="21"/>
  <c r="B53" i="21"/>
  <c r="Z52" i="21"/>
  <c r="X52" i="21"/>
  <c r="N52" i="21"/>
  <c r="L52" i="21"/>
  <c r="J52" i="21"/>
  <c r="B52" i="21"/>
  <c r="X51" i="21"/>
  <c r="Z51" i="21" s="1"/>
  <c r="L51" i="21"/>
  <c r="N51" i="21" s="1"/>
  <c r="B51" i="21"/>
  <c r="Z50" i="21"/>
  <c r="X50" i="21"/>
  <c r="N50" i="21"/>
  <c r="L50" i="21"/>
  <c r="B50" i="21"/>
  <c r="Z49" i="21"/>
  <c r="X49" i="21"/>
  <c r="N49" i="21"/>
  <c r="L49" i="21"/>
  <c r="B49" i="21"/>
  <c r="Z48" i="21"/>
  <c r="X48" i="21"/>
  <c r="L48" i="21"/>
  <c r="N48" i="21" s="1"/>
  <c r="J48" i="21"/>
  <c r="B48" i="21"/>
  <c r="X47" i="21"/>
  <c r="Z47" i="21" s="1"/>
  <c r="L47" i="21"/>
  <c r="N47" i="21" s="1"/>
  <c r="B47" i="21"/>
  <c r="Z46" i="21"/>
  <c r="X46" i="21"/>
  <c r="N46" i="21"/>
  <c r="L46" i="21"/>
  <c r="B46" i="21"/>
  <c r="X45" i="21"/>
  <c r="Z45" i="21" s="1"/>
  <c r="L45" i="21"/>
  <c r="N45" i="21" s="1"/>
  <c r="B45" i="21"/>
  <c r="Z44" i="21"/>
  <c r="X44" i="21"/>
  <c r="L44" i="21"/>
  <c r="N44" i="21" s="1"/>
  <c r="J44" i="21"/>
  <c r="B44" i="21"/>
  <c r="X43" i="21"/>
  <c r="Z43" i="21" s="1"/>
  <c r="T43" i="21"/>
  <c r="P43" i="21"/>
  <c r="H43" i="21"/>
  <c r="D43" i="21"/>
  <c r="B43" i="21"/>
  <c r="Z42" i="21"/>
  <c r="X42" i="21"/>
  <c r="N42" i="21"/>
  <c r="L42" i="21"/>
  <c r="B42" i="21"/>
  <c r="X41" i="21"/>
  <c r="Z41" i="21" s="1"/>
  <c r="N41" i="21"/>
  <c r="L41" i="21"/>
  <c r="B41" i="21"/>
  <c r="X40" i="21"/>
  <c r="Z40" i="21" s="1"/>
  <c r="N40" i="21"/>
  <c r="L40" i="21"/>
  <c r="B40" i="21"/>
  <c r="Z39" i="21"/>
  <c r="X39" i="21"/>
  <c r="N39" i="21"/>
  <c r="L39" i="21"/>
  <c r="B39" i="21"/>
  <c r="Z38" i="21"/>
  <c r="X38" i="21"/>
  <c r="L38" i="21"/>
  <c r="N38" i="21" s="1"/>
  <c r="B38" i="21"/>
  <c r="X37" i="21"/>
  <c r="Z37" i="21" s="1"/>
  <c r="N37" i="21"/>
  <c r="L37" i="21"/>
  <c r="B37" i="21"/>
  <c r="X36" i="21"/>
  <c r="Z36" i="21" s="1"/>
  <c r="N36" i="21"/>
  <c r="L36" i="21"/>
  <c r="B36" i="21"/>
  <c r="X35" i="21"/>
  <c r="Z35" i="21" s="1"/>
  <c r="L35" i="21"/>
  <c r="N35" i="21" s="1"/>
  <c r="B35" i="21"/>
  <c r="Z34" i="21"/>
  <c r="X34" i="21"/>
  <c r="L34" i="21"/>
  <c r="N34" i="21" s="1"/>
  <c r="B34" i="21"/>
  <c r="X33" i="21"/>
  <c r="T33" i="21"/>
  <c r="Z33" i="21" s="1"/>
  <c r="P33" i="21"/>
  <c r="H33" i="21"/>
  <c r="N33" i="21" s="1"/>
  <c r="D33" i="21"/>
  <c r="L33" i="21" s="1"/>
  <c r="B33" i="21"/>
  <c r="T32" i="21"/>
  <c r="P32" i="21"/>
  <c r="H32" i="21"/>
  <c r="L32" i="21" s="1"/>
  <c r="D32" i="21"/>
  <c r="H30" i="21"/>
  <c r="H118" i="21" s="1"/>
  <c r="Z28" i="21"/>
  <c r="X28" i="21"/>
  <c r="N28" i="21"/>
  <c r="L28" i="21"/>
  <c r="B28" i="21"/>
  <c r="Z27" i="21"/>
  <c r="X27" i="21"/>
  <c r="N27" i="21"/>
  <c r="L27" i="21"/>
  <c r="J27" i="21"/>
  <c r="B27" i="21"/>
  <c r="X26" i="21"/>
  <c r="Z26" i="21" s="1"/>
  <c r="N26" i="21"/>
  <c r="L26" i="21"/>
  <c r="B26" i="21"/>
  <c r="T25" i="21"/>
  <c r="P25" i="21"/>
  <c r="X25" i="21" s="1"/>
  <c r="Z25" i="21" s="1"/>
  <c r="L25" i="21"/>
  <c r="N25" i="21" s="1"/>
  <c r="H25" i="21"/>
  <c r="D25" i="21"/>
  <c r="Z23" i="21"/>
  <c r="P23" i="21"/>
  <c r="X23" i="21" s="1"/>
  <c r="N23" i="21"/>
  <c r="D23" i="21"/>
  <c r="L23" i="21" s="1"/>
  <c r="B23" i="21"/>
  <c r="Z22" i="21"/>
  <c r="P22" i="21"/>
  <c r="X22" i="21" s="1"/>
  <c r="N22" i="21"/>
  <c r="D22" i="21"/>
  <c r="L22" i="21" s="1"/>
  <c r="B22" i="21"/>
  <c r="Z21" i="21"/>
  <c r="P21" i="21"/>
  <c r="X21" i="21" s="1"/>
  <c r="N21" i="21"/>
  <c r="D21" i="21"/>
  <c r="L21" i="21" s="1"/>
  <c r="B21" i="21"/>
  <c r="Z20" i="21"/>
  <c r="P20" i="21"/>
  <c r="X20" i="21" s="1"/>
  <c r="N20" i="21"/>
  <c r="D20" i="21"/>
  <c r="L20" i="21" s="1"/>
  <c r="B20" i="21"/>
  <c r="Z19" i="21"/>
  <c r="P19" i="21"/>
  <c r="X19" i="21" s="1"/>
  <c r="N19" i="21"/>
  <c r="D19" i="21"/>
  <c r="L19" i="21" s="1"/>
  <c r="B19" i="21"/>
  <c r="Z18" i="21"/>
  <c r="X18" i="21"/>
  <c r="P18" i="21"/>
  <c r="N18" i="21"/>
  <c r="D18" i="21"/>
  <c r="L18" i="21" s="1"/>
  <c r="B18" i="21"/>
  <c r="X17" i="21"/>
  <c r="Z17" i="21" s="1"/>
  <c r="P17" i="21"/>
  <c r="D17" i="21"/>
  <c r="L17" i="21" s="1"/>
  <c r="N17" i="21" s="1"/>
  <c r="B17" i="21"/>
  <c r="Z16" i="21"/>
  <c r="X16" i="21"/>
  <c r="P16" i="21"/>
  <c r="N16" i="21"/>
  <c r="D16" i="21"/>
  <c r="L16" i="21" s="1"/>
  <c r="B16" i="21"/>
  <c r="Z15" i="21"/>
  <c r="X15" i="21"/>
  <c r="P15" i="21"/>
  <c r="N15" i="21"/>
  <c r="L15" i="21"/>
  <c r="D15" i="21"/>
  <c r="B15" i="21"/>
  <c r="Z14" i="21"/>
  <c r="P14" i="21"/>
  <c r="X14" i="21" s="1"/>
  <c r="N14" i="21"/>
  <c r="L14" i="21"/>
  <c r="D14" i="21"/>
  <c r="B14" i="21"/>
  <c r="P13" i="21"/>
  <c r="P12" i="21" s="1"/>
  <c r="L13" i="21"/>
  <c r="N13" i="21" s="1"/>
  <c r="D13" i="21"/>
  <c r="B13" i="21"/>
  <c r="T12" i="21"/>
  <c r="V95" i="21" s="1"/>
  <c r="H12" i="21"/>
  <c r="J109" i="21" s="1"/>
  <c r="D4" i="21"/>
  <c r="X297" i="18"/>
  <c r="Z297" i="18" s="1"/>
  <c r="L297" i="18"/>
  <c r="N297" i="18" s="1"/>
  <c r="Z293" i="18"/>
  <c r="P293" i="18"/>
  <c r="X293" i="18" s="1"/>
  <c r="N293" i="18"/>
  <c r="L293" i="18"/>
  <c r="D293" i="18"/>
  <c r="B293" i="18"/>
  <c r="X292" i="18"/>
  <c r="Z292" i="18" s="1"/>
  <c r="P292" i="18"/>
  <c r="L292" i="18"/>
  <c r="N292" i="18" s="1"/>
  <c r="D292" i="18"/>
  <c r="B292" i="18"/>
  <c r="Z291" i="18"/>
  <c r="X291" i="18"/>
  <c r="P291" i="18"/>
  <c r="N291" i="18"/>
  <c r="D291" i="18"/>
  <c r="L291" i="18" s="1"/>
  <c r="B291" i="18"/>
  <c r="Z290" i="18"/>
  <c r="X290" i="18"/>
  <c r="P290" i="18"/>
  <c r="N290" i="18"/>
  <c r="D290" i="18"/>
  <c r="L290" i="18" s="1"/>
  <c r="B290" i="18"/>
  <c r="P289" i="18"/>
  <c r="X289" i="18" s="1"/>
  <c r="Z289" i="18" s="1"/>
  <c r="D289" i="18"/>
  <c r="L289" i="18" s="1"/>
  <c r="N289" i="18" s="1"/>
  <c r="B289" i="18"/>
  <c r="P288" i="18"/>
  <c r="X288" i="18" s="1"/>
  <c r="Z288" i="18" s="1"/>
  <c r="D288" i="18"/>
  <c r="L288" i="18" s="1"/>
  <c r="N288" i="18" s="1"/>
  <c r="B288" i="18"/>
  <c r="Z287" i="18"/>
  <c r="X287" i="18"/>
  <c r="P287" i="18"/>
  <c r="N287" i="18"/>
  <c r="L287" i="18"/>
  <c r="D287" i="18"/>
  <c r="B287" i="18"/>
  <c r="Z286" i="18"/>
  <c r="X286" i="18"/>
  <c r="P286" i="18"/>
  <c r="N286" i="18"/>
  <c r="L286" i="18"/>
  <c r="D286" i="18"/>
  <c r="B286" i="18"/>
  <c r="Z285" i="18"/>
  <c r="X285" i="18"/>
  <c r="P285" i="18"/>
  <c r="N285" i="18"/>
  <c r="L285" i="18"/>
  <c r="D285" i="18"/>
  <c r="B285" i="18"/>
  <c r="Z284" i="18"/>
  <c r="P284" i="18"/>
  <c r="X284" i="18" s="1"/>
  <c r="N284" i="18"/>
  <c r="D284" i="18"/>
  <c r="L284" i="18" s="1"/>
  <c r="B284" i="18"/>
  <c r="Z283" i="18"/>
  <c r="P283" i="18"/>
  <c r="P281" i="18" s="1"/>
  <c r="X281" i="18" s="1"/>
  <c r="Z281" i="18" s="1"/>
  <c r="N283" i="18"/>
  <c r="D283" i="18"/>
  <c r="L283" i="18" s="1"/>
  <c r="B283" i="18"/>
  <c r="Z282" i="18"/>
  <c r="P282" i="18"/>
  <c r="X282" i="18" s="1"/>
  <c r="N282" i="18"/>
  <c r="L282" i="18"/>
  <c r="D282" i="18"/>
  <c r="B282" i="18"/>
  <c r="T281" i="18"/>
  <c r="H281" i="18"/>
  <c r="Z279" i="18"/>
  <c r="X279" i="18"/>
  <c r="L279" i="18"/>
  <c r="N279" i="18" s="1"/>
  <c r="B279" i="18"/>
  <c r="T278" i="18"/>
  <c r="P278" i="18"/>
  <c r="H278" i="18"/>
  <c r="L278" i="18" s="1"/>
  <c r="D278" i="18"/>
  <c r="B278" i="18"/>
  <c r="X277" i="18"/>
  <c r="Z277" i="18" s="1"/>
  <c r="N277" i="18"/>
  <c r="L277" i="18"/>
  <c r="B277" i="18"/>
  <c r="Z276" i="18"/>
  <c r="X276" i="18"/>
  <c r="L276" i="18"/>
  <c r="N276" i="18" s="1"/>
  <c r="B276" i="18"/>
  <c r="Z275" i="18"/>
  <c r="X275" i="18"/>
  <c r="N275" i="18"/>
  <c r="L275" i="18"/>
  <c r="B275" i="18"/>
  <c r="T274" i="18"/>
  <c r="P274" i="18"/>
  <c r="X274" i="18" s="1"/>
  <c r="H274" i="18"/>
  <c r="D274" i="18"/>
  <c r="L274" i="18" s="1"/>
  <c r="N274" i="18" s="1"/>
  <c r="B274" i="18"/>
  <c r="X273" i="18"/>
  <c r="Z273" i="18" s="1"/>
  <c r="L273" i="18"/>
  <c r="N273" i="18" s="1"/>
  <c r="B273" i="18"/>
  <c r="X272" i="18"/>
  <c r="Z272" i="18" s="1"/>
  <c r="T272" i="18"/>
  <c r="P272" i="18"/>
  <c r="L272" i="18"/>
  <c r="N272" i="18" s="1"/>
  <c r="H272" i="18"/>
  <c r="D272" i="18"/>
  <c r="B272" i="18"/>
  <c r="Z271" i="18"/>
  <c r="X271" i="18"/>
  <c r="L271" i="18"/>
  <c r="N271" i="18" s="1"/>
  <c r="B271" i="18"/>
  <c r="Z270" i="18"/>
  <c r="X270" i="18"/>
  <c r="N270" i="18"/>
  <c r="L270" i="18"/>
  <c r="B270" i="18"/>
  <c r="X269" i="18"/>
  <c r="Z269" i="18" s="1"/>
  <c r="T269" i="18"/>
  <c r="P269" i="18"/>
  <c r="H269" i="18"/>
  <c r="D269" i="18"/>
  <c r="L269" i="18" s="1"/>
  <c r="N269" i="18" s="1"/>
  <c r="B269" i="18"/>
  <c r="Z268" i="18"/>
  <c r="X268" i="18"/>
  <c r="L268" i="18"/>
  <c r="N268" i="18" s="1"/>
  <c r="B268" i="18"/>
  <c r="X267" i="18"/>
  <c r="Z267" i="18" s="1"/>
  <c r="L267" i="18"/>
  <c r="N267" i="18" s="1"/>
  <c r="B267" i="18"/>
  <c r="Z266" i="18"/>
  <c r="X266" i="18"/>
  <c r="L266" i="18"/>
  <c r="N266" i="18" s="1"/>
  <c r="B266" i="18"/>
  <c r="X265" i="18"/>
  <c r="Z265" i="18" s="1"/>
  <c r="L265" i="18"/>
  <c r="N265" i="18" s="1"/>
  <c r="B265" i="18"/>
  <c r="Z264" i="18"/>
  <c r="X264" i="18"/>
  <c r="L264" i="18"/>
  <c r="N264" i="18" s="1"/>
  <c r="B264" i="18"/>
  <c r="X263" i="18"/>
  <c r="Z263" i="18" s="1"/>
  <c r="L263" i="18"/>
  <c r="N263" i="18" s="1"/>
  <c r="B263" i="18"/>
  <c r="Z262" i="18"/>
  <c r="X262" i="18"/>
  <c r="L262" i="18"/>
  <c r="N262" i="18" s="1"/>
  <c r="B262" i="18"/>
  <c r="X261" i="18"/>
  <c r="Z261" i="18" s="1"/>
  <c r="T261" i="18"/>
  <c r="P261" i="18"/>
  <c r="H261" i="18"/>
  <c r="D261" i="18"/>
  <c r="B261" i="18"/>
  <c r="X260" i="18"/>
  <c r="Z260" i="18" s="1"/>
  <c r="L260" i="18"/>
  <c r="N260" i="18" s="1"/>
  <c r="B260" i="18"/>
  <c r="X259" i="18"/>
  <c r="Z259" i="18" s="1"/>
  <c r="N259" i="18"/>
  <c r="L259" i="18"/>
  <c r="B259" i="18"/>
  <c r="X258" i="18"/>
  <c r="Z258" i="18" s="1"/>
  <c r="T258" i="18"/>
  <c r="P258" i="18"/>
  <c r="L258" i="18"/>
  <c r="N258" i="18" s="1"/>
  <c r="H258" i="18"/>
  <c r="D258" i="18"/>
  <c r="B258" i="18"/>
  <c r="X257" i="18"/>
  <c r="Z257" i="18" s="1"/>
  <c r="L257" i="18"/>
  <c r="N257" i="18" s="1"/>
  <c r="B257" i="18"/>
  <c r="X256" i="18"/>
  <c r="Z256" i="18" s="1"/>
  <c r="N256" i="18"/>
  <c r="L256" i="18"/>
  <c r="B256" i="18"/>
  <c r="Z255" i="18"/>
  <c r="X255" i="18"/>
  <c r="L255" i="18"/>
  <c r="N255" i="18" s="1"/>
  <c r="B255" i="18"/>
  <c r="Z254" i="18"/>
  <c r="X254" i="18"/>
  <c r="N254" i="18"/>
  <c r="L254" i="18"/>
  <c r="B254" i="18"/>
  <c r="X253" i="18"/>
  <c r="Z253" i="18" s="1"/>
  <c r="T253" i="18"/>
  <c r="P253" i="18"/>
  <c r="H253" i="18"/>
  <c r="D253" i="18"/>
  <c r="L253" i="18" s="1"/>
  <c r="N253" i="18" s="1"/>
  <c r="B253" i="18"/>
  <c r="Z252" i="18"/>
  <c r="X252" i="18"/>
  <c r="N252" i="18"/>
  <c r="L252" i="18"/>
  <c r="B252" i="18"/>
  <c r="X251" i="18"/>
  <c r="Z251" i="18" s="1"/>
  <c r="L251" i="18"/>
  <c r="N251" i="18" s="1"/>
  <c r="B251" i="18"/>
  <c r="Z250" i="18"/>
  <c r="X250" i="18"/>
  <c r="L250" i="18"/>
  <c r="N250" i="18" s="1"/>
  <c r="B250" i="18"/>
  <c r="X249" i="18"/>
  <c r="Z249" i="18" s="1"/>
  <c r="L249" i="18"/>
  <c r="N249" i="18" s="1"/>
  <c r="B249" i="18"/>
  <c r="T248" i="18"/>
  <c r="P248" i="18"/>
  <c r="X248" i="18" s="1"/>
  <c r="Z248" i="18" s="1"/>
  <c r="H248" i="18"/>
  <c r="D248" i="18"/>
  <c r="L248" i="18" s="1"/>
  <c r="B248" i="18"/>
  <c r="X247" i="18"/>
  <c r="Z247" i="18" s="1"/>
  <c r="N247" i="18"/>
  <c r="L247" i="18"/>
  <c r="B247" i="18"/>
  <c r="X246" i="18"/>
  <c r="Z246" i="18" s="1"/>
  <c r="N246" i="18"/>
  <c r="L246" i="18"/>
  <c r="B246" i="18"/>
  <c r="X245" i="18"/>
  <c r="Z245" i="18" s="1"/>
  <c r="N245" i="18"/>
  <c r="L245" i="18"/>
  <c r="B245" i="18"/>
  <c r="X244" i="18"/>
  <c r="Z244" i="18" s="1"/>
  <c r="N244" i="18"/>
  <c r="L244" i="18"/>
  <c r="B244" i="18"/>
  <c r="T243" i="18"/>
  <c r="P243" i="18"/>
  <c r="H243" i="18"/>
  <c r="D243" i="18"/>
  <c r="L243" i="18" s="1"/>
  <c r="B243" i="18"/>
  <c r="Z242" i="18"/>
  <c r="X242" i="18"/>
  <c r="N242" i="18"/>
  <c r="L242" i="18"/>
  <c r="B242" i="18"/>
  <c r="Z241" i="18"/>
  <c r="X241" i="18"/>
  <c r="T241" i="18"/>
  <c r="P241" i="18"/>
  <c r="H241" i="18"/>
  <c r="D241" i="18"/>
  <c r="L241" i="18" s="1"/>
  <c r="N241" i="18" s="1"/>
  <c r="B241" i="18"/>
  <c r="Z240" i="18"/>
  <c r="X240" i="18"/>
  <c r="L240" i="18"/>
  <c r="N240" i="18" s="1"/>
  <c r="B240" i="18"/>
  <c r="T239" i="18"/>
  <c r="P239" i="18"/>
  <c r="L239" i="18"/>
  <c r="N239" i="18" s="1"/>
  <c r="H239" i="18"/>
  <c r="D239" i="18"/>
  <c r="B239" i="18"/>
  <c r="X238" i="18"/>
  <c r="Z238" i="18" s="1"/>
  <c r="N238" i="18"/>
  <c r="L238" i="18"/>
  <c r="B238" i="18"/>
  <c r="T237" i="18"/>
  <c r="P237" i="18"/>
  <c r="X237" i="18" s="1"/>
  <c r="H237" i="18"/>
  <c r="D237" i="18"/>
  <c r="B237" i="18"/>
  <c r="X236" i="18"/>
  <c r="Z236" i="18" s="1"/>
  <c r="N236" i="18"/>
  <c r="L236" i="18"/>
  <c r="B236" i="18"/>
  <c r="T235" i="18"/>
  <c r="P235" i="18"/>
  <c r="X235" i="18" s="1"/>
  <c r="Z235" i="18" s="1"/>
  <c r="N235" i="18"/>
  <c r="L235" i="18"/>
  <c r="H235" i="18"/>
  <c r="D235" i="18"/>
  <c r="B235" i="18"/>
  <c r="Z234" i="18"/>
  <c r="X234" i="18"/>
  <c r="L234" i="18"/>
  <c r="N234" i="18" s="1"/>
  <c r="B234" i="18"/>
  <c r="X233" i="18"/>
  <c r="Z233" i="18" s="1"/>
  <c r="T233" i="18"/>
  <c r="P233" i="18"/>
  <c r="H233" i="18"/>
  <c r="D233" i="18"/>
  <c r="B233" i="18"/>
  <c r="X232" i="18"/>
  <c r="Z232" i="18" s="1"/>
  <c r="L232" i="18"/>
  <c r="N232" i="18" s="1"/>
  <c r="B232" i="18"/>
  <c r="X231" i="18"/>
  <c r="Z231" i="18" s="1"/>
  <c r="N231" i="18"/>
  <c r="L231" i="18"/>
  <c r="B231" i="18"/>
  <c r="X230" i="18"/>
  <c r="Z230" i="18" s="1"/>
  <c r="V230" i="18"/>
  <c r="T230" i="18"/>
  <c r="P230" i="18"/>
  <c r="L230" i="18"/>
  <c r="N230" i="18" s="1"/>
  <c r="H230" i="18"/>
  <c r="D230" i="18"/>
  <c r="B230" i="18"/>
  <c r="X229" i="18"/>
  <c r="Z229" i="18" s="1"/>
  <c r="L229" i="18"/>
  <c r="N229" i="18" s="1"/>
  <c r="B229" i="18"/>
  <c r="T228" i="18"/>
  <c r="X228" i="18" s="1"/>
  <c r="P228" i="18"/>
  <c r="H228" i="18"/>
  <c r="D228" i="18"/>
  <c r="B228" i="18"/>
  <c r="X227" i="18"/>
  <c r="Z227" i="18" s="1"/>
  <c r="V227" i="18"/>
  <c r="L227" i="18"/>
  <c r="N227" i="18" s="1"/>
  <c r="B227" i="18"/>
  <c r="T226" i="18"/>
  <c r="P226" i="18"/>
  <c r="X226" i="18" s="1"/>
  <c r="H226" i="18"/>
  <c r="D226" i="18"/>
  <c r="L226" i="18" s="1"/>
  <c r="N226" i="18" s="1"/>
  <c r="B226" i="18"/>
  <c r="Z225" i="18"/>
  <c r="X225" i="18"/>
  <c r="N225" i="18"/>
  <c r="L225" i="18"/>
  <c r="B225" i="18"/>
  <c r="X224" i="18"/>
  <c r="Z224" i="18" s="1"/>
  <c r="L224" i="18"/>
  <c r="N224" i="18" s="1"/>
  <c r="B224" i="18"/>
  <c r="T223" i="18"/>
  <c r="P223" i="18"/>
  <c r="H223" i="18"/>
  <c r="N223" i="18" s="1"/>
  <c r="D223" i="18"/>
  <c r="L223" i="18" s="1"/>
  <c r="B223" i="18"/>
  <c r="Z222" i="18"/>
  <c r="X222" i="18"/>
  <c r="N222" i="18"/>
  <c r="L222" i="18"/>
  <c r="B222" i="18"/>
  <c r="X221" i="18"/>
  <c r="Z221" i="18" s="1"/>
  <c r="L221" i="18"/>
  <c r="N221" i="18" s="1"/>
  <c r="B221" i="18"/>
  <c r="T220" i="18"/>
  <c r="X220" i="18" s="1"/>
  <c r="P220" i="18"/>
  <c r="H220" i="18"/>
  <c r="D220" i="18"/>
  <c r="B220" i="18"/>
  <c r="X219" i="18"/>
  <c r="Z219" i="18" s="1"/>
  <c r="V219" i="18"/>
  <c r="L219" i="18"/>
  <c r="N219" i="18" s="1"/>
  <c r="B219" i="18"/>
  <c r="Z218" i="18"/>
  <c r="X218" i="18"/>
  <c r="L218" i="18"/>
  <c r="N218" i="18" s="1"/>
  <c r="B218" i="18"/>
  <c r="X217" i="18"/>
  <c r="Z217" i="18" s="1"/>
  <c r="L217" i="18"/>
  <c r="N217" i="18" s="1"/>
  <c r="B217" i="18"/>
  <c r="Z216" i="18"/>
  <c r="X216" i="18"/>
  <c r="L216" i="18"/>
  <c r="N216" i="18" s="1"/>
  <c r="B216" i="18"/>
  <c r="V215" i="18"/>
  <c r="T215" i="18"/>
  <c r="P215" i="18"/>
  <c r="L215" i="18"/>
  <c r="N215" i="18" s="1"/>
  <c r="H215" i="18"/>
  <c r="D215" i="18"/>
  <c r="B215" i="18"/>
  <c r="X214" i="18"/>
  <c r="Z214" i="18" s="1"/>
  <c r="V214" i="18"/>
  <c r="N214" i="18"/>
  <c r="L214" i="18"/>
  <c r="B214" i="18"/>
  <c r="T213" i="18"/>
  <c r="Z213" i="18" s="1"/>
  <c r="P213" i="18"/>
  <c r="X213" i="18" s="1"/>
  <c r="L213" i="18"/>
  <c r="H213" i="18"/>
  <c r="N213" i="18" s="1"/>
  <c r="D213" i="18"/>
  <c r="B213" i="18"/>
  <c r="X212" i="18"/>
  <c r="Z212" i="18" s="1"/>
  <c r="N212" i="18"/>
  <c r="L212" i="18"/>
  <c r="B212" i="18"/>
  <c r="Z211" i="18"/>
  <c r="X211" i="18"/>
  <c r="L211" i="18"/>
  <c r="N211" i="18" s="1"/>
  <c r="B211" i="18"/>
  <c r="T210" i="18"/>
  <c r="P210" i="18"/>
  <c r="H210" i="18"/>
  <c r="L210" i="18" s="1"/>
  <c r="D210" i="18"/>
  <c r="B210" i="18"/>
  <c r="X209" i="18"/>
  <c r="Z209" i="18" s="1"/>
  <c r="L209" i="18"/>
  <c r="N209" i="18" s="1"/>
  <c r="B209" i="18"/>
  <c r="T208" i="18"/>
  <c r="P208" i="18"/>
  <c r="X208" i="18" s="1"/>
  <c r="Z208" i="18" s="1"/>
  <c r="H208" i="18"/>
  <c r="N208" i="18" s="1"/>
  <c r="D208" i="18"/>
  <c r="L208" i="18" s="1"/>
  <c r="B208" i="18"/>
  <c r="Z207" i="18"/>
  <c r="X207" i="18"/>
  <c r="N207" i="18"/>
  <c r="L207" i="18"/>
  <c r="B207" i="18"/>
  <c r="Z206" i="18"/>
  <c r="X206" i="18"/>
  <c r="V206" i="18"/>
  <c r="N206" i="18"/>
  <c r="L206" i="18"/>
  <c r="B206" i="18"/>
  <c r="X205" i="18"/>
  <c r="Z205" i="18" s="1"/>
  <c r="N205" i="18"/>
  <c r="L205" i="18"/>
  <c r="B205" i="18"/>
  <c r="X204" i="18"/>
  <c r="Z204" i="18" s="1"/>
  <c r="L204" i="18"/>
  <c r="N204" i="18" s="1"/>
  <c r="B204" i="18"/>
  <c r="Z203" i="18"/>
  <c r="X203" i="18"/>
  <c r="N203" i="18"/>
  <c r="L203" i="18"/>
  <c r="B203" i="18"/>
  <c r="X202" i="18"/>
  <c r="Z202" i="18" s="1"/>
  <c r="V202" i="18"/>
  <c r="N202" i="18"/>
  <c r="L202" i="18"/>
  <c r="B202" i="18"/>
  <c r="X201" i="18"/>
  <c r="Z201" i="18" s="1"/>
  <c r="N201" i="18"/>
  <c r="L201" i="18"/>
  <c r="B201" i="18"/>
  <c r="Z200" i="18"/>
  <c r="X200" i="18"/>
  <c r="N200" i="18"/>
  <c r="L200" i="18"/>
  <c r="B200" i="18"/>
  <c r="X199" i="18"/>
  <c r="Z199" i="18" s="1"/>
  <c r="N199" i="18"/>
  <c r="L199" i="18"/>
  <c r="B199" i="18"/>
  <c r="X198" i="18"/>
  <c r="Z198" i="18" s="1"/>
  <c r="V198" i="18"/>
  <c r="N198" i="18"/>
  <c r="L198" i="18"/>
  <c r="B198" i="18"/>
  <c r="T197" i="18"/>
  <c r="P197" i="18"/>
  <c r="X197" i="18" s="1"/>
  <c r="L197" i="18"/>
  <c r="H197" i="18"/>
  <c r="N197" i="18" s="1"/>
  <c r="D197" i="18"/>
  <c r="B197" i="18"/>
  <c r="X196" i="18"/>
  <c r="Z196" i="18" s="1"/>
  <c r="N196" i="18"/>
  <c r="L196" i="18"/>
  <c r="B196" i="18"/>
  <c r="Z195" i="18"/>
  <c r="X195" i="18"/>
  <c r="L195" i="18"/>
  <c r="N195" i="18" s="1"/>
  <c r="B195" i="18"/>
  <c r="Z194" i="18"/>
  <c r="X194" i="18"/>
  <c r="N194" i="18"/>
  <c r="L194" i="18"/>
  <c r="B194" i="18"/>
  <c r="Z193" i="18"/>
  <c r="X193" i="18"/>
  <c r="N193" i="18"/>
  <c r="L193" i="18"/>
  <c r="B193" i="18"/>
  <c r="Z192" i="18"/>
  <c r="X192" i="18"/>
  <c r="N192" i="18"/>
  <c r="L192" i="18"/>
  <c r="B192" i="18"/>
  <c r="Z191" i="18"/>
  <c r="X191" i="18"/>
  <c r="L191" i="18"/>
  <c r="N191" i="18" s="1"/>
  <c r="B191" i="18"/>
  <c r="Z190" i="18"/>
  <c r="X190" i="18"/>
  <c r="N190" i="18"/>
  <c r="L190" i="18"/>
  <c r="B190" i="18"/>
  <c r="Z189" i="18"/>
  <c r="X189" i="18"/>
  <c r="L189" i="18"/>
  <c r="N189" i="18" s="1"/>
  <c r="B189" i="18"/>
  <c r="X188" i="18"/>
  <c r="Z188" i="18" s="1"/>
  <c r="N188" i="18"/>
  <c r="L188" i="18"/>
  <c r="B188" i="18"/>
  <c r="Z187" i="18"/>
  <c r="X187" i="18"/>
  <c r="L187" i="18"/>
  <c r="N187" i="18" s="1"/>
  <c r="B187" i="18"/>
  <c r="T186" i="18"/>
  <c r="P186" i="18"/>
  <c r="H186" i="18"/>
  <c r="D186" i="18"/>
  <c r="B186" i="18"/>
  <c r="X185" i="18"/>
  <c r="Z185" i="18" s="1"/>
  <c r="V185" i="18"/>
  <c r="T185" i="18"/>
  <c r="P185" i="18"/>
  <c r="H185" i="18"/>
  <c r="D185" i="18"/>
  <c r="L185" i="18" s="1"/>
  <c r="H183" i="18"/>
  <c r="Z181" i="18"/>
  <c r="X181" i="18"/>
  <c r="V181" i="18"/>
  <c r="N181" i="18"/>
  <c r="L181" i="18"/>
  <c r="B181" i="18"/>
  <c r="Z180" i="18"/>
  <c r="X180" i="18"/>
  <c r="V180" i="18"/>
  <c r="N180" i="18"/>
  <c r="L180" i="18"/>
  <c r="B180" i="18"/>
  <c r="Z179" i="18"/>
  <c r="X179" i="18"/>
  <c r="V179" i="18"/>
  <c r="N179" i="18"/>
  <c r="L179" i="18"/>
  <c r="B179" i="18"/>
  <c r="Z178" i="18"/>
  <c r="X178" i="18"/>
  <c r="N178" i="18"/>
  <c r="L178" i="18"/>
  <c r="J178" i="18"/>
  <c r="B178" i="18"/>
  <c r="Z177" i="18"/>
  <c r="X177" i="18"/>
  <c r="V177" i="18"/>
  <c r="N177" i="18"/>
  <c r="L177" i="18"/>
  <c r="B177" i="18"/>
  <c r="Z176" i="18"/>
  <c r="X176" i="18"/>
  <c r="V176" i="18"/>
  <c r="N176" i="18"/>
  <c r="L176" i="18"/>
  <c r="B176" i="18"/>
  <c r="Z175" i="18"/>
  <c r="X175" i="18"/>
  <c r="V175" i="18"/>
  <c r="N175" i="18"/>
  <c r="L175" i="18"/>
  <c r="B175" i="18"/>
  <c r="Z174" i="18"/>
  <c r="X174" i="18"/>
  <c r="N174" i="18"/>
  <c r="L174" i="18"/>
  <c r="B174" i="18"/>
  <c r="Z173" i="18"/>
  <c r="X173" i="18"/>
  <c r="V173" i="18"/>
  <c r="N173" i="18"/>
  <c r="L173" i="18"/>
  <c r="B173" i="18"/>
  <c r="Z172" i="18"/>
  <c r="X172" i="18"/>
  <c r="V172" i="18"/>
  <c r="N172" i="18"/>
  <c r="L172" i="18"/>
  <c r="B172" i="18"/>
  <c r="Z171" i="18"/>
  <c r="X171" i="18"/>
  <c r="V171" i="18"/>
  <c r="N171" i="18"/>
  <c r="L171" i="18"/>
  <c r="B171" i="18"/>
  <c r="Z170" i="18"/>
  <c r="X170" i="18"/>
  <c r="N170" i="18"/>
  <c r="L170" i="18"/>
  <c r="B170" i="18"/>
  <c r="Z169" i="18"/>
  <c r="X169" i="18"/>
  <c r="V169" i="18"/>
  <c r="N169" i="18"/>
  <c r="L169" i="18"/>
  <c r="B169" i="18"/>
  <c r="Z168" i="18"/>
  <c r="X168" i="18"/>
  <c r="V168" i="18"/>
  <c r="N168" i="18"/>
  <c r="L168" i="18"/>
  <c r="B168" i="18"/>
  <c r="Z167" i="18"/>
  <c r="X167" i="18"/>
  <c r="V167" i="18"/>
  <c r="N167" i="18"/>
  <c r="L167" i="18"/>
  <c r="B167" i="18"/>
  <c r="Z166" i="18"/>
  <c r="X166" i="18"/>
  <c r="N166" i="18"/>
  <c r="L166" i="18"/>
  <c r="B166" i="18"/>
  <c r="Z165" i="18"/>
  <c r="X165" i="18"/>
  <c r="V165" i="18"/>
  <c r="N165" i="18"/>
  <c r="L165" i="18"/>
  <c r="B165" i="18"/>
  <c r="Z164" i="18"/>
  <c r="X164" i="18"/>
  <c r="V164" i="18"/>
  <c r="N164" i="18"/>
  <c r="L164" i="18"/>
  <c r="B164" i="18"/>
  <c r="Z163" i="18"/>
  <c r="X163" i="18"/>
  <c r="V163" i="18"/>
  <c r="N163" i="18"/>
  <c r="L163" i="18"/>
  <c r="B163" i="18"/>
  <c r="Z162" i="18"/>
  <c r="X162" i="18"/>
  <c r="N162" i="18"/>
  <c r="L162" i="18"/>
  <c r="B162" i="18"/>
  <c r="Z161" i="18"/>
  <c r="X161" i="18"/>
  <c r="V161" i="18"/>
  <c r="N161" i="18"/>
  <c r="L161" i="18"/>
  <c r="B161" i="18"/>
  <c r="Z160" i="18"/>
  <c r="X160" i="18"/>
  <c r="V160" i="18"/>
  <c r="N160" i="18"/>
  <c r="L160" i="18"/>
  <c r="B160" i="18"/>
  <c r="Z159" i="18"/>
  <c r="X159" i="18"/>
  <c r="V159" i="18"/>
  <c r="N159" i="18"/>
  <c r="L159" i="18"/>
  <c r="B159" i="18"/>
  <c r="Z158" i="18"/>
  <c r="X158" i="18"/>
  <c r="N158" i="18"/>
  <c r="L158" i="18"/>
  <c r="B158" i="18"/>
  <c r="Z157" i="18"/>
  <c r="X157" i="18"/>
  <c r="V157" i="18"/>
  <c r="N157" i="18"/>
  <c r="L157" i="18"/>
  <c r="B157" i="18"/>
  <c r="Z156" i="18"/>
  <c r="X156" i="18"/>
  <c r="V156" i="18"/>
  <c r="N156" i="18"/>
  <c r="L156" i="18"/>
  <c r="B156" i="18"/>
  <c r="Z155" i="18"/>
  <c r="X155" i="18"/>
  <c r="V155" i="18"/>
  <c r="N155" i="18"/>
  <c r="L155" i="18"/>
  <c r="B155" i="18"/>
  <c r="Z154" i="18"/>
  <c r="X154" i="18"/>
  <c r="N154" i="18"/>
  <c r="L154" i="18"/>
  <c r="J154" i="18"/>
  <c r="B154" i="18"/>
  <c r="Z153" i="18"/>
  <c r="X153" i="18"/>
  <c r="V153" i="18"/>
  <c r="N153" i="18"/>
  <c r="L153" i="18"/>
  <c r="B153" i="18"/>
  <c r="Z152" i="18"/>
  <c r="X152" i="18"/>
  <c r="V152" i="18"/>
  <c r="N152" i="18"/>
  <c r="L152" i="18"/>
  <c r="B152" i="18"/>
  <c r="Z151" i="18"/>
  <c r="X151" i="18"/>
  <c r="V151" i="18"/>
  <c r="N151" i="18"/>
  <c r="L151" i="18"/>
  <c r="B151" i="18"/>
  <c r="Z150" i="18"/>
  <c r="X150" i="18"/>
  <c r="N150" i="18"/>
  <c r="L150" i="18"/>
  <c r="J150" i="18"/>
  <c r="B150" i="18"/>
  <c r="Z149" i="18"/>
  <c r="X149" i="18"/>
  <c r="V149" i="18"/>
  <c r="N149" i="18"/>
  <c r="L149" i="18"/>
  <c r="B149" i="18"/>
  <c r="Z148" i="18"/>
  <c r="X148" i="18"/>
  <c r="V148" i="18"/>
  <c r="N148" i="18"/>
  <c r="L148" i="18"/>
  <c r="B148" i="18"/>
  <c r="Z147" i="18"/>
  <c r="X147" i="18"/>
  <c r="V147" i="18"/>
  <c r="N147" i="18"/>
  <c r="L147" i="18"/>
  <c r="B147" i="18"/>
  <c r="Z146" i="18"/>
  <c r="X146" i="18"/>
  <c r="N146" i="18"/>
  <c r="L146" i="18"/>
  <c r="B146" i="18"/>
  <c r="Z145" i="18"/>
  <c r="X145" i="18"/>
  <c r="V145" i="18"/>
  <c r="N145" i="18"/>
  <c r="L145" i="18"/>
  <c r="B145" i="18"/>
  <c r="Z144" i="18"/>
  <c r="X144" i="18"/>
  <c r="V144" i="18"/>
  <c r="N144" i="18"/>
  <c r="L144" i="18"/>
  <c r="B144" i="18"/>
  <c r="Z143" i="18"/>
  <c r="X143" i="18"/>
  <c r="V143" i="18"/>
  <c r="N143" i="18"/>
  <c r="L143" i="18"/>
  <c r="B143" i="18"/>
  <c r="Z142" i="18"/>
  <c r="X142" i="18"/>
  <c r="N142" i="18"/>
  <c r="L142" i="18"/>
  <c r="B142" i="18"/>
  <c r="Z141" i="18"/>
  <c r="X141" i="18"/>
  <c r="V141" i="18"/>
  <c r="N141" i="18"/>
  <c r="L141" i="18"/>
  <c r="B141" i="18"/>
  <c r="Z140" i="18"/>
  <c r="X140" i="18"/>
  <c r="V140" i="18"/>
  <c r="N140" i="18"/>
  <c r="L140" i="18"/>
  <c r="B140" i="18"/>
  <c r="Z139" i="18"/>
  <c r="X139" i="18"/>
  <c r="V139" i="18"/>
  <c r="N139" i="18"/>
  <c r="L139" i="18"/>
  <c r="B139" i="18"/>
  <c r="Z138" i="18"/>
  <c r="X138" i="18"/>
  <c r="N138" i="18"/>
  <c r="L138" i="18"/>
  <c r="B138" i="18"/>
  <c r="Z137" i="18"/>
  <c r="X137" i="18"/>
  <c r="V137" i="18"/>
  <c r="N137" i="18"/>
  <c r="L137" i="18"/>
  <c r="B137" i="18"/>
  <c r="Z136" i="18"/>
  <c r="X136" i="18"/>
  <c r="V136" i="18"/>
  <c r="N136" i="18"/>
  <c r="L136" i="18"/>
  <c r="B136" i="18"/>
  <c r="Z135" i="18"/>
  <c r="X135" i="18"/>
  <c r="V135" i="18"/>
  <c r="N135" i="18"/>
  <c r="L135" i="18"/>
  <c r="B135" i="18"/>
  <c r="Z134" i="18"/>
  <c r="X134" i="18"/>
  <c r="N134" i="18"/>
  <c r="L134" i="18"/>
  <c r="J134" i="18"/>
  <c r="B134" i="18"/>
  <c r="Z133" i="18"/>
  <c r="X133" i="18"/>
  <c r="V133" i="18"/>
  <c r="N133" i="18"/>
  <c r="L133" i="18"/>
  <c r="B133" i="18"/>
  <c r="Z132" i="18"/>
  <c r="X132" i="18"/>
  <c r="V132" i="18"/>
  <c r="N132" i="18"/>
  <c r="L132" i="18"/>
  <c r="B132" i="18"/>
  <c r="Z131" i="18"/>
  <c r="X131" i="18"/>
  <c r="V131" i="18"/>
  <c r="N131" i="18"/>
  <c r="L131" i="18"/>
  <c r="B131" i="18"/>
  <c r="Z130" i="18"/>
  <c r="X130" i="18"/>
  <c r="N130" i="18"/>
  <c r="L130" i="18"/>
  <c r="J130" i="18"/>
  <c r="B130" i="18"/>
  <c r="Z129" i="18"/>
  <c r="X129" i="18"/>
  <c r="V129" i="18"/>
  <c r="N129" i="18"/>
  <c r="L129" i="18"/>
  <c r="B129" i="18"/>
  <c r="Z128" i="18"/>
  <c r="X128" i="18"/>
  <c r="V128" i="18"/>
  <c r="N128" i="18"/>
  <c r="L128" i="18"/>
  <c r="B128" i="18"/>
  <c r="Z127" i="18"/>
  <c r="X127" i="18"/>
  <c r="V127" i="18"/>
  <c r="N127" i="18"/>
  <c r="L127" i="18"/>
  <c r="B127" i="18"/>
  <c r="Z126" i="18"/>
  <c r="X126" i="18"/>
  <c r="N126" i="18"/>
  <c r="L126" i="18"/>
  <c r="J126" i="18"/>
  <c r="B126" i="18"/>
  <c r="Z125" i="18"/>
  <c r="X125" i="18"/>
  <c r="V125" i="18"/>
  <c r="N125" i="18"/>
  <c r="L125" i="18"/>
  <c r="B125" i="18"/>
  <c r="Z124" i="18"/>
  <c r="X124" i="18"/>
  <c r="V124" i="18"/>
  <c r="L124" i="18"/>
  <c r="N124" i="18" s="1"/>
  <c r="B124" i="18"/>
  <c r="T123" i="18"/>
  <c r="P123" i="18"/>
  <c r="X123" i="18" s="1"/>
  <c r="L123" i="18"/>
  <c r="N123" i="18" s="1"/>
  <c r="J123" i="18"/>
  <c r="H123" i="18"/>
  <c r="D123" i="18"/>
  <c r="Z121" i="18"/>
  <c r="P121" i="18"/>
  <c r="X121" i="18" s="1"/>
  <c r="N121" i="18"/>
  <c r="D121" i="18"/>
  <c r="L121" i="18" s="1"/>
  <c r="B121" i="18"/>
  <c r="Z120" i="18"/>
  <c r="X120" i="18"/>
  <c r="P120" i="18"/>
  <c r="N120" i="18"/>
  <c r="L120" i="18"/>
  <c r="D120" i="18"/>
  <c r="B120" i="18"/>
  <c r="Z119" i="18"/>
  <c r="X119" i="18"/>
  <c r="P119" i="18"/>
  <c r="N119" i="18"/>
  <c r="D119" i="18"/>
  <c r="L119" i="18" s="1"/>
  <c r="B119" i="18"/>
  <c r="Z118" i="18"/>
  <c r="P118" i="18"/>
  <c r="X118" i="18" s="1"/>
  <c r="N118" i="18"/>
  <c r="L118" i="18"/>
  <c r="D118" i="18"/>
  <c r="B118" i="18"/>
  <c r="Z117" i="18"/>
  <c r="X117" i="18"/>
  <c r="P117" i="18"/>
  <c r="N117" i="18"/>
  <c r="L117" i="18"/>
  <c r="D117" i="18"/>
  <c r="B117" i="18"/>
  <c r="Z116" i="18"/>
  <c r="P116" i="18"/>
  <c r="X116" i="18" s="1"/>
  <c r="N116" i="18"/>
  <c r="L116" i="18"/>
  <c r="D116" i="18"/>
  <c r="B116" i="18"/>
  <c r="Z115" i="18"/>
  <c r="P115" i="18"/>
  <c r="X115" i="18" s="1"/>
  <c r="N115" i="18"/>
  <c r="D115" i="18"/>
  <c r="L115" i="18" s="1"/>
  <c r="B115" i="18"/>
  <c r="Z114" i="18"/>
  <c r="P114" i="18"/>
  <c r="X114" i="18" s="1"/>
  <c r="N114" i="18"/>
  <c r="L114" i="18"/>
  <c r="D114" i="18"/>
  <c r="B114" i="18"/>
  <c r="Z113" i="18"/>
  <c r="X113" i="18"/>
  <c r="P113" i="18"/>
  <c r="N113" i="18"/>
  <c r="D113" i="18"/>
  <c r="L113" i="18" s="1"/>
  <c r="B113" i="18"/>
  <c r="Z112" i="18"/>
  <c r="P112" i="18"/>
  <c r="X112" i="18" s="1"/>
  <c r="N112" i="18"/>
  <c r="D112" i="18"/>
  <c r="L112" i="18" s="1"/>
  <c r="B112" i="18"/>
  <c r="Z111" i="18"/>
  <c r="X111" i="18"/>
  <c r="P111" i="18"/>
  <c r="N111" i="18"/>
  <c r="D111" i="18"/>
  <c r="L111" i="18" s="1"/>
  <c r="B111" i="18"/>
  <c r="Z110" i="18"/>
  <c r="P110" i="18"/>
  <c r="X110" i="18" s="1"/>
  <c r="N110" i="18"/>
  <c r="L110" i="18"/>
  <c r="D110" i="18"/>
  <c r="B110" i="18"/>
  <c r="Z109" i="18"/>
  <c r="X109" i="18"/>
  <c r="P109" i="18"/>
  <c r="N109" i="18"/>
  <c r="D109" i="18"/>
  <c r="L109" i="18" s="1"/>
  <c r="B109" i="18"/>
  <c r="Z108" i="18"/>
  <c r="X108" i="18"/>
  <c r="P108" i="18"/>
  <c r="N108" i="18"/>
  <c r="L108" i="18"/>
  <c r="D108" i="18"/>
  <c r="B108" i="18"/>
  <c r="Z107" i="18"/>
  <c r="X107" i="18"/>
  <c r="P107" i="18"/>
  <c r="N107" i="18"/>
  <c r="D107" i="18"/>
  <c r="L107" i="18" s="1"/>
  <c r="B107" i="18"/>
  <c r="Z106" i="18"/>
  <c r="P106" i="18"/>
  <c r="X106" i="18" s="1"/>
  <c r="N106" i="18"/>
  <c r="D106" i="18"/>
  <c r="L106" i="18" s="1"/>
  <c r="B106" i="18"/>
  <c r="Z105" i="18"/>
  <c r="X105" i="18"/>
  <c r="P105" i="18"/>
  <c r="N105" i="18"/>
  <c r="L105" i="18"/>
  <c r="D105" i="18"/>
  <c r="B105" i="18"/>
  <c r="Z104" i="18"/>
  <c r="P104" i="18"/>
  <c r="X104" i="18" s="1"/>
  <c r="N104" i="18"/>
  <c r="L104" i="18"/>
  <c r="D104" i="18"/>
  <c r="B104" i="18"/>
  <c r="Z103" i="18"/>
  <c r="P103" i="18"/>
  <c r="X103" i="18" s="1"/>
  <c r="N103" i="18"/>
  <c r="D103" i="18"/>
  <c r="L103" i="18" s="1"/>
  <c r="B103" i="18"/>
  <c r="Z102" i="18"/>
  <c r="P102" i="18"/>
  <c r="X102" i="18" s="1"/>
  <c r="N102" i="18"/>
  <c r="L102" i="18"/>
  <c r="D102" i="18"/>
  <c r="B102" i="18"/>
  <c r="Z101" i="18"/>
  <c r="X101" i="18"/>
  <c r="P101" i="18"/>
  <c r="N101" i="18"/>
  <c r="D101" i="18"/>
  <c r="L101" i="18" s="1"/>
  <c r="B101" i="18"/>
  <c r="Z100" i="18"/>
  <c r="P100" i="18"/>
  <c r="X100" i="18" s="1"/>
  <c r="N100" i="18"/>
  <c r="L100" i="18"/>
  <c r="D100" i="18"/>
  <c r="B100" i="18"/>
  <c r="Z99" i="18"/>
  <c r="X99" i="18"/>
  <c r="P99" i="18"/>
  <c r="N99" i="18"/>
  <c r="L99" i="18"/>
  <c r="D99" i="18"/>
  <c r="B99" i="18"/>
  <c r="Z98" i="18"/>
  <c r="P98" i="18"/>
  <c r="X98" i="18" s="1"/>
  <c r="N98" i="18"/>
  <c r="L98" i="18"/>
  <c r="D98" i="18"/>
  <c r="B98" i="18"/>
  <c r="Z97" i="18"/>
  <c r="P97" i="18"/>
  <c r="X97" i="18" s="1"/>
  <c r="N97" i="18"/>
  <c r="D97" i="18"/>
  <c r="L97" i="18" s="1"/>
  <c r="B97" i="18"/>
  <c r="Z96" i="18"/>
  <c r="X96" i="18"/>
  <c r="P96" i="18"/>
  <c r="N96" i="18"/>
  <c r="L96" i="18"/>
  <c r="D96" i="18"/>
  <c r="B96" i="18"/>
  <c r="Z95" i="18"/>
  <c r="X95" i="18"/>
  <c r="P95" i="18"/>
  <c r="N95" i="18"/>
  <c r="D95" i="18"/>
  <c r="L95" i="18" s="1"/>
  <c r="B95" i="18"/>
  <c r="Z94" i="18"/>
  <c r="P94" i="18"/>
  <c r="X94" i="18" s="1"/>
  <c r="N94" i="18"/>
  <c r="D94" i="18"/>
  <c r="L94" i="18" s="1"/>
  <c r="B94" i="18"/>
  <c r="Z93" i="18"/>
  <c r="X93" i="18"/>
  <c r="P93" i="18"/>
  <c r="N93" i="18"/>
  <c r="L93" i="18"/>
  <c r="D93" i="18"/>
  <c r="B93" i="18"/>
  <c r="Z92" i="18"/>
  <c r="P92" i="18"/>
  <c r="X92" i="18" s="1"/>
  <c r="N92" i="18"/>
  <c r="L92" i="18"/>
  <c r="D92" i="18"/>
  <c r="B92" i="18"/>
  <c r="Z91" i="18"/>
  <c r="X91" i="18"/>
  <c r="P91" i="18"/>
  <c r="N91" i="18"/>
  <c r="D91" i="18"/>
  <c r="L91" i="18" s="1"/>
  <c r="B91" i="18"/>
  <c r="Z90" i="18"/>
  <c r="X90" i="18"/>
  <c r="P90" i="18"/>
  <c r="N90" i="18"/>
  <c r="L90" i="18"/>
  <c r="D90" i="18"/>
  <c r="B90" i="18"/>
  <c r="Z89" i="18"/>
  <c r="X89" i="18"/>
  <c r="P89" i="18"/>
  <c r="N89" i="18"/>
  <c r="D89" i="18"/>
  <c r="L89" i="18" s="1"/>
  <c r="B89" i="18"/>
  <c r="Z88" i="18"/>
  <c r="P88" i="18"/>
  <c r="X88" i="18" s="1"/>
  <c r="N88" i="18"/>
  <c r="D88" i="18"/>
  <c r="L88" i="18" s="1"/>
  <c r="B88" i="18"/>
  <c r="Z87" i="18"/>
  <c r="X87" i="18"/>
  <c r="P87" i="18"/>
  <c r="N87" i="18"/>
  <c r="D87" i="18"/>
  <c r="L87" i="18" s="1"/>
  <c r="B87" i="18"/>
  <c r="Z86" i="18"/>
  <c r="P86" i="18"/>
  <c r="X86" i="18" s="1"/>
  <c r="N86" i="18"/>
  <c r="L86" i="18"/>
  <c r="D86" i="18"/>
  <c r="B86" i="18"/>
  <c r="Z85" i="18"/>
  <c r="P85" i="18"/>
  <c r="X85" i="18" s="1"/>
  <c r="N85" i="18"/>
  <c r="D85" i="18"/>
  <c r="L85" i="18" s="1"/>
  <c r="B85" i="18"/>
  <c r="Z84" i="18"/>
  <c r="X84" i="18"/>
  <c r="P84" i="18"/>
  <c r="N84" i="18"/>
  <c r="L84" i="18"/>
  <c r="D84" i="18"/>
  <c r="B84" i="18"/>
  <c r="Z83" i="18"/>
  <c r="X83" i="18"/>
  <c r="P83" i="18"/>
  <c r="N83" i="18"/>
  <c r="D83" i="18"/>
  <c r="L83" i="18" s="1"/>
  <c r="B83" i="18"/>
  <c r="Z82" i="18"/>
  <c r="P82" i="18"/>
  <c r="X82" i="18" s="1"/>
  <c r="N82" i="18"/>
  <c r="L82" i="18"/>
  <c r="D82" i="18"/>
  <c r="B82" i="18"/>
  <c r="Z81" i="18"/>
  <c r="X81" i="18"/>
  <c r="P81" i="18"/>
  <c r="N81" i="18"/>
  <c r="L81" i="18"/>
  <c r="D81" i="18"/>
  <c r="B81" i="18"/>
  <c r="Z80" i="18"/>
  <c r="P80" i="18"/>
  <c r="X80" i="18" s="1"/>
  <c r="N80" i="18"/>
  <c r="L80" i="18"/>
  <c r="D80" i="18"/>
  <c r="B80" i="18"/>
  <c r="Z79" i="18"/>
  <c r="P79" i="18"/>
  <c r="X79" i="18" s="1"/>
  <c r="N79" i="18"/>
  <c r="D79" i="18"/>
  <c r="L79" i="18" s="1"/>
  <c r="B79" i="18"/>
  <c r="Z78" i="18"/>
  <c r="P78" i="18"/>
  <c r="X78" i="18" s="1"/>
  <c r="N78" i="18"/>
  <c r="L78" i="18"/>
  <c r="D78" i="18"/>
  <c r="B78" i="18"/>
  <c r="Z77" i="18"/>
  <c r="X77" i="18"/>
  <c r="P77" i="18"/>
  <c r="N77" i="18"/>
  <c r="D77" i="18"/>
  <c r="L77" i="18" s="1"/>
  <c r="B77" i="18"/>
  <c r="Z76" i="18"/>
  <c r="P76" i="18"/>
  <c r="X76" i="18" s="1"/>
  <c r="N76" i="18"/>
  <c r="D76" i="18"/>
  <c r="L76" i="18" s="1"/>
  <c r="B76" i="18"/>
  <c r="Z75" i="18"/>
  <c r="X75" i="18"/>
  <c r="P75" i="18"/>
  <c r="N75" i="18"/>
  <c r="D75" i="18"/>
  <c r="L75" i="18" s="1"/>
  <c r="B75" i="18"/>
  <c r="Z74" i="18"/>
  <c r="P74" i="18"/>
  <c r="X74" i="18" s="1"/>
  <c r="N74" i="18"/>
  <c r="L74" i="18"/>
  <c r="D74" i="18"/>
  <c r="B74" i="18"/>
  <c r="Z73" i="18"/>
  <c r="X73" i="18"/>
  <c r="P73" i="18"/>
  <c r="N73" i="18"/>
  <c r="D73" i="18"/>
  <c r="L73" i="18" s="1"/>
  <c r="B73" i="18"/>
  <c r="Z72" i="18"/>
  <c r="X72" i="18"/>
  <c r="P72" i="18"/>
  <c r="N72" i="18"/>
  <c r="L72" i="18"/>
  <c r="D72" i="18"/>
  <c r="B72" i="18"/>
  <c r="Z71" i="18"/>
  <c r="X71" i="18"/>
  <c r="P71" i="18"/>
  <c r="N71" i="18"/>
  <c r="D71" i="18"/>
  <c r="L71" i="18" s="1"/>
  <c r="B71" i="18"/>
  <c r="Z70" i="18"/>
  <c r="P70" i="18"/>
  <c r="X70" i="18" s="1"/>
  <c r="N70" i="18"/>
  <c r="D70" i="18"/>
  <c r="L70" i="18" s="1"/>
  <c r="B70" i="18"/>
  <c r="Z69" i="18"/>
  <c r="X69" i="18"/>
  <c r="P69" i="18"/>
  <c r="N69" i="18"/>
  <c r="L69" i="18"/>
  <c r="D69" i="18"/>
  <c r="B69" i="18"/>
  <c r="Z68" i="18"/>
  <c r="P68" i="18"/>
  <c r="X68" i="18" s="1"/>
  <c r="N68" i="18"/>
  <c r="L68" i="18"/>
  <c r="D68" i="18"/>
  <c r="B68" i="18"/>
  <c r="Z67" i="18"/>
  <c r="P67" i="18"/>
  <c r="X67" i="18" s="1"/>
  <c r="N67" i="18"/>
  <c r="D67" i="18"/>
  <c r="L67" i="18" s="1"/>
  <c r="B67" i="18"/>
  <c r="Z66" i="18"/>
  <c r="P66" i="18"/>
  <c r="X66" i="18" s="1"/>
  <c r="N66" i="18"/>
  <c r="L66" i="18"/>
  <c r="D66" i="18"/>
  <c r="B66" i="18"/>
  <c r="Z65" i="18"/>
  <c r="X65" i="18"/>
  <c r="P65" i="18"/>
  <c r="N65" i="18"/>
  <c r="D65" i="18"/>
  <c r="L65" i="18" s="1"/>
  <c r="B65" i="18"/>
  <c r="Z64" i="18"/>
  <c r="P64" i="18"/>
  <c r="X64" i="18" s="1"/>
  <c r="N64" i="18"/>
  <c r="L64" i="18"/>
  <c r="D64" i="18"/>
  <c r="B64" i="18"/>
  <c r="Z63" i="18"/>
  <c r="X63" i="18"/>
  <c r="P63" i="18"/>
  <c r="N63" i="18"/>
  <c r="L63" i="18"/>
  <c r="D63" i="18"/>
  <c r="B63" i="18"/>
  <c r="Z62" i="18"/>
  <c r="P62" i="18"/>
  <c r="X62" i="18" s="1"/>
  <c r="N62" i="18"/>
  <c r="L62" i="18"/>
  <c r="D62" i="18"/>
  <c r="B62" i="18"/>
  <c r="Z61" i="18"/>
  <c r="P61" i="18"/>
  <c r="X61" i="18" s="1"/>
  <c r="N61" i="18"/>
  <c r="D61" i="18"/>
  <c r="L61" i="18" s="1"/>
  <c r="B61" i="18"/>
  <c r="Z60" i="18"/>
  <c r="X60" i="18"/>
  <c r="P60" i="18"/>
  <c r="N60" i="18"/>
  <c r="L60" i="18"/>
  <c r="D60" i="18"/>
  <c r="B60" i="18"/>
  <c r="Z59" i="18"/>
  <c r="X59" i="18"/>
  <c r="P59" i="18"/>
  <c r="N59" i="18"/>
  <c r="D59" i="18"/>
  <c r="L59" i="18" s="1"/>
  <c r="B59" i="18"/>
  <c r="Z58" i="18"/>
  <c r="P58" i="18"/>
  <c r="X58" i="18" s="1"/>
  <c r="N58" i="18"/>
  <c r="D58" i="18"/>
  <c r="L58" i="18" s="1"/>
  <c r="B58" i="18"/>
  <c r="Z57" i="18"/>
  <c r="X57" i="18"/>
  <c r="P57" i="18"/>
  <c r="N57" i="18"/>
  <c r="L57" i="18"/>
  <c r="D57" i="18"/>
  <c r="B57" i="18"/>
  <c r="Z56" i="18"/>
  <c r="P56" i="18"/>
  <c r="X56" i="18" s="1"/>
  <c r="N56" i="18"/>
  <c r="L56" i="18"/>
  <c r="D56" i="18"/>
  <c r="B56" i="18"/>
  <c r="Z55" i="18"/>
  <c r="X55" i="18"/>
  <c r="P55" i="18"/>
  <c r="N55" i="18"/>
  <c r="D55" i="18"/>
  <c r="L55" i="18" s="1"/>
  <c r="B55" i="18"/>
  <c r="Z54" i="18"/>
  <c r="X54" i="18"/>
  <c r="P54" i="18"/>
  <c r="N54" i="18"/>
  <c r="L54" i="18"/>
  <c r="D54" i="18"/>
  <c r="B54" i="18"/>
  <c r="Z53" i="18"/>
  <c r="X53" i="18"/>
  <c r="P53" i="18"/>
  <c r="N53" i="18"/>
  <c r="D53" i="18"/>
  <c r="L53" i="18" s="1"/>
  <c r="B53" i="18"/>
  <c r="Z52" i="18"/>
  <c r="P52" i="18"/>
  <c r="X52" i="18" s="1"/>
  <c r="N52" i="18"/>
  <c r="D52" i="18"/>
  <c r="L52" i="18" s="1"/>
  <c r="B52" i="18"/>
  <c r="Z51" i="18"/>
  <c r="X51" i="18"/>
  <c r="P51" i="18"/>
  <c r="N51" i="18"/>
  <c r="D51" i="18"/>
  <c r="L51" i="18" s="1"/>
  <c r="B51" i="18"/>
  <c r="P50" i="18"/>
  <c r="X50" i="18" s="1"/>
  <c r="Z50" i="18" s="1"/>
  <c r="N50" i="18"/>
  <c r="L50" i="18"/>
  <c r="D50" i="18"/>
  <c r="B50" i="18"/>
  <c r="Z49" i="18"/>
  <c r="P49" i="18"/>
  <c r="X49" i="18" s="1"/>
  <c r="N49" i="18"/>
  <c r="D49" i="18"/>
  <c r="L49" i="18" s="1"/>
  <c r="B49" i="18"/>
  <c r="Z48" i="18"/>
  <c r="X48" i="18"/>
  <c r="P48" i="18"/>
  <c r="N48" i="18"/>
  <c r="L48" i="18"/>
  <c r="D48" i="18"/>
  <c r="B48" i="18"/>
  <c r="Z47" i="18"/>
  <c r="X47" i="18"/>
  <c r="P47" i="18"/>
  <c r="N47" i="18"/>
  <c r="D47" i="18"/>
  <c r="L47" i="18" s="1"/>
  <c r="B47" i="18"/>
  <c r="Z46" i="18"/>
  <c r="P46" i="18"/>
  <c r="X46" i="18" s="1"/>
  <c r="N46" i="18"/>
  <c r="L46" i="18"/>
  <c r="D46" i="18"/>
  <c r="B46" i="18"/>
  <c r="Z45" i="18"/>
  <c r="X45" i="18"/>
  <c r="P45" i="18"/>
  <c r="N45" i="18"/>
  <c r="L45" i="18"/>
  <c r="D45" i="18"/>
  <c r="B45" i="18"/>
  <c r="Z44" i="18"/>
  <c r="P44" i="18"/>
  <c r="X44" i="18" s="1"/>
  <c r="N44" i="18"/>
  <c r="L44" i="18"/>
  <c r="D44" i="18"/>
  <c r="B44" i="18"/>
  <c r="Z43" i="18"/>
  <c r="P43" i="18"/>
  <c r="X43" i="18" s="1"/>
  <c r="N43" i="18"/>
  <c r="D43" i="18"/>
  <c r="L43" i="18" s="1"/>
  <c r="B43" i="18"/>
  <c r="Z42" i="18"/>
  <c r="P42" i="18"/>
  <c r="X42" i="18" s="1"/>
  <c r="N42" i="18"/>
  <c r="L42" i="18"/>
  <c r="D42" i="18"/>
  <c r="B42" i="18"/>
  <c r="Z41" i="18"/>
  <c r="X41" i="18"/>
  <c r="P41" i="18"/>
  <c r="N41" i="18"/>
  <c r="D41" i="18"/>
  <c r="L41" i="18" s="1"/>
  <c r="B41" i="18"/>
  <c r="Z40" i="18"/>
  <c r="P40" i="18"/>
  <c r="X40" i="18" s="1"/>
  <c r="N40" i="18"/>
  <c r="D40" i="18"/>
  <c r="L40" i="18" s="1"/>
  <c r="B40" i="18"/>
  <c r="Z39" i="18"/>
  <c r="X39" i="18"/>
  <c r="P39" i="18"/>
  <c r="N39" i="18"/>
  <c r="D39" i="18"/>
  <c r="L39" i="18" s="1"/>
  <c r="B39" i="18"/>
  <c r="Z38" i="18"/>
  <c r="P38" i="18"/>
  <c r="X38" i="18" s="1"/>
  <c r="N38" i="18"/>
  <c r="L38" i="18"/>
  <c r="D38" i="18"/>
  <c r="B38" i="18"/>
  <c r="Z37" i="18"/>
  <c r="X37" i="18"/>
  <c r="P37" i="18"/>
  <c r="N37" i="18"/>
  <c r="D37" i="18"/>
  <c r="L37" i="18" s="1"/>
  <c r="B37" i="18"/>
  <c r="Z36" i="18"/>
  <c r="X36" i="18"/>
  <c r="P36" i="18"/>
  <c r="N36" i="18"/>
  <c r="L36" i="18"/>
  <c r="D36" i="18"/>
  <c r="B36" i="18"/>
  <c r="Z35" i="18"/>
  <c r="X35" i="18"/>
  <c r="P35" i="18"/>
  <c r="N35" i="18"/>
  <c r="D35" i="18"/>
  <c r="L35" i="18" s="1"/>
  <c r="B35" i="18"/>
  <c r="Z34" i="18"/>
  <c r="P34" i="18"/>
  <c r="X34" i="18" s="1"/>
  <c r="N34" i="18"/>
  <c r="D34" i="18"/>
  <c r="L34" i="18" s="1"/>
  <c r="B34" i="18"/>
  <c r="Z33" i="18"/>
  <c r="X33" i="18"/>
  <c r="P33" i="18"/>
  <c r="N33" i="18"/>
  <c r="L33" i="18"/>
  <c r="D33" i="18"/>
  <c r="B33" i="18"/>
  <c r="Z32" i="18"/>
  <c r="P32" i="18"/>
  <c r="X32" i="18" s="1"/>
  <c r="N32" i="18"/>
  <c r="L32" i="18"/>
  <c r="D32" i="18"/>
  <c r="B32" i="18"/>
  <c r="Z31" i="18"/>
  <c r="P31" i="18"/>
  <c r="X31" i="18" s="1"/>
  <c r="N31" i="18"/>
  <c r="D31" i="18"/>
  <c r="L31" i="18" s="1"/>
  <c r="B31" i="18"/>
  <c r="Z30" i="18"/>
  <c r="P30" i="18"/>
  <c r="X30" i="18" s="1"/>
  <c r="N30" i="18"/>
  <c r="L30" i="18"/>
  <c r="D30" i="18"/>
  <c r="B30" i="18"/>
  <c r="Z29" i="18"/>
  <c r="X29" i="18"/>
  <c r="P29" i="18"/>
  <c r="N29" i="18"/>
  <c r="D29" i="18"/>
  <c r="L29" i="18" s="1"/>
  <c r="B29" i="18"/>
  <c r="Z28" i="18"/>
  <c r="P28" i="18"/>
  <c r="X28" i="18" s="1"/>
  <c r="N28" i="18"/>
  <c r="L28" i="18"/>
  <c r="D28" i="18"/>
  <c r="B28" i="18"/>
  <c r="Z27" i="18"/>
  <c r="X27" i="18"/>
  <c r="P27" i="18"/>
  <c r="N27" i="18"/>
  <c r="L27" i="18"/>
  <c r="D27" i="18"/>
  <c r="B27" i="18"/>
  <c r="Z26" i="18"/>
  <c r="P26" i="18"/>
  <c r="X26" i="18" s="1"/>
  <c r="N26" i="18"/>
  <c r="L26" i="18"/>
  <c r="D26" i="18"/>
  <c r="B26" i="18"/>
  <c r="Z25" i="18"/>
  <c r="P25" i="18"/>
  <c r="X25" i="18" s="1"/>
  <c r="N25" i="18"/>
  <c r="D25" i="18"/>
  <c r="L25" i="18" s="1"/>
  <c r="B25" i="18"/>
  <c r="Z24" i="18"/>
  <c r="X24" i="18"/>
  <c r="P24" i="18"/>
  <c r="N24" i="18"/>
  <c r="L24" i="18"/>
  <c r="D24" i="18"/>
  <c r="B24" i="18"/>
  <c r="Z23" i="18"/>
  <c r="X23" i="18"/>
  <c r="P23" i="18"/>
  <c r="N23" i="18"/>
  <c r="D23" i="18"/>
  <c r="L23" i="18" s="1"/>
  <c r="B23" i="18"/>
  <c r="Z22" i="18"/>
  <c r="P22" i="18"/>
  <c r="X22" i="18" s="1"/>
  <c r="N22" i="18"/>
  <c r="D22" i="18"/>
  <c r="L22" i="18" s="1"/>
  <c r="B22" i="18"/>
  <c r="Z21" i="18"/>
  <c r="X21" i="18"/>
  <c r="P21" i="18"/>
  <c r="N21" i="18"/>
  <c r="L21" i="18"/>
  <c r="D21" i="18"/>
  <c r="B21" i="18"/>
  <c r="Z20" i="18"/>
  <c r="P20" i="18"/>
  <c r="X20" i="18" s="1"/>
  <c r="N20" i="18"/>
  <c r="L20" i="18"/>
  <c r="D20" i="18"/>
  <c r="B20" i="18"/>
  <c r="Z19" i="18"/>
  <c r="X19" i="18"/>
  <c r="P19" i="18"/>
  <c r="N19" i="18"/>
  <c r="D19" i="18"/>
  <c r="L19" i="18" s="1"/>
  <c r="B19" i="18"/>
  <c r="Z18" i="18"/>
  <c r="X18" i="18"/>
  <c r="P18" i="18"/>
  <c r="N18" i="18"/>
  <c r="L18" i="18"/>
  <c r="D18" i="18"/>
  <c r="B18" i="18"/>
  <c r="Z17" i="18"/>
  <c r="X17" i="18"/>
  <c r="P17" i="18"/>
  <c r="N17" i="18"/>
  <c r="D17" i="18"/>
  <c r="L17" i="18" s="1"/>
  <c r="B17" i="18"/>
  <c r="Z16" i="18"/>
  <c r="P16" i="18"/>
  <c r="X16" i="18" s="1"/>
  <c r="N16" i="18"/>
  <c r="D16" i="18"/>
  <c r="L16" i="18" s="1"/>
  <c r="B16" i="18"/>
  <c r="Z15" i="18"/>
  <c r="X15" i="18"/>
  <c r="P15" i="18"/>
  <c r="N15" i="18"/>
  <c r="D15" i="18"/>
  <c r="L15" i="18" s="1"/>
  <c r="B15" i="18"/>
  <c r="Z14" i="18"/>
  <c r="P14" i="18"/>
  <c r="X14" i="18" s="1"/>
  <c r="N14" i="18"/>
  <c r="L14" i="18"/>
  <c r="D14" i="18"/>
  <c r="B14" i="18"/>
  <c r="P13" i="18"/>
  <c r="D13" i="18"/>
  <c r="L13" i="18" s="1"/>
  <c r="N13" i="18" s="1"/>
  <c r="B13" i="18"/>
  <c r="T12" i="18"/>
  <c r="V283" i="18" s="1"/>
  <c r="H12" i="18"/>
  <c r="J158" i="18" s="1"/>
  <c r="D4" i="18"/>
  <c r="X269" i="15"/>
  <c r="Z269" i="15" s="1"/>
  <c r="L269" i="15"/>
  <c r="N269" i="15" s="1"/>
  <c r="Z265" i="15"/>
  <c r="X265" i="15"/>
  <c r="P265" i="15"/>
  <c r="N265" i="15"/>
  <c r="D265" i="15"/>
  <c r="L265" i="15" s="1"/>
  <c r="B265" i="15"/>
  <c r="Z264" i="15"/>
  <c r="X264" i="15"/>
  <c r="P264" i="15"/>
  <c r="L264" i="15"/>
  <c r="N264" i="15" s="1"/>
  <c r="D264" i="15"/>
  <c r="B264" i="15"/>
  <c r="Z263" i="15"/>
  <c r="X263" i="15"/>
  <c r="P263" i="15"/>
  <c r="N263" i="15"/>
  <c r="D263" i="15"/>
  <c r="L263" i="15" s="1"/>
  <c r="B263" i="15"/>
  <c r="Z262" i="15"/>
  <c r="P262" i="15"/>
  <c r="X262" i="15" s="1"/>
  <c r="N262" i="15"/>
  <c r="L262" i="15"/>
  <c r="D262" i="15"/>
  <c r="B262" i="15"/>
  <c r="P261" i="15"/>
  <c r="X261" i="15" s="1"/>
  <c r="Z261" i="15" s="1"/>
  <c r="N261" i="15"/>
  <c r="D261" i="15"/>
  <c r="L261" i="15" s="1"/>
  <c r="B261" i="15"/>
  <c r="P260" i="15"/>
  <c r="X260" i="15" s="1"/>
  <c r="Z260" i="15" s="1"/>
  <c r="N260" i="15"/>
  <c r="L260" i="15"/>
  <c r="D260" i="15"/>
  <c r="B260" i="15"/>
  <c r="Z259" i="15"/>
  <c r="X259" i="15"/>
  <c r="P259" i="15"/>
  <c r="N259" i="15"/>
  <c r="L259" i="15"/>
  <c r="D259" i="15"/>
  <c r="B259" i="15"/>
  <c r="Z258" i="15"/>
  <c r="P258" i="15"/>
  <c r="P256" i="15" s="1"/>
  <c r="N258" i="15"/>
  <c r="L258" i="15"/>
  <c r="D258" i="15"/>
  <c r="B258" i="15"/>
  <c r="Z257" i="15"/>
  <c r="X257" i="15"/>
  <c r="P257" i="15"/>
  <c r="N257" i="15"/>
  <c r="D257" i="15"/>
  <c r="B257" i="15"/>
  <c r="X256" i="15"/>
  <c r="Z256" i="15" s="1"/>
  <c r="T256" i="15"/>
  <c r="H256" i="15"/>
  <c r="X254" i="15"/>
  <c r="Z254" i="15" s="1"/>
  <c r="N254" i="15"/>
  <c r="L254" i="15"/>
  <c r="B254" i="15"/>
  <c r="T253" i="15"/>
  <c r="P253" i="15"/>
  <c r="H253" i="15"/>
  <c r="D253" i="15"/>
  <c r="L253" i="15" s="1"/>
  <c r="B253" i="15"/>
  <c r="Z252" i="15"/>
  <c r="X252" i="15"/>
  <c r="N252" i="15"/>
  <c r="L252" i="15"/>
  <c r="B252" i="15"/>
  <c r="X251" i="15"/>
  <c r="Z251" i="15" s="1"/>
  <c r="L251" i="15"/>
  <c r="N251" i="15" s="1"/>
  <c r="B251" i="15"/>
  <c r="Z250" i="15"/>
  <c r="X250" i="15"/>
  <c r="N250" i="15"/>
  <c r="L250" i="15"/>
  <c r="B250" i="15"/>
  <c r="Z249" i="15"/>
  <c r="X249" i="15"/>
  <c r="T249" i="15"/>
  <c r="P249" i="15"/>
  <c r="H249" i="15"/>
  <c r="D249" i="15"/>
  <c r="B249" i="15"/>
  <c r="X248" i="15"/>
  <c r="Z248" i="15" s="1"/>
  <c r="N248" i="15"/>
  <c r="L248" i="15"/>
  <c r="B248" i="15"/>
  <c r="X247" i="15"/>
  <c r="T247" i="15"/>
  <c r="P247" i="15"/>
  <c r="H247" i="15"/>
  <c r="D247" i="15"/>
  <c r="B247" i="15"/>
  <c r="X246" i="15"/>
  <c r="Z246" i="15" s="1"/>
  <c r="N246" i="15"/>
  <c r="L246" i="15"/>
  <c r="B246" i="15"/>
  <c r="Z245" i="15"/>
  <c r="X245" i="15"/>
  <c r="L245" i="15"/>
  <c r="N245" i="15" s="1"/>
  <c r="B245" i="15"/>
  <c r="T244" i="15"/>
  <c r="X244" i="15" s="1"/>
  <c r="P244" i="15"/>
  <c r="H244" i="15"/>
  <c r="L244" i="15" s="1"/>
  <c r="N244" i="15" s="1"/>
  <c r="D244" i="15"/>
  <c r="B244" i="15"/>
  <c r="X243" i="15"/>
  <c r="Z243" i="15" s="1"/>
  <c r="L243" i="15"/>
  <c r="N243" i="15" s="1"/>
  <c r="B243" i="15"/>
  <c r="Z242" i="15"/>
  <c r="X242" i="15"/>
  <c r="N242" i="15"/>
  <c r="L242" i="15"/>
  <c r="B242" i="15"/>
  <c r="X241" i="15"/>
  <c r="Z241" i="15" s="1"/>
  <c r="L241" i="15"/>
  <c r="N241" i="15" s="1"/>
  <c r="B241" i="15"/>
  <c r="Z240" i="15"/>
  <c r="X240" i="15"/>
  <c r="L240" i="15"/>
  <c r="N240" i="15" s="1"/>
  <c r="B240" i="15"/>
  <c r="X239" i="15"/>
  <c r="Z239" i="15" s="1"/>
  <c r="L239" i="15"/>
  <c r="N239" i="15" s="1"/>
  <c r="B239" i="15"/>
  <c r="Z238" i="15"/>
  <c r="X238" i="15"/>
  <c r="N238" i="15"/>
  <c r="L238" i="15"/>
  <c r="B238" i="15"/>
  <c r="X237" i="15"/>
  <c r="Z237" i="15" s="1"/>
  <c r="L237" i="15"/>
  <c r="N237" i="15" s="1"/>
  <c r="B237" i="15"/>
  <c r="Z236" i="15"/>
  <c r="T236" i="15"/>
  <c r="P236" i="15"/>
  <c r="X236" i="15" s="1"/>
  <c r="H236" i="15"/>
  <c r="D236" i="15"/>
  <c r="B236" i="15"/>
  <c r="X235" i="15"/>
  <c r="Z235" i="15" s="1"/>
  <c r="L235" i="15"/>
  <c r="N235" i="15" s="1"/>
  <c r="B235" i="15"/>
  <c r="Z234" i="15"/>
  <c r="X234" i="15"/>
  <c r="L234" i="15"/>
  <c r="N234" i="15" s="1"/>
  <c r="B234" i="15"/>
  <c r="T233" i="15"/>
  <c r="P233" i="15"/>
  <c r="X233" i="15" s="1"/>
  <c r="H233" i="15"/>
  <c r="N233" i="15" s="1"/>
  <c r="D233" i="15"/>
  <c r="L233" i="15" s="1"/>
  <c r="B233" i="15"/>
  <c r="X232" i="15"/>
  <c r="Z232" i="15" s="1"/>
  <c r="N232" i="15"/>
  <c r="L232" i="15"/>
  <c r="B232" i="15"/>
  <c r="Z231" i="15"/>
  <c r="X231" i="15"/>
  <c r="L231" i="15"/>
  <c r="N231" i="15" s="1"/>
  <c r="B231" i="15"/>
  <c r="X230" i="15"/>
  <c r="Z230" i="15" s="1"/>
  <c r="N230" i="15"/>
  <c r="L230" i="15"/>
  <c r="B230" i="15"/>
  <c r="Z229" i="15"/>
  <c r="X229" i="15"/>
  <c r="L229" i="15"/>
  <c r="N229" i="15" s="1"/>
  <c r="B229" i="15"/>
  <c r="T228" i="15"/>
  <c r="X228" i="15" s="1"/>
  <c r="P228" i="15"/>
  <c r="H228" i="15"/>
  <c r="D228" i="15"/>
  <c r="B228" i="15"/>
  <c r="Z227" i="15"/>
  <c r="X227" i="15"/>
  <c r="N227" i="15"/>
  <c r="L227" i="15"/>
  <c r="B227" i="15"/>
  <c r="Z226" i="15"/>
  <c r="X226" i="15"/>
  <c r="L226" i="15"/>
  <c r="N226" i="15" s="1"/>
  <c r="B226" i="15"/>
  <c r="X225" i="15"/>
  <c r="Z225" i="15" s="1"/>
  <c r="L225" i="15"/>
  <c r="N225" i="15" s="1"/>
  <c r="B225" i="15"/>
  <c r="Z224" i="15"/>
  <c r="X224" i="15"/>
  <c r="L224" i="15"/>
  <c r="N224" i="15" s="1"/>
  <c r="B224" i="15"/>
  <c r="T223" i="15"/>
  <c r="P223" i="15"/>
  <c r="L223" i="15"/>
  <c r="H223" i="15"/>
  <c r="N223" i="15" s="1"/>
  <c r="D223" i="15"/>
  <c r="B223" i="15"/>
  <c r="X222" i="15"/>
  <c r="Z222" i="15" s="1"/>
  <c r="L222" i="15"/>
  <c r="N222" i="15" s="1"/>
  <c r="B222" i="15"/>
  <c r="X221" i="15"/>
  <c r="Z221" i="15" s="1"/>
  <c r="N221" i="15"/>
  <c r="L221" i="15"/>
  <c r="B221" i="15"/>
  <c r="X220" i="15"/>
  <c r="Z220" i="15" s="1"/>
  <c r="N220" i="15"/>
  <c r="L220" i="15"/>
  <c r="B220" i="15"/>
  <c r="X219" i="15"/>
  <c r="Z219" i="15" s="1"/>
  <c r="N219" i="15"/>
  <c r="L219" i="15"/>
  <c r="B219" i="15"/>
  <c r="X218" i="15"/>
  <c r="Z218" i="15" s="1"/>
  <c r="T218" i="15"/>
  <c r="P218" i="15"/>
  <c r="L218" i="15"/>
  <c r="N218" i="15" s="1"/>
  <c r="H218" i="15"/>
  <c r="D218" i="15"/>
  <c r="B218" i="15"/>
  <c r="Z217" i="15"/>
  <c r="X217" i="15"/>
  <c r="L217" i="15"/>
  <c r="N217" i="15" s="1"/>
  <c r="B217" i="15"/>
  <c r="T216" i="15"/>
  <c r="X216" i="15" s="1"/>
  <c r="P216" i="15"/>
  <c r="H216" i="15"/>
  <c r="D216" i="15"/>
  <c r="B216" i="15"/>
  <c r="X215" i="15"/>
  <c r="Z215" i="15" s="1"/>
  <c r="L215" i="15"/>
  <c r="N215" i="15" s="1"/>
  <c r="B215" i="15"/>
  <c r="T214" i="15"/>
  <c r="P214" i="15"/>
  <c r="X214" i="15" s="1"/>
  <c r="Z214" i="15" s="1"/>
  <c r="H214" i="15"/>
  <c r="D214" i="15"/>
  <c r="L214" i="15" s="1"/>
  <c r="N214" i="15" s="1"/>
  <c r="B214" i="15"/>
  <c r="X213" i="15"/>
  <c r="Z213" i="15" s="1"/>
  <c r="N213" i="15"/>
  <c r="L213" i="15"/>
  <c r="B213" i="15"/>
  <c r="X212" i="15"/>
  <c r="Z212" i="15" s="1"/>
  <c r="T212" i="15"/>
  <c r="P212" i="15"/>
  <c r="L212" i="15"/>
  <c r="N212" i="15" s="1"/>
  <c r="H212" i="15"/>
  <c r="D212" i="15"/>
  <c r="B212" i="15"/>
  <c r="Z211" i="15"/>
  <c r="X211" i="15"/>
  <c r="L211" i="15"/>
  <c r="N211" i="15" s="1"/>
  <c r="B211" i="15"/>
  <c r="T210" i="15"/>
  <c r="P210" i="15"/>
  <c r="H210" i="15"/>
  <c r="L210" i="15" s="1"/>
  <c r="D210" i="15"/>
  <c r="B210" i="15"/>
  <c r="X209" i="15"/>
  <c r="Z209" i="15" s="1"/>
  <c r="L209" i="15"/>
  <c r="N209" i="15" s="1"/>
  <c r="B209" i="15"/>
  <c r="T208" i="15"/>
  <c r="P208" i="15"/>
  <c r="X208" i="15" s="1"/>
  <c r="Z208" i="15" s="1"/>
  <c r="H208" i="15"/>
  <c r="D208" i="15"/>
  <c r="L208" i="15" s="1"/>
  <c r="N208" i="15" s="1"/>
  <c r="B208" i="15"/>
  <c r="X207" i="15"/>
  <c r="Z207" i="15" s="1"/>
  <c r="N207" i="15"/>
  <c r="L207" i="15"/>
  <c r="B207" i="15"/>
  <c r="X206" i="15"/>
  <c r="Z206" i="15" s="1"/>
  <c r="L206" i="15"/>
  <c r="N206" i="15" s="1"/>
  <c r="B206" i="15"/>
  <c r="T205" i="15"/>
  <c r="Z205" i="15" s="1"/>
  <c r="P205" i="15"/>
  <c r="X205" i="15" s="1"/>
  <c r="H205" i="15"/>
  <c r="N205" i="15" s="1"/>
  <c r="D205" i="15"/>
  <c r="L205" i="15" s="1"/>
  <c r="B205" i="15"/>
  <c r="X204" i="15"/>
  <c r="Z204" i="15" s="1"/>
  <c r="N204" i="15"/>
  <c r="L204" i="15"/>
  <c r="B204" i="15"/>
  <c r="Z203" i="15"/>
  <c r="X203" i="15"/>
  <c r="T203" i="15"/>
  <c r="P203" i="15"/>
  <c r="N203" i="15"/>
  <c r="L203" i="15"/>
  <c r="H203" i="15"/>
  <c r="D203" i="15"/>
  <c r="B203" i="15"/>
  <c r="Z202" i="15"/>
  <c r="X202" i="15"/>
  <c r="L202" i="15"/>
  <c r="N202" i="15" s="1"/>
  <c r="B202" i="15"/>
  <c r="X201" i="15"/>
  <c r="T201" i="15"/>
  <c r="Z201" i="15" s="1"/>
  <c r="P201" i="15"/>
  <c r="H201" i="15"/>
  <c r="D201" i="15"/>
  <c r="B201" i="15"/>
  <c r="Z200" i="15"/>
  <c r="X200" i="15"/>
  <c r="N200" i="15"/>
  <c r="L200" i="15"/>
  <c r="B200" i="15"/>
  <c r="X199" i="15"/>
  <c r="Z199" i="15" s="1"/>
  <c r="N199" i="15"/>
  <c r="L199" i="15"/>
  <c r="B199" i="15"/>
  <c r="X198" i="15"/>
  <c r="Z198" i="15" s="1"/>
  <c r="T198" i="15"/>
  <c r="P198" i="15"/>
  <c r="L198" i="15"/>
  <c r="N198" i="15" s="1"/>
  <c r="H198" i="15"/>
  <c r="D198" i="15"/>
  <c r="B198" i="15"/>
  <c r="Z197" i="15"/>
  <c r="X197" i="15"/>
  <c r="N197" i="15"/>
  <c r="L197" i="15"/>
  <c r="B197" i="15"/>
  <c r="X196" i="15"/>
  <c r="Z196" i="15" s="1"/>
  <c r="N196" i="15"/>
  <c r="L196" i="15"/>
  <c r="B196" i="15"/>
  <c r="T195" i="15"/>
  <c r="P195" i="15"/>
  <c r="X195" i="15" s="1"/>
  <c r="Z195" i="15" s="1"/>
  <c r="N195" i="15"/>
  <c r="L195" i="15"/>
  <c r="H195" i="15"/>
  <c r="D195" i="15"/>
  <c r="B195" i="15"/>
  <c r="Z194" i="15"/>
  <c r="X194" i="15"/>
  <c r="L194" i="15"/>
  <c r="N194" i="15" s="1"/>
  <c r="B194" i="15"/>
  <c r="X193" i="15"/>
  <c r="Z193" i="15" s="1"/>
  <c r="L193" i="15"/>
  <c r="N193" i="15" s="1"/>
  <c r="B193" i="15"/>
  <c r="Z192" i="15"/>
  <c r="X192" i="15"/>
  <c r="L192" i="15"/>
  <c r="N192" i="15" s="1"/>
  <c r="B192" i="15"/>
  <c r="X191" i="15"/>
  <c r="Z191" i="15" s="1"/>
  <c r="L191" i="15"/>
  <c r="N191" i="15" s="1"/>
  <c r="B191" i="15"/>
  <c r="T190" i="15"/>
  <c r="P190" i="15"/>
  <c r="X190" i="15" s="1"/>
  <c r="Z190" i="15" s="1"/>
  <c r="H190" i="15"/>
  <c r="D190" i="15"/>
  <c r="L190" i="15" s="1"/>
  <c r="N190" i="15" s="1"/>
  <c r="B190" i="15"/>
  <c r="X189" i="15"/>
  <c r="Z189" i="15" s="1"/>
  <c r="N189" i="15"/>
  <c r="L189" i="15"/>
  <c r="B189" i="15"/>
  <c r="X188" i="15"/>
  <c r="Z188" i="15" s="1"/>
  <c r="T188" i="15"/>
  <c r="P188" i="15"/>
  <c r="L188" i="15"/>
  <c r="N188" i="15" s="1"/>
  <c r="H188" i="15"/>
  <c r="D188" i="15"/>
  <c r="B188" i="15"/>
  <c r="Z187" i="15"/>
  <c r="X187" i="15"/>
  <c r="L187" i="15"/>
  <c r="N187" i="15" s="1"/>
  <c r="B187" i="15"/>
  <c r="X186" i="15"/>
  <c r="Z186" i="15" s="1"/>
  <c r="N186" i="15"/>
  <c r="L186" i="15"/>
  <c r="B186" i="15"/>
  <c r="Z185" i="15"/>
  <c r="X185" i="15"/>
  <c r="T185" i="15"/>
  <c r="P185" i="15"/>
  <c r="H185" i="15"/>
  <c r="D185" i="15"/>
  <c r="L185" i="15" s="1"/>
  <c r="N185" i="15" s="1"/>
  <c r="B185" i="15"/>
  <c r="Z184" i="15"/>
  <c r="X184" i="15"/>
  <c r="L184" i="15"/>
  <c r="N184" i="15" s="1"/>
  <c r="B184" i="15"/>
  <c r="T183" i="15"/>
  <c r="P183" i="15"/>
  <c r="L183" i="15"/>
  <c r="H183" i="15"/>
  <c r="N183" i="15" s="1"/>
  <c r="D183" i="15"/>
  <c r="B183" i="15"/>
  <c r="Z182" i="15"/>
  <c r="X182" i="15"/>
  <c r="N182" i="15"/>
  <c r="L182" i="15"/>
  <c r="B182" i="15"/>
  <c r="Z181" i="15"/>
  <c r="X181" i="15"/>
  <c r="N181" i="15"/>
  <c r="L181" i="15"/>
  <c r="B181" i="15"/>
  <c r="X180" i="15"/>
  <c r="Z180" i="15" s="1"/>
  <c r="L180" i="15"/>
  <c r="N180" i="15" s="1"/>
  <c r="B180" i="15"/>
  <c r="X179" i="15"/>
  <c r="Z179" i="15" s="1"/>
  <c r="N179" i="15"/>
  <c r="L179" i="15"/>
  <c r="B179" i="15"/>
  <c r="Z178" i="15"/>
  <c r="X178" i="15"/>
  <c r="N178" i="15"/>
  <c r="L178" i="15"/>
  <c r="B178" i="15"/>
  <c r="X177" i="15"/>
  <c r="Z177" i="15" s="1"/>
  <c r="N177" i="15"/>
  <c r="L177" i="15"/>
  <c r="B177" i="15"/>
  <c r="X176" i="15"/>
  <c r="Z176" i="15" s="1"/>
  <c r="L176" i="15"/>
  <c r="N176" i="15" s="1"/>
  <c r="B176" i="15"/>
  <c r="Z175" i="15"/>
  <c r="X175" i="15"/>
  <c r="N175" i="15"/>
  <c r="L175" i="15"/>
  <c r="B175" i="15"/>
  <c r="X174" i="15"/>
  <c r="Z174" i="15" s="1"/>
  <c r="L174" i="15"/>
  <c r="N174" i="15" s="1"/>
  <c r="B174" i="15"/>
  <c r="X173" i="15"/>
  <c r="Z173" i="15" s="1"/>
  <c r="N173" i="15"/>
  <c r="L173" i="15"/>
  <c r="B173" i="15"/>
  <c r="X172" i="15"/>
  <c r="Z172" i="15" s="1"/>
  <c r="T172" i="15"/>
  <c r="P172" i="15"/>
  <c r="L172" i="15"/>
  <c r="N172" i="15" s="1"/>
  <c r="H172" i="15"/>
  <c r="D172" i="15"/>
  <c r="B172" i="15"/>
  <c r="Z171" i="15"/>
  <c r="X171" i="15"/>
  <c r="L171" i="15"/>
  <c r="N171" i="15" s="1"/>
  <c r="B171" i="15"/>
  <c r="X170" i="15"/>
  <c r="Z170" i="15" s="1"/>
  <c r="N170" i="15"/>
  <c r="L170" i="15"/>
  <c r="B170" i="15"/>
  <c r="Z169" i="15"/>
  <c r="X169" i="15"/>
  <c r="L169" i="15"/>
  <c r="N169" i="15" s="1"/>
  <c r="B169" i="15"/>
  <c r="Z168" i="15"/>
  <c r="X168" i="15"/>
  <c r="N168" i="15"/>
  <c r="L168" i="15"/>
  <c r="B168" i="15"/>
  <c r="Z167" i="15"/>
  <c r="X167" i="15"/>
  <c r="N167" i="15"/>
  <c r="L167" i="15"/>
  <c r="B167" i="15"/>
  <c r="X166" i="15"/>
  <c r="Z166" i="15" s="1"/>
  <c r="N166" i="15"/>
  <c r="L166" i="15"/>
  <c r="B166" i="15"/>
  <c r="Z165" i="15"/>
  <c r="X165" i="15"/>
  <c r="L165" i="15"/>
  <c r="N165" i="15" s="1"/>
  <c r="B165" i="15"/>
  <c r="X164" i="15"/>
  <c r="Z164" i="15" s="1"/>
  <c r="N164" i="15"/>
  <c r="L164" i="15"/>
  <c r="B164" i="15"/>
  <c r="Z163" i="15"/>
  <c r="X163" i="15"/>
  <c r="L163" i="15"/>
  <c r="N163" i="15" s="1"/>
  <c r="B163" i="15"/>
  <c r="X162" i="15"/>
  <c r="Z162" i="15" s="1"/>
  <c r="N162" i="15"/>
  <c r="L162" i="15"/>
  <c r="B162" i="15"/>
  <c r="Z161" i="15"/>
  <c r="X161" i="15"/>
  <c r="T161" i="15"/>
  <c r="P161" i="15"/>
  <c r="H161" i="15"/>
  <c r="D161" i="15"/>
  <c r="L161" i="15" s="1"/>
  <c r="N161" i="15" s="1"/>
  <c r="B161" i="15"/>
  <c r="T160" i="15"/>
  <c r="P160" i="15"/>
  <c r="X160" i="15" s="1"/>
  <c r="Z160" i="15" s="1"/>
  <c r="H160" i="15"/>
  <c r="D160" i="15"/>
  <c r="L160" i="15" s="1"/>
  <c r="N160" i="15" s="1"/>
  <c r="Z156" i="15"/>
  <c r="X156" i="15"/>
  <c r="N156" i="15"/>
  <c r="L156" i="15"/>
  <c r="B156" i="15"/>
  <c r="Z155" i="15"/>
  <c r="X155" i="15"/>
  <c r="N155" i="15"/>
  <c r="L155" i="15"/>
  <c r="B155" i="15"/>
  <c r="Z154" i="15"/>
  <c r="X154" i="15"/>
  <c r="N154" i="15"/>
  <c r="L154" i="15"/>
  <c r="B154" i="15"/>
  <c r="Z153" i="15"/>
  <c r="X153" i="15"/>
  <c r="N153" i="15"/>
  <c r="L153" i="15"/>
  <c r="B153" i="15"/>
  <c r="Z152" i="15"/>
  <c r="X152" i="15"/>
  <c r="N152" i="15"/>
  <c r="L152" i="15"/>
  <c r="B152" i="15"/>
  <c r="Z151" i="15"/>
  <c r="X151" i="15"/>
  <c r="N151" i="15"/>
  <c r="L151" i="15"/>
  <c r="B151" i="15"/>
  <c r="Z150" i="15"/>
  <c r="X150" i="15"/>
  <c r="N150" i="15"/>
  <c r="L150" i="15"/>
  <c r="B150" i="15"/>
  <c r="Z149" i="15"/>
  <c r="X149" i="15"/>
  <c r="N149" i="15"/>
  <c r="L149" i="15"/>
  <c r="B149" i="15"/>
  <c r="Z148" i="15"/>
  <c r="X148" i="15"/>
  <c r="N148" i="15"/>
  <c r="L148" i="15"/>
  <c r="B148" i="15"/>
  <c r="Z147" i="15"/>
  <c r="X147" i="15"/>
  <c r="N147" i="15"/>
  <c r="L147" i="15"/>
  <c r="B147" i="15"/>
  <c r="Z146" i="15"/>
  <c r="X146" i="15"/>
  <c r="N146" i="15"/>
  <c r="L146" i="15"/>
  <c r="B146" i="15"/>
  <c r="Z145" i="15"/>
  <c r="X145" i="15"/>
  <c r="N145" i="15"/>
  <c r="L145" i="15"/>
  <c r="B145" i="15"/>
  <c r="Z144" i="15"/>
  <c r="X144" i="15"/>
  <c r="N144" i="15"/>
  <c r="L144" i="15"/>
  <c r="B144" i="15"/>
  <c r="Z143" i="15"/>
  <c r="X143" i="15"/>
  <c r="V143" i="15"/>
  <c r="N143" i="15"/>
  <c r="L143" i="15"/>
  <c r="B143" i="15"/>
  <c r="Z142" i="15"/>
  <c r="X142" i="15"/>
  <c r="N142" i="15"/>
  <c r="L142" i="15"/>
  <c r="B142" i="15"/>
  <c r="Z141" i="15"/>
  <c r="X141" i="15"/>
  <c r="V141" i="15"/>
  <c r="N141" i="15"/>
  <c r="L141" i="15"/>
  <c r="B141" i="15"/>
  <c r="Z140" i="15"/>
  <c r="X140" i="15"/>
  <c r="N140" i="15"/>
  <c r="L140" i="15"/>
  <c r="B140" i="15"/>
  <c r="Z139" i="15"/>
  <c r="X139" i="15"/>
  <c r="V139" i="15"/>
  <c r="N139" i="15"/>
  <c r="L139" i="15"/>
  <c r="B139" i="15"/>
  <c r="Z138" i="15"/>
  <c r="X138" i="15"/>
  <c r="N138" i="15"/>
  <c r="L138" i="15"/>
  <c r="B138" i="15"/>
  <c r="Z137" i="15"/>
  <c r="X137" i="15"/>
  <c r="V137" i="15"/>
  <c r="N137" i="15"/>
  <c r="L137" i="15"/>
  <c r="B137" i="15"/>
  <c r="Z136" i="15"/>
  <c r="X136" i="15"/>
  <c r="N136" i="15"/>
  <c r="L136" i="15"/>
  <c r="B136" i="15"/>
  <c r="Z135" i="15"/>
  <c r="X135" i="15"/>
  <c r="V135" i="15"/>
  <c r="N135" i="15"/>
  <c r="L135" i="15"/>
  <c r="B135" i="15"/>
  <c r="Z134" i="15"/>
  <c r="X134" i="15"/>
  <c r="N134" i="15"/>
  <c r="L134" i="15"/>
  <c r="B134" i="15"/>
  <c r="Z133" i="15"/>
  <c r="X133" i="15"/>
  <c r="V133" i="15"/>
  <c r="N133" i="15"/>
  <c r="L133" i="15"/>
  <c r="B133" i="15"/>
  <c r="Z132" i="15"/>
  <c r="X132" i="15"/>
  <c r="N132" i="15"/>
  <c r="L132" i="15"/>
  <c r="B132" i="15"/>
  <c r="Z131" i="15"/>
  <c r="X131" i="15"/>
  <c r="V131" i="15"/>
  <c r="N131" i="15"/>
  <c r="L131" i="15"/>
  <c r="B131" i="15"/>
  <c r="Z130" i="15"/>
  <c r="X130" i="15"/>
  <c r="N130" i="15"/>
  <c r="L130" i="15"/>
  <c r="B130" i="15"/>
  <c r="Z129" i="15"/>
  <c r="X129" i="15"/>
  <c r="V129" i="15"/>
  <c r="N129" i="15"/>
  <c r="L129" i="15"/>
  <c r="B129" i="15"/>
  <c r="Z128" i="15"/>
  <c r="X128" i="15"/>
  <c r="N128" i="15"/>
  <c r="L128" i="15"/>
  <c r="B128" i="15"/>
  <c r="Z127" i="15"/>
  <c r="X127" i="15"/>
  <c r="V127" i="15"/>
  <c r="N127" i="15"/>
  <c r="L127" i="15"/>
  <c r="B127" i="15"/>
  <c r="Z126" i="15"/>
  <c r="X126" i="15"/>
  <c r="N126" i="15"/>
  <c r="L126" i="15"/>
  <c r="B126" i="15"/>
  <c r="Z125" i="15"/>
  <c r="X125" i="15"/>
  <c r="V125" i="15"/>
  <c r="N125" i="15"/>
  <c r="L125" i="15"/>
  <c r="B125" i="15"/>
  <c r="Z124" i="15"/>
  <c r="X124" i="15"/>
  <c r="N124" i="15"/>
  <c r="L124" i="15"/>
  <c r="B124" i="15"/>
  <c r="Z123" i="15"/>
  <c r="X123" i="15"/>
  <c r="V123" i="15"/>
  <c r="N123" i="15"/>
  <c r="L123" i="15"/>
  <c r="B123" i="15"/>
  <c r="Z122" i="15"/>
  <c r="X122" i="15"/>
  <c r="N122" i="15"/>
  <c r="L122" i="15"/>
  <c r="B122" i="15"/>
  <c r="Z121" i="15"/>
  <c r="X121" i="15"/>
  <c r="V121" i="15"/>
  <c r="N121" i="15"/>
  <c r="L121" i="15"/>
  <c r="B121" i="15"/>
  <c r="Z120" i="15"/>
  <c r="X120" i="15"/>
  <c r="N120" i="15"/>
  <c r="L120" i="15"/>
  <c r="B120" i="15"/>
  <c r="Z119" i="15"/>
  <c r="X119" i="15"/>
  <c r="V119" i="15"/>
  <c r="N119" i="15"/>
  <c r="L119" i="15"/>
  <c r="B119" i="15"/>
  <c r="Z118" i="15"/>
  <c r="X118" i="15"/>
  <c r="N118" i="15"/>
  <c r="L118" i="15"/>
  <c r="B118" i="15"/>
  <c r="Z117" i="15"/>
  <c r="X117" i="15"/>
  <c r="V117" i="15"/>
  <c r="N117" i="15"/>
  <c r="L117" i="15"/>
  <c r="B117" i="15"/>
  <c r="Z116" i="15"/>
  <c r="X116" i="15"/>
  <c r="N116" i="15"/>
  <c r="L116" i="15"/>
  <c r="B116" i="15"/>
  <c r="Z115" i="15"/>
  <c r="X115" i="15"/>
  <c r="V115" i="15"/>
  <c r="N115" i="15"/>
  <c r="L115" i="15"/>
  <c r="B115" i="15"/>
  <c r="Z114" i="15"/>
  <c r="X114" i="15"/>
  <c r="N114" i="15"/>
  <c r="L114" i="15"/>
  <c r="B114" i="15"/>
  <c r="Z113" i="15"/>
  <c r="X113" i="15"/>
  <c r="V113" i="15"/>
  <c r="N113" i="15"/>
  <c r="L113" i="15"/>
  <c r="B113" i="15"/>
  <c r="Z112" i="15"/>
  <c r="X112" i="15"/>
  <c r="N112" i="15"/>
  <c r="L112" i="15"/>
  <c r="B112" i="15"/>
  <c r="Z111" i="15"/>
  <c r="X111" i="15"/>
  <c r="V111" i="15"/>
  <c r="N111" i="15"/>
  <c r="L111" i="15"/>
  <c r="B111" i="15"/>
  <c r="Z110" i="15"/>
  <c r="X110" i="15"/>
  <c r="N110" i="15"/>
  <c r="L110" i="15"/>
  <c r="B110" i="15"/>
  <c r="Z109" i="15"/>
  <c r="X109" i="15"/>
  <c r="V109" i="15"/>
  <c r="N109" i="15"/>
  <c r="L109" i="15"/>
  <c r="B109" i="15"/>
  <c r="Z108" i="15"/>
  <c r="X108" i="15"/>
  <c r="N108" i="15"/>
  <c r="L108" i="15"/>
  <c r="B108" i="15"/>
  <c r="Z107" i="15"/>
  <c r="X107" i="15"/>
  <c r="V107" i="15"/>
  <c r="N107" i="15"/>
  <c r="L107" i="15"/>
  <c r="B107" i="15"/>
  <c r="Z106" i="15"/>
  <c r="X106" i="15"/>
  <c r="L106" i="15"/>
  <c r="N106" i="15" s="1"/>
  <c r="B106" i="15"/>
  <c r="X105" i="15"/>
  <c r="V105" i="15"/>
  <c r="T105" i="15"/>
  <c r="Z105" i="15" s="1"/>
  <c r="P105" i="15"/>
  <c r="J105" i="15"/>
  <c r="H105" i="15"/>
  <c r="D105" i="15"/>
  <c r="Z103" i="15"/>
  <c r="P103" i="15"/>
  <c r="X103" i="15" s="1"/>
  <c r="N103" i="15"/>
  <c r="D103" i="15"/>
  <c r="L103" i="15" s="1"/>
  <c r="B103" i="15"/>
  <c r="Z102" i="15"/>
  <c r="X102" i="15"/>
  <c r="P102" i="15"/>
  <c r="N102" i="15"/>
  <c r="D102" i="15"/>
  <c r="L102" i="15" s="1"/>
  <c r="B102" i="15"/>
  <c r="Z101" i="15"/>
  <c r="X101" i="15"/>
  <c r="P101" i="15"/>
  <c r="N101" i="15"/>
  <c r="D101" i="15"/>
  <c r="L101" i="15" s="1"/>
  <c r="B101" i="15"/>
  <c r="Z100" i="15"/>
  <c r="P100" i="15"/>
  <c r="X100" i="15" s="1"/>
  <c r="N100" i="15"/>
  <c r="D100" i="15"/>
  <c r="L100" i="15" s="1"/>
  <c r="B100" i="15"/>
  <c r="Z99" i="15"/>
  <c r="P99" i="15"/>
  <c r="X99" i="15" s="1"/>
  <c r="N99" i="15"/>
  <c r="L99" i="15"/>
  <c r="D99" i="15"/>
  <c r="B99" i="15"/>
  <c r="Z98" i="15"/>
  <c r="P98" i="15"/>
  <c r="X98" i="15" s="1"/>
  <c r="N98" i="15"/>
  <c r="L98" i="15"/>
  <c r="D98" i="15"/>
  <c r="B98" i="15"/>
  <c r="Z97" i="15"/>
  <c r="P97" i="15"/>
  <c r="X97" i="15" s="1"/>
  <c r="N97" i="15"/>
  <c r="D97" i="15"/>
  <c r="L97" i="15" s="1"/>
  <c r="B97" i="15"/>
  <c r="Z96" i="15"/>
  <c r="X96" i="15"/>
  <c r="P96" i="15"/>
  <c r="N96" i="15"/>
  <c r="D96" i="15"/>
  <c r="L96" i="15" s="1"/>
  <c r="B96" i="15"/>
  <c r="Z95" i="15"/>
  <c r="X95" i="15"/>
  <c r="P95" i="15"/>
  <c r="N95" i="15"/>
  <c r="D95" i="15"/>
  <c r="L95" i="15" s="1"/>
  <c r="B95" i="15"/>
  <c r="Z94" i="15"/>
  <c r="P94" i="15"/>
  <c r="X94" i="15" s="1"/>
  <c r="N94" i="15"/>
  <c r="D94" i="15"/>
  <c r="L94" i="15" s="1"/>
  <c r="B94" i="15"/>
  <c r="Z93" i="15"/>
  <c r="P93" i="15"/>
  <c r="X93" i="15" s="1"/>
  <c r="N93" i="15"/>
  <c r="L93" i="15"/>
  <c r="D93" i="15"/>
  <c r="B93" i="15"/>
  <c r="Z92" i="15"/>
  <c r="P92" i="15"/>
  <c r="X92" i="15" s="1"/>
  <c r="N92" i="15"/>
  <c r="L92" i="15"/>
  <c r="D92" i="15"/>
  <c r="B92" i="15"/>
  <c r="Z91" i="15"/>
  <c r="P91" i="15"/>
  <c r="X91" i="15" s="1"/>
  <c r="N91" i="15"/>
  <c r="D91" i="15"/>
  <c r="L91" i="15" s="1"/>
  <c r="B91" i="15"/>
  <c r="Z90" i="15"/>
  <c r="X90" i="15"/>
  <c r="P90" i="15"/>
  <c r="N90" i="15"/>
  <c r="D90" i="15"/>
  <c r="L90" i="15" s="1"/>
  <c r="B90" i="15"/>
  <c r="Z89" i="15"/>
  <c r="X89" i="15"/>
  <c r="P89" i="15"/>
  <c r="N89" i="15"/>
  <c r="D89" i="15"/>
  <c r="L89" i="15" s="1"/>
  <c r="B89" i="15"/>
  <c r="Z88" i="15"/>
  <c r="P88" i="15"/>
  <c r="X88" i="15" s="1"/>
  <c r="N88" i="15"/>
  <c r="D88" i="15"/>
  <c r="L88" i="15" s="1"/>
  <c r="B88" i="15"/>
  <c r="Z87" i="15"/>
  <c r="P87" i="15"/>
  <c r="X87" i="15" s="1"/>
  <c r="N87" i="15"/>
  <c r="L87" i="15"/>
  <c r="D87" i="15"/>
  <c r="B87" i="15"/>
  <c r="Z86" i="15"/>
  <c r="P86" i="15"/>
  <c r="X86" i="15" s="1"/>
  <c r="N86" i="15"/>
  <c r="L86" i="15"/>
  <c r="D86" i="15"/>
  <c r="B86" i="15"/>
  <c r="Z85" i="15"/>
  <c r="P85" i="15"/>
  <c r="X85" i="15" s="1"/>
  <c r="N85" i="15"/>
  <c r="D85" i="15"/>
  <c r="L85" i="15" s="1"/>
  <c r="B85" i="15"/>
  <c r="Z84" i="15"/>
  <c r="X84" i="15"/>
  <c r="P84" i="15"/>
  <c r="N84" i="15"/>
  <c r="D84" i="15"/>
  <c r="L84" i="15" s="1"/>
  <c r="B84" i="15"/>
  <c r="Z83" i="15"/>
  <c r="X83" i="15"/>
  <c r="P83" i="15"/>
  <c r="N83" i="15"/>
  <c r="D83" i="15"/>
  <c r="L83" i="15" s="1"/>
  <c r="B83" i="15"/>
  <c r="Z82" i="15"/>
  <c r="P82" i="15"/>
  <c r="X82" i="15" s="1"/>
  <c r="N82" i="15"/>
  <c r="D82" i="15"/>
  <c r="L82" i="15" s="1"/>
  <c r="B82" i="15"/>
  <c r="Z81" i="15"/>
  <c r="P81" i="15"/>
  <c r="X81" i="15" s="1"/>
  <c r="N81" i="15"/>
  <c r="L81" i="15"/>
  <c r="D81" i="15"/>
  <c r="B81" i="15"/>
  <c r="Z80" i="15"/>
  <c r="P80" i="15"/>
  <c r="X80" i="15" s="1"/>
  <c r="N80" i="15"/>
  <c r="L80" i="15"/>
  <c r="D80" i="15"/>
  <c r="B80" i="15"/>
  <c r="Z79" i="15"/>
  <c r="P79" i="15"/>
  <c r="X79" i="15" s="1"/>
  <c r="N79" i="15"/>
  <c r="D79" i="15"/>
  <c r="L79" i="15" s="1"/>
  <c r="B79" i="15"/>
  <c r="Z78" i="15"/>
  <c r="X78" i="15"/>
  <c r="P78" i="15"/>
  <c r="N78" i="15"/>
  <c r="D78" i="15"/>
  <c r="L78" i="15" s="1"/>
  <c r="B78" i="15"/>
  <c r="Z77" i="15"/>
  <c r="X77" i="15"/>
  <c r="P77" i="15"/>
  <c r="N77" i="15"/>
  <c r="D77" i="15"/>
  <c r="L77" i="15" s="1"/>
  <c r="B77" i="15"/>
  <c r="Z76" i="15"/>
  <c r="P76" i="15"/>
  <c r="X76" i="15" s="1"/>
  <c r="N76" i="15"/>
  <c r="D76" i="15"/>
  <c r="L76" i="15" s="1"/>
  <c r="B76" i="15"/>
  <c r="Z75" i="15"/>
  <c r="P75" i="15"/>
  <c r="X75" i="15" s="1"/>
  <c r="N75" i="15"/>
  <c r="L75" i="15"/>
  <c r="D75" i="15"/>
  <c r="B75" i="15"/>
  <c r="Z74" i="15"/>
  <c r="P74" i="15"/>
  <c r="X74" i="15" s="1"/>
  <c r="N74" i="15"/>
  <c r="L74" i="15"/>
  <c r="D74" i="15"/>
  <c r="B74" i="15"/>
  <c r="Z73" i="15"/>
  <c r="P73" i="15"/>
  <c r="X73" i="15" s="1"/>
  <c r="N73" i="15"/>
  <c r="D73" i="15"/>
  <c r="L73" i="15" s="1"/>
  <c r="B73" i="15"/>
  <c r="Z72" i="15"/>
  <c r="X72" i="15"/>
  <c r="P72" i="15"/>
  <c r="N72" i="15"/>
  <c r="D72" i="15"/>
  <c r="L72" i="15" s="1"/>
  <c r="B72" i="15"/>
  <c r="Z71" i="15"/>
  <c r="X71" i="15"/>
  <c r="P71" i="15"/>
  <c r="N71" i="15"/>
  <c r="D71" i="15"/>
  <c r="L71" i="15" s="1"/>
  <c r="B71" i="15"/>
  <c r="Z70" i="15"/>
  <c r="P70" i="15"/>
  <c r="X70" i="15" s="1"/>
  <c r="N70" i="15"/>
  <c r="D70" i="15"/>
  <c r="L70" i="15" s="1"/>
  <c r="B70" i="15"/>
  <c r="Z69" i="15"/>
  <c r="P69" i="15"/>
  <c r="X69" i="15" s="1"/>
  <c r="N69" i="15"/>
  <c r="L69" i="15"/>
  <c r="D69" i="15"/>
  <c r="B69" i="15"/>
  <c r="Z68" i="15"/>
  <c r="P68" i="15"/>
  <c r="X68" i="15" s="1"/>
  <c r="N68" i="15"/>
  <c r="L68" i="15"/>
  <c r="D68" i="15"/>
  <c r="B68" i="15"/>
  <c r="Z67" i="15"/>
  <c r="P67" i="15"/>
  <c r="X67" i="15" s="1"/>
  <c r="N67" i="15"/>
  <c r="D67" i="15"/>
  <c r="L67" i="15" s="1"/>
  <c r="B67" i="15"/>
  <c r="Z66" i="15"/>
  <c r="X66" i="15"/>
  <c r="P66" i="15"/>
  <c r="N66" i="15"/>
  <c r="D66" i="15"/>
  <c r="L66" i="15" s="1"/>
  <c r="B66" i="15"/>
  <c r="Z65" i="15"/>
  <c r="X65" i="15"/>
  <c r="P65" i="15"/>
  <c r="N65" i="15"/>
  <c r="D65" i="15"/>
  <c r="L65" i="15" s="1"/>
  <c r="B65" i="15"/>
  <c r="Z64" i="15"/>
  <c r="P64" i="15"/>
  <c r="X64" i="15" s="1"/>
  <c r="N64" i="15"/>
  <c r="D64" i="15"/>
  <c r="L64" i="15" s="1"/>
  <c r="B64" i="15"/>
  <c r="Z63" i="15"/>
  <c r="P63" i="15"/>
  <c r="X63" i="15" s="1"/>
  <c r="N63" i="15"/>
  <c r="L63" i="15"/>
  <c r="D63" i="15"/>
  <c r="B63" i="15"/>
  <c r="Z62" i="15"/>
  <c r="P62" i="15"/>
  <c r="X62" i="15" s="1"/>
  <c r="N62" i="15"/>
  <c r="L62" i="15"/>
  <c r="D62" i="15"/>
  <c r="B62" i="15"/>
  <c r="Z61" i="15"/>
  <c r="P61" i="15"/>
  <c r="X61" i="15" s="1"/>
  <c r="N61" i="15"/>
  <c r="D61" i="15"/>
  <c r="L61" i="15" s="1"/>
  <c r="B61" i="15"/>
  <c r="Z60" i="15"/>
  <c r="X60" i="15"/>
  <c r="P60" i="15"/>
  <c r="N60" i="15"/>
  <c r="D60" i="15"/>
  <c r="L60" i="15" s="1"/>
  <c r="B60" i="15"/>
  <c r="Z59" i="15"/>
  <c r="X59" i="15"/>
  <c r="P59" i="15"/>
  <c r="N59" i="15"/>
  <c r="D59" i="15"/>
  <c r="L59" i="15" s="1"/>
  <c r="B59" i="15"/>
  <c r="Z58" i="15"/>
  <c r="P58" i="15"/>
  <c r="X58" i="15" s="1"/>
  <c r="N58" i="15"/>
  <c r="D58" i="15"/>
  <c r="L58" i="15" s="1"/>
  <c r="B58" i="15"/>
  <c r="Z57" i="15"/>
  <c r="P57" i="15"/>
  <c r="X57" i="15" s="1"/>
  <c r="N57" i="15"/>
  <c r="L57" i="15"/>
  <c r="D57" i="15"/>
  <c r="B57" i="15"/>
  <c r="Z56" i="15"/>
  <c r="P56" i="15"/>
  <c r="X56" i="15" s="1"/>
  <c r="N56" i="15"/>
  <c r="L56" i="15"/>
  <c r="D56" i="15"/>
  <c r="B56" i="15"/>
  <c r="Z55" i="15"/>
  <c r="P55" i="15"/>
  <c r="X55" i="15" s="1"/>
  <c r="N55" i="15"/>
  <c r="D55" i="15"/>
  <c r="L55" i="15" s="1"/>
  <c r="B55" i="15"/>
  <c r="Z54" i="15"/>
  <c r="X54" i="15"/>
  <c r="P54" i="15"/>
  <c r="N54" i="15"/>
  <c r="D54" i="15"/>
  <c r="L54" i="15" s="1"/>
  <c r="B54" i="15"/>
  <c r="Z53" i="15"/>
  <c r="X53" i="15"/>
  <c r="P53" i="15"/>
  <c r="N53" i="15"/>
  <c r="D53" i="15"/>
  <c r="L53" i="15" s="1"/>
  <c r="B53" i="15"/>
  <c r="Z52" i="15"/>
  <c r="P52" i="15"/>
  <c r="X52" i="15" s="1"/>
  <c r="N52" i="15"/>
  <c r="D52" i="15"/>
  <c r="L52" i="15" s="1"/>
  <c r="B52" i="15"/>
  <c r="Z51" i="15"/>
  <c r="P51" i="15"/>
  <c r="X51" i="15" s="1"/>
  <c r="N51" i="15"/>
  <c r="L51" i="15"/>
  <c r="D51" i="15"/>
  <c r="B51" i="15"/>
  <c r="Z50" i="15"/>
  <c r="P50" i="15"/>
  <c r="X50" i="15" s="1"/>
  <c r="N50" i="15"/>
  <c r="L50" i="15"/>
  <c r="D50" i="15"/>
  <c r="B50" i="15"/>
  <c r="Z49" i="15"/>
  <c r="P49" i="15"/>
  <c r="X49" i="15" s="1"/>
  <c r="N49" i="15"/>
  <c r="D49" i="15"/>
  <c r="L49" i="15" s="1"/>
  <c r="B49" i="15"/>
  <c r="Z48" i="15"/>
  <c r="X48" i="15"/>
  <c r="P48" i="15"/>
  <c r="N48" i="15"/>
  <c r="D48" i="15"/>
  <c r="L48" i="15" s="1"/>
  <c r="B48" i="15"/>
  <c r="Z47" i="15"/>
  <c r="X47" i="15"/>
  <c r="P47" i="15"/>
  <c r="D47" i="15"/>
  <c r="L47" i="15" s="1"/>
  <c r="N47" i="15" s="1"/>
  <c r="B47" i="15"/>
  <c r="Z46" i="15"/>
  <c r="P46" i="15"/>
  <c r="X46" i="15" s="1"/>
  <c r="N46" i="15"/>
  <c r="D46" i="15"/>
  <c r="L46" i="15" s="1"/>
  <c r="B46" i="15"/>
  <c r="Z45" i="15"/>
  <c r="P45" i="15"/>
  <c r="X45" i="15" s="1"/>
  <c r="N45" i="15"/>
  <c r="L45" i="15"/>
  <c r="D45" i="15"/>
  <c r="B45" i="15"/>
  <c r="Z44" i="15"/>
  <c r="P44" i="15"/>
  <c r="X44" i="15" s="1"/>
  <c r="N44" i="15"/>
  <c r="L44" i="15"/>
  <c r="D44" i="15"/>
  <c r="B44" i="15"/>
  <c r="Z43" i="15"/>
  <c r="P43" i="15"/>
  <c r="X43" i="15" s="1"/>
  <c r="N43" i="15"/>
  <c r="D43" i="15"/>
  <c r="L43" i="15" s="1"/>
  <c r="B43" i="15"/>
  <c r="Z42" i="15"/>
  <c r="X42" i="15"/>
  <c r="P42" i="15"/>
  <c r="N42" i="15"/>
  <c r="D42" i="15"/>
  <c r="L42" i="15" s="1"/>
  <c r="B42" i="15"/>
  <c r="Z41" i="15"/>
  <c r="X41" i="15"/>
  <c r="P41" i="15"/>
  <c r="N41" i="15"/>
  <c r="D41" i="15"/>
  <c r="L41" i="15" s="1"/>
  <c r="B41" i="15"/>
  <c r="Z40" i="15"/>
  <c r="P40" i="15"/>
  <c r="X40" i="15" s="1"/>
  <c r="N40" i="15"/>
  <c r="D40" i="15"/>
  <c r="L40" i="15" s="1"/>
  <c r="B40" i="15"/>
  <c r="Z39" i="15"/>
  <c r="P39" i="15"/>
  <c r="X39" i="15" s="1"/>
  <c r="N39" i="15"/>
  <c r="L39" i="15"/>
  <c r="D39" i="15"/>
  <c r="B39" i="15"/>
  <c r="Z38" i="15"/>
  <c r="P38" i="15"/>
  <c r="X38" i="15" s="1"/>
  <c r="N38" i="15"/>
  <c r="L38" i="15"/>
  <c r="D38" i="15"/>
  <c r="B38" i="15"/>
  <c r="Z37" i="15"/>
  <c r="P37" i="15"/>
  <c r="X37" i="15" s="1"/>
  <c r="N37" i="15"/>
  <c r="D37" i="15"/>
  <c r="L37" i="15" s="1"/>
  <c r="B37" i="15"/>
  <c r="Z36" i="15"/>
  <c r="X36" i="15"/>
  <c r="P36" i="15"/>
  <c r="N36" i="15"/>
  <c r="D36" i="15"/>
  <c r="L36" i="15" s="1"/>
  <c r="B36" i="15"/>
  <c r="Z35" i="15"/>
  <c r="X35" i="15"/>
  <c r="P35" i="15"/>
  <c r="N35" i="15"/>
  <c r="D35" i="15"/>
  <c r="L35" i="15" s="1"/>
  <c r="B35" i="15"/>
  <c r="Z34" i="15"/>
  <c r="P34" i="15"/>
  <c r="X34" i="15" s="1"/>
  <c r="N34" i="15"/>
  <c r="D34" i="15"/>
  <c r="L34" i="15" s="1"/>
  <c r="B34" i="15"/>
  <c r="Z33" i="15"/>
  <c r="P33" i="15"/>
  <c r="X33" i="15" s="1"/>
  <c r="N33" i="15"/>
  <c r="L33" i="15"/>
  <c r="D33" i="15"/>
  <c r="B33" i="15"/>
  <c r="Z32" i="15"/>
  <c r="P32" i="15"/>
  <c r="X32" i="15" s="1"/>
  <c r="N32" i="15"/>
  <c r="L32" i="15"/>
  <c r="D32" i="15"/>
  <c r="B32" i="15"/>
  <c r="Z31" i="15"/>
  <c r="P31" i="15"/>
  <c r="X31" i="15" s="1"/>
  <c r="N31" i="15"/>
  <c r="D31" i="15"/>
  <c r="L31" i="15" s="1"/>
  <c r="B31" i="15"/>
  <c r="Z30" i="15"/>
  <c r="X30" i="15"/>
  <c r="P30" i="15"/>
  <c r="N30" i="15"/>
  <c r="D30" i="15"/>
  <c r="L30" i="15" s="1"/>
  <c r="B30" i="15"/>
  <c r="Z29" i="15"/>
  <c r="X29" i="15"/>
  <c r="P29" i="15"/>
  <c r="N29" i="15"/>
  <c r="D29" i="15"/>
  <c r="L29" i="15" s="1"/>
  <c r="B29" i="15"/>
  <c r="Z28" i="15"/>
  <c r="P28" i="15"/>
  <c r="X28" i="15" s="1"/>
  <c r="N28" i="15"/>
  <c r="D28" i="15"/>
  <c r="L28" i="15" s="1"/>
  <c r="B28" i="15"/>
  <c r="Z27" i="15"/>
  <c r="P27" i="15"/>
  <c r="X27" i="15" s="1"/>
  <c r="N27" i="15"/>
  <c r="L27" i="15"/>
  <c r="D27" i="15"/>
  <c r="B27" i="15"/>
  <c r="Z26" i="15"/>
  <c r="P26" i="15"/>
  <c r="X26" i="15" s="1"/>
  <c r="N26" i="15"/>
  <c r="L26" i="15"/>
  <c r="D26" i="15"/>
  <c r="B26" i="15"/>
  <c r="Z25" i="15"/>
  <c r="P25" i="15"/>
  <c r="X25" i="15" s="1"/>
  <c r="N25" i="15"/>
  <c r="D25" i="15"/>
  <c r="L25" i="15" s="1"/>
  <c r="B25" i="15"/>
  <c r="Z24" i="15"/>
  <c r="X24" i="15"/>
  <c r="P24" i="15"/>
  <c r="N24" i="15"/>
  <c r="D24" i="15"/>
  <c r="L24" i="15" s="1"/>
  <c r="B24" i="15"/>
  <c r="Z23" i="15"/>
  <c r="X23" i="15"/>
  <c r="P23" i="15"/>
  <c r="N23" i="15"/>
  <c r="D23" i="15"/>
  <c r="L23" i="15" s="1"/>
  <c r="B23" i="15"/>
  <c r="Z22" i="15"/>
  <c r="P22" i="15"/>
  <c r="X22" i="15" s="1"/>
  <c r="N22" i="15"/>
  <c r="D22" i="15"/>
  <c r="L22" i="15" s="1"/>
  <c r="B22" i="15"/>
  <c r="Z21" i="15"/>
  <c r="P21" i="15"/>
  <c r="X21" i="15" s="1"/>
  <c r="N21" i="15"/>
  <c r="L21" i="15"/>
  <c r="D21" i="15"/>
  <c r="B21" i="15"/>
  <c r="Z20" i="15"/>
  <c r="P20" i="15"/>
  <c r="X20" i="15" s="1"/>
  <c r="N20" i="15"/>
  <c r="L20" i="15"/>
  <c r="D20" i="15"/>
  <c r="B20" i="15"/>
  <c r="Z19" i="15"/>
  <c r="P19" i="15"/>
  <c r="X19" i="15" s="1"/>
  <c r="N19" i="15"/>
  <c r="D19" i="15"/>
  <c r="L19" i="15" s="1"/>
  <c r="B19" i="15"/>
  <c r="Z18" i="15"/>
  <c r="X18" i="15"/>
  <c r="P18" i="15"/>
  <c r="N18" i="15"/>
  <c r="D18" i="15"/>
  <c r="L18" i="15" s="1"/>
  <c r="B18" i="15"/>
  <c r="Z17" i="15"/>
  <c r="X17" i="15"/>
  <c r="P17" i="15"/>
  <c r="N17" i="15"/>
  <c r="D17" i="15"/>
  <c r="L17" i="15" s="1"/>
  <c r="B17" i="15"/>
  <c r="Z16" i="15"/>
  <c r="P16" i="15"/>
  <c r="X16" i="15" s="1"/>
  <c r="N16" i="15"/>
  <c r="D16" i="15"/>
  <c r="L16" i="15" s="1"/>
  <c r="B16" i="15"/>
  <c r="Z15" i="15"/>
  <c r="P15" i="15"/>
  <c r="X15" i="15" s="1"/>
  <c r="N15" i="15"/>
  <c r="L15" i="15"/>
  <c r="D15" i="15"/>
  <c r="B15" i="15"/>
  <c r="Z14" i="15"/>
  <c r="P14" i="15"/>
  <c r="X14" i="15" s="1"/>
  <c r="N14" i="15"/>
  <c r="L14" i="15"/>
  <c r="D14" i="15"/>
  <c r="B14" i="15"/>
  <c r="P13" i="15"/>
  <c r="X13" i="15" s="1"/>
  <c r="Z13" i="15" s="1"/>
  <c r="D13" i="15"/>
  <c r="L13" i="15" s="1"/>
  <c r="N13" i="15" s="1"/>
  <c r="B13" i="15"/>
  <c r="T12" i="15"/>
  <c r="V264" i="15" s="1"/>
  <c r="H12" i="15"/>
  <c r="J249" i="15" s="1"/>
  <c r="D12" i="15"/>
  <c r="D4" i="15"/>
  <c r="X283" i="12"/>
  <c r="Z283" i="12" s="1"/>
  <c r="L283" i="12"/>
  <c r="N283" i="12" s="1"/>
  <c r="Z279" i="12"/>
  <c r="X279" i="12"/>
  <c r="P279" i="12"/>
  <c r="N279" i="12"/>
  <c r="L279" i="12"/>
  <c r="D279" i="12"/>
  <c r="B279" i="12"/>
  <c r="X278" i="12"/>
  <c r="Z278" i="12" s="1"/>
  <c r="P278" i="12"/>
  <c r="L278" i="12"/>
  <c r="N278" i="12" s="1"/>
  <c r="D278" i="12"/>
  <c r="B278" i="12"/>
  <c r="Z277" i="12"/>
  <c r="X277" i="12"/>
  <c r="P277" i="12"/>
  <c r="N277" i="12"/>
  <c r="D277" i="12"/>
  <c r="L277" i="12" s="1"/>
  <c r="B277" i="12"/>
  <c r="Z276" i="12"/>
  <c r="P276" i="12"/>
  <c r="X276" i="12" s="1"/>
  <c r="N276" i="12"/>
  <c r="D276" i="12"/>
  <c r="L276" i="12" s="1"/>
  <c r="B276" i="12"/>
  <c r="P275" i="12"/>
  <c r="X275" i="12" s="1"/>
  <c r="Z275" i="12" s="1"/>
  <c r="D275" i="12"/>
  <c r="L275" i="12" s="1"/>
  <c r="N275" i="12" s="1"/>
  <c r="B275" i="12"/>
  <c r="P274" i="12"/>
  <c r="X274" i="12" s="1"/>
  <c r="Z274" i="12" s="1"/>
  <c r="N274" i="12"/>
  <c r="L274" i="12"/>
  <c r="D274" i="12"/>
  <c r="B274" i="12"/>
  <c r="Z273" i="12"/>
  <c r="X273" i="12"/>
  <c r="P273" i="12"/>
  <c r="N273" i="12"/>
  <c r="L273" i="12"/>
  <c r="D273" i="12"/>
  <c r="B273" i="12"/>
  <c r="Z272" i="12"/>
  <c r="X272" i="12"/>
  <c r="P272" i="12"/>
  <c r="P270" i="12" s="1"/>
  <c r="X270" i="12" s="1"/>
  <c r="N272" i="12"/>
  <c r="L272" i="12"/>
  <c r="D272" i="12"/>
  <c r="B272" i="12"/>
  <c r="Z271" i="12"/>
  <c r="X271" i="12"/>
  <c r="P271" i="12"/>
  <c r="N271" i="12"/>
  <c r="D271" i="12"/>
  <c r="L271" i="12" s="1"/>
  <c r="B271" i="12"/>
  <c r="T270" i="12"/>
  <c r="H270" i="12"/>
  <c r="X268" i="12"/>
  <c r="Z268" i="12" s="1"/>
  <c r="N268" i="12"/>
  <c r="L268" i="12"/>
  <c r="B268" i="12"/>
  <c r="Z267" i="12"/>
  <c r="X267" i="12"/>
  <c r="T267" i="12"/>
  <c r="P267" i="12"/>
  <c r="H267" i="12"/>
  <c r="D267" i="12"/>
  <c r="L267" i="12" s="1"/>
  <c r="N267" i="12" s="1"/>
  <c r="B267" i="12"/>
  <c r="Z266" i="12"/>
  <c r="X266" i="12"/>
  <c r="N266" i="12"/>
  <c r="L266" i="12"/>
  <c r="B266" i="12"/>
  <c r="X265" i="12"/>
  <c r="Z265" i="12" s="1"/>
  <c r="L265" i="12"/>
  <c r="N265" i="12" s="1"/>
  <c r="B265" i="12"/>
  <c r="Z264" i="12"/>
  <c r="X264" i="12"/>
  <c r="N264" i="12"/>
  <c r="L264" i="12"/>
  <c r="B264" i="12"/>
  <c r="X263" i="12"/>
  <c r="T263" i="12"/>
  <c r="Z263" i="12" s="1"/>
  <c r="P263" i="12"/>
  <c r="H263" i="12"/>
  <c r="D263" i="12"/>
  <c r="B263" i="12"/>
  <c r="X262" i="12"/>
  <c r="Z262" i="12" s="1"/>
  <c r="L262" i="12"/>
  <c r="N262" i="12" s="1"/>
  <c r="B262" i="12"/>
  <c r="T261" i="12"/>
  <c r="Z261" i="12" s="1"/>
  <c r="P261" i="12"/>
  <c r="X261" i="12" s="1"/>
  <c r="H261" i="12"/>
  <c r="D261" i="12"/>
  <c r="L261" i="12" s="1"/>
  <c r="B261" i="12"/>
  <c r="X260" i="12"/>
  <c r="Z260" i="12" s="1"/>
  <c r="N260" i="12"/>
  <c r="L260" i="12"/>
  <c r="B260" i="12"/>
  <c r="Z259" i="12"/>
  <c r="X259" i="12"/>
  <c r="L259" i="12"/>
  <c r="N259" i="12" s="1"/>
  <c r="B259" i="12"/>
  <c r="T258" i="12"/>
  <c r="X258" i="12" s="1"/>
  <c r="P258" i="12"/>
  <c r="H258" i="12"/>
  <c r="D258" i="12"/>
  <c r="B258" i="12"/>
  <c r="X257" i="12"/>
  <c r="Z257" i="12" s="1"/>
  <c r="L257" i="12"/>
  <c r="N257" i="12" s="1"/>
  <c r="B257" i="12"/>
  <c r="Z256" i="12"/>
  <c r="X256" i="12"/>
  <c r="L256" i="12"/>
  <c r="N256" i="12" s="1"/>
  <c r="B256" i="12"/>
  <c r="X255" i="12"/>
  <c r="Z255" i="12" s="1"/>
  <c r="L255" i="12"/>
  <c r="N255" i="12" s="1"/>
  <c r="B255" i="12"/>
  <c r="Z254" i="12"/>
  <c r="X254" i="12"/>
  <c r="N254" i="12"/>
  <c r="L254" i="12"/>
  <c r="B254" i="12"/>
  <c r="X253" i="12"/>
  <c r="Z253" i="12" s="1"/>
  <c r="L253" i="12"/>
  <c r="N253" i="12" s="1"/>
  <c r="B253" i="12"/>
  <c r="Z252" i="12"/>
  <c r="X252" i="12"/>
  <c r="L252" i="12"/>
  <c r="N252" i="12" s="1"/>
  <c r="B252" i="12"/>
  <c r="Z251" i="12"/>
  <c r="X251" i="12"/>
  <c r="N251" i="12"/>
  <c r="L251" i="12"/>
  <c r="B251" i="12"/>
  <c r="Z250" i="12"/>
  <c r="X250" i="12"/>
  <c r="L250" i="12"/>
  <c r="N250" i="12" s="1"/>
  <c r="B250" i="12"/>
  <c r="X249" i="12"/>
  <c r="Z249" i="12" s="1"/>
  <c r="L249" i="12"/>
  <c r="N249" i="12" s="1"/>
  <c r="B249" i="12"/>
  <c r="T248" i="12"/>
  <c r="P248" i="12"/>
  <c r="X248" i="12" s="1"/>
  <c r="Z248" i="12" s="1"/>
  <c r="H248" i="12"/>
  <c r="D248" i="12"/>
  <c r="L248" i="12" s="1"/>
  <c r="N248" i="12" s="1"/>
  <c r="B248" i="12"/>
  <c r="X247" i="12"/>
  <c r="Z247" i="12" s="1"/>
  <c r="N247" i="12"/>
  <c r="L247" i="12"/>
  <c r="B247" i="12"/>
  <c r="X246" i="12"/>
  <c r="Z246" i="12" s="1"/>
  <c r="L246" i="12"/>
  <c r="N246" i="12" s="1"/>
  <c r="B246" i="12"/>
  <c r="T245" i="12"/>
  <c r="P245" i="12"/>
  <c r="X245" i="12" s="1"/>
  <c r="H245" i="12"/>
  <c r="N245" i="12" s="1"/>
  <c r="D245" i="12"/>
  <c r="L245" i="12" s="1"/>
  <c r="B245" i="12"/>
  <c r="X244" i="12"/>
  <c r="Z244" i="12" s="1"/>
  <c r="N244" i="12"/>
  <c r="L244" i="12"/>
  <c r="B244" i="12"/>
  <c r="Z243" i="12"/>
  <c r="X243" i="12"/>
  <c r="L243" i="12"/>
  <c r="N243" i="12" s="1"/>
  <c r="B243" i="12"/>
  <c r="X242" i="12"/>
  <c r="Z242" i="12" s="1"/>
  <c r="N242" i="12"/>
  <c r="L242" i="12"/>
  <c r="B242" i="12"/>
  <c r="Z241" i="12"/>
  <c r="X241" i="12"/>
  <c r="L241" i="12"/>
  <c r="N241" i="12" s="1"/>
  <c r="B241" i="12"/>
  <c r="X240" i="12"/>
  <c r="Z240" i="12" s="1"/>
  <c r="N240" i="12"/>
  <c r="L240" i="12"/>
  <c r="B240" i="12"/>
  <c r="Z239" i="12"/>
  <c r="X239" i="12"/>
  <c r="N239" i="12"/>
  <c r="L239" i="12"/>
  <c r="B239" i="12"/>
  <c r="T238" i="12"/>
  <c r="X238" i="12" s="1"/>
  <c r="P238" i="12"/>
  <c r="H238" i="12"/>
  <c r="D238" i="12"/>
  <c r="B238" i="12"/>
  <c r="X237" i="12"/>
  <c r="Z237" i="12" s="1"/>
  <c r="L237" i="12"/>
  <c r="N237" i="12" s="1"/>
  <c r="B237" i="12"/>
  <c r="Z236" i="12"/>
  <c r="X236" i="12"/>
  <c r="L236" i="12"/>
  <c r="N236" i="12" s="1"/>
  <c r="B236" i="12"/>
  <c r="X235" i="12"/>
  <c r="Z235" i="12" s="1"/>
  <c r="L235" i="12"/>
  <c r="N235" i="12" s="1"/>
  <c r="B235" i="12"/>
  <c r="Z234" i="12"/>
  <c r="X234" i="12"/>
  <c r="L234" i="12"/>
  <c r="N234" i="12" s="1"/>
  <c r="B234" i="12"/>
  <c r="T233" i="12"/>
  <c r="P233" i="12"/>
  <c r="L233" i="12"/>
  <c r="N233" i="12" s="1"/>
  <c r="H233" i="12"/>
  <c r="D233" i="12"/>
  <c r="B233" i="12"/>
  <c r="X232" i="12"/>
  <c r="Z232" i="12" s="1"/>
  <c r="L232" i="12"/>
  <c r="N232" i="12" s="1"/>
  <c r="B232" i="12"/>
  <c r="X231" i="12"/>
  <c r="Z231" i="12" s="1"/>
  <c r="N231" i="12"/>
  <c r="L231" i="12"/>
  <c r="B231" i="12"/>
  <c r="X230" i="12"/>
  <c r="Z230" i="12" s="1"/>
  <c r="N230" i="12"/>
  <c r="L230" i="12"/>
  <c r="B230" i="12"/>
  <c r="X229" i="12"/>
  <c r="Z229" i="12" s="1"/>
  <c r="N229" i="12"/>
  <c r="L229" i="12"/>
  <c r="B229" i="12"/>
  <c r="X228" i="12"/>
  <c r="Z228" i="12" s="1"/>
  <c r="T228" i="12"/>
  <c r="P228" i="12"/>
  <c r="L228" i="12"/>
  <c r="N228" i="12" s="1"/>
  <c r="H228" i="12"/>
  <c r="D228" i="12"/>
  <c r="B228" i="12"/>
  <c r="Z227" i="12"/>
  <c r="X227" i="12"/>
  <c r="L227" i="12"/>
  <c r="N227" i="12" s="1"/>
  <c r="B227" i="12"/>
  <c r="T226" i="12"/>
  <c r="X226" i="12" s="1"/>
  <c r="P226" i="12"/>
  <c r="H226" i="12"/>
  <c r="D226" i="12"/>
  <c r="B226" i="12"/>
  <c r="Z225" i="12"/>
  <c r="X225" i="12"/>
  <c r="N225" i="12"/>
  <c r="L225" i="12"/>
  <c r="B225" i="12"/>
  <c r="Z224" i="12"/>
  <c r="T224" i="12"/>
  <c r="P224" i="12"/>
  <c r="X224" i="12" s="1"/>
  <c r="N224" i="12"/>
  <c r="H224" i="12"/>
  <c r="D224" i="12"/>
  <c r="L224" i="12" s="1"/>
  <c r="B224" i="12"/>
  <c r="X223" i="12"/>
  <c r="Z223" i="12" s="1"/>
  <c r="N223" i="12"/>
  <c r="L223" i="12"/>
  <c r="B223" i="12"/>
  <c r="X222" i="12"/>
  <c r="Z222" i="12" s="1"/>
  <c r="T222" i="12"/>
  <c r="P222" i="12"/>
  <c r="L222" i="12"/>
  <c r="N222" i="12" s="1"/>
  <c r="H222" i="12"/>
  <c r="D222" i="12"/>
  <c r="B222" i="12"/>
  <c r="Z221" i="12"/>
  <c r="X221" i="12"/>
  <c r="L221" i="12"/>
  <c r="N221" i="12" s="1"/>
  <c r="B221" i="12"/>
  <c r="T220" i="12"/>
  <c r="P220" i="12"/>
  <c r="H220" i="12"/>
  <c r="L220" i="12" s="1"/>
  <c r="D220" i="12"/>
  <c r="B220" i="12"/>
  <c r="X219" i="12"/>
  <c r="Z219" i="12" s="1"/>
  <c r="L219" i="12"/>
  <c r="N219" i="12" s="1"/>
  <c r="B219" i="12"/>
  <c r="T218" i="12"/>
  <c r="P218" i="12"/>
  <c r="X218" i="12" s="1"/>
  <c r="Z218" i="12" s="1"/>
  <c r="H218" i="12"/>
  <c r="D218" i="12"/>
  <c r="L218" i="12" s="1"/>
  <c r="N218" i="12" s="1"/>
  <c r="B218" i="12"/>
  <c r="X217" i="12"/>
  <c r="Z217" i="12" s="1"/>
  <c r="N217" i="12"/>
  <c r="L217" i="12"/>
  <c r="B217" i="12"/>
  <c r="X216" i="12"/>
  <c r="Z216" i="12" s="1"/>
  <c r="T216" i="12"/>
  <c r="P216" i="12"/>
  <c r="L216" i="12"/>
  <c r="N216" i="12" s="1"/>
  <c r="H216" i="12"/>
  <c r="D216" i="12"/>
  <c r="B216" i="12"/>
  <c r="Z215" i="12"/>
  <c r="X215" i="12"/>
  <c r="L215" i="12"/>
  <c r="N215" i="12" s="1"/>
  <c r="B215" i="12"/>
  <c r="T214" i="12"/>
  <c r="X214" i="12" s="1"/>
  <c r="P214" i="12"/>
  <c r="H214" i="12"/>
  <c r="D214" i="12"/>
  <c r="B214" i="12"/>
  <c r="X213" i="12"/>
  <c r="Z213" i="12" s="1"/>
  <c r="L213" i="12"/>
  <c r="N213" i="12" s="1"/>
  <c r="B213" i="12"/>
  <c r="Z212" i="12"/>
  <c r="X212" i="12"/>
  <c r="L212" i="12"/>
  <c r="N212" i="12" s="1"/>
  <c r="B212" i="12"/>
  <c r="X211" i="12"/>
  <c r="Z211" i="12" s="1"/>
  <c r="T211" i="12"/>
  <c r="P211" i="12"/>
  <c r="H211" i="12"/>
  <c r="D211" i="12"/>
  <c r="B211" i="12"/>
  <c r="X210" i="12"/>
  <c r="Z210" i="12" s="1"/>
  <c r="L210" i="12"/>
  <c r="N210" i="12" s="1"/>
  <c r="B210" i="12"/>
  <c r="T209" i="12"/>
  <c r="Z209" i="12" s="1"/>
  <c r="P209" i="12"/>
  <c r="X209" i="12" s="1"/>
  <c r="H209" i="12"/>
  <c r="N209" i="12" s="1"/>
  <c r="D209" i="12"/>
  <c r="L209" i="12" s="1"/>
  <c r="B209" i="12"/>
  <c r="X208" i="12"/>
  <c r="Z208" i="12" s="1"/>
  <c r="N208" i="12"/>
  <c r="L208" i="12"/>
  <c r="B208" i="12"/>
  <c r="Z207" i="12"/>
  <c r="X207" i="12"/>
  <c r="T207" i="12"/>
  <c r="P207" i="12"/>
  <c r="H207" i="12"/>
  <c r="D207" i="12"/>
  <c r="L207" i="12" s="1"/>
  <c r="N207" i="12" s="1"/>
  <c r="B207" i="12"/>
  <c r="Z206" i="12"/>
  <c r="X206" i="12"/>
  <c r="N206" i="12"/>
  <c r="L206" i="12"/>
  <c r="B206" i="12"/>
  <c r="X205" i="12"/>
  <c r="Z205" i="12" s="1"/>
  <c r="L205" i="12"/>
  <c r="N205" i="12" s="1"/>
  <c r="B205" i="12"/>
  <c r="T204" i="12"/>
  <c r="P204" i="12"/>
  <c r="X204" i="12" s="1"/>
  <c r="Z204" i="12" s="1"/>
  <c r="H204" i="12"/>
  <c r="D204" i="12"/>
  <c r="L204" i="12" s="1"/>
  <c r="N204" i="12" s="1"/>
  <c r="B204" i="12"/>
  <c r="Z203" i="12"/>
  <c r="X203" i="12"/>
  <c r="N203" i="12"/>
  <c r="L203" i="12"/>
  <c r="B203" i="12"/>
  <c r="X202" i="12"/>
  <c r="Z202" i="12" s="1"/>
  <c r="L202" i="12"/>
  <c r="N202" i="12" s="1"/>
  <c r="B202" i="12"/>
  <c r="T201" i="12"/>
  <c r="P201" i="12"/>
  <c r="X201" i="12" s="1"/>
  <c r="H201" i="12"/>
  <c r="D201" i="12"/>
  <c r="L201" i="12" s="1"/>
  <c r="B201" i="12"/>
  <c r="X200" i="12"/>
  <c r="Z200" i="12" s="1"/>
  <c r="N200" i="12"/>
  <c r="L200" i="12"/>
  <c r="B200" i="12"/>
  <c r="Z199" i="12"/>
  <c r="X199" i="12"/>
  <c r="L199" i="12"/>
  <c r="N199" i="12" s="1"/>
  <c r="B199" i="12"/>
  <c r="X198" i="12"/>
  <c r="Z198" i="12" s="1"/>
  <c r="N198" i="12"/>
  <c r="L198" i="12"/>
  <c r="B198" i="12"/>
  <c r="Z197" i="12"/>
  <c r="X197" i="12"/>
  <c r="L197" i="12"/>
  <c r="N197" i="12" s="1"/>
  <c r="B197" i="12"/>
  <c r="T196" i="12"/>
  <c r="P196" i="12"/>
  <c r="H196" i="12"/>
  <c r="L196" i="12" s="1"/>
  <c r="D196" i="12"/>
  <c r="B196" i="12"/>
  <c r="X195" i="12"/>
  <c r="Z195" i="12" s="1"/>
  <c r="L195" i="12"/>
  <c r="N195" i="12" s="1"/>
  <c r="B195" i="12"/>
  <c r="T194" i="12"/>
  <c r="P194" i="12"/>
  <c r="X194" i="12" s="1"/>
  <c r="Z194" i="12" s="1"/>
  <c r="H194" i="12"/>
  <c r="D194" i="12"/>
  <c r="L194" i="12" s="1"/>
  <c r="N194" i="12" s="1"/>
  <c r="B194" i="12"/>
  <c r="X193" i="12"/>
  <c r="Z193" i="12" s="1"/>
  <c r="N193" i="12"/>
  <c r="L193" i="12"/>
  <c r="B193" i="12"/>
  <c r="X192" i="12"/>
  <c r="Z192" i="12" s="1"/>
  <c r="L192" i="12"/>
  <c r="N192" i="12" s="1"/>
  <c r="B192" i="12"/>
  <c r="T191" i="12"/>
  <c r="P191" i="12"/>
  <c r="X191" i="12" s="1"/>
  <c r="H191" i="12"/>
  <c r="N191" i="12" s="1"/>
  <c r="D191" i="12"/>
  <c r="L191" i="12" s="1"/>
  <c r="B191" i="12"/>
  <c r="X190" i="12"/>
  <c r="Z190" i="12" s="1"/>
  <c r="N190" i="12"/>
  <c r="L190" i="12"/>
  <c r="B190" i="12"/>
  <c r="T189" i="12"/>
  <c r="P189" i="12"/>
  <c r="X189" i="12" s="1"/>
  <c r="Z189" i="12" s="1"/>
  <c r="N189" i="12"/>
  <c r="L189" i="12"/>
  <c r="H189" i="12"/>
  <c r="D189" i="12"/>
  <c r="B189" i="12"/>
  <c r="Z188" i="12"/>
  <c r="X188" i="12"/>
  <c r="N188" i="12"/>
  <c r="L188" i="12"/>
  <c r="B188" i="12"/>
  <c r="Z187" i="12"/>
  <c r="X187" i="12"/>
  <c r="N187" i="12"/>
  <c r="L187" i="12"/>
  <c r="B187" i="12"/>
  <c r="Z186" i="12"/>
  <c r="X186" i="12"/>
  <c r="L186" i="12"/>
  <c r="N186" i="12" s="1"/>
  <c r="B186" i="12"/>
  <c r="X185" i="12"/>
  <c r="Z185" i="12" s="1"/>
  <c r="L185" i="12"/>
  <c r="N185" i="12" s="1"/>
  <c r="B185" i="12"/>
  <c r="Z184" i="12"/>
  <c r="X184" i="12"/>
  <c r="N184" i="12"/>
  <c r="L184" i="12"/>
  <c r="B184" i="12"/>
  <c r="X183" i="12"/>
  <c r="Z183" i="12" s="1"/>
  <c r="L183" i="12"/>
  <c r="N183" i="12" s="1"/>
  <c r="B183" i="12"/>
  <c r="Z182" i="12"/>
  <c r="X182" i="12"/>
  <c r="L182" i="12"/>
  <c r="N182" i="12" s="1"/>
  <c r="B182" i="12"/>
  <c r="Z181" i="12"/>
  <c r="X181" i="12"/>
  <c r="N181" i="12"/>
  <c r="L181" i="12"/>
  <c r="B181" i="12"/>
  <c r="Z180" i="12"/>
  <c r="X180" i="12"/>
  <c r="L180" i="12"/>
  <c r="N180" i="12" s="1"/>
  <c r="B180" i="12"/>
  <c r="X179" i="12"/>
  <c r="Z179" i="12" s="1"/>
  <c r="L179" i="12"/>
  <c r="N179" i="12" s="1"/>
  <c r="B179" i="12"/>
  <c r="T178" i="12"/>
  <c r="P178" i="12"/>
  <c r="X178" i="12" s="1"/>
  <c r="Z178" i="12" s="1"/>
  <c r="H178" i="12"/>
  <c r="D178" i="12"/>
  <c r="L178" i="12" s="1"/>
  <c r="N178" i="12" s="1"/>
  <c r="B178" i="12"/>
  <c r="X177" i="12"/>
  <c r="Z177" i="12" s="1"/>
  <c r="N177" i="12"/>
  <c r="L177" i="12"/>
  <c r="B177" i="12"/>
  <c r="X176" i="12"/>
  <c r="Z176" i="12" s="1"/>
  <c r="L176" i="12"/>
  <c r="N176" i="12" s="1"/>
  <c r="B176" i="12"/>
  <c r="X175" i="12"/>
  <c r="Z175" i="12" s="1"/>
  <c r="N175" i="12"/>
  <c r="L175" i="12"/>
  <c r="B175" i="12"/>
  <c r="Z174" i="12"/>
  <c r="X174" i="12"/>
  <c r="N174" i="12"/>
  <c r="L174" i="12"/>
  <c r="B174" i="12"/>
  <c r="Z173" i="12"/>
  <c r="X173" i="12"/>
  <c r="N173" i="12"/>
  <c r="L173" i="12"/>
  <c r="B173" i="12"/>
  <c r="X172" i="12"/>
  <c r="Z172" i="12" s="1"/>
  <c r="L172" i="12"/>
  <c r="N172" i="12" s="1"/>
  <c r="B172" i="12"/>
  <c r="X171" i="12"/>
  <c r="Z171" i="12" s="1"/>
  <c r="N171" i="12"/>
  <c r="L171" i="12"/>
  <c r="B171" i="12"/>
  <c r="X170" i="12"/>
  <c r="Z170" i="12" s="1"/>
  <c r="L170" i="12"/>
  <c r="N170" i="12" s="1"/>
  <c r="B170" i="12"/>
  <c r="X169" i="12"/>
  <c r="Z169" i="12" s="1"/>
  <c r="N169" i="12"/>
  <c r="L169" i="12"/>
  <c r="B169" i="12"/>
  <c r="X168" i="12"/>
  <c r="Z168" i="12" s="1"/>
  <c r="L168" i="12"/>
  <c r="N168" i="12" s="1"/>
  <c r="B168" i="12"/>
  <c r="T167" i="12"/>
  <c r="P167" i="12"/>
  <c r="X167" i="12" s="1"/>
  <c r="H167" i="12"/>
  <c r="N167" i="12" s="1"/>
  <c r="D167" i="12"/>
  <c r="L167" i="12" s="1"/>
  <c r="B167" i="12"/>
  <c r="T166" i="12"/>
  <c r="X166" i="12" s="1"/>
  <c r="P166" i="12"/>
  <c r="H166" i="12"/>
  <c r="D166" i="12"/>
  <c r="Z162" i="12"/>
  <c r="X162" i="12"/>
  <c r="N162" i="12"/>
  <c r="L162" i="12"/>
  <c r="B162" i="12"/>
  <c r="Z161" i="12"/>
  <c r="X161" i="12"/>
  <c r="N161" i="12"/>
  <c r="L161" i="12"/>
  <c r="B161" i="12"/>
  <c r="Z160" i="12"/>
  <c r="X160" i="12"/>
  <c r="N160" i="12"/>
  <c r="L160" i="12"/>
  <c r="B160" i="12"/>
  <c r="Z159" i="12"/>
  <c r="X159" i="12"/>
  <c r="N159" i="12"/>
  <c r="L159" i="12"/>
  <c r="B159" i="12"/>
  <c r="Z158" i="12"/>
  <c r="X158" i="12"/>
  <c r="N158" i="12"/>
  <c r="L158" i="12"/>
  <c r="B158" i="12"/>
  <c r="Z157" i="12"/>
  <c r="X157" i="12"/>
  <c r="N157" i="12"/>
  <c r="L157" i="12"/>
  <c r="J157" i="12"/>
  <c r="B157" i="12"/>
  <c r="Z156" i="12"/>
  <c r="X156" i="12"/>
  <c r="N156" i="12"/>
  <c r="L156" i="12"/>
  <c r="B156" i="12"/>
  <c r="Z155" i="12"/>
  <c r="X155" i="12"/>
  <c r="N155" i="12"/>
  <c r="L155" i="12"/>
  <c r="J155" i="12"/>
  <c r="B155" i="12"/>
  <c r="Z154" i="12"/>
  <c r="X154" i="12"/>
  <c r="N154" i="12"/>
  <c r="L154" i="12"/>
  <c r="B154" i="12"/>
  <c r="Z153" i="12"/>
  <c r="X153" i="12"/>
  <c r="N153" i="12"/>
  <c r="L153" i="12"/>
  <c r="J153" i="12"/>
  <c r="B153" i="12"/>
  <c r="Z152" i="12"/>
  <c r="X152" i="12"/>
  <c r="N152" i="12"/>
  <c r="L152" i="12"/>
  <c r="B152" i="12"/>
  <c r="Z151" i="12"/>
  <c r="X151" i="12"/>
  <c r="N151" i="12"/>
  <c r="L151" i="12"/>
  <c r="J151" i="12"/>
  <c r="B151" i="12"/>
  <c r="Z150" i="12"/>
  <c r="X150" i="12"/>
  <c r="N150" i="12"/>
  <c r="L150" i="12"/>
  <c r="B150" i="12"/>
  <c r="Z149" i="12"/>
  <c r="X149" i="12"/>
  <c r="N149" i="12"/>
  <c r="L149" i="12"/>
  <c r="J149" i="12"/>
  <c r="B149" i="12"/>
  <c r="Z148" i="12"/>
  <c r="X148" i="12"/>
  <c r="N148" i="12"/>
  <c r="L148" i="12"/>
  <c r="B148" i="12"/>
  <c r="Z147" i="12"/>
  <c r="X147" i="12"/>
  <c r="N147" i="12"/>
  <c r="L147" i="12"/>
  <c r="J147" i="12"/>
  <c r="B147" i="12"/>
  <c r="Z146" i="12"/>
  <c r="X146" i="12"/>
  <c r="N146" i="12"/>
  <c r="L146" i="12"/>
  <c r="B146" i="12"/>
  <c r="Z145" i="12"/>
  <c r="X145" i="12"/>
  <c r="N145" i="12"/>
  <c r="L145" i="12"/>
  <c r="J145" i="12"/>
  <c r="B145" i="12"/>
  <c r="Z144" i="12"/>
  <c r="X144" i="12"/>
  <c r="N144" i="12"/>
  <c r="L144" i="12"/>
  <c r="B144" i="12"/>
  <c r="Z143" i="12"/>
  <c r="X143" i="12"/>
  <c r="N143" i="12"/>
  <c r="L143" i="12"/>
  <c r="J143" i="12"/>
  <c r="B143" i="12"/>
  <c r="Z142" i="12"/>
  <c r="X142" i="12"/>
  <c r="N142" i="12"/>
  <c r="L142" i="12"/>
  <c r="B142" i="12"/>
  <c r="Z141" i="12"/>
  <c r="X141" i="12"/>
  <c r="N141" i="12"/>
  <c r="L141" i="12"/>
  <c r="J141" i="12"/>
  <c r="B141" i="12"/>
  <c r="Z140" i="12"/>
  <c r="X140" i="12"/>
  <c r="N140" i="12"/>
  <c r="L140" i="12"/>
  <c r="B140" i="12"/>
  <c r="Z139" i="12"/>
  <c r="X139" i="12"/>
  <c r="N139" i="12"/>
  <c r="L139" i="12"/>
  <c r="J139" i="12"/>
  <c r="B139" i="12"/>
  <c r="Z138" i="12"/>
  <c r="X138" i="12"/>
  <c r="N138" i="12"/>
  <c r="L138" i="12"/>
  <c r="B138" i="12"/>
  <c r="Z137" i="12"/>
  <c r="X137" i="12"/>
  <c r="N137" i="12"/>
  <c r="L137" i="12"/>
  <c r="J137" i="12"/>
  <c r="B137" i="12"/>
  <c r="Z136" i="12"/>
  <c r="X136" i="12"/>
  <c r="N136" i="12"/>
  <c r="L136" i="12"/>
  <c r="B136" i="12"/>
  <c r="Z135" i="12"/>
  <c r="X135" i="12"/>
  <c r="N135" i="12"/>
  <c r="L135" i="12"/>
  <c r="J135" i="12"/>
  <c r="B135" i="12"/>
  <c r="Z134" i="12"/>
  <c r="X134" i="12"/>
  <c r="N134" i="12"/>
  <c r="L134" i="12"/>
  <c r="B134" i="12"/>
  <c r="Z133" i="12"/>
  <c r="X133" i="12"/>
  <c r="N133" i="12"/>
  <c r="L133" i="12"/>
  <c r="J133" i="12"/>
  <c r="B133" i="12"/>
  <c r="Z132" i="12"/>
  <c r="X132" i="12"/>
  <c r="N132" i="12"/>
  <c r="L132" i="12"/>
  <c r="B132" i="12"/>
  <c r="Z131" i="12"/>
  <c r="X131" i="12"/>
  <c r="N131" i="12"/>
  <c r="L131" i="12"/>
  <c r="J131" i="12"/>
  <c r="B131" i="12"/>
  <c r="Z130" i="12"/>
  <c r="X130" i="12"/>
  <c r="N130" i="12"/>
  <c r="L130" i="12"/>
  <c r="B130" i="12"/>
  <c r="Z129" i="12"/>
  <c r="X129" i="12"/>
  <c r="N129" i="12"/>
  <c r="L129" i="12"/>
  <c r="J129" i="12"/>
  <c r="B129" i="12"/>
  <c r="Z128" i="12"/>
  <c r="X128" i="12"/>
  <c r="N128" i="12"/>
  <c r="L128" i="12"/>
  <c r="B128" i="12"/>
  <c r="Z127" i="12"/>
  <c r="X127" i="12"/>
  <c r="N127" i="12"/>
  <c r="L127" i="12"/>
  <c r="J127" i="12"/>
  <c r="B127" i="12"/>
  <c r="Z126" i="12"/>
  <c r="X126" i="12"/>
  <c r="N126" i="12"/>
  <c r="L126" i="12"/>
  <c r="B126" i="12"/>
  <c r="Z125" i="12"/>
  <c r="X125" i="12"/>
  <c r="N125" i="12"/>
  <c r="L125" i="12"/>
  <c r="J125" i="12"/>
  <c r="B125" i="12"/>
  <c r="Z124" i="12"/>
  <c r="X124" i="12"/>
  <c r="N124" i="12"/>
  <c r="L124" i="12"/>
  <c r="B124" i="12"/>
  <c r="Z123" i="12"/>
  <c r="X123" i="12"/>
  <c r="N123" i="12"/>
  <c r="L123" i="12"/>
  <c r="J123" i="12"/>
  <c r="B123" i="12"/>
  <c r="Z122" i="12"/>
  <c r="X122" i="12"/>
  <c r="N122" i="12"/>
  <c r="L122" i="12"/>
  <c r="B122" i="12"/>
  <c r="Z121" i="12"/>
  <c r="X121" i="12"/>
  <c r="N121" i="12"/>
  <c r="L121" i="12"/>
  <c r="J121" i="12"/>
  <c r="B121" i="12"/>
  <c r="Z120" i="12"/>
  <c r="X120" i="12"/>
  <c r="N120" i="12"/>
  <c r="L120" i="12"/>
  <c r="B120" i="12"/>
  <c r="Z119" i="12"/>
  <c r="X119" i="12"/>
  <c r="N119" i="12"/>
  <c r="L119" i="12"/>
  <c r="J119" i="12"/>
  <c r="B119" i="12"/>
  <c r="Z118" i="12"/>
  <c r="X118" i="12"/>
  <c r="N118" i="12"/>
  <c r="L118" i="12"/>
  <c r="B118" i="12"/>
  <c r="Z117" i="12"/>
  <c r="X117" i="12"/>
  <c r="N117" i="12"/>
  <c r="L117" i="12"/>
  <c r="J117" i="12"/>
  <c r="B117" i="12"/>
  <c r="Z116" i="12"/>
  <c r="X116" i="12"/>
  <c r="N116" i="12"/>
  <c r="L116" i="12"/>
  <c r="B116" i="12"/>
  <c r="Z115" i="12"/>
  <c r="X115" i="12"/>
  <c r="N115" i="12"/>
  <c r="L115" i="12"/>
  <c r="J115" i="12"/>
  <c r="B115" i="12"/>
  <c r="Z114" i="12"/>
  <c r="X114" i="12"/>
  <c r="N114" i="12"/>
  <c r="L114" i="12"/>
  <c r="B114" i="12"/>
  <c r="Z113" i="12"/>
  <c r="X113" i="12"/>
  <c r="N113" i="12"/>
  <c r="L113" i="12"/>
  <c r="J113" i="12"/>
  <c r="B113" i="12"/>
  <c r="Z112" i="12"/>
  <c r="X112" i="12"/>
  <c r="N112" i="12"/>
  <c r="L112" i="12"/>
  <c r="B112" i="12"/>
  <c r="Z111" i="12"/>
  <c r="X111" i="12"/>
  <c r="N111" i="12"/>
  <c r="L111" i="12"/>
  <c r="J111" i="12"/>
  <c r="B111" i="12"/>
  <c r="X110" i="12"/>
  <c r="Z110" i="12" s="1"/>
  <c r="N110" i="12"/>
  <c r="L110" i="12"/>
  <c r="B110" i="12"/>
  <c r="T109" i="12"/>
  <c r="P109" i="12"/>
  <c r="X109" i="12" s="1"/>
  <c r="Z109" i="12" s="1"/>
  <c r="H109" i="12"/>
  <c r="D109" i="12"/>
  <c r="L109" i="12" s="1"/>
  <c r="N109" i="12" s="1"/>
  <c r="Z107" i="12"/>
  <c r="X107" i="12"/>
  <c r="P107" i="12"/>
  <c r="N107" i="12"/>
  <c r="D107" i="12"/>
  <c r="L107" i="12" s="1"/>
  <c r="B107" i="12"/>
  <c r="Z106" i="12"/>
  <c r="X106" i="12"/>
  <c r="P106" i="12"/>
  <c r="N106" i="12"/>
  <c r="D106" i="12"/>
  <c r="L106" i="12" s="1"/>
  <c r="B106" i="12"/>
  <c r="Z105" i="12"/>
  <c r="P105" i="12"/>
  <c r="X105" i="12" s="1"/>
  <c r="N105" i="12"/>
  <c r="L105" i="12"/>
  <c r="D105" i="12"/>
  <c r="B105" i="12"/>
  <c r="Z104" i="12"/>
  <c r="P104" i="12"/>
  <c r="X104" i="12" s="1"/>
  <c r="N104" i="12"/>
  <c r="L104" i="12"/>
  <c r="D104" i="12"/>
  <c r="B104" i="12"/>
  <c r="Z103" i="12"/>
  <c r="P103" i="12"/>
  <c r="X103" i="12" s="1"/>
  <c r="N103" i="12"/>
  <c r="L103" i="12"/>
  <c r="D103" i="12"/>
  <c r="B103" i="12"/>
  <c r="Z102" i="12"/>
  <c r="X102" i="12"/>
  <c r="P102" i="12"/>
  <c r="N102" i="12"/>
  <c r="D102" i="12"/>
  <c r="L102" i="12" s="1"/>
  <c r="B102" i="12"/>
  <c r="Z101" i="12"/>
  <c r="X101" i="12"/>
  <c r="P101" i="12"/>
  <c r="N101" i="12"/>
  <c r="D101" i="12"/>
  <c r="L101" i="12" s="1"/>
  <c r="B101" i="12"/>
  <c r="Z100" i="12"/>
  <c r="X100" i="12"/>
  <c r="P100" i="12"/>
  <c r="N100" i="12"/>
  <c r="D100" i="12"/>
  <c r="L100" i="12" s="1"/>
  <c r="B100" i="12"/>
  <c r="Z99" i="12"/>
  <c r="P99" i="12"/>
  <c r="X99" i="12" s="1"/>
  <c r="N99" i="12"/>
  <c r="L99" i="12"/>
  <c r="D99" i="12"/>
  <c r="B99" i="12"/>
  <c r="Z98" i="12"/>
  <c r="P98" i="12"/>
  <c r="X98" i="12" s="1"/>
  <c r="N98" i="12"/>
  <c r="L98" i="12"/>
  <c r="D98" i="12"/>
  <c r="B98" i="12"/>
  <c r="Z97" i="12"/>
  <c r="P97" i="12"/>
  <c r="X97" i="12" s="1"/>
  <c r="N97" i="12"/>
  <c r="L97" i="12"/>
  <c r="D97" i="12"/>
  <c r="B97" i="12"/>
  <c r="Z96" i="12"/>
  <c r="X96" i="12"/>
  <c r="P96" i="12"/>
  <c r="N96" i="12"/>
  <c r="D96" i="12"/>
  <c r="L96" i="12" s="1"/>
  <c r="B96" i="12"/>
  <c r="Z95" i="12"/>
  <c r="X95" i="12"/>
  <c r="P95" i="12"/>
  <c r="N95" i="12"/>
  <c r="D95" i="12"/>
  <c r="L95" i="12" s="1"/>
  <c r="B95" i="12"/>
  <c r="Z94" i="12"/>
  <c r="X94" i="12"/>
  <c r="P94" i="12"/>
  <c r="N94" i="12"/>
  <c r="D94" i="12"/>
  <c r="L94" i="12" s="1"/>
  <c r="B94" i="12"/>
  <c r="Z93" i="12"/>
  <c r="P93" i="12"/>
  <c r="X93" i="12" s="1"/>
  <c r="N93" i="12"/>
  <c r="L93" i="12"/>
  <c r="D93" i="12"/>
  <c r="B93" i="12"/>
  <c r="Z92" i="12"/>
  <c r="P92" i="12"/>
  <c r="X92" i="12" s="1"/>
  <c r="N92" i="12"/>
  <c r="L92" i="12"/>
  <c r="D92" i="12"/>
  <c r="B92" i="12"/>
  <c r="Z91" i="12"/>
  <c r="P91" i="12"/>
  <c r="X91" i="12" s="1"/>
  <c r="N91" i="12"/>
  <c r="L91" i="12"/>
  <c r="D91" i="12"/>
  <c r="B91" i="12"/>
  <c r="Z90" i="12"/>
  <c r="X90" i="12"/>
  <c r="P90" i="12"/>
  <c r="N90" i="12"/>
  <c r="D90" i="12"/>
  <c r="L90" i="12" s="1"/>
  <c r="B90" i="12"/>
  <c r="Z89" i="12"/>
  <c r="X89" i="12"/>
  <c r="P89" i="12"/>
  <c r="N89" i="12"/>
  <c r="D89" i="12"/>
  <c r="L89" i="12" s="1"/>
  <c r="B89" i="12"/>
  <c r="Z88" i="12"/>
  <c r="X88" i="12"/>
  <c r="P88" i="12"/>
  <c r="N88" i="12"/>
  <c r="D88" i="12"/>
  <c r="L88" i="12" s="1"/>
  <c r="B88" i="12"/>
  <c r="Z87" i="12"/>
  <c r="P87" i="12"/>
  <c r="X87" i="12" s="1"/>
  <c r="N87" i="12"/>
  <c r="L87" i="12"/>
  <c r="D87" i="12"/>
  <c r="B87" i="12"/>
  <c r="Z86" i="12"/>
  <c r="P86" i="12"/>
  <c r="X86" i="12" s="1"/>
  <c r="N86" i="12"/>
  <c r="L86" i="12"/>
  <c r="D86" i="12"/>
  <c r="B86" i="12"/>
  <c r="Z85" i="12"/>
  <c r="P85" i="12"/>
  <c r="X85" i="12" s="1"/>
  <c r="N85" i="12"/>
  <c r="L85" i="12"/>
  <c r="D85" i="12"/>
  <c r="B85" i="12"/>
  <c r="Z84" i="12"/>
  <c r="X84" i="12"/>
  <c r="P84" i="12"/>
  <c r="N84" i="12"/>
  <c r="D84" i="12"/>
  <c r="L84" i="12" s="1"/>
  <c r="B84" i="12"/>
  <c r="Z83" i="12"/>
  <c r="X83" i="12"/>
  <c r="P83" i="12"/>
  <c r="N83" i="12"/>
  <c r="D83" i="12"/>
  <c r="L83" i="12" s="1"/>
  <c r="B83" i="12"/>
  <c r="Z82" i="12"/>
  <c r="X82" i="12"/>
  <c r="P82" i="12"/>
  <c r="N82" i="12"/>
  <c r="D82" i="12"/>
  <c r="L82" i="12" s="1"/>
  <c r="B82" i="12"/>
  <c r="Z81" i="12"/>
  <c r="P81" i="12"/>
  <c r="X81" i="12" s="1"/>
  <c r="N81" i="12"/>
  <c r="L81" i="12"/>
  <c r="D81" i="12"/>
  <c r="B81" i="12"/>
  <c r="Z80" i="12"/>
  <c r="P80" i="12"/>
  <c r="X80" i="12" s="1"/>
  <c r="N80" i="12"/>
  <c r="L80" i="12"/>
  <c r="D80" i="12"/>
  <c r="B80" i="12"/>
  <c r="Z79" i="12"/>
  <c r="P79" i="12"/>
  <c r="X79" i="12" s="1"/>
  <c r="N79" i="12"/>
  <c r="L79" i="12"/>
  <c r="D79" i="12"/>
  <c r="B79" i="12"/>
  <c r="Z78" i="12"/>
  <c r="X78" i="12"/>
  <c r="P78" i="12"/>
  <c r="N78" i="12"/>
  <c r="D78" i="12"/>
  <c r="L78" i="12" s="1"/>
  <c r="B78" i="12"/>
  <c r="Z77" i="12"/>
  <c r="X77" i="12"/>
  <c r="P77" i="12"/>
  <c r="N77" i="12"/>
  <c r="D77" i="12"/>
  <c r="L77" i="12" s="1"/>
  <c r="B77" i="12"/>
  <c r="Z76" i="12"/>
  <c r="X76" i="12"/>
  <c r="P76" i="12"/>
  <c r="N76" i="12"/>
  <c r="D76" i="12"/>
  <c r="L76" i="12" s="1"/>
  <c r="B76" i="12"/>
  <c r="Z75" i="12"/>
  <c r="P75" i="12"/>
  <c r="X75" i="12" s="1"/>
  <c r="N75" i="12"/>
  <c r="L75" i="12"/>
  <c r="D75" i="12"/>
  <c r="B75" i="12"/>
  <c r="Z74" i="12"/>
  <c r="P74" i="12"/>
  <c r="X74" i="12" s="1"/>
  <c r="N74" i="12"/>
  <c r="L74" i="12"/>
  <c r="D74" i="12"/>
  <c r="B74" i="12"/>
  <c r="Z73" i="12"/>
  <c r="P73" i="12"/>
  <c r="X73" i="12" s="1"/>
  <c r="N73" i="12"/>
  <c r="L73" i="12"/>
  <c r="D73" i="12"/>
  <c r="B73" i="12"/>
  <c r="Z72" i="12"/>
  <c r="X72" i="12"/>
  <c r="P72" i="12"/>
  <c r="N72" i="12"/>
  <c r="D72" i="12"/>
  <c r="L72" i="12" s="1"/>
  <c r="B72" i="12"/>
  <c r="Z71" i="12"/>
  <c r="X71" i="12"/>
  <c r="P71" i="12"/>
  <c r="N71" i="12"/>
  <c r="D71" i="12"/>
  <c r="L71" i="12" s="1"/>
  <c r="B71" i="12"/>
  <c r="Z70" i="12"/>
  <c r="X70" i="12"/>
  <c r="P70" i="12"/>
  <c r="N70" i="12"/>
  <c r="D70" i="12"/>
  <c r="L70" i="12" s="1"/>
  <c r="B70" i="12"/>
  <c r="Z69" i="12"/>
  <c r="P69" i="12"/>
  <c r="X69" i="12" s="1"/>
  <c r="N69" i="12"/>
  <c r="L69" i="12"/>
  <c r="D69" i="12"/>
  <c r="B69" i="12"/>
  <c r="Z68" i="12"/>
  <c r="P68" i="12"/>
  <c r="X68" i="12" s="1"/>
  <c r="N68" i="12"/>
  <c r="L68" i="12"/>
  <c r="D68" i="12"/>
  <c r="B68" i="12"/>
  <c r="Z67" i="12"/>
  <c r="P67" i="12"/>
  <c r="X67" i="12" s="1"/>
  <c r="N67" i="12"/>
  <c r="L67" i="12"/>
  <c r="D67" i="12"/>
  <c r="B67" i="12"/>
  <c r="Z66" i="12"/>
  <c r="X66" i="12"/>
  <c r="P66" i="12"/>
  <c r="N66" i="12"/>
  <c r="D66" i="12"/>
  <c r="L66" i="12" s="1"/>
  <c r="B66" i="12"/>
  <c r="Z65" i="12"/>
  <c r="X65" i="12"/>
  <c r="P65" i="12"/>
  <c r="N65" i="12"/>
  <c r="D65" i="12"/>
  <c r="L65" i="12" s="1"/>
  <c r="B65" i="12"/>
  <c r="Z64" i="12"/>
  <c r="X64" i="12"/>
  <c r="P64" i="12"/>
  <c r="N64" i="12"/>
  <c r="D64" i="12"/>
  <c r="L64" i="12" s="1"/>
  <c r="B64" i="12"/>
  <c r="Z63" i="12"/>
  <c r="P63" i="12"/>
  <c r="X63" i="12" s="1"/>
  <c r="N63" i="12"/>
  <c r="L63" i="12"/>
  <c r="D63" i="12"/>
  <c r="B63" i="12"/>
  <c r="Z62" i="12"/>
  <c r="P62" i="12"/>
  <c r="X62" i="12" s="1"/>
  <c r="N62" i="12"/>
  <c r="L62" i="12"/>
  <c r="D62" i="12"/>
  <c r="B62" i="12"/>
  <c r="Z61" i="12"/>
  <c r="P61" i="12"/>
  <c r="X61" i="12" s="1"/>
  <c r="N61" i="12"/>
  <c r="L61" i="12"/>
  <c r="D61" i="12"/>
  <c r="B61" i="12"/>
  <c r="Z60" i="12"/>
  <c r="X60" i="12"/>
  <c r="P60" i="12"/>
  <c r="N60" i="12"/>
  <c r="D60" i="12"/>
  <c r="L60" i="12" s="1"/>
  <c r="B60" i="12"/>
  <c r="Z59" i="12"/>
  <c r="X59" i="12"/>
  <c r="P59" i="12"/>
  <c r="N59" i="12"/>
  <c r="D59" i="12"/>
  <c r="L59" i="12" s="1"/>
  <c r="B59" i="12"/>
  <c r="Z58" i="12"/>
  <c r="X58" i="12"/>
  <c r="P58" i="12"/>
  <c r="N58" i="12"/>
  <c r="D58" i="12"/>
  <c r="L58" i="12" s="1"/>
  <c r="B58" i="12"/>
  <c r="Z57" i="12"/>
  <c r="P57" i="12"/>
  <c r="X57" i="12" s="1"/>
  <c r="N57" i="12"/>
  <c r="L57" i="12"/>
  <c r="D57" i="12"/>
  <c r="B57" i="12"/>
  <c r="Z56" i="12"/>
  <c r="P56" i="12"/>
  <c r="X56" i="12" s="1"/>
  <c r="N56" i="12"/>
  <c r="L56" i="12"/>
  <c r="D56" i="12"/>
  <c r="B56" i="12"/>
  <c r="Z55" i="12"/>
  <c r="P55" i="12"/>
  <c r="X55" i="12" s="1"/>
  <c r="N55" i="12"/>
  <c r="L55" i="12"/>
  <c r="D55" i="12"/>
  <c r="B55" i="12"/>
  <c r="Z54" i="12"/>
  <c r="X54" i="12"/>
  <c r="P54" i="12"/>
  <c r="N54" i="12"/>
  <c r="D54" i="12"/>
  <c r="L54" i="12" s="1"/>
  <c r="B54" i="12"/>
  <c r="Z53" i="12"/>
  <c r="X53" i="12"/>
  <c r="P53" i="12"/>
  <c r="N53" i="12"/>
  <c r="D53" i="12"/>
  <c r="L53" i="12" s="1"/>
  <c r="B53" i="12"/>
  <c r="Z52" i="12"/>
  <c r="X52" i="12"/>
  <c r="P52" i="12"/>
  <c r="N52" i="12"/>
  <c r="D52" i="12"/>
  <c r="L52" i="12" s="1"/>
  <c r="B52" i="12"/>
  <c r="Z51" i="12"/>
  <c r="P51" i="12"/>
  <c r="X51" i="12" s="1"/>
  <c r="N51" i="12"/>
  <c r="L51" i="12"/>
  <c r="D51" i="12"/>
  <c r="B51" i="12"/>
  <c r="Z50" i="12"/>
  <c r="P50" i="12"/>
  <c r="X50" i="12" s="1"/>
  <c r="N50" i="12"/>
  <c r="L50" i="12"/>
  <c r="D50" i="12"/>
  <c r="B50" i="12"/>
  <c r="Z49" i="12"/>
  <c r="P49" i="12"/>
  <c r="X49" i="12" s="1"/>
  <c r="N49" i="12"/>
  <c r="L49" i="12"/>
  <c r="D49" i="12"/>
  <c r="B49" i="12"/>
  <c r="X48" i="12"/>
  <c r="Z48" i="12" s="1"/>
  <c r="P48" i="12"/>
  <c r="D48" i="12"/>
  <c r="L48" i="12" s="1"/>
  <c r="N48" i="12" s="1"/>
  <c r="B48" i="12"/>
  <c r="Z47" i="12"/>
  <c r="X47" i="12"/>
  <c r="P47" i="12"/>
  <c r="N47" i="12"/>
  <c r="D47" i="12"/>
  <c r="L47" i="12" s="1"/>
  <c r="B47" i="12"/>
  <c r="Z46" i="12"/>
  <c r="X46" i="12"/>
  <c r="P46" i="12"/>
  <c r="N46" i="12"/>
  <c r="D46" i="12"/>
  <c r="L46" i="12" s="1"/>
  <c r="B46" i="12"/>
  <c r="Z45" i="12"/>
  <c r="P45" i="12"/>
  <c r="X45" i="12" s="1"/>
  <c r="N45" i="12"/>
  <c r="L45" i="12"/>
  <c r="D45" i="12"/>
  <c r="B45" i="12"/>
  <c r="Z44" i="12"/>
  <c r="P44" i="12"/>
  <c r="X44" i="12" s="1"/>
  <c r="N44" i="12"/>
  <c r="L44" i="12"/>
  <c r="D44" i="12"/>
  <c r="B44" i="12"/>
  <c r="Z43" i="12"/>
  <c r="P43" i="12"/>
  <c r="X43" i="12" s="1"/>
  <c r="N43" i="12"/>
  <c r="L43" i="12"/>
  <c r="D43" i="12"/>
  <c r="B43" i="12"/>
  <c r="Z42" i="12"/>
  <c r="X42" i="12"/>
  <c r="P42" i="12"/>
  <c r="N42" i="12"/>
  <c r="D42" i="12"/>
  <c r="L42" i="12" s="1"/>
  <c r="B42" i="12"/>
  <c r="Z41" i="12"/>
  <c r="X41" i="12"/>
  <c r="P41" i="12"/>
  <c r="N41" i="12"/>
  <c r="D41" i="12"/>
  <c r="L41" i="12" s="1"/>
  <c r="B41" i="12"/>
  <c r="Z40" i="12"/>
  <c r="X40" i="12"/>
  <c r="P40" i="12"/>
  <c r="N40" i="12"/>
  <c r="D40" i="12"/>
  <c r="L40" i="12" s="1"/>
  <c r="B40" i="12"/>
  <c r="Z39" i="12"/>
  <c r="P39" i="12"/>
  <c r="X39" i="12" s="1"/>
  <c r="N39" i="12"/>
  <c r="L39" i="12"/>
  <c r="D39" i="12"/>
  <c r="B39" i="12"/>
  <c r="Z38" i="12"/>
  <c r="P38" i="12"/>
  <c r="X38" i="12" s="1"/>
  <c r="N38" i="12"/>
  <c r="L38" i="12"/>
  <c r="D38" i="12"/>
  <c r="B38" i="12"/>
  <c r="Z37" i="12"/>
  <c r="P37" i="12"/>
  <c r="X37" i="12" s="1"/>
  <c r="N37" i="12"/>
  <c r="L37" i="12"/>
  <c r="D37" i="12"/>
  <c r="B37" i="12"/>
  <c r="Z36" i="12"/>
  <c r="X36" i="12"/>
  <c r="P36" i="12"/>
  <c r="N36" i="12"/>
  <c r="D36" i="12"/>
  <c r="L36" i="12" s="1"/>
  <c r="B36" i="12"/>
  <c r="Z35" i="12"/>
  <c r="X35" i="12"/>
  <c r="P35" i="12"/>
  <c r="N35" i="12"/>
  <c r="D35" i="12"/>
  <c r="L35" i="12" s="1"/>
  <c r="B35" i="12"/>
  <c r="Z34" i="12"/>
  <c r="X34" i="12"/>
  <c r="P34" i="12"/>
  <c r="N34" i="12"/>
  <c r="D34" i="12"/>
  <c r="L34" i="12" s="1"/>
  <c r="B34" i="12"/>
  <c r="Z33" i="12"/>
  <c r="P33" i="12"/>
  <c r="X33" i="12" s="1"/>
  <c r="N33" i="12"/>
  <c r="L33" i="12"/>
  <c r="D33" i="12"/>
  <c r="B33" i="12"/>
  <c r="Z32" i="12"/>
  <c r="P32" i="12"/>
  <c r="X32" i="12" s="1"/>
  <c r="N32" i="12"/>
  <c r="L32" i="12"/>
  <c r="D32" i="12"/>
  <c r="B32" i="12"/>
  <c r="Z31" i="12"/>
  <c r="P31" i="12"/>
  <c r="X31" i="12" s="1"/>
  <c r="N31" i="12"/>
  <c r="L31" i="12"/>
  <c r="D31" i="12"/>
  <c r="B31" i="12"/>
  <c r="Z30" i="12"/>
  <c r="X30" i="12"/>
  <c r="P30" i="12"/>
  <c r="N30" i="12"/>
  <c r="D30" i="12"/>
  <c r="L30" i="12" s="1"/>
  <c r="B30" i="12"/>
  <c r="Z29" i="12"/>
  <c r="X29" i="12"/>
  <c r="P29" i="12"/>
  <c r="N29" i="12"/>
  <c r="D29" i="12"/>
  <c r="L29" i="12" s="1"/>
  <c r="B29" i="12"/>
  <c r="Z28" i="12"/>
  <c r="X28" i="12"/>
  <c r="P28" i="12"/>
  <c r="N28" i="12"/>
  <c r="D28" i="12"/>
  <c r="L28" i="12" s="1"/>
  <c r="B28" i="12"/>
  <c r="Z27" i="12"/>
  <c r="P27" i="12"/>
  <c r="X27" i="12" s="1"/>
  <c r="N27" i="12"/>
  <c r="L27" i="12"/>
  <c r="D27" i="12"/>
  <c r="B27" i="12"/>
  <c r="Z26" i="12"/>
  <c r="P26" i="12"/>
  <c r="X26" i="12" s="1"/>
  <c r="N26" i="12"/>
  <c r="L26" i="12"/>
  <c r="D26" i="12"/>
  <c r="B26" i="12"/>
  <c r="Z25" i="12"/>
  <c r="P25" i="12"/>
  <c r="X25" i="12" s="1"/>
  <c r="N25" i="12"/>
  <c r="L25" i="12"/>
  <c r="D25" i="12"/>
  <c r="B25" i="12"/>
  <c r="Z24" i="12"/>
  <c r="X24" i="12"/>
  <c r="P24" i="12"/>
  <c r="N24" i="12"/>
  <c r="D24" i="12"/>
  <c r="L24" i="12" s="1"/>
  <c r="B24" i="12"/>
  <c r="Z23" i="12"/>
  <c r="X23" i="12"/>
  <c r="P23" i="12"/>
  <c r="N23" i="12"/>
  <c r="D23" i="12"/>
  <c r="L23" i="12" s="1"/>
  <c r="B23" i="12"/>
  <c r="Z22" i="12"/>
  <c r="X22" i="12"/>
  <c r="P22" i="12"/>
  <c r="N22" i="12"/>
  <c r="D22" i="12"/>
  <c r="L22" i="12" s="1"/>
  <c r="B22" i="12"/>
  <c r="Z21" i="12"/>
  <c r="P21" i="12"/>
  <c r="X21" i="12" s="1"/>
  <c r="N21" i="12"/>
  <c r="L21" i="12"/>
  <c r="D21" i="12"/>
  <c r="B21" i="12"/>
  <c r="Z20" i="12"/>
  <c r="P20" i="12"/>
  <c r="X20" i="12" s="1"/>
  <c r="N20" i="12"/>
  <c r="L20" i="12"/>
  <c r="D20" i="12"/>
  <c r="B20" i="12"/>
  <c r="Z19" i="12"/>
  <c r="P19" i="12"/>
  <c r="X19" i="12" s="1"/>
  <c r="N19" i="12"/>
  <c r="L19" i="12"/>
  <c r="D19" i="12"/>
  <c r="B19" i="12"/>
  <c r="Z18" i="12"/>
  <c r="X18" i="12"/>
  <c r="P18" i="12"/>
  <c r="N18" i="12"/>
  <c r="D18" i="12"/>
  <c r="L18" i="12" s="1"/>
  <c r="B18" i="12"/>
  <c r="Z17" i="12"/>
  <c r="X17" i="12"/>
  <c r="P17" i="12"/>
  <c r="N17" i="12"/>
  <c r="D17" i="12"/>
  <c r="L17" i="12" s="1"/>
  <c r="B17" i="12"/>
  <c r="Z16" i="12"/>
  <c r="X16" i="12"/>
  <c r="P16" i="12"/>
  <c r="N16" i="12"/>
  <c r="D16" i="12"/>
  <c r="L16" i="12" s="1"/>
  <c r="B16" i="12"/>
  <c r="Z15" i="12"/>
  <c r="P15" i="12"/>
  <c r="X15" i="12" s="1"/>
  <c r="N15" i="12"/>
  <c r="L15" i="12"/>
  <c r="D15" i="12"/>
  <c r="B15" i="12"/>
  <c r="Z14" i="12"/>
  <c r="P14" i="12"/>
  <c r="X14" i="12" s="1"/>
  <c r="N14" i="12"/>
  <c r="L14" i="12"/>
  <c r="D14" i="12"/>
  <c r="B14" i="12"/>
  <c r="P13" i="12"/>
  <c r="N13" i="12"/>
  <c r="L13" i="12"/>
  <c r="D13" i="12"/>
  <c r="B13" i="12"/>
  <c r="T12" i="12"/>
  <c r="V275" i="12" s="1"/>
  <c r="H12" i="12"/>
  <c r="J283" i="12" s="1"/>
  <c r="D12" i="12"/>
  <c r="D4" i="12"/>
  <c r="Z104" i="9"/>
  <c r="X104" i="9"/>
  <c r="N104" i="9"/>
  <c r="L104" i="9"/>
  <c r="Z100" i="9"/>
  <c r="T100" i="9"/>
  <c r="P100" i="9"/>
  <c r="X100" i="9" s="1"/>
  <c r="N100" i="9"/>
  <c r="L100" i="9"/>
  <c r="H100" i="9"/>
  <c r="D100" i="9"/>
  <c r="Z98" i="9"/>
  <c r="X98" i="9"/>
  <c r="N98" i="9"/>
  <c r="L98" i="9"/>
  <c r="B98" i="9"/>
  <c r="X97" i="9"/>
  <c r="Z97" i="9" s="1"/>
  <c r="N97" i="9"/>
  <c r="L97" i="9"/>
  <c r="B97" i="9"/>
  <c r="Z96" i="9"/>
  <c r="X96" i="9"/>
  <c r="T96" i="9"/>
  <c r="P96" i="9"/>
  <c r="H96" i="9"/>
  <c r="D96" i="9"/>
  <c r="L96" i="9" s="1"/>
  <c r="N96" i="9" s="1"/>
  <c r="B96" i="9"/>
  <c r="Z95" i="9"/>
  <c r="X95" i="9"/>
  <c r="L95" i="9"/>
  <c r="N95" i="9" s="1"/>
  <c r="B95" i="9"/>
  <c r="T94" i="9"/>
  <c r="P94" i="9"/>
  <c r="L94" i="9"/>
  <c r="N94" i="9" s="1"/>
  <c r="H94" i="9"/>
  <c r="D94" i="9"/>
  <c r="B94" i="9"/>
  <c r="X93" i="9"/>
  <c r="Z93" i="9" s="1"/>
  <c r="L93" i="9"/>
  <c r="N93" i="9" s="1"/>
  <c r="B93" i="9"/>
  <c r="Z92" i="9"/>
  <c r="X92" i="9"/>
  <c r="L92" i="9"/>
  <c r="N92" i="9" s="1"/>
  <c r="B92" i="9"/>
  <c r="Z91" i="9"/>
  <c r="X91" i="9"/>
  <c r="T91" i="9"/>
  <c r="P91" i="9"/>
  <c r="L91" i="9"/>
  <c r="N91" i="9" s="1"/>
  <c r="H91" i="9"/>
  <c r="D91" i="9"/>
  <c r="B91" i="9"/>
  <c r="Z90" i="9"/>
  <c r="X90" i="9"/>
  <c r="L90" i="9"/>
  <c r="N90" i="9" s="1"/>
  <c r="B90" i="9"/>
  <c r="Z89" i="9"/>
  <c r="X89" i="9"/>
  <c r="N89" i="9"/>
  <c r="L89" i="9"/>
  <c r="B89" i="9"/>
  <c r="X88" i="9"/>
  <c r="Z88" i="9" s="1"/>
  <c r="L88" i="9"/>
  <c r="N88" i="9" s="1"/>
  <c r="B88" i="9"/>
  <c r="X87" i="9"/>
  <c r="Z87" i="9" s="1"/>
  <c r="N87" i="9"/>
  <c r="L87" i="9"/>
  <c r="B87" i="9"/>
  <c r="Z86" i="9"/>
  <c r="X86" i="9"/>
  <c r="L86" i="9"/>
  <c r="N86" i="9" s="1"/>
  <c r="B86" i="9"/>
  <c r="T85" i="9"/>
  <c r="P85" i="9"/>
  <c r="H85" i="9"/>
  <c r="D85" i="9"/>
  <c r="B85" i="9"/>
  <c r="X84" i="9"/>
  <c r="Z84" i="9" s="1"/>
  <c r="N84" i="9"/>
  <c r="L84" i="9"/>
  <c r="B84" i="9"/>
  <c r="Z83" i="9"/>
  <c r="X83" i="9"/>
  <c r="N83" i="9"/>
  <c r="L83" i="9"/>
  <c r="B83" i="9"/>
  <c r="V82" i="9"/>
  <c r="T82" i="9"/>
  <c r="P82" i="9"/>
  <c r="L82" i="9"/>
  <c r="N82" i="9" s="1"/>
  <c r="H82" i="9"/>
  <c r="D82" i="9"/>
  <c r="B82" i="9"/>
  <c r="X81" i="9"/>
  <c r="Z81" i="9" s="1"/>
  <c r="L81" i="9"/>
  <c r="N81" i="9" s="1"/>
  <c r="B81" i="9"/>
  <c r="Z80" i="9"/>
  <c r="X80" i="9"/>
  <c r="N80" i="9"/>
  <c r="L80" i="9"/>
  <c r="B80" i="9"/>
  <c r="X79" i="9"/>
  <c r="Z79" i="9" s="1"/>
  <c r="T79" i="9"/>
  <c r="P79" i="9"/>
  <c r="L79" i="9"/>
  <c r="N79" i="9" s="1"/>
  <c r="H79" i="9"/>
  <c r="D79" i="9"/>
  <c r="B79" i="9"/>
  <c r="Z78" i="9"/>
  <c r="X78" i="9"/>
  <c r="N78" i="9"/>
  <c r="L78" i="9"/>
  <c r="B78" i="9"/>
  <c r="X77" i="9"/>
  <c r="Z77" i="9" s="1"/>
  <c r="V77" i="9"/>
  <c r="N77" i="9"/>
  <c r="L77" i="9"/>
  <c r="B77" i="9"/>
  <c r="Z76" i="9"/>
  <c r="X76" i="9"/>
  <c r="L76" i="9"/>
  <c r="N76" i="9" s="1"/>
  <c r="B76" i="9"/>
  <c r="X75" i="9"/>
  <c r="Z75" i="9" s="1"/>
  <c r="N75" i="9"/>
  <c r="L75" i="9"/>
  <c r="B75" i="9"/>
  <c r="T74" i="9"/>
  <c r="P74" i="9"/>
  <c r="X74" i="9" s="1"/>
  <c r="Z74" i="9" s="1"/>
  <c r="H74" i="9"/>
  <c r="D74" i="9"/>
  <c r="L74" i="9" s="1"/>
  <c r="N74" i="9" s="1"/>
  <c r="B74" i="9"/>
  <c r="Z73" i="9"/>
  <c r="X73" i="9"/>
  <c r="N73" i="9"/>
  <c r="L73" i="9"/>
  <c r="B73" i="9"/>
  <c r="X72" i="9"/>
  <c r="Z72" i="9" s="1"/>
  <c r="N72" i="9"/>
  <c r="L72" i="9"/>
  <c r="B72" i="9"/>
  <c r="Z71" i="9"/>
  <c r="X71" i="9"/>
  <c r="N71" i="9"/>
  <c r="L71" i="9"/>
  <c r="B71" i="9"/>
  <c r="X70" i="9"/>
  <c r="Z70" i="9" s="1"/>
  <c r="N70" i="9"/>
  <c r="L70" i="9"/>
  <c r="B70" i="9"/>
  <c r="T69" i="9"/>
  <c r="P69" i="9"/>
  <c r="X69" i="9" s="1"/>
  <c r="Z69" i="9" s="1"/>
  <c r="H69" i="9"/>
  <c r="D69" i="9"/>
  <c r="L69" i="9" s="1"/>
  <c r="N69" i="9" s="1"/>
  <c r="B69" i="9"/>
  <c r="Z68" i="9"/>
  <c r="X68" i="9"/>
  <c r="N68" i="9"/>
  <c r="L68" i="9"/>
  <c r="B68" i="9"/>
  <c r="Z67" i="9"/>
  <c r="X67" i="9"/>
  <c r="N67" i="9"/>
  <c r="L67" i="9"/>
  <c r="B67" i="9"/>
  <c r="Z66" i="9"/>
  <c r="X66" i="9"/>
  <c r="N66" i="9"/>
  <c r="L66" i="9"/>
  <c r="B66" i="9"/>
  <c r="Z65" i="9"/>
  <c r="X65" i="9"/>
  <c r="T65" i="9"/>
  <c r="P65" i="9"/>
  <c r="N65" i="9"/>
  <c r="L65" i="9"/>
  <c r="H65" i="9"/>
  <c r="D65" i="9"/>
  <c r="B65" i="9"/>
  <c r="Z64" i="9"/>
  <c r="X64" i="9"/>
  <c r="L64" i="9"/>
  <c r="N64" i="9" s="1"/>
  <c r="B64" i="9"/>
  <c r="T63" i="9"/>
  <c r="P63" i="9"/>
  <c r="H63" i="9"/>
  <c r="L63" i="9" s="1"/>
  <c r="D63" i="9"/>
  <c r="B63" i="9"/>
  <c r="X62" i="9"/>
  <c r="Z62" i="9" s="1"/>
  <c r="N62" i="9"/>
  <c r="L62" i="9"/>
  <c r="B62" i="9"/>
  <c r="T61" i="9"/>
  <c r="R61" i="9"/>
  <c r="P61" i="9"/>
  <c r="X61" i="9" s="1"/>
  <c r="Z61" i="9" s="1"/>
  <c r="H61" i="9"/>
  <c r="N61" i="9" s="1"/>
  <c r="D61" i="9"/>
  <c r="L61" i="9" s="1"/>
  <c r="B61" i="9"/>
  <c r="Z60" i="9"/>
  <c r="X60" i="9"/>
  <c r="N60" i="9"/>
  <c r="L60" i="9"/>
  <c r="B60" i="9"/>
  <c r="X59" i="9"/>
  <c r="Z59" i="9" s="1"/>
  <c r="T59" i="9"/>
  <c r="P59" i="9"/>
  <c r="H59" i="9"/>
  <c r="D59" i="9"/>
  <c r="L59" i="9" s="1"/>
  <c r="N59" i="9" s="1"/>
  <c r="B59" i="9"/>
  <c r="Z58" i="9"/>
  <c r="X58" i="9"/>
  <c r="L58" i="9"/>
  <c r="N58" i="9" s="1"/>
  <c r="B58" i="9"/>
  <c r="X57" i="9"/>
  <c r="T57" i="9"/>
  <c r="P57" i="9"/>
  <c r="H57" i="9"/>
  <c r="D57" i="9"/>
  <c r="B57" i="9"/>
  <c r="X56" i="9"/>
  <c r="Z56" i="9" s="1"/>
  <c r="N56" i="9"/>
  <c r="L56" i="9"/>
  <c r="B56" i="9"/>
  <c r="T55" i="9"/>
  <c r="P55" i="9"/>
  <c r="X55" i="9" s="1"/>
  <c r="Z55" i="9" s="1"/>
  <c r="H55" i="9"/>
  <c r="D55" i="9"/>
  <c r="L55" i="9" s="1"/>
  <c r="N55" i="9" s="1"/>
  <c r="B55" i="9"/>
  <c r="Z54" i="9"/>
  <c r="X54" i="9"/>
  <c r="N54" i="9"/>
  <c r="L54" i="9"/>
  <c r="B54" i="9"/>
  <c r="Z53" i="9"/>
  <c r="X53" i="9"/>
  <c r="N53" i="9"/>
  <c r="L53" i="9"/>
  <c r="B53" i="9"/>
  <c r="T52" i="9"/>
  <c r="P52" i="9"/>
  <c r="X52" i="9" s="1"/>
  <c r="H52" i="9"/>
  <c r="D52" i="9"/>
  <c r="B52" i="9"/>
  <c r="X51" i="9"/>
  <c r="Z51" i="9" s="1"/>
  <c r="N51" i="9"/>
  <c r="L51" i="9"/>
  <c r="B51" i="9"/>
  <c r="X50" i="9"/>
  <c r="Z50" i="9" s="1"/>
  <c r="L50" i="9"/>
  <c r="N50" i="9" s="1"/>
  <c r="B50" i="9"/>
  <c r="X49" i="9"/>
  <c r="T49" i="9"/>
  <c r="P49" i="9"/>
  <c r="H49" i="9"/>
  <c r="D49" i="9"/>
  <c r="B49" i="9"/>
  <c r="X48" i="9"/>
  <c r="Z48" i="9" s="1"/>
  <c r="N48" i="9"/>
  <c r="L48" i="9"/>
  <c r="B48" i="9"/>
  <c r="T47" i="9"/>
  <c r="P47" i="9"/>
  <c r="N47" i="9"/>
  <c r="H47" i="9"/>
  <c r="D47" i="9"/>
  <c r="L47" i="9" s="1"/>
  <c r="B47" i="9"/>
  <c r="Z46" i="9"/>
  <c r="X46" i="9"/>
  <c r="N46" i="9"/>
  <c r="L46" i="9"/>
  <c r="B46" i="9"/>
  <c r="X45" i="9"/>
  <c r="Z45" i="9" s="1"/>
  <c r="T45" i="9"/>
  <c r="P45" i="9"/>
  <c r="L45" i="9"/>
  <c r="N45" i="9" s="1"/>
  <c r="H45" i="9"/>
  <c r="D45" i="9"/>
  <c r="B45" i="9"/>
  <c r="X44" i="9"/>
  <c r="Z44" i="9" s="1"/>
  <c r="N44" i="9"/>
  <c r="L44" i="9"/>
  <c r="B44" i="9"/>
  <c r="T43" i="9"/>
  <c r="P43" i="9"/>
  <c r="H43" i="9"/>
  <c r="L43" i="9" s="1"/>
  <c r="D43" i="9"/>
  <c r="B43" i="9"/>
  <c r="Z42" i="9"/>
  <c r="X42" i="9"/>
  <c r="N42" i="9"/>
  <c r="L42" i="9"/>
  <c r="B42" i="9"/>
  <c r="Z41" i="9"/>
  <c r="X41" i="9"/>
  <c r="N41" i="9"/>
  <c r="L41" i="9"/>
  <c r="B41" i="9"/>
  <c r="Z40" i="9"/>
  <c r="X40" i="9"/>
  <c r="V40" i="9"/>
  <c r="N40" i="9"/>
  <c r="L40" i="9"/>
  <c r="B40" i="9"/>
  <c r="Z39" i="9"/>
  <c r="X39" i="9"/>
  <c r="L39" i="9"/>
  <c r="N39" i="9" s="1"/>
  <c r="B39" i="9"/>
  <c r="Z38" i="9"/>
  <c r="X38" i="9"/>
  <c r="N38" i="9"/>
  <c r="L38" i="9"/>
  <c r="B38" i="9"/>
  <c r="Z37" i="9"/>
  <c r="X37" i="9"/>
  <c r="N37" i="9"/>
  <c r="L37" i="9"/>
  <c r="B37" i="9"/>
  <c r="Z36" i="9"/>
  <c r="X36" i="9"/>
  <c r="N36" i="9"/>
  <c r="L36" i="9"/>
  <c r="B36" i="9"/>
  <c r="Z35" i="9"/>
  <c r="X35" i="9"/>
  <c r="N35" i="9"/>
  <c r="L35" i="9"/>
  <c r="B35" i="9"/>
  <c r="X34" i="9"/>
  <c r="Z34" i="9" s="1"/>
  <c r="N34" i="9"/>
  <c r="L34" i="9"/>
  <c r="B34" i="9"/>
  <c r="Z33" i="9"/>
  <c r="X33" i="9"/>
  <c r="N33" i="9"/>
  <c r="L33" i="9"/>
  <c r="B33" i="9"/>
  <c r="T32" i="9"/>
  <c r="P32" i="9"/>
  <c r="H32" i="9"/>
  <c r="D32" i="9"/>
  <c r="B32" i="9"/>
  <c r="X31" i="9"/>
  <c r="Z31" i="9" s="1"/>
  <c r="L31" i="9"/>
  <c r="N31" i="9" s="1"/>
  <c r="B31" i="9"/>
  <c r="Z30" i="9"/>
  <c r="X30" i="9"/>
  <c r="N30" i="9"/>
  <c r="L30" i="9"/>
  <c r="B30" i="9"/>
  <c r="X29" i="9"/>
  <c r="Z29" i="9" s="1"/>
  <c r="L29" i="9"/>
  <c r="N29" i="9" s="1"/>
  <c r="B29" i="9"/>
  <c r="Z28" i="9"/>
  <c r="X28" i="9"/>
  <c r="L28" i="9"/>
  <c r="N28" i="9" s="1"/>
  <c r="B28" i="9"/>
  <c r="Z27" i="9"/>
  <c r="X27" i="9"/>
  <c r="V27" i="9"/>
  <c r="N27" i="9"/>
  <c r="L27" i="9"/>
  <c r="B27" i="9"/>
  <c r="Z26" i="9"/>
  <c r="X26" i="9"/>
  <c r="N26" i="9"/>
  <c r="L26" i="9"/>
  <c r="B26" i="9"/>
  <c r="X25" i="9"/>
  <c r="Z25" i="9" s="1"/>
  <c r="L25" i="9"/>
  <c r="N25" i="9" s="1"/>
  <c r="B25" i="9"/>
  <c r="Z24" i="9"/>
  <c r="X24" i="9"/>
  <c r="L24" i="9"/>
  <c r="N24" i="9" s="1"/>
  <c r="B24" i="9"/>
  <c r="X23" i="9"/>
  <c r="Z23" i="9" s="1"/>
  <c r="L23" i="9"/>
  <c r="N23" i="9" s="1"/>
  <c r="B23" i="9"/>
  <c r="Z22" i="9"/>
  <c r="X22" i="9"/>
  <c r="R22" i="9"/>
  <c r="L22" i="9"/>
  <c r="N22" i="9" s="1"/>
  <c r="B22" i="9"/>
  <c r="Z21" i="9"/>
  <c r="X21" i="9"/>
  <c r="L21" i="9"/>
  <c r="N21" i="9" s="1"/>
  <c r="B21" i="9"/>
  <c r="T20" i="9"/>
  <c r="R20" i="9"/>
  <c r="P20" i="9"/>
  <c r="H20" i="9"/>
  <c r="D20" i="9"/>
  <c r="L20" i="9" s="1"/>
  <c r="B20" i="9"/>
  <c r="T19" i="9"/>
  <c r="P19" i="9"/>
  <c r="L19" i="9"/>
  <c r="H19" i="9"/>
  <c r="D19" i="9"/>
  <c r="P17" i="9"/>
  <c r="P102" i="9" s="1"/>
  <c r="T15" i="9"/>
  <c r="Z15" i="9" s="1"/>
  <c r="P15" i="9"/>
  <c r="H15" i="9"/>
  <c r="N15" i="9" s="1"/>
  <c r="D15" i="9"/>
  <c r="L15" i="9" s="1"/>
  <c r="P13" i="9"/>
  <c r="X13" i="9" s="1"/>
  <c r="Z13" i="9" s="1"/>
  <c r="N13" i="9"/>
  <c r="L13" i="9"/>
  <c r="D13" i="9"/>
  <c r="D12" i="9" s="1"/>
  <c r="B13" i="9"/>
  <c r="T12" i="9"/>
  <c r="V94" i="9" s="1"/>
  <c r="P12" i="9"/>
  <c r="R89" i="9" s="1"/>
  <c r="H12" i="9"/>
  <c r="J78" i="9" s="1"/>
  <c r="D4" i="9"/>
  <c r="V31" i="6"/>
  <c r="R31" i="6"/>
  <c r="V29" i="6"/>
  <c r="T29" i="6"/>
  <c r="Z29" i="6" s="1"/>
  <c r="R29" i="6"/>
  <c r="P29" i="6"/>
  <c r="X29" i="6" s="1"/>
  <c r="H29" i="6"/>
  <c r="L29" i="6" s="1"/>
  <c r="D29" i="6"/>
  <c r="V28" i="6"/>
  <c r="T28" i="6"/>
  <c r="R28" i="6"/>
  <c r="P28" i="6"/>
  <c r="X28" i="6" s="1"/>
  <c r="H28" i="6"/>
  <c r="L28" i="6" s="1"/>
  <c r="D28" i="6"/>
  <c r="V26" i="6"/>
  <c r="R26" i="6"/>
  <c r="Z24" i="6"/>
  <c r="X24" i="6"/>
  <c r="V24" i="6"/>
  <c r="R24" i="6"/>
  <c r="N24" i="6"/>
  <c r="L24" i="6"/>
  <c r="Z20" i="6"/>
  <c r="X20" i="6"/>
  <c r="T20" i="6"/>
  <c r="P20" i="6"/>
  <c r="H20" i="6"/>
  <c r="N20" i="6" s="1"/>
  <c r="D20" i="6"/>
  <c r="Z18" i="6"/>
  <c r="X18" i="6"/>
  <c r="T18" i="6"/>
  <c r="P18" i="6"/>
  <c r="H18" i="6"/>
  <c r="N18" i="6" s="1"/>
  <c r="D18" i="6"/>
  <c r="Z14" i="6"/>
  <c r="X14" i="6"/>
  <c r="T14" i="6"/>
  <c r="P14" i="6"/>
  <c r="H14" i="6"/>
  <c r="N14" i="6" s="1"/>
  <c r="D14" i="6"/>
  <c r="X12" i="6"/>
  <c r="T12" i="6"/>
  <c r="Z12" i="6" s="1"/>
  <c r="P12" i="6"/>
  <c r="R22" i="6" s="1"/>
  <c r="H12" i="6"/>
  <c r="J31" i="6" s="1"/>
  <c r="D12" i="6"/>
  <c r="F24" i="6" s="1"/>
  <c r="D4" i="6"/>
  <c r="T327" i="3"/>
  <c r="P327" i="3"/>
  <c r="L327" i="3"/>
  <c r="H327" i="3"/>
  <c r="N327" i="3" s="1"/>
  <c r="D327" i="3"/>
  <c r="T326" i="3"/>
  <c r="P326" i="3"/>
  <c r="L326" i="3"/>
  <c r="H326" i="3"/>
  <c r="N326" i="3" s="1"/>
  <c r="D326" i="3"/>
  <c r="X322" i="3"/>
  <c r="Z322" i="3" s="1"/>
  <c r="N322" i="3"/>
  <c r="L322" i="3"/>
  <c r="Z318" i="3"/>
  <c r="X318" i="3"/>
  <c r="V318" i="3"/>
  <c r="P318" i="3"/>
  <c r="N318" i="3"/>
  <c r="L318" i="3"/>
  <c r="D318" i="3"/>
  <c r="B318" i="3"/>
  <c r="Z317" i="3"/>
  <c r="X317" i="3"/>
  <c r="P317" i="3"/>
  <c r="N317" i="3"/>
  <c r="L317" i="3"/>
  <c r="D317" i="3"/>
  <c r="B317" i="3"/>
  <c r="P316" i="3"/>
  <c r="X316" i="3" s="1"/>
  <c r="Z316" i="3" s="1"/>
  <c r="D316" i="3"/>
  <c r="L316" i="3" s="1"/>
  <c r="N316" i="3" s="1"/>
  <c r="B316" i="3"/>
  <c r="Z315" i="3"/>
  <c r="P315" i="3"/>
  <c r="X315" i="3" s="1"/>
  <c r="N315" i="3"/>
  <c r="D315" i="3"/>
  <c r="L315" i="3" s="1"/>
  <c r="B315" i="3"/>
  <c r="Z314" i="3"/>
  <c r="P314" i="3"/>
  <c r="X314" i="3" s="1"/>
  <c r="N314" i="3"/>
  <c r="L314" i="3"/>
  <c r="D314" i="3"/>
  <c r="B314" i="3"/>
  <c r="P313" i="3"/>
  <c r="X313" i="3" s="1"/>
  <c r="Z313" i="3" s="1"/>
  <c r="N313" i="3"/>
  <c r="L313" i="3"/>
  <c r="D313" i="3"/>
  <c r="B313" i="3"/>
  <c r="X312" i="3"/>
  <c r="Z312" i="3" s="1"/>
  <c r="P312" i="3"/>
  <c r="N312" i="3"/>
  <c r="L312" i="3"/>
  <c r="D312" i="3"/>
  <c r="B312" i="3"/>
  <c r="Z311" i="3"/>
  <c r="X311" i="3"/>
  <c r="P311" i="3"/>
  <c r="N311" i="3"/>
  <c r="D311" i="3"/>
  <c r="L311" i="3" s="1"/>
  <c r="B311" i="3"/>
  <c r="Z310" i="3"/>
  <c r="X310" i="3"/>
  <c r="P310" i="3"/>
  <c r="N310" i="3"/>
  <c r="D310" i="3"/>
  <c r="L310" i="3" s="1"/>
  <c r="B310" i="3"/>
  <c r="Z309" i="3"/>
  <c r="P309" i="3"/>
  <c r="X309" i="3" s="1"/>
  <c r="N309" i="3"/>
  <c r="D309" i="3"/>
  <c r="L309" i="3" s="1"/>
  <c r="B309" i="3"/>
  <c r="Z308" i="3"/>
  <c r="P308" i="3"/>
  <c r="X308" i="3" s="1"/>
  <c r="N308" i="3"/>
  <c r="D308" i="3"/>
  <c r="L308" i="3" s="1"/>
  <c r="B308" i="3"/>
  <c r="Z307" i="3"/>
  <c r="X307" i="3"/>
  <c r="P307" i="3"/>
  <c r="P305" i="3" s="1"/>
  <c r="X305" i="3" s="1"/>
  <c r="N307" i="3"/>
  <c r="L307" i="3"/>
  <c r="D307" i="3"/>
  <c r="B307" i="3"/>
  <c r="Z306" i="3"/>
  <c r="X306" i="3"/>
  <c r="V306" i="3"/>
  <c r="P306" i="3"/>
  <c r="N306" i="3"/>
  <c r="L306" i="3"/>
  <c r="D306" i="3"/>
  <c r="B306" i="3"/>
  <c r="T305" i="3"/>
  <c r="H305" i="3"/>
  <c r="Z303" i="3"/>
  <c r="X303" i="3"/>
  <c r="L303" i="3"/>
  <c r="N303" i="3" s="1"/>
  <c r="B303" i="3"/>
  <c r="T302" i="3"/>
  <c r="Z302" i="3" s="1"/>
  <c r="P302" i="3"/>
  <c r="X302" i="3" s="1"/>
  <c r="H302" i="3"/>
  <c r="D302" i="3"/>
  <c r="L302" i="3" s="1"/>
  <c r="N302" i="3" s="1"/>
  <c r="B302" i="3"/>
  <c r="X301" i="3"/>
  <c r="Z301" i="3" s="1"/>
  <c r="L301" i="3"/>
  <c r="N301" i="3" s="1"/>
  <c r="B301" i="3"/>
  <c r="X300" i="3"/>
  <c r="Z300" i="3" s="1"/>
  <c r="L300" i="3"/>
  <c r="N300" i="3" s="1"/>
  <c r="B300" i="3"/>
  <c r="X299" i="3"/>
  <c r="Z299" i="3" s="1"/>
  <c r="N299" i="3"/>
  <c r="L299" i="3"/>
  <c r="B299" i="3"/>
  <c r="V298" i="3"/>
  <c r="T298" i="3"/>
  <c r="P298" i="3"/>
  <c r="X298" i="3" s="1"/>
  <c r="Z298" i="3" s="1"/>
  <c r="H298" i="3"/>
  <c r="D298" i="3"/>
  <c r="L298" i="3" s="1"/>
  <c r="N298" i="3" s="1"/>
  <c r="B298" i="3"/>
  <c r="X297" i="3"/>
  <c r="Z297" i="3" s="1"/>
  <c r="L297" i="3"/>
  <c r="N297" i="3" s="1"/>
  <c r="B297" i="3"/>
  <c r="X296" i="3"/>
  <c r="T296" i="3"/>
  <c r="Z296" i="3" s="1"/>
  <c r="P296" i="3"/>
  <c r="H296" i="3"/>
  <c r="D296" i="3"/>
  <c r="B296" i="3"/>
  <c r="Z295" i="3"/>
  <c r="X295" i="3"/>
  <c r="L295" i="3"/>
  <c r="N295" i="3" s="1"/>
  <c r="B295" i="3"/>
  <c r="Z294" i="3"/>
  <c r="X294" i="3"/>
  <c r="N294" i="3"/>
  <c r="L294" i="3"/>
  <c r="B294" i="3"/>
  <c r="X293" i="3"/>
  <c r="Z293" i="3" s="1"/>
  <c r="T293" i="3"/>
  <c r="P293" i="3"/>
  <c r="H293" i="3"/>
  <c r="D293" i="3"/>
  <c r="B293" i="3"/>
  <c r="X292" i="3"/>
  <c r="Z292" i="3" s="1"/>
  <c r="L292" i="3"/>
  <c r="N292" i="3" s="1"/>
  <c r="B292" i="3"/>
  <c r="X291" i="3"/>
  <c r="Z291" i="3" s="1"/>
  <c r="N291" i="3"/>
  <c r="L291" i="3"/>
  <c r="B291" i="3"/>
  <c r="Z290" i="3"/>
  <c r="X290" i="3"/>
  <c r="V290" i="3"/>
  <c r="N290" i="3"/>
  <c r="L290" i="3"/>
  <c r="B290" i="3"/>
  <c r="X289" i="3"/>
  <c r="Z289" i="3" s="1"/>
  <c r="L289" i="3"/>
  <c r="N289" i="3" s="1"/>
  <c r="B289" i="3"/>
  <c r="X288" i="3"/>
  <c r="Z288" i="3" s="1"/>
  <c r="L288" i="3"/>
  <c r="N288" i="3" s="1"/>
  <c r="B288" i="3"/>
  <c r="X287" i="3"/>
  <c r="Z287" i="3" s="1"/>
  <c r="N287" i="3"/>
  <c r="L287" i="3"/>
  <c r="B287" i="3"/>
  <c r="Z286" i="3"/>
  <c r="X286" i="3"/>
  <c r="V286" i="3"/>
  <c r="L286" i="3"/>
  <c r="N286" i="3" s="1"/>
  <c r="B286" i="3"/>
  <c r="X285" i="3"/>
  <c r="Z285" i="3" s="1"/>
  <c r="L285" i="3"/>
  <c r="N285" i="3" s="1"/>
  <c r="B285" i="3"/>
  <c r="X284" i="3"/>
  <c r="Z284" i="3" s="1"/>
  <c r="L284" i="3"/>
  <c r="N284" i="3" s="1"/>
  <c r="B284" i="3"/>
  <c r="X283" i="3"/>
  <c r="Z283" i="3" s="1"/>
  <c r="N283" i="3"/>
  <c r="L283" i="3"/>
  <c r="B283" i="3"/>
  <c r="V282" i="3"/>
  <c r="T282" i="3"/>
  <c r="P282" i="3"/>
  <c r="X282" i="3" s="1"/>
  <c r="Z282" i="3" s="1"/>
  <c r="H282" i="3"/>
  <c r="D282" i="3"/>
  <c r="L282" i="3" s="1"/>
  <c r="N282" i="3" s="1"/>
  <c r="B282" i="3"/>
  <c r="X281" i="3"/>
  <c r="Z281" i="3" s="1"/>
  <c r="L281" i="3"/>
  <c r="N281" i="3" s="1"/>
  <c r="B281" i="3"/>
  <c r="X280" i="3"/>
  <c r="Z280" i="3" s="1"/>
  <c r="N280" i="3"/>
  <c r="L280" i="3"/>
  <c r="B280" i="3"/>
  <c r="T279" i="3"/>
  <c r="P279" i="3"/>
  <c r="X279" i="3" s="1"/>
  <c r="Z279" i="3" s="1"/>
  <c r="L279" i="3"/>
  <c r="N279" i="3" s="1"/>
  <c r="H279" i="3"/>
  <c r="D279" i="3"/>
  <c r="B279" i="3"/>
  <c r="Z278" i="3"/>
  <c r="X278" i="3"/>
  <c r="N278" i="3"/>
  <c r="L278" i="3"/>
  <c r="B278" i="3"/>
  <c r="X277" i="3"/>
  <c r="Z277" i="3" s="1"/>
  <c r="L277" i="3"/>
  <c r="N277" i="3" s="1"/>
  <c r="B277" i="3"/>
  <c r="Z276" i="3"/>
  <c r="X276" i="3"/>
  <c r="L276" i="3"/>
  <c r="N276" i="3" s="1"/>
  <c r="B276" i="3"/>
  <c r="Z275" i="3"/>
  <c r="X275" i="3"/>
  <c r="L275" i="3"/>
  <c r="N275" i="3" s="1"/>
  <c r="B275" i="3"/>
  <c r="Z274" i="3"/>
  <c r="X274" i="3"/>
  <c r="N274" i="3"/>
  <c r="L274" i="3"/>
  <c r="B274" i="3"/>
  <c r="Z273" i="3"/>
  <c r="X273" i="3"/>
  <c r="N273" i="3"/>
  <c r="L273" i="3"/>
  <c r="B273" i="3"/>
  <c r="T272" i="3"/>
  <c r="P272" i="3"/>
  <c r="X272" i="3" s="1"/>
  <c r="Z272" i="3" s="1"/>
  <c r="H272" i="3"/>
  <c r="D272" i="3"/>
  <c r="L272" i="3" s="1"/>
  <c r="B272" i="3"/>
  <c r="X271" i="3"/>
  <c r="Z271" i="3" s="1"/>
  <c r="N271" i="3"/>
  <c r="L271" i="3"/>
  <c r="B271" i="3"/>
  <c r="Z270" i="3"/>
  <c r="X270" i="3"/>
  <c r="V270" i="3"/>
  <c r="L270" i="3"/>
  <c r="N270" i="3" s="1"/>
  <c r="B270" i="3"/>
  <c r="X269" i="3"/>
  <c r="Z269" i="3" s="1"/>
  <c r="L269" i="3"/>
  <c r="N269" i="3" s="1"/>
  <c r="B269" i="3"/>
  <c r="X268" i="3"/>
  <c r="Z268" i="3" s="1"/>
  <c r="L268" i="3"/>
  <c r="N268" i="3" s="1"/>
  <c r="B268" i="3"/>
  <c r="T267" i="3"/>
  <c r="X267" i="3" s="1"/>
  <c r="P267" i="3"/>
  <c r="H267" i="3"/>
  <c r="N267" i="3" s="1"/>
  <c r="D267" i="3"/>
  <c r="L267" i="3" s="1"/>
  <c r="B267" i="3"/>
  <c r="X266" i="3"/>
  <c r="Z266" i="3" s="1"/>
  <c r="N266" i="3"/>
  <c r="L266" i="3"/>
  <c r="B266" i="3"/>
  <c r="X265" i="3"/>
  <c r="Z265" i="3" s="1"/>
  <c r="L265" i="3"/>
  <c r="N265" i="3" s="1"/>
  <c r="B265" i="3"/>
  <c r="X264" i="3"/>
  <c r="Z264" i="3" s="1"/>
  <c r="N264" i="3"/>
  <c r="L264" i="3"/>
  <c r="B264" i="3"/>
  <c r="Z263" i="3"/>
  <c r="X263" i="3"/>
  <c r="N263" i="3"/>
  <c r="L263" i="3"/>
  <c r="B263" i="3"/>
  <c r="T262" i="3"/>
  <c r="P262" i="3"/>
  <c r="L262" i="3"/>
  <c r="H262" i="3"/>
  <c r="N262" i="3" s="1"/>
  <c r="D262" i="3"/>
  <c r="B262" i="3"/>
  <c r="X261" i="3"/>
  <c r="Z261" i="3" s="1"/>
  <c r="L261" i="3"/>
  <c r="N261" i="3" s="1"/>
  <c r="B261" i="3"/>
  <c r="T260" i="3"/>
  <c r="P260" i="3"/>
  <c r="X260" i="3" s="1"/>
  <c r="Z260" i="3" s="1"/>
  <c r="H260" i="3"/>
  <c r="D260" i="3"/>
  <c r="L260" i="3" s="1"/>
  <c r="B260" i="3"/>
  <c r="X259" i="3"/>
  <c r="Z259" i="3" s="1"/>
  <c r="N259" i="3"/>
  <c r="L259" i="3"/>
  <c r="B259" i="3"/>
  <c r="V258" i="3"/>
  <c r="T258" i="3"/>
  <c r="P258" i="3"/>
  <c r="X258" i="3" s="1"/>
  <c r="Z258" i="3" s="1"/>
  <c r="L258" i="3"/>
  <c r="N258" i="3" s="1"/>
  <c r="H258" i="3"/>
  <c r="D258" i="3"/>
  <c r="B258" i="3"/>
  <c r="X257" i="3"/>
  <c r="Z257" i="3" s="1"/>
  <c r="L257" i="3"/>
  <c r="N257" i="3" s="1"/>
  <c r="B257" i="3"/>
  <c r="X256" i="3"/>
  <c r="T256" i="3"/>
  <c r="Z256" i="3" s="1"/>
  <c r="P256" i="3"/>
  <c r="H256" i="3"/>
  <c r="D256" i="3"/>
  <c r="B256" i="3"/>
  <c r="Z255" i="3"/>
  <c r="X255" i="3"/>
  <c r="L255" i="3"/>
  <c r="N255" i="3" s="1"/>
  <c r="B255" i="3"/>
  <c r="T254" i="3"/>
  <c r="P254" i="3"/>
  <c r="X254" i="3" s="1"/>
  <c r="H254" i="3"/>
  <c r="D254" i="3"/>
  <c r="L254" i="3" s="1"/>
  <c r="N254" i="3" s="1"/>
  <c r="B254" i="3"/>
  <c r="X253" i="3"/>
  <c r="Z253" i="3" s="1"/>
  <c r="L253" i="3"/>
  <c r="N253" i="3" s="1"/>
  <c r="B253" i="3"/>
  <c r="X252" i="3"/>
  <c r="Z252" i="3" s="1"/>
  <c r="T252" i="3"/>
  <c r="P252" i="3"/>
  <c r="H252" i="3"/>
  <c r="D252" i="3"/>
  <c r="L252" i="3" s="1"/>
  <c r="N252" i="3" s="1"/>
  <c r="B252" i="3"/>
  <c r="Z251" i="3"/>
  <c r="X251" i="3"/>
  <c r="N251" i="3"/>
  <c r="L251" i="3"/>
  <c r="B251" i="3"/>
  <c r="T250" i="3"/>
  <c r="P250" i="3"/>
  <c r="L250" i="3"/>
  <c r="H250" i="3"/>
  <c r="N250" i="3" s="1"/>
  <c r="D250" i="3"/>
  <c r="B250" i="3"/>
  <c r="X249" i="3"/>
  <c r="Z249" i="3" s="1"/>
  <c r="L249" i="3"/>
  <c r="N249" i="3" s="1"/>
  <c r="B249" i="3"/>
  <c r="Z248" i="3"/>
  <c r="X248" i="3"/>
  <c r="L248" i="3"/>
  <c r="N248" i="3" s="1"/>
  <c r="B248" i="3"/>
  <c r="T247" i="3"/>
  <c r="P247" i="3"/>
  <c r="L247" i="3"/>
  <c r="N247" i="3" s="1"/>
  <c r="H247" i="3"/>
  <c r="D247" i="3"/>
  <c r="B247" i="3"/>
  <c r="Z246" i="3"/>
  <c r="X246" i="3"/>
  <c r="V246" i="3"/>
  <c r="L246" i="3"/>
  <c r="N246" i="3" s="1"/>
  <c r="B246" i="3"/>
  <c r="X245" i="3"/>
  <c r="Z245" i="3" s="1"/>
  <c r="L245" i="3"/>
  <c r="N245" i="3" s="1"/>
  <c r="B245" i="3"/>
  <c r="X244" i="3"/>
  <c r="Z244" i="3" s="1"/>
  <c r="T244" i="3"/>
  <c r="P244" i="3"/>
  <c r="H244" i="3"/>
  <c r="D244" i="3"/>
  <c r="L244" i="3" s="1"/>
  <c r="N244" i="3" s="1"/>
  <c r="B244" i="3"/>
  <c r="Z243" i="3"/>
  <c r="X243" i="3"/>
  <c r="N243" i="3"/>
  <c r="L243" i="3"/>
  <c r="B243" i="3"/>
  <c r="T242" i="3"/>
  <c r="P242" i="3"/>
  <c r="L242" i="3"/>
  <c r="H242" i="3"/>
  <c r="N242" i="3" s="1"/>
  <c r="D242" i="3"/>
  <c r="B242" i="3"/>
  <c r="X241" i="3"/>
  <c r="Z241" i="3" s="1"/>
  <c r="L241" i="3"/>
  <c r="N241" i="3" s="1"/>
  <c r="B241" i="3"/>
  <c r="T240" i="3"/>
  <c r="P240" i="3"/>
  <c r="X240" i="3" s="1"/>
  <c r="Z240" i="3" s="1"/>
  <c r="H240" i="3"/>
  <c r="D240" i="3"/>
  <c r="L240" i="3" s="1"/>
  <c r="B240" i="3"/>
  <c r="X239" i="3"/>
  <c r="Z239" i="3" s="1"/>
  <c r="N239" i="3"/>
  <c r="L239" i="3"/>
  <c r="B239" i="3"/>
  <c r="Z238" i="3"/>
  <c r="X238" i="3"/>
  <c r="V238" i="3"/>
  <c r="L238" i="3"/>
  <c r="N238" i="3" s="1"/>
  <c r="B238" i="3"/>
  <c r="X237" i="3"/>
  <c r="Z237" i="3" s="1"/>
  <c r="L237" i="3"/>
  <c r="N237" i="3" s="1"/>
  <c r="B237" i="3"/>
  <c r="T236" i="3"/>
  <c r="P236" i="3"/>
  <c r="X236" i="3" s="1"/>
  <c r="Z236" i="3" s="1"/>
  <c r="H236" i="3"/>
  <c r="D236" i="3"/>
  <c r="L236" i="3" s="1"/>
  <c r="N236" i="3" s="1"/>
  <c r="B236" i="3"/>
  <c r="Z235" i="3"/>
  <c r="X235" i="3"/>
  <c r="N235" i="3"/>
  <c r="L235" i="3"/>
  <c r="B235" i="3"/>
  <c r="X234" i="3"/>
  <c r="Z234" i="3" s="1"/>
  <c r="N234" i="3"/>
  <c r="L234" i="3"/>
  <c r="B234" i="3"/>
  <c r="X233" i="3"/>
  <c r="Z233" i="3" s="1"/>
  <c r="T233" i="3"/>
  <c r="P233" i="3"/>
  <c r="H233" i="3"/>
  <c r="D233" i="3"/>
  <c r="L233" i="3" s="1"/>
  <c r="N233" i="3" s="1"/>
  <c r="B233" i="3"/>
  <c r="Z232" i="3"/>
  <c r="X232" i="3"/>
  <c r="L232" i="3"/>
  <c r="N232" i="3" s="1"/>
  <c r="B232" i="3"/>
  <c r="Z231" i="3"/>
  <c r="X231" i="3"/>
  <c r="L231" i="3"/>
  <c r="N231" i="3" s="1"/>
  <c r="B231" i="3"/>
  <c r="Z230" i="3"/>
  <c r="X230" i="3"/>
  <c r="N230" i="3"/>
  <c r="L230" i="3"/>
  <c r="B230" i="3"/>
  <c r="X229" i="3"/>
  <c r="Z229" i="3" s="1"/>
  <c r="L229" i="3"/>
  <c r="N229" i="3" s="1"/>
  <c r="B229" i="3"/>
  <c r="T228" i="3"/>
  <c r="P228" i="3"/>
  <c r="X228" i="3" s="1"/>
  <c r="Z228" i="3" s="1"/>
  <c r="H228" i="3"/>
  <c r="D228" i="3"/>
  <c r="L228" i="3" s="1"/>
  <c r="B228" i="3"/>
  <c r="X227" i="3"/>
  <c r="Z227" i="3" s="1"/>
  <c r="N227" i="3"/>
  <c r="L227" i="3"/>
  <c r="B227" i="3"/>
  <c r="V226" i="3"/>
  <c r="T226" i="3"/>
  <c r="P226" i="3"/>
  <c r="X226" i="3" s="1"/>
  <c r="Z226" i="3" s="1"/>
  <c r="H226" i="3"/>
  <c r="D226" i="3"/>
  <c r="L226" i="3" s="1"/>
  <c r="N226" i="3" s="1"/>
  <c r="B226" i="3"/>
  <c r="X225" i="3"/>
  <c r="Z225" i="3" s="1"/>
  <c r="L225" i="3"/>
  <c r="N225" i="3" s="1"/>
  <c r="B225" i="3"/>
  <c r="X224" i="3"/>
  <c r="Z224" i="3" s="1"/>
  <c r="N224" i="3"/>
  <c r="L224" i="3"/>
  <c r="B224" i="3"/>
  <c r="T223" i="3"/>
  <c r="P223" i="3"/>
  <c r="X223" i="3" s="1"/>
  <c r="Z223" i="3" s="1"/>
  <c r="L223" i="3"/>
  <c r="N223" i="3" s="1"/>
  <c r="H223" i="3"/>
  <c r="D223" i="3"/>
  <c r="B223" i="3"/>
  <c r="Z222" i="3"/>
  <c r="X222" i="3"/>
  <c r="N222" i="3"/>
  <c r="L222" i="3"/>
  <c r="B222" i="3"/>
  <c r="X221" i="3"/>
  <c r="Z221" i="3" s="1"/>
  <c r="T221" i="3"/>
  <c r="P221" i="3"/>
  <c r="H221" i="3"/>
  <c r="D221" i="3"/>
  <c r="B221" i="3"/>
  <c r="Z220" i="3"/>
  <c r="X220" i="3"/>
  <c r="N220" i="3"/>
  <c r="L220" i="3"/>
  <c r="B220" i="3"/>
  <c r="Z219" i="3"/>
  <c r="X219" i="3"/>
  <c r="N219" i="3"/>
  <c r="L219" i="3"/>
  <c r="B219" i="3"/>
  <c r="Z218" i="3"/>
  <c r="X218" i="3"/>
  <c r="V218" i="3"/>
  <c r="L218" i="3"/>
  <c r="N218" i="3" s="1"/>
  <c r="B218" i="3"/>
  <c r="X217" i="3"/>
  <c r="Z217" i="3" s="1"/>
  <c r="L217" i="3"/>
  <c r="N217" i="3" s="1"/>
  <c r="B217" i="3"/>
  <c r="Z216" i="3"/>
  <c r="X216" i="3"/>
  <c r="N216" i="3"/>
  <c r="L216" i="3"/>
  <c r="B216" i="3"/>
  <c r="X215" i="3"/>
  <c r="Z215" i="3" s="1"/>
  <c r="N215" i="3"/>
  <c r="L215" i="3"/>
  <c r="B215" i="3"/>
  <c r="Z214" i="3"/>
  <c r="X214" i="3"/>
  <c r="V214" i="3"/>
  <c r="L214" i="3"/>
  <c r="N214" i="3" s="1"/>
  <c r="B214" i="3"/>
  <c r="Z213" i="3"/>
  <c r="X213" i="3"/>
  <c r="N213" i="3"/>
  <c r="L213" i="3"/>
  <c r="B213" i="3"/>
  <c r="X212" i="3"/>
  <c r="Z212" i="3" s="1"/>
  <c r="L212" i="3"/>
  <c r="N212" i="3" s="1"/>
  <c r="B212" i="3"/>
  <c r="X211" i="3"/>
  <c r="Z211" i="3" s="1"/>
  <c r="N211" i="3"/>
  <c r="L211" i="3"/>
  <c r="B211" i="3"/>
  <c r="V210" i="3"/>
  <c r="T210" i="3"/>
  <c r="P210" i="3"/>
  <c r="X210" i="3" s="1"/>
  <c r="Z210" i="3" s="1"/>
  <c r="H210" i="3"/>
  <c r="D210" i="3"/>
  <c r="L210" i="3" s="1"/>
  <c r="N210" i="3" s="1"/>
  <c r="B210" i="3"/>
  <c r="X209" i="3"/>
  <c r="Z209" i="3" s="1"/>
  <c r="L209" i="3"/>
  <c r="N209" i="3" s="1"/>
  <c r="B209" i="3"/>
  <c r="X208" i="3"/>
  <c r="Z208" i="3" s="1"/>
  <c r="N208" i="3"/>
  <c r="L208" i="3"/>
  <c r="B208" i="3"/>
  <c r="Z207" i="3"/>
  <c r="X207" i="3"/>
  <c r="N207" i="3"/>
  <c r="L207" i="3"/>
  <c r="B207" i="3"/>
  <c r="Z206" i="3"/>
  <c r="X206" i="3"/>
  <c r="N206" i="3"/>
  <c r="L206" i="3"/>
  <c r="B206" i="3"/>
  <c r="X205" i="3"/>
  <c r="Z205" i="3" s="1"/>
  <c r="N205" i="3"/>
  <c r="L205" i="3"/>
  <c r="B205" i="3"/>
  <c r="X204" i="3"/>
  <c r="Z204" i="3" s="1"/>
  <c r="N204" i="3"/>
  <c r="L204" i="3"/>
  <c r="B204" i="3"/>
  <c r="Z203" i="3"/>
  <c r="X203" i="3"/>
  <c r="N203" i="3"/>
  <c r="L203" i="3"/>
  <c r="B203" i="3"/>
  <c r="X202" i="3"/>
  <c r="Z202" i="3" s="1"/>
  <c r="N202" i="3"/>
  <c r="L202" i="3"/>
  <c r="B202" i="3"/>
  <c r="X201" i="3"/>
  <c r="Z201" i="3" s="1"/>
  <c r="L201" i="3"/>
  <c r="N201" i="3" s="1"/>
  <c r="B201" i="3"/>
  <c r="X200" i="3"/>
  <c r="Z200" i="3" s="1"/>
  <c r="N200" i="3"/>
  <c r="L200" i="3"/>
  <c r="B200" i="3"/>
  <c r="T199" i="3"/>
  <c r="P199" i="3"/>
  <c r="X199" i="3" s="1"/>
  <c r="Z199" i="3" s="1"/>
  <c r="L199" i="3"/>
  <c r="N199" i="3" s="1"/>
  <c r="H199" i="3"/>
  <c r="D199" i="3"/>
  <c r="B199" i="3"/>
  <c r="T198" i="3"/>
  <c r="Z198" i="3" s="1"/>
  <c r="P198" i="3"/>
  <c r="X198" i="3" s="1"/>
  <c r="H198" i="3"/>
  <c r="D198" i="3"/>
  <c r="L198" i="3" s="1"/>
  <c r="N198" i="3" s="1"/>
  <c r="Z194" i="3"/>
  <c r="X194" i="3"/>
  <c r="N194" i="3"/>
  <c r="L194" i="3"/>
  <c r="B194" i="3"/>
  <c r="Z193" i="3"/>
  <c r="X193" i="3"/>
  <c r="N193" i="3"/>
  <c r="L193" i="3"/>
  <c r="B193" i="3"/>
  <c r="Z192" i="3"/>
  <c r="X192" i="3"/>
  <c r="N192" i="3"/>
  <c r="L192" i="3"/>
  <c r="B192" i="3"/>
  <c r="Z191" i="3"/>
  <c r="X191" i="3"/>
  <c r="N191" i="3"/>
  <c r="L191" i="3"/>
  <c r="B191" i="3"/>
  <c r="Z190" i="3"/>
  <c r="X190" i="3"/>
  <c r="N190" i="3"/>
  <c r="L190" i="3"/>
  <c r="B190" i="3"/>
  <c r="Z189" i="3"/>
  <c r="X189" i="3"/>
  <c r="N189" i="3"/>
  <c r="L189" i="3"/>
  <c r="B189" i="3"/>
  <c r="Z188" i="3"/>
  <c r="X188" i="3"/>
  <c r="N188" i="3"/>
  <c r="L188" i="3"/>
  <c r="B188" i="3"/>
  <c r="Z187" i="3"/>
  <c r="X187" i="3"/>
  <c r="N187" i="3"/>
  <c r="L187" i="3"/>
  <c r="B187" i="3"/>
  <c r="Z186" i="3"/>
  <c r="X186" i="3"/>
  <c r="N186" i="3"/>
  <c r="L186" i="3"/>
  <c r="B186" i="3"/>
  <c r="Z185" i="3"/>
  <c r="X185" i="3"/>
  <c r="V185" i="3"/>
  <c r="N185" i="3"/>
  <c r="L185" i="3"/>
  <c r="B185" i="3"/>
  <c r="Z184" i="3"/>
  <c r="X184" i="3"/>
  <c r="N184" i="3"/>
  <c r="L184" i="3"/>
  <c r="B184" i="3"/>
  <c r="Z183" i="3"/>
  <c r="X183" i="3"/>
  <c r="N183" i="3"/>
  <c r="L183" i="3"/>
  <c r="B183" i="3"/>
  <c r="Z182" i="3"/>
  <c r="X182" i="3"/>
  <c r="N182" i="3"/>
  <c r="L182" i="3"/>
  <c r="B182" i="3"/>
  <c r="Z181" i="3"/>
  <c r="X181" i="3"/>
  <c r="V181" i="3"/>
  <c r="N181" i="3"/>
  <c r="L181" i="3"/>
  <c r="B181" i="3"/>
  <c r="Z180" i="3"/>
  <c r="X180" i="3"/>
  <c r="N180" i="3"/>
  <c r="L180" i="3"/>
  <c r="B180" i="3"/>
  <c r="Z179" i="3"/>
  <c r="X179" i="3"/>
  <c r="N179" i="3"/>
  <c r="L179" i="3"/>
  <c r="B179" i="3"/>
  <c r="Z178" i="3"/>
  <c r="X178" i="3"/>
  <c r="N178" i="3"/>
  <c r="L178" i="3"/>
  <c r="B178" i="3"/>
  <c r="Z177" i="3"/>
  <c r="X177" i="3"/>
  <c r="V177" i="3"/>
  <c r="N177" i="3"/>
  <c r="L177" i="3"/>
  <c r="B177" i="3"/>
  <c r="Z176" i="3"/>
  <c r="X176" i="3"/>
  <c r="N176" i="3"/>
  <c r="L176" i="3"/>
  <c r="B176" i="3"/>
  <c r="Z175" i="3"/>
  <c r="X175" i="3"/>
  <c r="N175" i="3"/>
  <c r="L175" i="3"/>
  <c r="B175" i="3"/>
  <c r="Z174" i="3"/>
  <c r="X174" i="3"/>
  <c r="N174" i="3"/>
  <c r="L174" i="3"/>
  <c r="B174" i="3"/>
  <c r="Z173" i="3"/>
  <c r="X173" i="3"/>
  <c r="V173" i="3"/>
  <c r="N173" i="3"/>
  <c r="L173" i="3"/>
  <c r="B173" i="3"/>
  <c r="Z172" i="3"/>
  <c r="X172" i="3"/>
  <c r="N172" i="3"/>
  <c r="L172" i="3"/>
  <c r="B172" i="3"/>
  <c r="Z171" i="3"/>
  <c r="X171" i="3"/>
  <c r="N171" i="3"/>
  <c r="L171" i="3"/>
  <c r="B171" i="3"/>
  <c r="Z170" i="3"/>
  <c r="X170" i="3"/>
  <c r="N170" i="3"/>
  <c r="L170" i="3"/>
  <c r="B170" i="3"/>
  <c r="Z169" i="3"/>
  <c r="X169" i="3"/>
  <c r="V169" i="3"/>
  <c r="N169" i="3"/>
  <c r="L169" i="3"/>
  <c r="B169" i="3"/>
  <c r="Z168" i="3"/>
  <c r="X168" i="3"/>
  <c r="N168" i="3"/>
  <c r="L168" i="3"/>
  <c r="B168" i="3"/>
  <c r="Z167" i="3"/>
  <c r="X167" i="3"/>
  <c r="N167" i="3"/>
  <c r="L167" i="3"/>
  <c r="B167" i="3"/>
  <c r="Z166" i="3"/>
  <c r="X166" i="3"/>
  <c r="N166" i="3"/>
  <c r="L166" i="3"/>
  <c r="B166" i="3"/>
  <c r="Z165" i="3"/>
  <c r="X165" i="3"/>
  <c r="V165" i="3"/>
  <c r="N165" i="3"/>
  <c r="L165" i="3"/>
  <c r="B165" i="3"/>
  <c r="Z164" i="3"/>
  <c r="X164" i="3"/>
  <c r="N164" i="3"/>
  <c r="L164" i="3"/>
  <c r="B164" i="3"/>
  <c r="Z163" i="3"/>
  <c r="X163" i="3"/>
  <c r="N163" i="3"/>
  <c r="L163" i="3"/>
  <c r="B163" i="3"/>
  <c r="Z162" i="3"/>
  <c r="X162" i="3"/>
  <c r="N162" i="3"/>
  <c r="L162" i="3"/>
  <c r="B162" i="3"/>
  <c r="Z161" i="3"/>
  <c r="X161" i="3"/>
  <c r="V161" i="3"/>
  <c r="N161" i="3"/>
  <c r="L161" i="3"/>
  <c r="B161" i="3"/>
  <c r="Z160" i="3"/>
  <c r="X160" i="3"/>
  <c r="N160" i="3"/>
  <c r="L160" i="3"/>
  <c r="B160" i="3"/>
  <c r="Z159" i="3"/>
  <c r="X159" i="3"/>
  <c r="N159" i="3"/>
  <c r="L159" i="3"/>
  <c r="B159" i="3"/>
  <c r="Z158" i="3"/>
  <c r="X158" i="3"/>
  <c r="N158" i="3"/>
  <c r="L158" i="3"/>
  <c r="B158" i="3"/>
  <c r="Z157" i="3"/>
  <c r="X157" i="3"/>
  <c r="V157" i="3"/>
  <c r="N157" i="3"/>
  <c r="L157" i="3"/>
  <c r="B157" i="3"/>
  <c r="Z156" i="3"/>
  <c r="X156" i="3"/>
  <c r="N156" i="3"/>
  <c r="L156" i="3"/>
  <c r="B156" i="3"/>
  <c r="Z155" i="3"/>
  <c r="X155" i="3"/>
  <c r="N155" i="3"/>
  <c r="L155" i="3"/>
  <c r="B155" i="3"/>
  <c r="Z154" i="3"/>
  <c r="X154" i="3"/>
  <c r="N154" i="3"/>
  <c r="L154" i="3"/>
  <c r="B154" i="3"/>
  <c r="Z153" i="3"/>
  <c r="X153" i="3"/>
  <c r="V153" i="3"/>
  <c r="N153" i="3"/>
  <c r="L153" i="3"/>
  <c r="B153" i="3"/>
  <c r="Z152" i="3"/>
  <c r="X152" i="3"/>
  <c r="N152" i="3"/>
  <c r="L152" i="3"/>
  <c r="B152" i="3"/>
  <c r="Z151" i="3"/>
  <c r="X151" i="3"/>
  <c r="N151" i="3"/>
  <c r="L151" i="3"/>
  <c r="B151" i="3"/>
  <c r="Z150" i="3"/>
  <c r="X150" i="3"/>
  <c r="N150" i="3"/>
  <c r="L150" i="3"/>
  <c r="B150" i="3"/>
  <c r="Z149" i="3"/>
  <c r="X149" i="3"/>
  <c r="V149" i="3"/>
  <c r="N149" i="3"/>
  <c r="L149" i="3"/>
  <c r="B149" i="3"/>
  <c r="Z148" i="3"/>
  <c r="X148" i="3"/>
  <c r="N148" i="3"/>
  <c r="L148" i="3"/>
  <c r="B148" i="3"/>
  <c r="Z147" i="3"/>
  <c r="X147" i="3"/>
  <c r="N147" i="3"/>
  <c r="L147" i="3"/>
  <c r="B147" i="3"/>
  <c r="Z146" i="3"/>
  <c r="X146" i="3"/>
  <c r="N146" i="3"/>
  <c r="L146" i="3"/>
  <c r="B146" i="3"/>
  <c r="Z145" i="3"/>
  <c r="X145" i="3"/>
  <c r="V145" i="3"/>
  <c r="N145" i="3"/>
  <c r="L145" i="3"/>
  <c r="B145" i="3"/>
  <c r="Z144" i="3"/>
  <c r="X144" i="3"/>
  <c r="N144" i="3"/>
  <c r="L144" i="3"/>
  <c r="B144" i="3"/>
  <c r="Z143" i="3"/>
  <c r="X143" i="3"/>
  <c r="N143" i="3"/>
  <c r="L143" i="3"/>
  <c r="B143" i="3"/>
  <c r="Z142" i="3"/>
  <c r="X142" i="3"/>
  <c r="N142" i="3"/>
  <c r="L142" i="3"/>
  <c r="B142" i="3"/>
  <c r="Z141" i="3"/>
  <c r="X141" i="3"/>
  <c r="V141" i="3"/>
  <c r="N141" i="3"/>
  <c r="L141" i="3"/>
  <c r="B141" i="3"/>
  <c r="Z140" i="3"/>
  <c r="X140" i="3"/>
  <c r="N140" i="3"/>
  <c r="L140" i="3"/>
  <c r="B140" i="3"/>
  <c r="Z139" i="3"/>
  <c r="X139" i="3"/>
  <c r="N139" i="3"/>
  <c r="L139" i="3"/>
  <c r="B139" i="3"/>
  <c r="Z138" i="3"/>
  <c r="X138" i="3"/>
  <c r="N138" i="3"/>
  <c r="L138" i="3"/>
  <c r="B138" i="3"/>
  <c r="Z137" i="3"/>
  <c r="X137" i="3"/>
  <c r="V137" i="3"/>
  <c r="N137" i="3"/>
  <c r="L137" i="3"/>
  <c r="B137" i="3"/>
  <c r="Z136" i="3"/>
  <c r="X136" i="3"/>
  <c r="N136" i="3"/>
  <c r="L136" i="3"/>
  <c r="B136" i="3"/>
  <c r="Z135" i="3"/>
  <c r="X135" i="3"/>
  <c r="V135" i="3"/>
  <c r="L135" i="3"/>
  <c r="N135" i="3" s="1"/>
  <c r="B135" i="3"/>
  <c r="T134" i="3"/>
  <c r="P134" i="3"/>
  <c r="X134" i="3" s="1"/>
  <c r="H134" i="3"/>
  <c r="D134" i="3"/>
  <c r="L134" i="3" s="1"/>
  <c r="N134" i="3" s="1"/>
  <c r="Z132" i="3"/>
  <c r="P132" i="3"/>
  <c r="X132" i="3" s="1"/>
  <c r="N132" i="3"/>
  <c r="D132" i="3"/>
  <c r="L132" i="3" s="1"/>
  <c r="B132" i="3"/>
  <c r="Z131" i="3"/>
  <c r="P131" i="3"/>
  <c r="X131" i="3" s="1"/>
  <c r="N131" i="3"/>
  <c r="L131" i="3"/>
  <c r="D131" i="3"/>
  <c r="B131" i="3"/>
  <c r="Z130" i="3"/>
  <c r="X130" i="3"/>
  <c r="P130" i="3"/>
  <c r="N130" i="3"/>
  <c r="L130" i="3"/>
  <c r="D130" i="3"/>
  <c r="B130" i="3"/>
  <c r="Z129" i="3"/>
  <c r="P129" i="3"/>
  <c r="X129" i="3" s="1"/>
  <c r="N129" i="3"/>
  <c r="D129" i="3"/>
  <c r="L129" i="3" s="1"/>
  <c r="B129" i="3"/>
  <c r="Z128" i="3"/>
  <c r="P128" i="3"/>
  <c r="X128" i="3" s="1"/>
  <c r="N128" i="3"/>
  <c r="D128" i="3"/>
  <c r="L128" i="3" s="1"/>
  <c r="B128" i="3"/>
  <c r="Z127" i="3"/>
  <c r="X127" i="3"/>
  <c r="P127" i="3"/>
  <c r="N127" i="3"/>
  <c r="L127" i="3"/>
  <c r="D127" i="3"/>
  <c r="B127" i="3"/>
  <c r="Z126" i="3"/>
  <c r="P126" i="3"/>
  <c r="X126" i="3" s="1"/>
  <c r="N126" i="3"/>
  <c r="D126" i="3"/>
  <c r="L126" i="3" s="1"/>
  <c r="B126" i="3"/>
  <c r="Z125" i="3"/>
  <c r="P125" i="3"/>
  <c r="X125" i="3" s="1"/>
  <c r="N125" i="3"/>
  <c r="D125" i="3"/>
  <c r="L125" i="3" s="1"/>
  <c r="B125" i="3"/>
  <c r="Z124" i="3"/>
  <c r="P124" i="3"/>
  <c r="X124" i="3" s="1"/>
  <c r="N124" i="3"/>
  <c r="L124" i="3"/>
  <c r="D124" i="3"/>
  <c r="B124" i="3"/>
  <c r="Z123" i="3"/>
  <c r="P123" i="3"/>
  <c r="X123" i="3" s="1"/>
  <c r="N123" i="3"/>
  <c r="D123" i="3"/>
  <c r="L123" i="3" s="1"/>
  <c r="B123" i="3"/>
  <c r="Z122" i="3"/>
  <c r="X122" i="3"/>
  <c r="P122" i="3"/>
  <c r="N122" i="3"/>
  <c r="D122" i="3"/>
  <c r="L122" i="3" s="1"/>
  <c r="B122" i="3"/>
  <c r="Z121" i="3"/>
  <c r="X121" i="3"/>
  <c r="P121" i="3"/>
  <c r="N121" i="3"/>
  <c r="D121" i="3"/>
  <c r="L121" i="3" s="1"/>
  <c r="B121" i="3"/>
  <c r="Z120" i="3"/>
  <c r="P120" i="3"/>
  <c r="X120" i="3" s="1"/>
  <c r="N120" i="3"/>
  <c r="D120" i="3"/>
  <c r="L120" i="3" s="1"/>
  <c r="B120" i="3"/>
  <c r="Z119" i="3"/>
  <c r="P119" i="3"/>
  <c r="X119" i="3" s="1"/>
  <c r="N119" i="3"/>
  <c r="L119" i="3"/>
  <c r="D119" i="3"/>
  <c r="B119" i="3"/>
  <c r="Z118" i="3"/>
  <c r="X118" i="3"/>
  <c r="P118" i="3"/>
  <c r="N118" i="3"/>
  <c r="L118" i="3"/>
  <c r="D118" i="3"/>
  <c r="B118" i="3"/>
  <c r="Z117" i="3"/>
  <c r="P117" i="3"/>
  <c r="X117" i="3" s="1"/>
  <c r="N117" i="3"/>
  <c r="D117" i="3"/>
  <c r="L117" i="3" s="1"/>
  <c r="B117" i="3"/>
  <c r="Z116" i="3"/>
  <c r="P116" i="3"/>
  <c r="X116" i="3" s="1"/>
  <c r="N116" i="3"/>
  <c r="D116" i="3"/>
  <c r="L116" i="3" s="1"/>
  <c r="B116" i="3"/>
  <c r="Z115" i="3"/>
  <c r="X115" i="3"/>
  <c r="P115" i="3"/>
  <c r="N115" i="3"/>
  <c r="L115" i="3"/>
  <c r="D115" i="3"/>
  <c r="B115" i="3"/>
  <c r="Z114" i="3"/>
  <c r="P114" i="3"/>
  <c r="X114" i="3" s="1"/>
  <c r="N114" i="3"/>
  <c r="D114" i="3"/>
  <c r="L114" i="3" s="1"/>
  <c r="B114" i="3"/>
  <c r="Z113" i="3"/>
  <c r="P113" i="3"/>
  <c r="X113" i="3" s="1"/>
  <c r="N113" i="3"/>
  <c r="D113" i="3"/>
  <c r="L113" i="3" s="1"/>
  <c r="B113" i="3"/>
  <c r="Z112" i="3"/>
  <c r="P112" i="3"/>
  <c r="X112" i="3" s="1"/>
  <c r="N112" i="3"/>
  <c r="L112" i="3"/>
  <c r="D112" i="3"/>
  <c r="B112" i="3"/>
  <c r="Z111" i="3"/>
  <c r="P111" i="3"/>
  <c r="X111" i="3" s="1"/>
  <c r="N111" i="3"/>
  <c r="D111" i="3"/>
  <c r="L111" i="3" s="1"/>
  <c r="B111" i="3"/>
  <c r="Z110" i="3"/>
  <c r="X110" i="3"/>
  <c r="P110" i="3"/>
  <c r="N110" i="3"/>
  <c r="D110" i="3"/>
  <c r="L110" i="3" s="1"/>
  <c r="B110" i="3"/>
  <c r="Z109" i="3"/>
  <c r="X109" i="3"/>
  <c r="P109" i="3"/>
  <c r="N109" i="3"/>
  <c r="D109" i="3"/>
  <c r="L109" i="3" s="1"/>
  <c r="B109" i="3"/>
  <c r="Z108" i="3"/>
  <c r="P108" i="3"/>
  <c r="X108" i="3" s="1"/>
  <c r="N108" i="3"/>
  <c r="D108" i="3"/>
  <c r="L108" i="3" s="1"/>
  <c r="B108" i="3"/>
  <c r="Z107" i="3"/>
  <c r="P107" i="3"/>
  <c r="X107" i="3" s="1"/>
  <c r="N107" i="3"/>
  <c r="L107" i="3"/>
  <c r="D107" i="3"/>
  <c r="B107" i="3"/>
  <c r="Z106" i="3"/>
  <c r="X106" i="3"/>
  <c r="P106" i="3"/>
  <c r="N106" i="3"/>
  <c r="L106" i="3"/>
  <c r="D106" i="3"/>
  <c r="B106" i="3"/>
  <c r="Z105" i="3"/>
  <c r="P105" i="3"/>
  <c r="X105" i="3" s="1"/>
  <c r="N105" i="3"/>
  <c r="D105" i="3"/>
  <c r="L105" i="3" s="1"/>
  <c r="B105" i="3"/>
  <c r="Z104" i="3"/>
  <c r="P104" i="3"/>
  <c r="X104" i="3" s="1"/>
  <c r="N104" i="3"/>
  <c r="D104" i="3"/>
  <c r="L104" i="3" s="1"/>
  <c r="B104" i="3"/>
  <c r="Z103" i="3"/>
  <c r="X103" i="3"/>
  <c r="P103" i="3"/>
  <c r="N103" i="3"/>
  <c r="L103" i="3"/>
  <c r="D103" i="3"/>
  <c r="B103" i="3"/>
  <c r="Z102" i="3"/>
  <c r="P102" i="3"/>
  <c r="X102" i="3" s="1"/>
  <c r="N102" i="3"/>
  <c r="D102" i="3"/>
  <c r="L102" i="3" s="1"/>
  <c r="B102" i="3"/>
  <c r="Z101" i="3"/>
  <c r="P101" i="3"/>
  <c r="X101" i="3" s="1"/>
  <c r="N101" i="3"/>
  <c r="D101" i="3"/>
  <c r="L101" i="3" s="1"/>
  <c r="B101" i="3"/>
  <c r="Z100" i="3"/>
  <c r="P100" i="3"/>
  <c r="X100" i="3" s="1"/>
  <c r="N100" i="3"/>
  <c r="L100" i="3"/>
  <c r="D100" i="3"/>
  <c r="B100" i="3"/>
  <c r="Z99" i="3"/>
  <c r="P99" i="3"/>
  <c r="X99" i="3" s="1"/>
  <c r="N99" i="3"/>
  <c r="D99" i="3"/>
  <c r="L99" i="3" s="1"/>
  <c r="B99" i="3"/>
  <c r="Z98" i="3"/>
  <c r="X98" i="3"/>
  <c r="P98" i="3"/>
  <c r="N98" i="3"/>
  <c r="D98" i="3"/>
  <c r="L98" i="3" s="1"/>
  <c r="B98" i="3"/>
  <c r="Z97" i="3"/>
  <c r="X97" i="3"/>
  <c r="P97" i="3"/>
  <c r="N97" i="3"/>
  <c r="D97" i="3"/>
  <c r="L97" i="3" s="1"/>
  <c r="B97" i="3"/>
  <c r="Z96" i="3"/>
  <c r="P96" i="3"/>
  <c r="X96" i="3" s="1"/>
  <c r="N96" i="3"/>
  <c r="D96" i="3"/>
  <c r="L96" i="3" s="1"/>
  <c r="B96" i="3"/>
  <c r="Z95" i="3"/>
  <c r="P95" i="3"/>
  <c r="X95" i="3" s="1"/>
  <c r="N95" i="3"/>
  <c r="L95" i="3"/>
  <c r="D95" i="3"/>
  <c r="B95" i="3"/>
  <c r="Z94" i="3"/>
  <c r="X94" i="3"/>
  <c r="P94" i="3"/>
  <c r="N94" i="3"/>
  <c r="L94" i="3"/>
  <c r="D94" i="3"/>
  <c r="B94" i="3"/>
  <c r="Z93" i="3"/>
  <c r="P93" i="3"/>
  <c r="X93" i="3" s="1"/>
  <c r="N93" i="3"/>
  <c r="D93" i="3"/>
  <c r="L93" i="3" s="1"/>
  <c r="B93" i="3"/>
  <c r="Z92" i="3"/>
  <c r="P92" i="3"/>
  <c r="X92" i="3" s="1"/>
  <c r="N92" i="3"/>
  <c r="D92" i="3"/>
  <c r="L92" i="3" s="1"/>
  <c r="B92" i="3"/>
  <c r="Z91" i="3"/>
  <c r="X91" i="3"/>
  <c r="P91" i="3"/>
  <c r="N91" i="3"/>
  <c r="L91" i="3"/>
  <c r="D91" i="3"/>
  <c r="B91" i="3"/>
  <c r="Z90" i="3"/>
  <c r="P90" i="3"/>
  <c r="X90" i="3" s="1"/>
  <c r="N90" i="3"/>
  <c r="D90" i="3"/>
  <c r="L90" i="3" s="1"/>
  <c r="B90" i="3"/>
  <c r="Z89" i="3"/>
  <c r="P89" i="3"/>
  <c r="X89" i="3" s="1"/>
  <c r="N89" i="3"/>
  <c r="D89" i="3"/>
  <c r="L89" i="3" s="1"/>
  <c r="B89" i="3"/>
  <c r="Z88" i="3"/>
  <c r="P88" i="3"/>
  <c r="X88" i="3" s="1"/>
  <c r="N88" i="3"/>
  <c r="L88" i="3"/>
  <c r="D88" i="3"/>
  <c r="B88" i="3"/>
  <c r="Z87" i="3"/>
  <c r="P87" i="3"/>
  <c r="X87" i="3" s="1"/>
  <c r="N87" i="3"/>
  <c r="D87" i="3"/>
  <c r="L87" i="3" s="1"/>
  <c r="B87" i="3"/>
  <c r="Z86" i="3"/>
  <c r="X86" i="3"/>
  <c r="P86" i="3"/>
  <c r="N86" i="3"/>
  <c r="D86" i="3"/>
  <c r="L86" i="3" s="1"/>
  <c r="B86" i="3"/>
  <c r="Z85" i="3"/>
  <c r="X85" i="3"/>
  <c r="P85" i="3"/>
  <c r="N85" i="3"/>
  <c r="D85" i="3"/>
  <c r="L85" i="3" s="1"/>
  <c r="B85" i="3"/>
  <c r="Z84" i="3"/>
  <c r="P84" i="3"/>
  <c r="X84" i="3" s="1"/>
  <c r="N84" i="3"/>
  <c r="D84" i="3"/>
  <c r="L84" i="3" s="1"/>
  <c r="B84" i="3"/>
  <c r="Z83" i="3"/>
  <c r="P83" i="3"/>
  <c r="X83" i="3" s="1"/>
  <c r="N83" i="3"/>
  <c r="L83" i="3"/>
  <c r="D83" i="3"/>
  <c r="B83" i="3"/>
  <c r="Z82" i="3"/>
  <c r="X82" i="3"/>
  <c r="P82" i="3"/>
  <c r="N82" i="3"/>
  <c r="L82" i="3"/>
  <c r="D82" i="3"/>
  <c r="B82" i="3"/>
  <c r="Z81" i="3"/>
  <c r="P81" i="3"/>
  <c r="X81" i="3" s="1"/>
  <c r="N81" i="3"/>
  <c r="D81" i="3"/>
  <c r="L81" i="3" s="1"/>
  <c r="B81" i="3"/>
  <c r="Z80" i="3"/>
  <c r="P80" i="3"/>
  <c r="X80" i="3" s="1"/>
  <c r="N80" i="3"/>
  <c r="D80" i="3"/>
  <c r="L80" i="3" s="1"/>
  <c r="B80" i="3"/>
  <c r="Z79" i="3"/>
  <c r="X79" i="3"/>
  <c r="P79" i="3"/>
  <c r="N79" i="3"/>
  <c r="L79" i="3"/>
  <c r="D79" i="3"/>
  <c r="B79" i="3"/>
  <c r="Z78" i="3"/>
  <c r="P78" i="3"/>
  <c r="X78" i="3" s="1"/>
  <c r="N78" i="3"/>
  <c r="D78" i="3"/>
  <c r="L78" i="3" s="1"/>
  <c r="B78" i="3"/>
  <c r="Z77" i="3"/>
  <c r="P77" i="3"/>
  <c r="X77" i="3" s="1"/>
  <c r="N77" i="3"/>
  <c r="D77" i="3"/>
  <c r="L77" i="3" s="1"/>
  <c r="B77" i="3"/>
  <c r="Z76" i="3"/>
  <c r="P76" i="3"/>
  <c r="X76" i="3" s="1"/>
  <c r="N76" i="3"/>
  <c r="L76" i="3"/>
  <c r="D76" i="3"/>
  <c r="B76" i="3"/>
  <c r="Z75" i="3"/>
  <c r="P75" i="3"/>
  <c r="X75" i="3" s="1"/>
  <c r="N75" i="3"/>
  <c r="D75" i="3"/>
  <c r="L75" i="3" s="1"/>
  <c r="B75" i="3"/>
  <c r="Z74" i="3"/>
  <c r="X74" i="3"/>
  <c r="P74" i="3"/>
  <c r="N74" i="3"/>
  <c r="D74" i="3"/>
  <c r="L74" i="3" s="1"/>
  <c r="B74" i="3"/>
  <c r="Z73" i="3"/>
  <c r="X73" i="3"/>
  <c r="P73" i="3"/>
  <c r="N73" i="3"/>
  <c r="D73" i="3"/>
  <c r="L73" i="3" s="1"/>
  <c r="B73" i="3"/>
  <c r="Z72" i="3"/>
  <c r="P72" i="3"/>
  <c r="X72" i="3" s="1"/>
  <c r="N72" i="3"/>
  <c r="D72" i="3"/>
  <c r="L72" i="3" s="1"/>
  <c r="B72" i="3"/>
  <c r="Z71" i="3"/>
  <c r="P71" i="3"/>
  <c r="X71" i="3" s="1"/>
  <c r="N71" i="3"/>
  <c r="L71" i="3"/>
  <c r="D71" i="3"/>
  <c r="B71" i="3"/>
  <c r="Z70" i="3"/>
  <c r="X70" i="3"/>
  <c r="P70" i="3"/>
  <c r="N70" i="3"/>
  <c r="L70" i="3"/>
  <c r="D70" i="3"/>
  <c r="B70" i="3"/>
  <c r="Z69" i="3"/>
  <c r="P69" i="3"/>
  <c r="X69" i="3" s="1"/>
  <c r="N69" i="3"/>
  <c r="D69" i="3"/>
  <c r="L69" i="3" s="1"/>
  <c r="B69" i="3"/>
  <c r="Z68" i="3"/>
  <c r="P68" i="3"/>
  <c r="X68" i="3" s="1"/>
  <c r="N68" i="3"/>
  <c r="D68" i="3"/>
  <c r="L68" i="3" s="1"/>
  <c r="B68" i="3"/>
  <c r="Z67" i="3"/>
  <c r="X67" i="3"/>
  <c r="P67" i="3"/>
  <c r="N67" i="3"/>
  <c r="L67" i="3"/>
  <c r="D67" i="3"/>
  <c r="B67" i="3"/>
  <c r="Z66" i="3"/>
  <c r="P66" i="3"/>
  <c r="X66" i="3" s="1"/>
  <c r="N66" i="3"/>
  <c r="D66" i="3"/>
  <c r="L66" i="3" s="1"/>
  <c r="B66" i="3"/>
  <c r="Z65" i="3"/>
  <c r="P65" i="3"/>
  <c r="X65" i="3" s="1"/>
  <c r="N65" i="3"/>
  <c r="D65" i="3"/>
  <c r="L65" i="3" s="1"/>
  <c r="B65" i="3"/>
  <c r="Z64" i="3"/>
  <c r="P64" i="3"/>
  <c r="X64" i="3" s="1"/>
  <c r="N64" i="3"/>
  <c r="L64" i="3"/>
  <c r="D64" i="3"/>
  <c r="B64" i="3"/>
  <c r="Z63" i="3"/>
  <c r="P63" i="3"/>
  <c r="X63" i="3" s="1"/>
  <c r="N63" i="3"/>
  <c r="D63" i="3"/>
  <c r="L63" i="3" s="1"/>
  <c r="B63" i="3"/>
  <c r="Z62" i="3"/>
  <c r="X62" i="3"/>
  <c r="P62" i="3"/>
  <c r="N62" i="3"/>
  <c r="D62" i="3"/>
  <c r="L62" i="3" s="1"/>
  <c r="B62" i="3"/>
  <c r="Z61" i="3"/>
  <c r="X61" i="3"/>
  <c r="P61" i="3"/>
  <c r="N61" i="3"/>
  <c r="D61" i="3"/>
  <c r="L61" i="3" s="1"/>
  <c r="B61" i="3"/>
  <c r="Z60" i="3"/>
  <c r="P60" i="3"/>
  <c r="X60" i="3" s="1"/>
  <c r="N60" i="3"/>
  <c r="D60" i="3"/>
  <c r="L60" i="3" s="1"/>
  <c r="B60" i="3"/>
  <c r="Z59" i="3"/>
  <c r="P59" i="3"/>
  <c r="X59" i="3" s="1"/>
  <c r="N59" i="3"/>
  <c r="L59" i="3"/>
  <c r="D59" i="3"/>
  <c r="B59" i="3"/>
  <c r="Z58" i="3"/>
  <c r="X58" i="3"/>
  <c r="P58" i="3"/>
  <c r="N58" i="3"/>
  <c r="L58" i="3"/>
  <c r="D58" i="3"/>
  <c r="B58" i="3"/>
  <c r="Z57" i="3"/>
  <c r="P57" i="3"/>
  <c r="X57" i="3" s="1"/>
  <c r="N57" i="3"/>
  <c r="D57" i="3"/>
  <c r="L57" i="3" s="1"/>
  <c r="B57" i="3"/>
  <c r="Z56" i="3"/>
  <c r="P56" i="3"/>
  <c r="X56" i="3" s="1"/>
  <c r="N56" i="3"/>
  <c r="D56" i="3"/>
  <c r="L56" i="3" s="1"/>
  <c r="B56" i="3"/>
  <c r="Z55" i="3"/>
  <c r="X55" i="3"/>
  <c r="P55" i="3"/>
  <c r="L55" i="3"/>
  <c r="N55" i="3" s="1"/>
  <c r="D55" i="3"/>
  <c r="B55" i="3"/>
  <c r="Z54" i="3"/>
  <c r="P54" i="3"/>
  <c r="X54" i="3" s="1"/>
  <c r="N54" i="3"/>
  <c r="D54" i="3"/>
  <c r="L54" i="3" s="1"/>
  <c r="B54" i="3"/>
  <c r="Z53" i="3"/>
  <c r="P53" i="3"/>
  <c r="X53" i="3" s="1"/>
  <c r="N53" i="3"/>
  <c r="D53" i="3"/>
  <c r="L53" i="3" s="1"/>
  <c r="B53" i="3"/>
  <c r="Z52" i="3"/>
  <c r="P52" i="3"/>
  <c r="X52" i="3" s="1"/>
  <c r="N52" i="3"/>
  <c r="L52" i="3"/>
  <c r="D52" i="3"/>
  <c r="B52" i="3"/>
  <c r="Z51" i="3"/>
  <c r="P51" i="3"/>
  <c r="X51" i="3" s="1"/>
  <c r="N51" i="3"/>
  <c r="D51" i="3"/>
  <c r="L51" i="3" s="1"/>
  <c r="B51" i="3"/>
  <c r="Z50" i="3"/>
  <c r="X50" i="3"/>
  <c r="P50" i="3"/>
  <c r="N50" i="3"/>
  <c r="D50" i="3"/>
  <c r="L50" i="3" s="1"/>
  <c r="B50" i="3"/>
  <c r="Z49" i="3"/>
  <c r="X49" i="3"/>
  <c r="P49" i="3"/>
  <c r="N49" i="3"/>
  <c r="D49" i="3"/>
  <c r="L49" i="3" s="1"/>
  <c r="B49" i="3"/>
  <c r="Z48" i="3"/>
  <c r="P48" i="3"/>
  <c r="X48" i="3" s="1"/>
  <c r="N48" i="3"/>
  <c r="D48" i="3"/>
  <c r="L48" i="3" s="1"/>
  <c r="B48" i="3"/>
  <c r="Z47" i="3"/>
  <c r="P47" i="3"/>
  <c r="X47" i="3" s="1"/>
  <c r="N47" i="3"/>
  <c r="L47" i="3"/>
  <c r="D47" i="3"/>
  <c r="B47" i="3"/>
  <c r="Z46" i="3"/>
  <c r="X46" i="3"/>
  <c r="P46" i="3"/>
  <c r="N46" i="3"/>
  <c r="L46" i="3"/>
  <c r="D46" i="3"/>
  <c r="B46" i="3"/>
  <c r="Z45" i="3"/>
  <c r="P45" i="3"/>
  <c r="X45" i="3" s="1"/>
  <c r="N45" i="3"/>
  <c r="D45" i="3"/>
  <c r="L45" i="3" s="1"/>
  <c r="B45" i="3"/>
  <c r="Z44" i="3"/>
  <c r="P44" i="3"/>
  <c r="X44" i="3" s="1"/>
  <c r="N44" i="3"/>
  <c r="D44" i="3"/>
  <c r="L44" i="3" s="1"/>
  <c r="B44" i="3"/>
  <c r="Z43" i="3"/>
  <c r="X43" i="3"/>
  <c r="P43" i="3"/>
  <c r="N43" i="3"/>
  <c r="L43" i="3"/>
  <c r="D43" i="3"/>
  <c r="B43" i="3"/>
  <c r="Z42" i="3"/>
  <c r="P42" i="3"/>
  <c r="X42" i="3" s="1"/>
  <c r="N42" i="3"/>
  <c r="D42" i="3"/>
  <c r="L42" i="3" s="1"/>
  <c r="B42" i="3"/>
  <c r="Z41" i="3"/>
  <c r="P41" i="3"/>
  <c r="X41" i="3" s="1"/>
  <c r="N41" i="3"/>
  <c r="D41" i="3"/>
  <c r="L41" i="3" s="1"/>
  <c r="B41" i="3"/>
  <c r="Z40" i="3"/>
  <c r="P40" i="3"/>
  <c r="X40" i="3" s="1"/>
  <c r="N40" i="3"/>
  <c r="L40" i="3"/>
  <c r="D40" i="3"/>
  <c r="B40" i="3"/>
  <c r="Z39" i="3"/>
  <c r="P39" i="3"/>
  <c r="X39" i="3" s="1"/>
  <c r="N39" i="3"/>
  <c r="D39" i="3"/>
  <c r="L39" i="3" s="1"/>
  <c r="B39" i="3"/>
  <c r="Z38" i="3"/>
  <c r="X38" i="3"/>
  <c r="P38" i="3"/>
  <c r="N38" i="3"/>
  <c r="D38" i="3"/>
  <c r="L38" i="3" s="1"/>
  <c r="B38" i="3"/>
  <c r="Z37" i="3"/>
  <c r="X37" i="3"/>
  <c r="P37" i="3"/>
  <c r="N37" i="3"/>
  <c r="D37" i="3"/>
  <c r="L37" i="3" s="1"/>
  <c r="B37" i="3"/>
  <c r="Z36" i="3"/>
  <c r="P36" i="3"/>
  <c r="X36" i="3" s="1"/>
  <c r="N36" i="3"/>
  <c r="D36" i="3"/>
  <c r="L36" i="3" s="1"/>
  <c r="B36" i="3"/>
  <c r="Z35" i="3"/>
  <c r="P35" i="3"/>
  <c r="X35" i="3" s="1"/>
  <c r="N35" i="3"/>
  <c r="L35" i="3"/>
  <c r="D35" i="3"/>
  <c r="B35" i="3"/>
  <c r="Z34" i="3"/>
  <c r="P34" i="3"/>
  <c r="X34" i="3" s="1"/>
  <c r="N34" i="3"/>
  <c r="L34" i="3"/>
  <c r="D34" i="3"/>
  <c r="B34" i="3"/>
  <c r="Z33" i="3"/>
  <c r="P33" i="3"/>
  <c r="X33" i="3" s="1"/>
  <c r="N33" i="3"/>
  <c r="D33" i="3"/>
  <c r="L33" i="3" s="1"/>
  <c r="B33" i="3"/>
  <c r="Z32" i="3"/>
  <c r="P32" i="3"/>
  <c r="X32" i="3" s="1"/>
  <c r="N32" i="3"/>
  <c r="D32" i="3"/>
  <c r="L32" i="3" s="1"/>
  <c r="B32" i="3"/>
  <c r="Z31" i="3"/>
  <c r="X31" i="3"/>
  <c r="P31" i="3"/>
  <c r="N31" i="3"/>
  <c r="D31" i="3"/>
  <c r="L31" i="3" s="1"/>
  <c r="B31" i="3"/>
  <c r="Z30" i="3"/>
  <c r="P30" i="3"/>
  <c r="X30" i="3" s="1"/>
  <c r="N30" i="3"/>
  <c r="D30" i="3"/>
  <c r="L30" i="3" s="1"/>
  <c r="B30" i="3"/>
  <c r="Z29" i="3"/>
  <c r="P29" i="3"/>
  <c r="X29" i="3" s="1"/>
  <c r="N29" i="3"/>
  <c r="D29" i="3"/>
  <c r="L29" i="3" s="1"/>
  <c r="B29" i="3"/>
  <c r="Z28" i="3"/>
  <c r="P28" i="3"/>
  <c r="X28" i="3" s="1"/>
  <c r="N28" i="3"/>
  <c r="L28" i="3"/>
  <c r="D28" i="3"/>
  <c r="B28" i="3"/>
  <c r="Z27" i="3"/>
  <c r="P27" i="3"/>
  <c r="X27" i="3" s="1"/>
  <c r="N27" i="3"/>
  <c r="D27" i="3"/>
  <c r="L27" i="3" s="1"/>
  <c r="B27" i="3"/>
  <c r="Z26" i="3"/>
  <c r="X26" i="3"/>
  <c r="P26" i="3"/>
  <c r="N26" i="3"/>
  <c r="D26" i="3"/>
  <c r="L26" i="3" s="1"/>
  <c r="B26" i="3"/>
  <c r="Z25" i="3"/>
  <c r="X25" i="3"/>
  <c r="P25" i="3"/>
  <c r="N25" i="3"/>
  <c r="D25" i="3"/>
  <c r="L25" i="3" s="1"/>
  <c r="B25" i="3"/>
  <c r="Z24" i="3"/>
  <c r="P24" i="3"/>
  <c r="X24" i="3" s="1"/>
  <c r="N24" i="3"/>
  <c r="D24" i="3"/>
  <c r="L24" i="3" s="1"/>
  <c r="B24" i="3"/>
  <c r="Z23" i="3"/>
  <c r="P23" i="3"/>
  <c r="X23" i="3" s="1"/>
  <c r="N23" i="3"/>
  <c r="L23" i="3"/>
  <c r="D23" i="3"/>
  <c r="B23" i="3"/>
  <c r="Z22" i="3"/>
  <c r="P22" i="3"/>
  <c r="X22" i="3" s="1"/>
  <c r="N22" i="3"/>
  <c r="L22" i="3"/>
  <c r="D22" i="3"/>
  <c r="B22" i="3"/>
  <c r="Z21" i="3"/>
  <c r="P21" i="3"/>
  <c r="X21" i="3" s="1"/>
  <c r="N21" i="3"/>
  <c r="D21" i="3"/>
  <c r="L21" i="3" s="1"/>
  <c r="B21" i="3"/>
  <c r="Z20" i="3"/>
  <c r="P20" i="3"/>
  <c r="X20" i="3" s="1"/>
  <c r="N20" i="3"/>
  <c r="D20" i="3"/>
  <c r="L20" i="3" s="1"/>
  <c r="B20" i="3"/>
  <c r="Z19" i="3"/>
  <c r="X19" i="3"/>
  <c r="P19" i="3"/>
  <c r="N19" i="3"/>
  <c r="D19" i="3"/>
  <c r="L19" i="3" s="1"/>
  <c r="B19" i="3"/>
  <c r="Z18" i="3"/>
  <c r="P18" i="3"/>
  <c r="X18" i="3" s="1"/>
  <c r="N18" i="3"/>
  <c r="D18" i="3"/>
  <c r="L18" i="3" s="1"/>
  <c r="B18" i="3"/>
  <c r="Z17" i="3"/>
  <c r="P17" i="3"/>
  <c r="X17" i="3" s="1"/>
  <c r="N17" i="3"/>
  <c r="D17" i="3"/>
  <c r="L17" i="3" s="1"/>
  <c r="B17" i="3"/>
  <c r="Z16" i="3"/>
  <c r="P16" i="3"/>
  <c r="X16" i="3" s="1"/>
  <c r="N16" i="3"/>
  <c r="L16" i="3"/>
  <c r="D16" i="3"/>
  <c r="B16" i="3"/>
  <c r="Z15" i="3"/>
  <c r="P15" i="3"/>
  <c r="P12" i="3" s="1"/>
  <c r="N15" i="3"/>
  <c r="D15" i="3"/>
  <c r="L15" i="3" s="1"/>
  <c r="B15" i="3"/>
  <c r="Z14" i="3"/>
  <c r="X14" i="3"/>
  <c r="P14" i="3"/>
  <c r="N14" i="3"/>
  <c r="D14" i="3"/>
  <c r="L14" i="3" s="1"/>
  <c r="B14" i="3"/>
  <c r="X13" i="3"/>
  <c r="Z13" i="3" s="1"/>
  <c r="P13" i="3"/>
  <c r="D13" i="3"/>
  <c r="D12" i="3" s="1"/>
  <c r="B13" i="3"/>
  <c r="T12" i="3"/>
  <c r="V308" i="3" s="1"/>
  <c r="H12" i="3"/>
  <c r="J315" i="3" s="1"/>
  <c r="D4" i="3"/>
  <c r="B39" i="113"/>
  <c r="H24" i="113"/>
  <c r="H22" i="113"/>
  <c r="H13" i="113"/>
  <c r="D5" i="113"/>
  <c r="P20" i="112"/>
  <c r="P16" i="112"/>
  <c r="D12" i="112"/>
  <c r="P24" i="111"/>
  <c r="P22" i="111"/>
  <c r="T20" i="111"/>
  <c r="T16" i="111"/>
  <c r="T13" i="111"/>
  <c r="B38" i="113"/>
  <c r="D34" i="113"/>
  <c r="D33" i="113"/>
  <c r="D29" i="113"/>
  <c r="D25" i="113"/>
  <c r="H21" i="113"/>
  <c r="D13" i="113"/>
  <c r="D4" i="113"/>
  <c r="H34" i="112"/>
  <c r="H33" i="112"/>
  <c r="H29" i="112"/>
  <c r="H25" i="112"/>
  <c r="P15" i="112"/>
  <c r="D6" i="112"/>
  <c r="P21" i="111"/>
  <c r="T15" i="111"/>
  <c r="P13" i="111"/>
  <c r="H12" i="111"/>
  <c r="B25" i="113"/>
  <c r="D24" i="113"/>
  <c r="D22" i="113"/>
  <c r="H20" i="113"/>
  <c r="H16" i="113"/>
  <c r="B13" i="113"/>
  <c r="B39" i="112"/>
  <c r="H24" i="112"/>
  <c r="H22" i="112"/>
  <c r="H13" i="112"/>
  <c r="D5" i="112"/>
  <c r="P20" i="111"/>
  <c r="P16" i="111"/>
  <c r="D12" i="111"/>
  <c r="B22" i="113"/>
  <c r="D21" i="113"/>
  <c r="H15" i="113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B21" i="113"/>
  <c r="D20" i="113"/>
  <c r="D16" i="113"/>
  <c r="B25" i="112"/>
  <c r="D24" i="112"/>
  <c r="D22" i="112"/>
  <c r="H20" i="112"/>
  <c r="H16" i="112"/>
  <c r="B13" i="112"/>
  <c r="B39" i="111"/>
  <c r="H24" i="111"/>
  <c r="H22" i="111"/>
  <c r="H13" i="111"/>
  <c r="D5" i="111"/>
  <c r="T34" i="113"/>
  <c r="T33" i="113"/>
  <c r="T29" i="113"/>
  <c r="T25" i="113"/>
  <c r="B16" i="113"/>
  <c r="D15" i="113"/>
  <c r="T12" i="113"/>
  <c r="B22" i="112"/>
  <c r="D21" i="112"/>
  <c r="H15" i="112"/>
  <c r="B38" i="111"/>
  <c r="D34" i="111"/>
  <c r="D33" i="111"/>
  <c r="D29" i="111"/>
  <c r="D25" i="111"/>
  <c r="H21" i="111"/>
  <c r="D13" i="111"/>
  <c r="D4" i="111"/>
  <c r="T24" i="113"/>
  <c r="T22" i="113"/>
  <c r="P12" i="113"/>
  <c r="B21" i="112"/>
  <c r="D20" i="112"/>
  <c r="D16" i="112"/>
  <c r="B25" i="111"/>
  <c r="D24" i="111"/>
  <c r="D22" i="111"/>
  <c r="H20" i="111"/>
  <c r="H16" i="111"/>
  <c r="B13" i="111"/>
  <c r="P34" i="113"/>
  <c r="P33" i="113"/>
  <c r="P29" i="113"/>
  <c r="P25" i="113"/>
  <c r="T21" i="113"/>
  <c r="T34" i="112"/>
  <c r="T33" i="112"/>
  <c r="T29" i="112"/>
  <c r="T25" i="112"/>
  <c r="B16" i="112"/>
  <c r="D15" i="112"/>
  <c r="T12" i="112"/>
  <c r="B22" i="111"/>
  <c r="D21" i="111"/>
  <c r="H15" i="111"/>
  <c r="P24" i="113"/>
  <c r="P22" i="113"/>
  <c r="T20" i="113"/>
  <c r="T16" i="113"/>
  <c r="T13" i="113"/>
  <c r="T24" i="112"/>
  <c r="T22" i="112"/>
  <c r="P12" i="112"/>
  <c r="B21" i="111"/>
  <c r="D20" i="111"/>
  <c r="D16" i="111"/>
  <c r="P21" i="113"/>
  <c r="T15" i="113"/>
  <c r="P13" i="113"/>
  <c r="H12" i="113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P20" i="113"/>
  <c r="P16" i="113"/>
  <c r="D12" i="113"/>
  <c r="P24" i="112"/>
  <c r="P22" i="112"/>
  <c r="T20" i="112"/>
  <c r="T16" i="112"/>
  <c r="T13" i="112"/>
  <c r="T24" i="111"/>
  <c r="T22" i="111"/>
  <c r="P12" i="111"/>
  <c r="H34" i="113"/>
  <c r="H33" i="113"/>
  <c r="H29" i="113"/>
  <c r="H25" i="113"/>
  <c r="P15" i="113"/>
  <c r="D6" i="113"/>
  <c r="P21" i="112"/>
  <c r="T15" i="112"/>
  <c r="P13" i="112"/>
  <c r="H12" i="112"/>
  <c r="P34" i="111"/>
  <c r="P33" i="111"/>
  <c r="P29" i="111"/>
  <c r="P25" i="111"/>
  <c r="T21" i="111"/>
  <c r="B21" i="53"/>
  <c r="D20" i="53"/>
  <c r="D16" i="53"/>
  <c r="B22" i="52"/>
  <c r="D21" i="52"/>
  <c r="H15" i="52"/>
  <c r="P34" i="53"/>
  <c r="P33" i="53"/>
  <c r="P29" i="53"/>
  <c r="P20" i="53"/>
  <c r="P16" i="53"/>
  <c r="D12" i="53"/>
  <c r="P21" i="52"/>
  <c r="T15" i="52"/>
  <c r="P13" i="52"/>
  <c r="H12" i="52"/>
  <c r="B38" i="53"/>
  <c r="D34" i="53"/>
  <c r="D33" i="53"/>
  <c r="P24" i="53"/>
  <c r="H21" i="53"/>
  <c r="B39" i="52"/>
  <c r="T33" i="52"/>
  <c r="B25" i="52"/>
  <c r="T21" i="52"/>
  <c r="P20" i="52"/>
  <c r="H16" i="52"/>
  <c r="D15" i="52"/>
  <c r="B39" i="50"/>
  <c r="H24" i="50"/>
  <c r="H22" i="50"/>
  <c r="H13" i="50"/>
  <c r="D4" i="50"/>
  <c r="H34" i="49"/>
  <c r="H33" i="49"/>
  <c r="H29" i="49"/>
  <c r="H25" i="49"/>
  <c r="P15" i="49"/>
  <c r="D5" i="49"/>
  <c r="P24" i="47"/>
  <c r="P22" i="47"/>
  <c r="T20" i="47"/>
  <c r="T16" i="47"/>
  <c r="T13" i="47"/>
  <c r="P34" i="46"/>
  <c r="P33" i="46"/>
  <c r="P29" i="46"/>
  <c r="D21" i="53"/>
  <c r="T16" i="53"/>
  <c r="P15" i="53"/>
  <c r="D13" i="53"/>
  <c r="T34" i="52"/>
  <c r="P33" i="52"/>
  <c r="B16" i="52"/>
  <c r="D12" i="52"/>
  <c r="B25" i="50"/>
  <c r="D24" i="50"/>
  <c r="D22" i="50"/>
  <c r="H20" i="50"/>
  <c r="H16" i="50"/>
  <c r="B13" i="50"/>
  <c r="B38" i="49"/>
  <c r="D34" i="49"/>
  <c r="D33" i="49"/>
  <c r="D29" i="49"/>
  <c r="D25" i="49"/>
  <c r="H21" i="49"/>
  <c r="D13" i="49"/>
  <c r="P20" i="47"/>
  <c r="P16" i="47"/>
  <c r="D12" i="47"/>
  <c r="H24" i="53"/>
  <c r="D22" i="53"/>
  <c r="B13" i="53"/>
  <c r="D29" i="52"/>
  <c r="T24" i="52"/>
  <c r="P22" i="52"/>
  <c r="T13" i="52"/>
  <c r="D5" i="52"/>
  <c r="B22" i="50"/>
  <c r="D21" i="50"/>
  <c r="H15" i="50"/>
  <c r="B25" i="49"/>
  <c r="D24" i="49"/>
  <c r="D22" i="49"/>
  <c r="H20" i="49"/>
  <c r="H16" i="49"/>
  <c r="B13" i="49"/>
  <c r="H25" i="53"/>
  <c r="B22" i="53"/>
  <c r="P34" i="52"/>
  <c r="T25" i="52"/>
  <c r="H20" i="52"/>
  <c r="D4" i="52"/>
  <c r="B21" i="50"/>
  <c r="D20" i="50"/>
  <c r="D16" i="50"/>
  <c r="B22" i="49"/>
  <c r="D21" i="49"/>
  <c r="H15" i="49"/>
  <c r="B39" i="47"/>
  <c r="H33" i="53"/>
  <c r="T29" i="53"/>
  <c r="D24" i="53"/>
  <c r="T12" i="53"/>
  <c r="H33" i="52"/>
  <c r="P24" i="52"/>
  <c r="H21" i="52"/>
  <c r="D20" i="52"/>
  <c r="T34" i="50"/>
  <c r="T33" i="50"/>
  <c r="T29" i="50"/>
  <c r="T25" i="50"/>
  <c r="B16" i="50"/>
  <c r="D15" i="50"/>
  <c r="T12" i="50"/>
  <c r="B21" i="49"/>
  <c r="D20" i="49"/>
  <c r="D16" i="49"/>
  <c r="B38" i="47"/>
  <c r="D34" i="47"/>
  <c r="D33" i="47"/>
  <c r="D29" i="47"/>
  <c r="D25" i="47"/>
  <c r="T34" i="53"/>
  <c r="D25" i="53"/>
  <c r="T20" i="53"/>
  <c r="H15" i="53"/>
  <c r="P12" i="53"/>
  <c r="P25" i="52"/>
  <c r="H22" i="52"/>
  <c r="H13" i="52"/>
  <c r="T24" i="50"/>
  <c r="T22" i="50"/>
  <c r="P12" i="50"/>
  <c r="T34" i="49"/>
  <c r="T33" i="49"/>
  <c r="T29" i="49"/>
  <c r="T25" i="49"/>
  <c r="B16" i="49"/>
  <c r="D15" i="49"/>
  <c r="T12" i="49"/>
  <c r="B25" i="53"/>
  <c r="T21" i="53"/>
  <c r="H16" i="53"/>
  <c r="D15" i="53"/>
  <c r="H34" i="52"/>
  <c r="D33" i="52"/>
  <c r="B21" i="52"/>
  <c r="T16" i="52"/>
  <c r="P15" i="52"/>
  <c r="D13" i="52"/>
  <c r="P34" i="50"/>
  <c r="D29" i="53"/>
  <c r="T25" i="53"/>
  <c r="H20" i="53"/>
  <c r="P13" i="53"/>
  <c r="D4" i="53"/>
  <c r="D25" i="52"/>
  <c r="T20" i="52"/>
  <c r="P12" i="52"/>
  <c r="H34" i="50"/>
  <c r="H33" i="50"/>
  <c r="H29" i="50"/>
  <c r="H25" i="50"/>
  <c r="P15" i="50"/>
  <c r="D5" i="50"/>
  <c r="P20" i="49"/>
  <c r="P16" i="49"/>
  <c r="D12" i="49"/>
  <c r="P21" i="53"/>
  <c r="B16" i="53"/>
  <c r="P21" i="50"/>
  <c r="T13" i="50"/>
  <c r="H24" i="49"/>
  <c r="P12" i="49"/>
  <c r="H20" i="47"/>
  <c r="P13" i="47"/>
  <c r="D4" i="47"/>
  <c r="H21" i="46"/>
  <c r="D13" i="46"/>
  <c r="P34" i="44"/>
  <c r="P33" i="44"/>
  <c r="P29" i="44"/>
  <c r="P25" i="44"/>
  <c r="T21" i="44"/>
  <c r="T24" i="43"/>
  <c r="T22" i="43"/>
  <c r="P12" i="43"/>
  <c r="H34" i="53"/>
  <c r="P29" i="52"/>
  <c r="D24" i="52"/>
  <c r="T12" i="52"/>
  <c r="D29" i="50"/>
  <c r="P24" i="50"/>
  <c r="P13" i="50"/>
  <c r="T22" i="49"/>
  <c r="T20" i="49"/>
  <c r="T34" i="47"/>
  <c r="H33" i="47"/>
  <c r="T29" i="47"/>
  <c r="H21" i="47"/>
  <c r="B39" i="46"/>
  <c r="D25" i="46"/>
  <c r="D24" i="46"/>
  <c r="D22" i="46"/>
  <c r="H20" i="46"/>
  <c r="H16" i="46"/>
  <c r="B13" i="46"/>
  <c r="P24" i="44"/>
  <c r="P22" i="44"/>
  <c r="T20" i="44"/>
  <c r="T16" i="44"/>
  <c r="T13" i="44"/>
  <c r="P34" i="43"/>
  <c r="P33" i="43"/>
  <c r="P29" i="43"/>
  <c r="P25" i="43"/>
  <c r="T21" i="43"/>
  <c r="T33" i="53"/>
  <c r="P25" i="53"/>
  <c r="T15" i="53"/>
  <c r="H29" i="52"/>
  <c r="T22" i="52"/>
  <c r="B38" i="50"/>
  <c r="H21" i="50"/>
  <c r="T16" i="50"/>
  <c r="T24" i="47"/>
  <c r="D20" i="47"/>
  <c r="T15" i="47"/>
  <c r="H13" i="47"/>
  <c r="B38" i="46"/>
  <c r="T33" i="46"/>
  <c r="H29" i="46"/>
  <c r="B25" i="46"/>
  <c r="B22" i="46"/>
  <c r="D21" i="46"/>
  <c r="H15" i="46"/>
  <c r="P21" i="44"/>
  <c r="T15" i="44"/>
  <c r="P13" i="44"/>
  <c r="H12" i="44"/>
  <c r="P24" i="43"/>
  <c r="P22" i="43"/>
  <c r="T20" i="43"/>
  <c r="T16" i="43"/>
  <c r="T13" i="43"/>
  <c r="D22" i="52"/>
  <c r="P16" i="52"/>
  <c r="D33" i="50"/>
  <c r="D13" i="50"/>
  <c r="P34" i="49"/>
  <c r="P22" i="49"/>
  <c r="H12" i="49"/>
  <c r="P34" i="47"/>
  <c r="P29" i="47"/>
  <c r="H22" i="47"/>
  <c r="D21" i="47"/>
  <c r="P15" i="47"/>
  <c r="D13" i="47"/>
  <c r="B21" i="46"/>
  <c r="D20" i="46"/>
  <c r="D16" i="46"/>
  <c r="P20" i="44"/>
  <c r="P16" i="44"/>
  <c r="D12" i="44"/>
  <c r="P21" i="43"/>
  <c r="T15" i="43"/>
  <c r="P13" i="43"/>
  <c r="H12" i="43"/>
  <c r="D34" i="52"/>
  <c r="T20" i="50"/>
  <c r="P16" i="50"/>
  <c r="P25" i="49"/>
  <c r="D4" i="49"/>
  <c r="D22" i="47"/>
  <c r="B21" i="47"/>
  <c r="B13" i="47"/>
  <c r="T34" i="46"/>
  <c r="D29" i="46"/>
  <c r="B16" i="46"/>
  <c r="D15" i="46"/>
  <c r="T12" i="46"/>
  <c r="H34" i="44"/>
  <c r="H33" i="44"/>
  <c r="H29" i="44"/>
  <c r="H25" i="44"/>
  <c r="P15" i="44"/>
  <c r="D5" i="44"/>
  <c r="P20" i="43"/>
  <c r="P16" i="43"/>
  <c r="D12" i="43"/>
  <c r="T24" i="53"/>
  <c r="T13" i="53"/>
  <c r="H22" i="49"/>
  <c r="T15" i="49"/>
  <c r="H34" i="47"/>
  <c r="H29" i="47"/>
  <c r="T25" i="47"/>
  <c r="B22" i="47"/>
  <c r="T22" i="46"/>
  <c r="P12" i="46"/>
  <c r="B39" i="44"/>
  <c r="H24" i="44"/>
  <c r="H22" i="44"/>
  <c r="H13" i="44"/>
  <c r="D4" i="44"/>
  <c r="H34" i="43"/>
  <c r="H33" i="43"/>
  <c r="H29" i="43"/>
  <c r="H25" i="43"/>
  <c r="P15" i="43"/>
  <c r="D5" i="43"/>
  <c r="H13" i="53"/>
  <c r="D16" i="52"/>
  <c r="P22" i="50"/>
  <c r="P20" i="50"/>
  <c r="H12" i="50"/>
  <c r="P29" i="49"/>
  <c r="H24" i="47"/>
  <c r="H33" i="46"/>
  <c r="T25" i="46"/>
  <c r="T24" i="46"/>
  <c r="T21" i="46"/>
  <c r="B38" i="44"/>
  <c r="D34" i="44"/>
  <c r="D33" i="44"/>
  <c r="D29" i="44"/>
  <c r="D25" i="44"/>
  <c r="H21" i="44"/>
  <c r="D13" i="44"/>
  <c r="B39" i="43"/>
  <c r="H24" i="43"/>
  <c r="H22" i="43"/>
  <c r="H13" i="43"/>
  <c r="D4" i="43"/>
  <c r="P22" i="53"/>
  <c r="D5" i="53"/>
  <c r="P29" i="50"/>
  <c r="P21" i="49"/>
  <c r="T13" i="49"/>
  <c r="T33" i="47"/>
  <c r="H25" i="47"/>
  <c r="T21" i="47"/>
  <c r="D15" i="47"/>
  <c r="P20" i="46"/>
  <c r="P16" i="46"/>
  <c r="D12" i="46"/>
  <c r="B21" i="44"/>
  <c r="D20" i="44"/>
  <c r="D16" i="44"/>
  <c r="B22" i="43"/>
  <c r="D21" i="43"/>
  <c r="H15" i="43"/>
  <c r="T29" i="52"/>
  <c r="H24" i="52"/>
  <c r="B13" i="52"/>
  <c r="P33" i="50"/>
  <c r="D25" i="50"/>
  <c r="T16" i="49"/>
  <c r="H13" i="49"/>
  <c r="P33" i="47"/>
  <c r="T22" i="47"/>
  <c r="B16" i="47"/>
  <c r="D5" i="47"/>
  <c r="H25" i="46"/>
  <c r="H24" i="46"/>
  <c r="H22" i="46"/>
  <c r="H13" i="46"/>
  <c r="D4" i="46"/>
  <c r="T24" i="44"/>
  <c r="T22" i="44"/>
  <c r="P12" i="44"/>
  <c r="T34" i="43"/>
  <c r="T33" i="43"/>
  <c r="P33" i="49"/>
  <c r="H16" i="47"/>
  <c r="H34" i="46"/>
  <c r="P25" i="46"/>
  <c r="P13" i="46"/>
  <c r="D22" i="43"/>
  <c r="B13" i="43"/>
  <c r="B39" i="41"/>
  <c r="H24" i="41"/>
  <c r="H22" i="41"/>
  <c r="H13" i="41"/>
  <c r="D4" i="41"/>
  <c r="H34" i="40"/>
  <c r="H33" i="40"/>
  <c r="H29" i="40"/>
  <c r="H25" i="40"/>
  <c r="P15" i="40"/>
  <c r="D5" i="40"/>
  <c r="P34" i="38"/>
  <c r="P33" i="38"/>
  <c r="P29" i="38"/>
  <c r="P25" i="38"/>
  <c r="T21" i="38"/>
  <c r="T24" i="37"/>
  <c r="T22" i="37"/>
  <c r="P12" i="37"/>
  <c r="T21" i="50"/>
  <c r="D16" i="47"/>
  <c r="D34" i="46"/>
  <c r="T12" i="44"/>
  <c r="B38" i="41"/>
  <c r="D34" i="41"/>
  <c r="D33" i="41"/>
  <c r="D29" i="41"/>
  <c r="D25" i="41"/>
  <c r="H21" i="41"/>
  <c r="D13" i="41"/>
  <c r="B39" i="40"/>
  <c r="H24" i="40"/>
  <c r="H22" i="40"/>
  <c r="H13" i="40"/>
  <c r="D4" i="40"/>
  <c r="P24" i="38"/>
  <c r="P22" i="38"/>
  <c r="T20" i="38"/>
  <c r="T16" i="38"/>
  <c r="T13" i="38"/>
  <c r="P34" i="37"/>
  <c r="P33" i="37"/>
  <c r="P29" i="37"/>
  <c r="P25" i="37"/>
  <c r="T21" i="37"/>
  <c r="H15" i="47"/>
  <c r="D24" i="44"/>
  <c r="B38" i="43"/>
  <c r="T25" i="43"/>
  <c r="T12" i="43"/>
  <c r="B25" i="41"/>
  <c r="D24" i="41"/>
  <c r="D22" i="41"/>
  <c r="H20" i="41"/>
  <c r="H16" i="41"/>
  <c r="B13" i="41"/>
  <c r="B38" i="40"/>
  <c r="D34" i="40"/>
  <c r="D33" i="40"/>
  <c r="D29" i="40"/>
  <c r="D25" i="40"/>
  <c r="H21" i="40"/>
  <c r="D13" i="40"/>
  <c r="P21" i="38"/>
  <c r="T15" i="38"/>
  <c r="P13" i="38"/>
  <c r="H12" i="38"/>
  <c r="D33" i="46"/>
  <c r="P24" i="46"/>
  <c r="H12" i="46"/>
  <c r="D25" i="43"/>
  <c r="H21" i="43"/>
  <c r="B22" i="41"/>
  <c r="D21" i="41"/>
  <c r="H15" i="41"/>
  <c r="B25" i="40"/>
  <c r="D24" i="40"/>
  <c r="D22" i="40"/>
  <c r="H20" i="40"/>
  <c r="H16" i="40"/>
  <c r="B13" i="40"/>
  <c r="P20" i="38"/>
  <c r="B39" i="53"/>
  <c r="H12" i="53"/>
  <c r="D34" i="50"/>
  <c r="P13" i="49"/>
  <c r="P21" i="47"/>
  <c r="D5" i="46"/>
  <c r="T29" i="44"/>
  <c r="B25" i="43"/>
  <c r="H16" i="43"/>
  <c r="B21" i="41"/>
  <c r="D20" i="41"/>
  <c r="D16" i="41"/>
  <c r="B22" i="40"/>
  <c r="D21" i="40"/>
  <c r="H15" i="40"/>
  <c r="H34" i="38"/>
  <c r="H33" i="38"/>
  <c r="H29" i="38"/>
  <c r="H25" i="38"/>
  <c r="P15" i="38"/>
  <c r="D5" i="38"/>
  <c r="B38" i="52"/>
  <c r="T12" i="47"/>
  <c r="P22" i="46"/>
  <c r="T16" i="46"/>
  <c r="D22" i="44"/>
  <c r="H16" i="44"/>
  <c r="B21" i="43"/>
  <c r="D16" i="43"/>
  <c r="T34" i="41"/>
  <c r="T33" i="41"/>
  <c r="T29" i="41"/>
  <c r="T25" i="41"/>
  <c r="B16" i="41"/>
  <c r="D15" i="41"/>
  <c r="T12" i="41"/>
  <c r="B21" i="40"/>
  <c r="D20" i="40"/>
  <c r="D16" i="40"/>
  <c r="B39" i="38"/>
  <c r="H24" i="38"/>
  <c r="H22" i="38"/>
  <c r="H13" i="38"/>
  <c r="D4" i="38"/>
  <c r="H34" i="37"/>
  <c r="H33" i="37"/>
  <c r="H29" i="37"/>
  <c r="H25" i="37"/>
  <c r="P15" i="37"/>
  <c r="D5" i="37"/>
  <c r="T15" i="50"/>
  <c r="T24" i="49"/>
  <c r="P12" i="47"/>
  <c r="B22" i="44"/>
  <c r="T29" i="43"/>
  <c r="B16" i="43"/>
  <c r="T24" i="41"/>
  <c r="T22" i="41"/>
  <c r="P12" i="41"/>
  <c r="T34" i="40"/>
  <c r="T33" i="40"/>
  <c r="T29" i="40"/>
  <c r="T25" i="40"/>
  <c r="B16" i="40"/>
  <c r="D15" i="40"/>
  <c r="T12" i="40"/>
  <c r="T22" i="53"/>
  <c r="B39" i="49"/>
  <c r="P21" i="46"/>
  <c r="T15" i="46"/>
  <c r="D21" i="44"/>
  <c r="H15" i="44"/>
  <c r="D20" i="43"/>
  <c r="P21" i="41"/>
  <c r="T15" i="41"/>
  <c r="P13" i="41"/>
  <c r="H12" i="41"/>
  <c r="P24" i="40"/>
  <c r="P22" i="40"/>
  <c r="T20" i="40"/>
  <c r="T16" i="40"/>
  <c r="T13" i="40"/>
  <c r="H25" i="52"/>
  <c r="B25" i="47"/>
  <c r="P15" i="46"/>
  <c r="T33" i="44"/>
  <c r="T25" i="44"/>
  <c r="D15" i="44"/>
  <c r="D15" i="43"/>
  <c r="P20" i="41"/>
  <c r="P16" i="41"/>
  <c r="D12" i="41"/>
  <c r="P21" i="40"/>
  <c r="T15" i="40"/>
  <c r="P13" i="40"/>
  <c r="H12" i="40"/>
  <c r="T34" i="38"/>
  <c r="T33" i="38"/>
  <c r="T29" i="38"/>
  <c r="T25" i="38"/>
  <c r="H22" i="53"/>
  <c r="D24" i="47"/>
  <c r="T20" i="46"/>
  <c r="T13" i="46"/>
  <c r="B25" i="44"/>
  <c r="H20" i="44"/>
  <c r="B13" i="44"/>
  <c r="D33" i="43"/>
  <c r="D13" i="43"/>
  <c r="H34" i="41"/>
  <c r="H33" i="41"/>
  <c r="H29" i="41"/>
  <c r="H25" i="41"/>
  <c r="P15" i="41"/>
  <c r="D5" i="41"/>
  <c r="P20" i="40"/>
  <c r="P16" i="40"/>
  <c r="D12" i="40"/>
  <c r="T24" i="38"/>
  <c r="T22" i="38"/>
  <c r="P12" i="38"/>
  <c r="T34" i="37"/>
  <c r="T33" i="37"/>
  <c r="T29" i="37"/>
  <c r="T25" i="37"/>
  <c r="B16" i="37"/>
  <c r="D15" i="37"/>
  <c r="T12" i="37"/>
  <c r="D24" i="43"/>
  <c r="P34" i="41"/>
  <c r="P12" i="40"/>
  <c r="D25" i="38"/>
  <c r="B22" i="38"/>
  <c r="B16" i="38"/>
  <c r="T12" i="38"/>
  <c r="D24" i="37"/>
  <c r="P21" i="37"/>
  <c r="H20" i="37"/>
  <c r="H12" i="37"/>
  <c r="P20" i="35"/>
  <c r="P16" i="35"/>
  <c r="D12" i="35"/>
  <c r="P21" i="34"/>
  <c r="T15" i="34"/>
  <c r="P13" i="34"/>
  <c r="H12" i="34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P21" i="29"/>
  <c r="T15" i="29"/>
  <c r="P13" i="29"/>
  <c r="H12" i="29"/>
  <c r="P24" i="28"/>
  <c r="P22" i="28"/>
  <c r="T20" i="28"/>
  <c r="T16" i="28"/>
  <c r="T13" i="28"/>
  <c r="P25" i="47"/>
  <c r="P24" i="41"/>
  <c r="T21" i="40"/>
  <c r="B25" i="38"/>
  <c r="D12" i="38"/>
  <c r="D29" i="37"/>
  <c r="P16" i="37"/>
  <c r="H15" i="37"/>
  <c r="D12" i="37"/>
  <c r="H34" i="35"/>
  <c r="H33" i="35"/>
  <c r="H29" i="35"/>
  <c r="H25" i="35"/>
  <c r="P15" i="35"/>
  <c r="D5" i="35"/>
  <c r="P20" i="34"/>
  <c r="P16" i="34"/>
  <c r="D12" i="34"/>
  <c r="B22" i="32"/>
  <c r="D21" i="32"/>
  <c r="H15" i="32"/>
  <c r="B25" i="31"/>
  <c r="D24" i="31"/>
  <c r="D22" i="31"/>
  <c r="H20" i="31"/>
  <c r="H16" i="31"/>
  <c r="B13" i="31"/>
  <c r="H20" i="43"/>
  <c r="P33" i="41"/>
  <c r="B39" i="37"/>
  <c r="D20" i="37"/>
  <c r="D4" i="37"/>
  <c r="B39" i="35"/>
  <c r="H24" i="35"/>
  <c r="H22" i="35"/>
  <c r="H13" i="35"/>
  <c r="D4" i="35"/>
  <c r="H34" i="34"/>
  <c r="H33" i="34"/>
  <c r="H29" i="34"/>
  <c r="H25" i="34"/>
  <c r="P15" i="34"/>
  <c r="D5" i="34"/>
  <c r="B21" i="32"/>
  <c r="D20" i="32"/>
  <c r="D16" i="32"/>
  <c r="B22" i="31"/>
  <c r="D21" i="31"/>
  <c r="H15" i="31"/>
  <c r="P22" i="41"/>
  <c r="T13" i="41"/>
  <c r="P29" i="40"/>
  <c r="H21" i="38"/>
  <c r="B38" i="37"/>
  <c r="D25" i="37"/>
  <c r="P22" i="37"/>
  <c r="H21" i="37"/>
  <c r="T13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T34" i="32"/>
  <c r="T33" i="32"/>
  <c r="T29" i="32"/>
  <c r="T25" i="32"/>
  <c r="B16" i="32"/>
  <c r="D15" i="32"/>
  <c r="T12" i="32"/>
  <c r="B21" i="31"/>
  <c r="D20" i="31"/>
  <c r="D16" i="31"/>
  <c r="H12" i="47"/>
  <c r="T21" i="41"/>
  <c r="D34" i="38"/>
  <c r="D29" i="38"/>
  <c r="H15" i="38"/>
  <c r="D34" i="37"/>
  <c r="B25" i="37"/>
  <c r="H16" i="37"/>
  <c r="P13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T24" i="32"/>
  <c r="T22" i="32"/>
  <c r="P12" i="32"/>
  <c r="T34" i="31"/>
  <c r="T33" i="31"/>
  <c r="T29" i="31"/>
  <c r="T25" i="31"/>
  <c r="B16" i="31"/>
  <c r="D15" i="31"/>
  <c r="T12" i="31"/>
  <c r="P25" i="50"/>
  <c r="B16" i="44"/>
  <c r="D21" i="38"/>
  <c r="D21" i="37"/>
  <c r="B22" i="35"/>
  <c r="D21" i="35"/>
  <c r="H15" i="35"/>
  <c r="B25" i="34"/>
  <c r="D24" i="34"/>
  <c r="D22" i="34"/>
  <c r="H20" i="34"/>
  <c r="H16" i="34"/>
  <c r="B13" i="34"/>
  <c r="P34" i="32"/>
  <c r="P33" i="32"/>
  <c r="P29" i="32"/>
  <c r="P25" i="32"/>
  <c r="T21" i="32"/>
  <c r="T24" i="31"/>
  <c r="T22" i="31"/>
  <c r="P12" i="31"/>
  <c r="B25" i="29"/>
  <c r="D24" i="29"/>
  <c r="D22" i="29"/>
  <c r="H20" i="29"/>
  <c r="H16" i="29"/>
  <c r="B13" i="29"/>
  <c r="B38" i="28"/>
  <c r="D34" i="28"/>
  <c r="T29" i="46"/>
  <c r="P29" i="41"/>
  <c r="D24" i="38"/>
  <c r="B21" i="38"/>
  <c r="D15" i="38"/>
  <c r="H22" i="37"/>
  <c r="B21" i="37"/>
  <c r="D16" i="37"/>
  <c r="H13" i="37"/>
  <c r="B21" i="35"/>
  <c r="D20" i="35"/>
  <c r="D16" i="35"/>
  <c r="B22" i="34"/>
  <c r="D21" i="34"/>
  <c r="H15" i="34"/>
  <c r="P24" i="32"/>
  <c r="P22" i="32"/>
  <c r="T20" i="32"/>
  <c r="T16" i="32"/>
  <c r="T13" i="32"/>
  <c r="P34" i="31"/>
  <c r="P33" i="31"/>
  <c r="P29" i="31"/>
  <c r="P25" i="31"/>
  <c r="T21" i="31"/>
  <c r="B22" i="29"/>
  <c r="D21" i="29"/>
  <c r="H15" i="29"/>
  <c r="B25" i="28"/>
  <c r="D24" i="28"/>
  <c r="D22" i="28"/>
  <c r="H20" i="28"/>
  <c r="H16" i="28"/>
  <c r="B13" i="28"/>
  <c r="H29" i="53"/>
  <c r="D12" i="50"/>
  <c r="T20" i="41"/>
  <c r="P25" i="40"/>
  <c r="P16" i="38"/>
  <c r="P24" i="37"/>
  <c r="T20" i="37"/>
  <c r="D13" i="37"/>
  <c r="T34" i="35"/>
  <c r="T33" i="35"/>
  <c r="T29" i="35"/>
  <c r="T25" i="35"/>
  <c r="B16" i="35"/>
  <c r="D15" i="35"/>
  <c r="T12" i="35"/>
  <c r="B21" i="34"/>
  <c r="D20" i="34"/>
  <c r="D16" i="34"/>
  <c r="P21" i="32"/>
  <c r="T15" i="32"/>
  <c r="P13" i="32"/>
  <c r="H12" i="32"/>
  <c r="P24" i="31"/>
  <c r="P22" i="31"/>
  <c r="T20" i="31"/>
  <c r="T16" i="31"/>
  <c r="T13" i="31"/>
  <c r="B21" i="29"/>
  <c r="D20" i="29"/>
  <c r="D16" i="29"/>
  <c r="B22" i="28"/>
  <c r="D21" i="28"/>
  <c r="H15" i="28"/>
  <c r="P24" i="49"/>
  <c r="D34" i="43"/>
  <c r="T24" i="40"/>
  <c r="B38" i="38"/>
  <c r="D33" i="38"/>
  <c r="D13" i="38"/>
  <c r="D22" i="37"/>
  <c r="T15" i="37"/>
  <c r="B13" i="37"/>
  <c r="T24" i="35"/>
  <c r="T22" i="35"/>
  <c r="P12" i="35"/>
  <c r="T34" i="34"/>
  <c r="T33" i="34"/>
  <c r="T29" i="34"/>
  <c r="T25" i="34"/>
  <c r="B16" i="34"/>
  <c r="D15" i="34"/>
  <c r="T12" i="34"/>
  <c r="P20" i="32"/>
  <c r="P16" i="32"/>
  <c r="D12" i="32"/>
  <c r="P21" i="31"/>
  <c r="T15" i="31"/>
  <c r="P13" i="31"/>
  <c r="H12" i="31"/>
  <c r="T21" i="49"/>
  <c r="D29" i="43"/>
  <c r="P34" i="40"/>
  <c r="H20" i="38"/>
  <c r="H16" i="38"/>
  <c r="B13" i="38"/>
  <c r="B22" i="37"/>
  <c r="P20" i="37"/>
  <c r="T34" i="44"/>
  <c r="T16" i="41"/>
  <c r="P33" i="40"/>
  <c r="D22" i="38"/>
  <c r="D20" i="38"/>
  <c r="D16" i="38"/>
  <c r="D33" i="37"/>
  <c r="T16" i="37"/>
  <c r="P21" i="35"/>
  <c r="T15" i="35"/>
  <c r="P13" i="35"/>
  <c r="H12" i="35"/>
  <c r="P24" i="34"/>
  <c r="P22" i="34"/>
  <c r="T20" i="34"/>
  <c r="T16" i="34"/>
  <c r="T13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P24" i="29"/>
  <c r="P22" i="29"/>
  <c r="T20" i="29"/>
  <c r="T16" i="29"/>
  <c r="T13" i="29"/>
  <c r="P34" i="28"/>
  <c r="P33" i="28"/>
  <c r="P29" i="28"/>
  <c r="P25" i="28"/>
  <c r="T21" i="28"/>
  <c r="P25" i="35"/>
  <c r="T22" i="34"/>
  <c r="D4" i="32"/>
  <c r="P33" i="29"/>
  <c r="T29" i="29"/>
  <c r="H34" i="28"/>
  <c r="H24" i="28"/>
  <c r="P12" i="28"/>
  <c r="H34" i="26"/>
  <c r="H33" i="26"/>
  <c r="H29" i="26"/>
  <c r="H25" i="26"/>
  <c r="P15" i="26"/>
  <c r="D5" i="26"/>
  <c r="P20" i="25"/>
  <c r="P16" i="25"/>
  <c r="D12" i="25"/>
  <c r="T16" i="35"/>
  <c r="P33" i="34"/>
  <c r="H29" i="32"/>
  <c r="P16" i="31"/>
  <c r="T21" i="29"/>
  <c r="D29" i="28"/>
  <c r="P21" i="28"/>
  <c r="H12" i="28"/>
  <c r="T22" i="40"/>
  <c r="P34" i="35"/>
  <c r="P12" i="34"/>
  <c r="H25" i="31"/>
  <c r="H33" i="29"/>
  <c r="P29" i="29"/>
  <c r="T25" i="29"/>
  <c r="H24" i="29"/>
  <c r="D20" i="28"/>
  <c r="P16" i="28"/>
  <c r="D12" i="28"/>
  <c r="P24" i="35"/>
  <c r="T21" i="34"/>
  <c r="T34" i="29"/>
  <c r="B16" i="29"/>
  <c r="H13" i="29"/>
  <c r="T33" i="28"/>
  <c r="H25" i="28"/>
  <c r="D15" i="28"/>
  <c r="D5" i="28"/>
  <c r="P33" i="35"/>
  <c r="B39" i="32"/>
  <c r="H34" i="31"/>
  <c r="P15" i="31"/>
  <c r="D33" i="29"/>
  <c r="H29" i="29"/>
  <c r="P25" i="29"/>
  <c r="D13" i="29"/>
  <c r="T22" i="28"/>
  <c r="D4" i="28"/>
  <c r="P22" i="35"/>
  <c r="T13" i="35"/>
  <c r="P29" i="34"/>
  <c r="H25" i="32"/>
  <c r="P34" i="29"/>
  <c r="T22" i="29"/>
  <c r="H21" i="29"/>
  <c r="T12" i="29"/>
  <c r="D25" i="28"/>
  <c r="H21" i="28"/>
  <c r="P13" i="28"/>
  <c r="T21" i="35"/>
  <c r="H33" i="31"/>
  <c r="B39" i="29"/>
  <c r="D29" i="29"/>
  <c r="H25" i="29"/>
  <c r="P12" i="29"/>
  <c r="B21" i="28"/>
  <c r="D16" i="28"/>
  <c r="T34" i="26"/>
  <c r="T33" i="26"/>
  <c r="T29" i="26"/>
  <c r="T25" i="26"/>
  <c r="B16" i="26"/>
  <c r="D15" i="26"/>
  <c r="T12" i="26"/>
  <c r="B21" i="25"/>
  <c r="D20" i="25"/>
  <c r="D16" i="25"/>
  <c r="H24" i="37"/>
  <c r="H34" i="32"/>
  <c r="P15" i="32"/>
  <c r="D12" i="31"/>
  <c r="B38" i="29"/>
  <c r="H34" i="29"/>
  <c r="P15" i="29"/>
  <c r="H33" i="28"/>
  <c r="T29" i="28"/>
  <c r="B16" i="28"/>
  <c r="P29" i="35"/>
  <c r="H24" i="32"/>
  <c r="D5" i="31"/>
  <c r="D25" i="29"/>
  <c r="D12" i="29"/>
  <c r="T34" i="28"/>
  <c r="T24" i="28"/>
  <c r="H22" i="28"/>
  <c r="H13" i="28"/>
  <c r="T20" i="35"/>
  <c r="P25" i="34"/>
  <c r="H33" i="32"/>
  <c r="P20" i="31"/>
  <c r="D34" i="29"/>
  <c r="H22" i="29"/>
  <c r="P20" i="29"/>
  <c r="D5" i="29"/>
  <c r="D33" i="28"/>
  <c r="T15" i="28"/>
  <c r="D13" i="28"/>
  <c r="P24" i="26"/>
  <c r="P22" i="26"/>
  <c r="T20" i="26"/>
  <c r="T16" i="26"/>
  <c r="T13" i="26"/>
  <c r="P34" i="25"/>
  <c r="P33" i="25"/>
  <c r="P29" i="25"/>
  <c r="P25" i="25"/>
  <c r="T21" i="25"/>
  <c r="P25" i="41"/>
  <c r="P34" i="34"/>
  <c r="D5" i="32"/>
  <c r="P16" i="29"/>
  <c r="B39" i="28"/>
  <c r="H29" i="28"/>
  <c r="T25" i="28"/>
  <c r="P15" i="28"/>
  <c r="T12" i="28"/>
  <c r="P20" i="26"/>
  <c r="P16" i="26"/>
  <c r="D12" i="26"/>
  <c r="P21" i="25"/>
  <c r="T15" i="25"/>
  <c r="P13" i="25"/>
  <c r="H12" i="25"/>
  <c r="D15" i="29"/>
  <c r="B39" i="26"/>
  <c r="H22" i="26"/>
  <c r="B21" i="26"/>
  <c r="D16" i="26"/>
  <c r="H13" i="26"/>
  <c r="H34" i="25"/>
  <c r="H29" i="25"/>
  <c r="B22" i="25"/>
  <c r="P15" i="25"/>
  <c r="H34" i="23"/>
  <c r="H33" i="23"/>
  <c r="H29" i="23"/>
  <c r="H25" i="23"/>
  <c r="P15" i="23"/>
  <c r="D5" i="23"/>
  <c r="P20" i="22"/>
  <c r="P16" i="22"/>
  <c r="D12" i="22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P24" i="17"/>
  <c r="P22" i="17"/>
  <c r="T20" i="17"/>
  <c r="T16" i="17"/>
  <c r="T13" i="17"/>
  <c r="P34" i="16"/>
  <c r="P33" i="16"/>
  <c r="P29" i="16"/>
  <c r="P25" i="16"/>
  <c r="T21" i="16"/>
  <c r="D4" i="29"/>
  <c r="B38" i="26"/>
  <c r="D33" i="26"/>
  <c r="T24" i="26"/>
  <c r="D13" i="26"/>
  <c r="T25" i="25"/>
  <c r="H24" i="25"/>
  <c r="T12" i="25"/>
  <c r="B39" i="23"/>
  <c r="H24" i="23"/>
  <c r="H22" i="23"/>
  <c r="H13" i="23"/>
  <c r="D4" i="23"/>
  <c r="H34" i="22"/>
  <c r="H33" i="22"/>
  <c r="H29" i="22"/>
  <c r="H25" i="22"/>
  <c r="P15" i="22"/>
  <c r="D5" i="22"/>
  <c r="B22" i="20"/>
  <c r="D21" i="20"/>
  <c r="H15" i="20"/>
  <c r="B25" i="19"/>
  <c r="D24" i="19"/>
  <c r="D22" i="19"/>
  <c r="H20" i="19"/>
  <c r="H16" i="19"/>
  <c r="B13" i="19"/>
  <c r="P34" i="26"/>
  <c r="P29" i="26"/>
  <c r="D22" i="26"/>
  <c r="B13" i="26"/>
  <c r="D34" i="25"/>
  <c r="D29" i="25"/>
  <c r="P12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B21" i="20"/>
  <c r="D20" i="20"/>
  <c r="D16" i="20"/>
  <c r="B22" i="19"/>
  <c r="D21" i="19"/>
  <c r="H15" i="19"/>
  <c r="B22" i="26"/>
  <c r="T15" i="26"/>
  <c r="D24" i="25"/>
  <c r="H20" i="25"/>
  <c r="T16" i="25"/>
  <c r="B25" i="23"/>
  <c r="D24" i="23"/>
  <c r="D22" i="23"/>
  <c r="H20" i="23"/>
  <c r="H16" i="23"/>
  <c r="B13" i="23"/>
  <c r="B38" i="22"/>
  <c r="D34" i="22"/>
  <c r="D33" i="22"/>
  <c r="D29" i="22"/>
  <c r="D25" i="22"/>
  <c r="H21" i="22"/>
  <c r="D13" i="22"/>
  <c r="T34" i="20"/>
  <c r="T33" i="20"/>
  <c r="T29" i="20"/>
  <c r="T25" i="20"/>
  <c r="B16" i="20"/>
  <c r="D15" i="20"/>
  <c r="T12" i="20"/>
  <c r="B21" i="19"/>
  <c r="D20" i="19"/>
  <c r="D16" i="19"/>
  <c r="H24" i="26"/>
  <c r="H25" i="25"/>
  <c r="H15" i="25"/>
  <c r="D5" i="25"/>
  <c r="B22" i="23"/>
  <c r="D21" i="23"/>
  <c r="H15" i="23"/>
  <c r="B25" i="22"/>
  <c r="D24" i="22"/>
  <c r="D22" i="22"/>
  <c r="H20" i="22"/>
  <c r="H16" i="22"/>
  <c r="B13" i="22"/>
  <c r="T24" i="20"/>
  <c r="T22" i="20"/>
  <c r="P12" i="20"/>
  <c r="T34" i="19"/>
  <c r="T33" i="19"/>
  <c r="T29" i="19"/>
  <c r="T25" i="19"/>
  <c r="B16" i="19"/>
  <c r="D15" i="19"/>
  <c r="T12" i="19"/>
  <c r="B39" i="17"/>
  <c r="H24" i="17"/>
  <c r="H22" i="17"/>
  <c r="H13" i="17"/>
  <c r="D4" i="17"/>
  <c r="H34" i="16"/>
  <c r="H33" i="16"/>
  <c r="H29" i="16"/>
  <c r="H25" i="16"/>
  <c r="P15" i="16"/>
  <c r="D5" i="16"/>
  <c r="T33" i="29"/>
  <c r="D34" i="26"/>
  <c r="D29" i="26"/>
  <c r="P12" i="26"/>
  <c r="T33" i="25"/>
  <c r="D15" i="25"/>
  <c r="D4" i="25"/>
  <c r="B21" i="23"/>
  <c r="D20" i="23"/>
  <c r="D16" i="23"/>
  <c r="B22" i="22"/>
  <c r="D21" i="22"/>
  <c r="H15" i="22"/>
  <c r="P34" i="20"/>
  <c r="P33" i="20"/>
  <c r="P29" i="20"/>
  <c r="P25" i="20"/>
  <c r="T21" i="20"/>
  <c r="T24" i="19"/>
  <c r="T22" i="19"/>
  <c r="P12" i="19"/>
  <c r="P25" i="26"/>
  <c r="D24" i="26"/>
  <c r="T21" i="26"/>
  <c r="H20" i="26"/>
  <c r="D25" i="25"/>
  <c r="T22" i="25"/>
  <c r="H21" i="25"/>
  <c r="T34" i="23"/>
  <c r="T33" i="23"/>
  <c r="T29" i="23"/>
  <c r="T25" i="23"/>
  <c r="B16" i="23"/>
  <c r="D15" i="23"/>
  <c r="T12" i="23"/>
  <c r="B21" i="22"/>
  <c r="D20" i="22"/>
  <c r="D16" i="22"/>
  <c r="P24" i="20"/>
  <c r="P22" i="20"/>
  <c r="T20" i="20"/>
  <c r="T16" i="20"/>
  <c r="T13" i="20"/>
  <c r="P34" i="19"/>
  <c r="P33" i="19"/>
  <c r="P29" i="19"/>
  <c r="P25" i="19"/>
  <c r="T21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P21" i="26"/>
  <c r="H15" i="26"/>
  <c r="H12" i="26"/>
  <c r="B25" i="25"/>
  <c r="P22" i="25"/>
  <c r="H16" i="25"/>
  <c r="T13" i="25"/>
  <c r="T24" i="23"/>
  <c r="T22" i="23"/>
  <c r="P12" i="23"/>
  <c r="T34" i="22"/>
  <c r="T33" i="22"/>
  <c r="T29" i="22"/>
  <c r="T25" i="22"/>
  <c r="B16" i="22"/>
  <c r="D15" i="22"/>
  <c r="T12" i="22"/>
  <c r="P21" i="20"/>
  <c r="T15" i="20"/>
  <c r="P13" i="20"/>
  <c r="H12" i="20"/>
  <c r="P24" i="19"/>
  <c r="P22" i="19"/>
  <c r="T20" i="19"/>
  <c r="T16" i="19"/>
  <c r="T13" i="19"/>
  <c r="T24" i="34"/>
  <c r="T24" i="29"/>
  <c r="P20" i="28"/>
  <c r="D20" i="26"/>
  <c r="D4" i="26"/>
  <c r="H33" i="25"/>
  <c r="D21" i="25"/>
  <c r="P34" i="23"/>
  <c r="P33" i="23"/>
  <c r="P29" i="23"/>
  <c r="P25" i="23"/>
  <c r="T21" i="23"/>
  <c r="T24" i="22"/>
  <c r="T22" i="22"/>
  <c r="P12" i="22"/>
  <c r="P20" i="20"/>
  <c r="P16" i="20"/>
  <c r="D12" i="20"/>
  <c r="P21" i="19"/>
  <c r="T15" i="19"/>
  <c r="P13" i="19"/>
  <c r="H12" i="19"/>
  <c r="H22" i="32"/>
  <c r="D25" i="26"/>
  <c r="T22" i="26"/>
  <c r="H21" i="26"/>
  <c r="B39" i="25"/>
  <c r="T34" i="25"/>
  <c r="T29" i="25"/>
  <c r="H22" i="25"/>
  <c r="B16" i="25"/>
  <c r="H13" i="25"/>
  <c r="P24" i="23"/>
  <c r="P22" i="23"/>
  <c r="T20" i="23"/>
  <c r="T16" i="23"/>
  <c r="T13" i="23"/>
  <c r="P34" i="22"/>
  <c r="P33" i="22"/>
  <c r="P29" i="22"/>
  <c r="P25" i="22"/>
  <c r="T21" i="22"/>
  <c r="H34" i="20"/>
  <c r="H33" i="20"/>
  <c r="H29" i="20"/>
  <c r="H25" i="20"/>
  <c r="P15" i="20"/>
  <c r="D5" i="20"/>
  <c r="P20" i="19"/>
  <c r="P16" i="19"/>
  <c r="D12" i="19"/>
  <c r="T34" i="17"/>
  <c r="T33" i="17"/>
  <c r="T29" i="17"/>
  <c r="T25" i="17"/>
  <c r="B16" i="17"/>
  <c r="D15" i="17"/>
  <c r="T12" i="17"/>
  <c r="B21" i="16"/>
  <c r="D20" i="16"/>
  <c r="D16" i="16"/>
  <c r="H13" i="32"/>
  <c r="P33" i="26"/>
  <c r="B25" i="26"/>
  <c r="H16" i="26"/>
  <c r="B38" i="25"/>
  <c r="D33" i="25"/>
  <c r="T24" i="25"/>
  <c r="D13" i="25"/>
  <c r="P21" i="23"/>
  <c r="T15" i="23"/>
  <c r="P13" i="23"/>
  <c r="H12" i="23"/>
  <c r="P24" i="22"/>
  <c r="P22" i="22"/>
  <c r="T20" i="22"/>
  <c r="T16" i="22"/>
  <c r="T13" i="22"/>
  <c r="B39" i="20"/>
  <c r="H24" i="20"/>
  <c r="H22" i="20"/>
  <c r="H13" i="20"/>
  <c r="D4" i="20"/>
  <c r="H34" i="19"/>
  <c r="H33" i="19"/>
  <c r="H29" i="19"/>
  <c r="H25" i="19"/>
  <c r="P15" i="19"/>
  <c r="D5" i="19"/>
  <c r="T24" i="17"/>
  <c r="T22" i="17"/>
  <c r="P12" i="17"/>
  <c r="T34" i="16"/>
  <c r="T33" i="16"/>
  <c r="T29" i="16"/>
  <c r="T25" i="16"/>
  <c r="B16" i="16"/>
  <c r="D15" i="16"/>
  <c r="T12" i="16"/>
  <c r="H29" i="31"/>
  <c r="D21" i="26"/>
  <c r="P13" i="26"/>
  <c r="P24" i="25"/>
  <c r="D22" i="25"/>
  <c r="T20" i="25"/>
  <c r="B13" i="25"/>
  <c r="P20" i="23"/>
  <c r="P16" i="23"/>
  <c r="D12" i="23"/>
  <c r="P21" i="22"/>
  <c r="T15" i="22"/>
  <c r="P13" i="22"/>
  <c r="H12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P34" i="17"/>
  <c r="H29" i="17"/>
  <c r="H21" i="17"/>
  <c r="H20" i="16"/>
  <c r="P16" i="16"/>
  <c r="T13" i="16"/>
  <c r="P24" i="14"/>
  <c r="P22" i="14"/>
  <c r="T20" i="14"/>
  <c r="T16" i="14"/>
  <c r="T13" i="14"/>
  <c r="P34" i="13"/>
  <c r="P33" i="13"/>
  <c r="P29" i="13"/>
  <c r="P25" i="13"/>
  <c r="T21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D29" i="17"/>
  <c r="D21" i="17"/>
  <c r="T15" i="17"/>
  <c r="P13" i="16"/>
  <c r="P21" i="14"/>
  <c r="T15" i="14"/>
  <c r="P13" i="14"/>
  <c r="H12" i="14"/>
  <c r="P24" i="13"/>
  <c r="P22" i="13"/>
  <c r="T20" i="13"/>
  <c r="T16" i="13"/>
  <c r="T13" i="13"/>
  <c r="B22" i="11"/>
  <c r="D21" i="11"/>
  <c r="H15" i="11"/>
  <c r="B25" i="10"/>
  <c r="D24" i="10"/>
  <c r="D22" i="10"/>
  <c r="H20" i="10"/>
  <c r="H16" i="10"/>
  <c r="B13" i="10"/>
  <c r="H25" i="17"/>
  <c r="B21" i="17"/>
  <c r="H24" i="16"/>
  <c r="P21" i="16"/>
  <c r="H16" i="16"/>
  <c r="P20" i="14"/>
  <c r="P16" i="14"/>
  <c r="D12" i="14"/>
  <c r="P21" i="13"/>
  <c r="T15" i="13"/>
  <c r="P13" i="13"/>
  <c r="H12" i="13"/>
  <c r="B38" i="17"/>
  <c r="H34" i="17"/>
  <c r="D25" i="17"/>
  <c r="P15" i="17"/>
  <c r="H12" i="17"/>
  <c r="D24" i="16"/>
  <c r="H13" i="16"/>
  <c r="H34" i="14"/>
  <c r="H33" i="14"/>
  <c r="H29" i="14"/>
  <c r="H25" i="14"/>
  <c r="P15" i="14"/>
  <c r="D5" i="14"/>
  <c r="P20" i="13"/>
  <c r="P16" i="13"/>
  <c r="D12" i="13"/>
  <c r="T34" i="11"/>
  <c r="T33" i="11"/>
  <c r="T29" i="11"/>
  <c r="T25" i="11"/>
  <c r="B16" i="11"/>
  <c r="D15" i="11"/>
  <c r="T12" i="11"/>
  <c r="B21" i="10"/>
  <c r="D20" i="10"/>
  <c r="D16" i="10"/>
  <c r="D34" i="17"/>
  <c r="D12" i="17"/>
  <c r="B13" i="16"/>
  <c r="B39" i="14"/>
  <c r="H24" i="14"/>
  <c r="H22" i="14"/>
  <c r="H13" i="14"/>
  <c r="D4" i="14"/>
  <c r="H34" i="13"/>
  <c r="H33" i="13"/>
  <c r="H29" i="13"/>
  <c r="H25" i="13"/>
  <c r="P15" i="13"/>
  <c r="D5" i="13"/>
  <c r="T24" i="11"/>
  <c r="T22" i="11"/>
  <c r="P12" i="11"/>
  <c r="T34" i="10"/>
  <c r="T33" i="10"/>
  <c r="T29" i="10"/>
  <c r="T25" i="10"/>
  <c r="B16" i="10"/>
  <c r="D15" i="10"/>
  <c r="T12" i="10"/>
  <c r="P20" i="17"/>
  <c r="H15" i="17"/>
  <c r="D5" i="17"/>
  <c r="T22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P34" i="11"/>
  <c r="P33" i="11"/>
  <c r="P29" i="11"/>
  <c r="P25" i="11"/>
  <c r="T21" i="11"/>
  <c r="T24" i="10"/>
  <c r="T22" i="10"/>
  <c r="P12" i="10"/>
  <c r="B25" i="8"/>
  <c r="D24" i="8"/>
  <c r="D22" i="8"/>
  <c r="H20" i="8"/>
  <c r="H16" i="8"/>
  <c r="B13" i="8"/>
  <c r="B38" i="7"/>
  <c r="B22" i="17"/>
  <c r="B39" i="16"/>
  <c r="P22" i="16"/>
  <c r="D21" i="16"/>
  <c r="T15" i="16"/>
  <c r="P12" i="16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P24" i="11"/>
  <c r="P22" i="11"/>
  <c r="T20" i="11"/>
  <c r="T16" i="11"/>
  <c r="T13" i="11"/>
  <c r="P34" i="10"/>
  <c r="P33" i="10"/>
  <c r="P29" i="10"/>
  <c r="P25" i="10"/>
  <c r="T21" i="10"/>
  <c r="P33" i="17"/>
  <c r="P16" i="17"/>
  <c r="B22" i="14"/>
  <c r="D21" i="14"/>
  <c r="H15" i="14"/>
  <c r="B25" i="13"/>
  <c r="D24" i="13"/>
  <c r="D22" i="13"/>
  <c r="H20" i="13"/>
  <c r="H16" i="13"/>
  <c r="B13" i="13"/>
  <c r="P21" i="11"/>
  <c r="T15" i="11"/>
  <c r="P13" i="11"/>
  <c r="H12" i="11"/>
  <c r="P24" i="10"/>
  <c r="P22" i="10"/>
  <c r="T20" i="10"/>
  <c r="T16" i="10"/>
  <c r="T13" i="10"/>
  <c r="T21" i="17"/>
  <c r="P13" i="17"/>
  <c r="B25" i="16"/>
  <c r="T20" i="16"/>
  <c r="H12" i="16"/>
  <c r="B21" i="14"/>
  <c r="D20" i="14"/>
  <c r="D16" i="14"/>
  <c r="B22" i="13"/>
  <c r="D21" i="13"/>
  <c r="H15" i="13"/>
  <c r="P29" i="17"/>
  <c r="P21" i="17"/>
  <c r="D20" i="17"/>
  <c r="H22" i="16"/>
  <c r="D12" i="16"/>
  <c r="T34" i="14"/>
  <c r="T33" i="14"/>
  <c r="T29" i="14"/>
  <c r="T25" i="14"/>
  <c r="B16" i="14"/>
  <c r="D15" i="14"/>
  <c r="T12" i="14"/>
  <c r="B21" i="13"/>
  <c r="D20" i="13"/>
  <c r="D16" i="13"/>
  <c r="H34" i="11"/>
  <c r="H33" i="11"/>
  <c r="H29" i="11"/>
  <c r="H25" i="11"/>
  <c r="P15" i="11"/>
  <c r="D5" i="11"/>
  <c r="P20" i="10"/>
  <c r="P16" i="10"/>
  <c r="D12" i="10"/>
  <c r="H33" i="17"/>
  <c r="T24" i="16"/>
  <c r="D22" i="16"/>
  <c r="P20" i="16"/>
  <c r="T16" i="16"/>
  <c r="H15" i="16"/>
  <c r="D4" i="16"/>
  <c r="T24" i="14"/>
  <c r="T22" i="14"/>
  <c r="P12" i="14"/>
  <c r="T34" i="13"/>
  <c r="T33" i="13"/>
  <c r="T29" i="13"/>
  <c r="T25" i="13"/>
  <c r="B16" i="13"/>
  <c r="D15" i="13"/>
  <c r="T12" i="13"/>
  <c r="B39" i="11"/>
  <c r="H24" i="11"/>
  <c r="H22" i="11"/>
  <c r="H13" i="11"/>
  <c r="D4" i="11"/>
  <c r="H34" i="10"/>
  <c r="H33" i="10"/>
  <c r="H29" i="10"/>
  <c r="H25" i="10"/>
  <c r="P15" i="10"/>
  <c r="D5" i="10"/>
  <c r="D33" i="17"/>
  <c r="P25" i="17"/>
  <c r="D16" i="17"/>
  <c r="D13" i="17"/>
  <c r="P24" i="16"/>
  <c r="B22" i="16"/>
  <c r="P34" i="14"/>
  <c r="P33" i="14"/>
  <c r="P29" i="14"/>
  <c r="P25" i="14"/>
  <c r="T21" i="14"/>
  <c r="T24" i="13"/>
  <c r="T22" i="13"/>
  <c r="P12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P24" i="8"/>
  <c r="P22" i="8"/>
  <c r="T20" i="8"/>
  <c r="T16" i="8"/>
  <c r="T13" i="8"/>
  <c r="D12" i="11"/>
  <c r="D25" i="8"/>
  <c r="P12" i="8"/>
  <c r="P24" i="7"/>
  <c r="P22" i="7"/>
  <c r="T20" i="7"/>
  <c r="T16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T22" i="7"/>
  <c r="H24" i="5"/>
  <c r="D5" i="4"/>
  <c r="B21" i="11"/>
  <c r="B39" i="8"/>
  <c r="T33" i="8"/>
  <c r="T21" i="8"/>
  <c r="P20" i="8"/>
  <c r="D15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H25" i="8"/>
  <c r="H22" i="5"/>
  <c r="D4" i="5"/>
  <c r="P20" i="11"/>
  <c r="B38" i="8"/>
  <c r="H29" i="8"/>
  <c r="T22" i="8"/>
  <c r="P21" i="8"/>
  <c r="D16" i="8"/>
  <c r="H12" i="8"/>
  <c r="P20" i="7"/>
  <c r="P16" i="7"/>
  <c r="D12" i="7"/>
  <c r="B21" i="5"/>
  <c r="D20" i="5"/>
  <c r="D16" i="5"/>
  <c r="B22" i="4"/>
  <c r="D21" i="4"/>
  <c r="H15" i="4"/>
  <c r="D20" i="11"/>
  <c r="T34" i="8"/>
  <c r="P33" i="8"/>
  <c r="B16" i="8"/>
  <c r="D12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B39" i="5"/>
  <c r="H33" i="4"/>
  <c r="T15" i="10"/>
  <c r="D29" i="8"/>
  <c r="T24" i="8"/>
  <c r="P13" i="8"/>
  <c r="D5" i="8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H15" i="10"/>
  <c r="P34" i="8"/>
  <c r="T25" i="8"/>
  <c r="D4" i="8"/>
  <c r="D34" i="7"/>
  <c r="D33" i="7"/>
  <c r="D29" i="7"/>
  <c r="D25" i="7"/>
  <c r="H21" i="7"/>
  <c r="D13" i="7"/>
  <c r="P34" i="5"/>
  <c r="P33" i="5"/>
  <c r="P29" i="5"/>
  <c r="P25" i="5"/>
  <c r="T21" i="5"/>
  <c r="T24" i="4"/>
  <c r="T22" i="4"/>
  <c r="P12" i="4"/>
  <c r="P12" i="7"/>
  <c r="P16" i="11"/>
  <c r="P13" i="10"/>
  <c r="H33" i="8"/>
  <c r="H21" i="8"/>
  <c r="D20" i="8"/>
  <c r="T15" i="8"/>
  <c r="B39" i="7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D34" i="8"/>
  <c r="H34" i="4"/>
  <c r="D16" i="11"/>
  <c r="B22" i="10"/>
  <c r="P25" i="8"/>
  <c r="H22" i="8"/>
  <c r="D21" i="8"/>
  <c r="H13" i="8"/>
  <c r="B22" i="7"/>
  <c r="D21" i="7"/>
  <c r="H15" i="7"/>
  <c r="P21" i="5"/>
  <c r="T15" i="5"/>
  <c r="P13" i="5"/>
  <c r="H12" i="5"/>
  <c r="P24" i="4"/>
  <c r="P22" i="4"/>
  <c r="T20" i="4"/>
  <c r="T16" i="4"/>
  <c r="T13" i="4"/>
  <c r="P15" i="4"/>
  <c r="P21" i="10"/>
  <c r="H12" i="10"/>
  <c r="H34" i="8"/>
  <c r="D33" i="8"/>
  <c r="B21" i="8"/>
  <c r="P15" i="8"/>
  <c r="D13" i="8"/>
  <c r="B21" i="7"/>
  <c r="D20" i="7"/>
  <c r="D16" i="7"/>
  <c r="P20" i="5"/>
  <c r="P16" i="5"/>
  <c r="D12" i="5"/>
  <c r="P21" i="4"/>
  <c r="T15" i="4"/>
  <c r="P13" i="4"/>
  <c r="H12" i="4"/>
  <c r="H25" i="4"/>
  <c r="D21" i="10"/>
  <c r="T29" i="8"/>
  <c r="H24" i="8"/>
  <c r="B22" i="8"/>
  <c r="P16" i="8"/>
  <c r="T34" i="7"/>
  <c r="T33" i="7"/>
  <c r="T29" i="7"/>
  <c r="T25" i="7"/>
  <c r="B16" i="7"/>
  <c r="D15" i="7"/>
  <c r="T12" i="7"/>
  <c r="H34" i="5"/>
  <c r="H33" i="5"/>
  <c r="H29" i="5"/>
  <c r="H25" i="5"/>
  <c r="P15" i="5"/>
  <c r="D5" i="5"/>
  <c r="P20" i="4"/>
  <c r="P16" i="4"/>
  <c r="D12" i="4"/>
  <c r="T24" i="7"/>
  <c r="H13" i="5"/>
  <c r="P29" i="8"/>
  <c r="H15" i="8"/>
  <c r="T12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H29" i="4"/>
  <c r="N29" i="4" l="1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T18" i="8"/>
  <c r="V15" i="8"/>
  <c r="V33" i="8"/>
  <c r="V21" i="8"/>
  <c r="V22" i="8"/>
  <c r="V34" i="8"/>
  <c r="V24" i="8"/>
  <c r="V31" i="8"/>
  <c r="V36" i="8"/>
  <c r="V25" i="8"/>
  <c r="V27" i="8"/>
  <c r="V16" i="8"/>
  <c r="V29" i="8"/>
  <c r="V18" i="8"/>
  <c r="Z12" i="8"/>
  <c r="V20" i="8"/>
  <c r="N15" i="8"/>
  <c r="X29" i="8"/>
  <c r="N13" i="5"/>
  <c r="Z24" i="7"/>
  <c r="F24" i="4"/>
  <c r="F22" i="4"/>
  <c r="F21" i="4"/>
  <c r="F20" i="4"/>
  <c r="F18" i="4"/>
  <c r="F16" i="4"/>
  <c r="D18" i="4"/>
  <c r="F15" i="4"/>
  <c r="L12" i="4"/>
  <c r="F36" i="4"/>
  <c r="F34" i="4"/>
  <c r="F33" i="4"/>
  <c r="F31" i="4"/>
  <c r="F29" i="4"/>
  <c r="F27" i="4"/>
  <c r="F25" i="4"/>
  <c r="X16" i="4"/>
  <c r="X20" i="4"/>
  <c r="X15" i="5"/>
  <c r="N25" i="5"/>
  <c r="N29" i="5"/>
  <c r="N33" i="5"/>
  <c r="N34" i="5"/>
  <c r="T18" i="7"/>
  <c r="V15" i="7"/>
  <c r="V21" i="7"/>
  <c r="Z12" i="7"/>
  <c r="V34" i="7"/>
  <c r="V33" i="7"/>
  <c r="V31" i="7"/>
  <c r="V29" i="7"/>
  <c r="V27" i="7"/>
  <c r="V25" i="7"/>
  <c r="V36" i="7"/>
  <c r="V24" i="7"/>
  <c r="V22" i="7"/>
  <c r="V20" i="7"/>
  <c r="V18" i="7"/>
  <c r="V16" i="7"/>
  <c r="L15" i="7"/>
  <c r="Z25" i="7"/>
  <c r="Z29" i="7"/>
  <c r="Z33" i="7"/>
  <c r="Z34" i="7"/>
  <c r="X16" i="8"/>
  <c r="N24" i="8"/>
  <c r="Z29" i="8"/>
  <c r="L21" i="10"/>
  <c r="N25" i="4"/>
  <c r="J20" i="4"/>
  <c r="J18" i="4"/>
  <c r="J16" i="4"/>
  <c r="H18" i="4"/>
  <c r="J15" i="4"/>
  <c r="J24" i="4"/>
  <c r="N12" i="4"/>
  <c r="J36" i="4"/>
  <c r="J34" i="4"/>
  <c r="J33" i="4"/>
  <c r="J31" i="4"/>
  <c r="J29" i="4"/>
  <c r="J27" i="4"/>
  <c r="J25" i="4"/>
  <c r="J22" i="4"/>
  <c r="J21" i="4"/>
  <c r="X13" i="4"/>
  <c r="Z15" i="4"/>
  <c r="X21" i="4"/>
  <c r="F21" i="5"/>
  <c r="F20" i="5"/>
  <c r="F18" i="5"/>
  <c r="F16" i="5"/>
  <c r="D18" i="5"/>
  <c r="F15" i="5"/>
  <c r="F33" i="5"/>
  <c r="F27" i="5"/>
  <c r="L12" i="5"/>
  <c r="F36" i="5"/>
  <c r="F31" i="5"/>
  <c r="F34" i="5"/>
  <c r="F29" i="5"/>
  <c r="F24" i="5"/>
  <c r="F22" i="5"/>
  <c r="F25" i="5"/>
  <c r="X16" i="5"/>
  <c r="X20" i="5"/>
  <c r="L16" i="7"/>
  <c r="L20" i="7"/>
  <c r="L13" i="8"/>
  <c r="X15" i="8"/>
  <c r="L33" i="8"/>
  <c r="N34" i="8"/>
  <c r="J20" i="10"/>
  <c r="J18" i="10"/>
  <c r="J16" i="10"/>
  <c r="H18" i="10"/>
  <c r="J15" i="10"/>
  <c r="N12" i="10"/>
  <c r="J36" i="10"/>
  <c r="J34" i="10"/>
  <c r="J33" i="10"/>
  <c r="J31" i="10"/>
  <c r="J29" i="10"/>
  <c r="J27" i="10"/>
  <c r="J25" i="10"/>
  <c r="J24" i="10"/>
  <c r="J22" i="10"/>
  <c r="J21" i="10"/>
  <c r="X21" i="10"/>
  <c r="X15" i="4"/>
  <c r="Z13" i="4"/>
  <c r="Z16" i="4"/>
  <c r="Z20" i="4"/>
  <c r="X22" i="4"/>
  <c r="X24" i="4"/>
  <c r="H18" i="5"/>
  <c r="J15" i="5"/>
  <c r="N12" i="5"/>
  <c r="J21" i="5"/>
  <c r="J36" i="5"/>
  <c r="J34" i="5"/>
  <c r="J33" i="5"/>
  <c r="J31" i="5"/>
  <c r="J29" i="5"/>
  <c r="J27" i="5"/>
  <c r="J25" i="5"/>
  <c r="J24" i="5"/>
  <c r="J22" i="5"/>
  <c r="J20" i="5"/>
  <c r="J18" i="5"/>
  <c r="J16" i="5"/>
  <c r="X13" i="5"/>
  <c r="Z15" i="5"/>
  <c r="X21" i="5"/>
  <c r="N15" i="7"/>
  <c r="L21" i="7"/>
  <c r="N13" i="8"/>
  <c r="L21" i="8"/>
  <c r="N22" i="8"/>
  <c r="X25" i="8"/>
  <c r="L16" i="11"/>
  <c r="N34" i="4"/>
  <c r="L34" i="8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Z15" i="8"/>
  <c r="L20" i="8"/>
  <c r="N21" i="8"/>
  <c r="N33" i="8"/>
  <c r="X13" i="10"/>
  <c r="X16" i="11"/>
  <c r="R21" i="7"/>
  <c r="R20" i="7"/>
  <c r="R18" i="7"/>
  <c r="R16" i="7"/>
  <c r="R29" i="7"/>
  <c r="P18" i="7"/>
  <c r="R15" i="7"/>
  <c r="R31" i="7"/>
  <c r="R34" i="7"/>
  <c r="R27" i="7"/>
  <c r="R25" i="7"/>
  <c r="R33" i="7"/>
  <c r="X12" i="7"/>
  <c r="R36" i="7"/>
  <c r="R24" i="7"/>
  <c r="R22" i="7"/>
  <c r="X12" i="4"/>
  <c r="R36" i="4"/>
  <c r="R34" i="4"/>
  <c r="R33" i="4"/>
  <c r="R31" i="4"/>
  <c r="R29" i="4"/>
  <c r="R27" i="4"/>
  <c r="R25" i="4"/>
  <c r="R24" i="4"/>
  <c r="R22" i="4"/>
  <c r="R21" i="4"/>
  <c r="R20" i="4"/>
  <c r="R18" i="4"/>
  <c r="R16" i="4"/>
  <c r="P18" i="4"/>
  <c r="R15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Z25" i="8"/>
  <c r="X34" i="8"/>
  <c r="N15" i="10"/>
  <c r="Z12" i="4"/>
  <c r="V36" i="4"/>
  <c r="V34" i="4"/>
  <c r="V33" i="4"/>
  <c r="V31" i="4"/>
  <c r="V29" i="4"/>
  <c r="V27" i="4"/>
  <c r="V25" i="4"/>
  <c r="V24" i="4"/>
  <c r="V22" i="4"/>
  <c r="V21" i="4"/>
  <c r="V20" i="4"/>
  <c r="V18" i="4"/>
  <c r="V16" i="4"/>
  <c r="T18" i="4"/>
  <c r="V15" i="4"/>
  <c r="L15" i="4"/>
  <c r="Z25" i="4"/>
  <c r="Z29" i="4"/>
  <c r="Z33" i="4"/>
  <c r="Z34" i="4"/>
  <c r="X12" i="5"/>
  <c r="R36" i="5"/>
  <c r="R34" i="5"/>
  <c r="R33" i="5"/>
  <c r="R31" i="5"/>
  <c r="R29" i="5"/>
  <c r="R27" i="5"/>
  <c r="R25" i="5"/>
  <c r="R24" i="5"/>
  <c r="R22" i="5"/>
  <c r="R21" i="5"/>
  <c r="R20" i="5"/>
  <c r="R18" i="5"/>
  <c r="R16" i="5"/>
  <c r="P18" i="5"/>
  <c r="R15" i="5"/>
  <c r="Z22" i="5"/>
  <c r="Z24" i="5"/>
  <c r="N13" i="7"/>
  <c r="N22" i="7"/>
  <c r="N24" i="7"/>
  <c r="X13" i="8"/>
  <c r="Z24" i="8"/>
  <c r="L29" i="8"/>
  <c r="Z15" i="10"/>
  <c r="N33" i="4"/>
  <c r="L16" i="4"/>
  <c r="L20" i="4"/>
  <c r="Z12" i="5"/>
  <c r="V36" i="5"/>
  <c r="V34" i="5"/>
  <c r="V33" i="5"/>
  <c r="V31" i="5"/>
  <c r="V29" i="5"/>
  <c r="V27" i="5"/>
  <c r="V25" i="5"/>
  <c r="V24" i="5"/>
  <c r="V22" i="5"/>
  <c r="V21" i="5"/>
  <c r="V20" i="5"/>
  <c r="V18" i="5"/>
  <c r="V16" i="5"/>
  <c r="T18" i="5"/>
  <c r="V15" i="5"/>
  <c r="L15" i="5"/>
  <c r="Z25" i="5"/>
  <c r="Z29" i="5"/>
  <c r="Z33" i="5"/>
  <c r="Z34" i="5"/>
  <c r="X15" i="7"/>
  <c r="N25" i="7"/>
  <c r="N29" i="7"/>
  <c r="N33" i="7"/>
  <c r="N34" i="7"/>
  <c r="F21" i="8"/>
  <c r="L12" i="8"/>
  <c r="F15" i="8"/>
  <c r="F27" i="8"/>
  <c r="F16" i="8"/>
  <c r="F24" i="8"/>
  <c r="F29" i="8"/>
  <c r="F18" i="8"/>
  <c r="D18" i="8"/>
  <c r="F31" i="8"/>
  <c r="F20" i="8"/>
  <c r="F33" i="8"/>
  <c r="F22" i="8"/>
  <c r="F34" i="8"/>
  <c r="F36" i="8"/>
  <c r="F25" i="8"/>
  <c r="X33" i="8"/>
  <c r="Z34" i="8"/>
  <c r="L20" i="11"/>
  <c r="N15" i="4"/>
  <c r="L21" i="4"/>
  <c r="L16" i="5"/>
  <c r="L20" i="5"/>
  <c r="L12" i="7"/>
  <c r="F36" i="7"/>
  <c r="F34" i="7"/>
  <c r="F33" i="7"/>
  <c r="F31" i="7"/>
  <c r="F29" i="7"/>
  <c r="F27" i="7"/>
  <c r="F25" i="7"/>
  <c r="F24" i="7"/>
  <c r="F22" i="7"/>
  <c r="F21" i="7"/>
  <c r="F20" i="7"/>
  <c r="F18" i="7"/>
  <c r="F16" i="7"/>
  <c r="D18" i="7"/>
  <c r="F15" i="7"/>
  <c r="X16" i="7"/>
  <c r="X20" i="7"/>
  <c r="H18" i="8"/>
  <c r="J15" i="8"/>
  <c r="J16" i="8"/>
  <c r="J29" i="8"/>
  <c r="N12" i="8"/>
  <c r="J18" i="8"/>
  <c r="J31" i="8"/>
  <c r="J20" i="8"/>
  <c r="J33" i="8"/>
  <c r="J21" i="8"/>
  <c r="J22" i="8"/>
  <c r="J34" i="8"/>
  <c r="J24" i="8"/>
  <c r="J36" i="8"/>
  <c r="J25" i="8"/>
  <c r="J27" i="8"/>
  <c r="L16" i="8"/>
  <c r="X21" i="8"/>
  <c r="Z22" i="8"/>
  <c r="N29" i="8"/>
  <c r="X20" i="11"/>
  <c r="N22" i="5"/>
  <c r="N25" i="8"/>
  <c r="N16" i="4"/>
  <c r="N20" i="4"/>
  <c r="L22" i="4"/>
  <c r="L24" i="4"/>
  <c r="N15" i="5"/>
  <c r="L21" i="5"/>
  <c r="J36" i="7"/>
  <c r="J34" i="7"/>
  <c r="J33" i="7"/>
  <c r="J31" i="7"/>
  <c r="J29" i="7"/>
  <c r="J27" i="7"/>
  <c r="J25" i="7"/>
  <c r="J24" i="7"/>
  <c r="J22" i="7"/>
  <c r="J21" i="7"/>
  <c r="J20" i="7"/>
  <c r="J18" i="7"/>
  <c r="J16" i="7"/>
  <c r="H18" i="7"/>
  <c r="J15" i="7"/>
  <c r="N12" i="7"/>
  <c r="X13" i="7"/>
  <c r="Z15" i="7"/>
  <c r="X21" i="7"/>
  <c r="L15" i="8"/>
  <c r="X20" i="8"/>
  <c r="Z21" i="8"/>
  <c r="Z33" i="8"/>
  <c r="N24" i="5"/>
  <c r="Z22" i="7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R21" i="8"/>
  <c r="R31" i="8"/>
  <c r="R20" i="8"/>
  <c r="R33" i="8"/>
  <c r="R22" i="8"/>
  <c r="R34" i="8"/>
  <c r="R24" i="8"/>
  <c r="R36" i="8"/>
  <c r="R25" i="8"/>
  <c r="R15" i="8"/>
  <c r="R27" i="8"/>
  <c r="R16" i="8"/>
  <c r="R29" i="8"/>
  <c r="X12" i="8"/>
  <c r="P18" i="8"/>
  <c r="R18" i="8"/>
  <c r="L25" i="8"/>
  <c r="F21" i="11"/>
  <c r="F20" i="11"/>
  <c r="F18" i="11"/>
  <c r="F16" i="11"/>
  <c r="L12" i="11"/>
  <c r="F36" i="11"/>
  <c r="F34" i="11"/>
  <c r="F33" i="11"/>
  <c r="F31" i="11"/>
  <c r="F29" i="11"/>
  <c r="F27" i="11"/>
  <c r="F25" i="11"/>
  <c r="F24" i="11"/>
  <c r="F22" i="11"/>
  <c r="D18" i="11"/>
  <c r="F15" i="11"/>
  <c r="Z13" i="8"/>
  <c r="Z16" i="8"/>
  <c r="Z20" i="8"/>
  <c r="X22" i="8"/>
  <c r="X24" i="8"/>
  <c r="N13" i="10"/>
  <c r="N22" i="10"/>
  <c r="N24" i="10"/>
  <c r="L13" i="11"/>
  <c r="N21" i="11"/>
  <c r="L25" i="11"/>
  <c r="L29" i="11"/>
  <c r="L33" i="11"/>
  <c r="L34" i="11"/>
  <c r="R24" i="13"/>
  <c r="R22" i="13"/>
  <c r="R21" i="13"/>
  <c r="R20" i="13"/>
  <c r="R18" i="13"/>
  <c r="R16" i="13"/>
  <c r="P18" i="13"/>
  <c r="R15" i="13"/>
  <c r="X12" i="13"/>
  <c r="R36" i="13"/>
  <c r="R34" i="13"/>
  <c r="R33" i="13"/>
  <c r="R31" i="13"/>
  <c r="R29" i="13"/>
  <c r="R27" i="13"/>
  <c r="R25" i="13"/>
  <c r="Z22" i="13"/>
  <c r="Z24" i="13"/>
  <c r="Z21" i="14"/>
  <c r="X25" i="14"/>
  <c r="X29" i="14"/>
  <c r="X33" i="14"/>
  <c r="X34" i="14"/>
  <c r="X24" i="16"/>
  <c r="L13" i="17"/>
  <c r="L16" i="17"/>
  <c r="X25" i="17"/>
  <c r="L33" i="17"/>
  <c r="X15" i="10"/>
  <c r="N25" i="10"/>
  <c r="N29" i="10"/>
  <c r="N33" i="10"/>
  <c r="N34" i="10"/>
  <c r="N13" i="11"/>
  <c r="N22" i="11"/>
  <c r="N24" i="11"/>
  <c r="V20" i="13"/>
  <c r="V18" i="13"/>
  <c r="V16" i="13"/>
  <c r="T18" i="13"/>
  <c r="V15" i="13"/>
  <c r="Z12" i="13"/>
  <c r="V36" i="13"/>
  <c r="V34" i="13"/>
  <c r="V33" i="13"/>
  <c r="V31" i="13"/>
  <c r="V29" i="13"/>
  <c r="V27" i="13"/>
  <c r="V25" i="13"/>
  <c r="V24" i="13"/>
  <c r="V22" i="13"/>
  <c r="V21" i="13"/>
  <c r="L15" i="13"/>
  <c r="Z25" i="13"/>
  <c r="Z29" i="13"/>
  <c r="Z33" i="13"/>
  <c r="Z34" i="13"/>
  <c r="R21" i="14"/>
  <c r="R20" i="14"/>
  <c r="R18" i="14"/>
  <c r="R16" i="14"/>
  <c r="P18" i="14"/>
  <c r="R15" i="14"/>
  <c r="X12" i="14"/>
  <c r="R36" i="14"/>
  <c r="R34" i="14"/>
  <c r="R33" i="14"/>
  <c r="R31" i="14"/>
  <c r="R29" i="14"/>
  <c r="R27" i="14"/>
  <c r="R25" i="14"/>
  <c r="R24" i="14"/>
  <c r="R22" i="14"/>
  <c r="Z22" i="14"/>
  <c r="Z24" i="14"/>
  <c r="N15" i="16"/>
  <c r="Z16" i="16"/>
  <c r="X20" i="16"/>
  <c r="L22" i="16"/>
  <c r="Z24" i="16"/>
  <c r="N33" i="17"/>
  <c r="F24" i="10"/>
  <c r="F22" i="10"/>
  <c r="F21" i="10"/>
  <c r="D18" i="10"/>
  <c r="F15" i="10"/>
  <c r="L12" i="10"/>
  <c r="F36" i="10"/>
  <c r="F34" i="10"/>
  <c r="F33" i="10"/>
  <c r="F31" i="10"/>
  <c r="F29" i="10"/>
  <c r="F27" i="10"/>
  <c r="F25" i="10"/>
  <c r="F18" i="10"/>
  <c r="F16" i="10"/>
  <c r="F20" i="10"/>
  <c r="X16" i="10"/>
  <c r="X20" i="10"/>
  <c r="X15" i="11"/>
  <c r="N25" i="11"/>
  <c r="N29" i="11"/>
  <c r="N33" i="11"/>
  <c r="N34" i="11"/>
  <c r="L16" i="13"/>
  <c r="L20" i="13"/>
  <c r="T18" i="14"/>
  <c r="V15" i="14"/>
  <c r="Z12" i="14"/>
  <c r="V36" i="14"/>
  <c r="V34" i="14"/>
  <c r="V33" i="14"/>
  <c r="V31" i="14"/>
  <c r="V29" i="14"/>
  <c r="V27" i="14"/>
  <c r="V25" i="14"/>
  <c r="V24" i="14"/>
  <c r="V22" i="14"/>
  <c r="V21" i="14"/>
  <c r="V20" i="14"/>
  <c r="V18" i="14"/>
  <c r="V16" i="14"/>
  <c r="L15" i="14"/>
  <c r="Z25" i="14"/>
  <c r="Z29" i="14"/>
  <c r="Z33" i="14"/>
  <c r="Z34" i="14"/>
  <c r="F24" i="16"/>
  <c r="F22" i="16"/>
  <c r="D18" i="16"/>
  <c r="F15" i="16"/>
  <c r="F27" i="16"/>
  <c r="F36" i="16"/>
  <c r="F20" i="16"/>
  <c r="F33" i="16"/>
  <c r="F16" i="16"/>
  <c r="F29" i="16"/>
  <c r="F21" i="16"/>
  <c r="F25" i="16"/>
  <c r="L12" i="16"/>
  <c r="F34" i="16"/>
  <c r="F18" i="16"/>
  <c r="F31" i="16"/>
  <c r="N22" i="16"/>
  <c r="L20" i="17"/>
  <c r="X21" i="17"/>
  <c r="X29" i="17"/>
  <c r="N15" i="13"/>
  <c r="L21" i="13"/>
  <c r="L16" i="14"/>
  <c r="L20" i="14"/>
  <c r="N12" i="16"/>
  <c r="J24" i="16"/>
  <c r="J22" i="16"/>
  <c r="J20" i="16"/>
  <c r="J18" i="16"/>
  <c r="J16" i="16"/>
  <c r="J36" i="16"/>
  <c r="J33" i="16"/>
  <c r="J29" i="16"/>
  <c r="J21" i="16"/>
  <c r="J25" i="16"/>
  <c r="J34" i="16"/>
  <c r="H18" i="16"/>
  <c r="J31" i="16"/>
  <c r="J15" i="16"/>
  <c r="J27" i="16"/>
  <c r="Z20" i="16"/>
  <c r="X13" i="17"/>
  <c r="Z21" i="17"/>
  <c r="Z13" i="10"/>
  <c r="Z16" i="10"/>
  <c r="Z20" i="10"/>
  <c r="X22" i="10"/>
  <c r="X24" i="10"/>
  <c r="H18" i="11"/>
  <c r="J15" i="11"/>
  <c r="N12" i="11"/>
  <c r="J24" i="11"/>
  <c r="J22" i="11"/>
  <c r="J21" i="11"/>
  <c r="J20" i="11"/>
  <c r="J18" i="11"/>
  <c r="J16" i="11"/>
  <c r="J31" i="11"/>
  <c r="J33" i="11"/>
  <c r="J29" i="11"/>
  <c r="J27" i="11"/>
  <c r="J36" i="11"/>
  <c r="J25" i="11"/>
  <c r="J34" i="11"/>
  <c r="X13" i="11"/>
  <c r="Z15" i="11"/>
  <c r="X21" i="11"/>
  <c r="N16" i="13"/>
  <c r="N20" i="13"/>
  <c r="L22" i="13"/>
  <c r="L24" i="13"/>
  <c r="N15" i="14"/>
  <c r="L21" i="14"/>
  <c r="X16" i="17"/>
  <c r="X33" i="17"/>
  <c r="Z21" i="10"/>
  <c r="X25" i="10"/>
  <c r="X29" i="10"/>
  <c r="X33" i="10"/>
  <c r="X34" i="10"/>
  <c r="Z13" i="11"/>
  <c r="Z16" i="11"/>
  <c r="Z20" i="11"/>
  <c r="X22" i="11"/>
  <c r="X24" i="11"/>
  <c r="L13" i="13"/>
  <c r="N21" i="13"/>
  <c r="L25" i="13"/>
  <c r="L29" i="13"/>
  <c r="L33" i="13"/>
  <c r="L34" i="13"/>
  <c r="N16" i="14"/>
  <c r="N20" i="14"/>
  <c r="L22" i="14"/>
  <c r="L24" i="14"/>
  <c r="R24" i="16"/>
  <c r="R22" i="16"/>
  <c r="X12" i="16"/>
  <c r="R29" i="16"/>
  <c r="R21" i="16"/>
  <c r="R25" i="16"/>
  <c r="R34" i="16"/>
  <c r="R18" i="16"/>
  <c r="P18" i="16"/>
  <c r="R31" i="16"/>
  <c r="R15" i="16"/>
  <c r="R27" i="16"/>
  <c r="R36" i="16"/>
  <c r="R20" i="16"/>
  <c r="R33" i="16"/>
  <c r="R16" i="16"/>
  <c r="Z15" i="16"/>
  <c r="L21" i="16"/>
  <c r="X22" i="16"/>
  <c r="N16" i="8"/>
  <c r="N20" i="8"/>
  <c r="L22" i="8"/>
  <c r="L24" i="8"/>
  <c r="X12" i="10"/>
  <c r="R36" i="10"/>
  <c r="R34" i="10"/>
  <c r="R33" i="10"/>
  <c r="R31" i="10"/>
  <c r="R29" i="10"/>
  <c r="R27" i="10"/>
  <c r="R25" i="10"/>
  <c r="R24" i="10"/>
  <c r="R22" i="10"/>
  <c r="R21" i="10"/>
  <c r="P18" i="10"/>
  <c r="R15" i="10"/>
  <c r="R18" i="10"/>
  <c r="R16" i="10"/>
  <c r="R20" i="10"/>
  <c r="Z22" i="10"/>
  <c r="Z24" i="10"/>
  <c r="Z21" i="11"/>
  <c r="X25" i="11"/>
  <c r="X29" i="11"/>
  <c r="X33" i="11"/>
  <c r="X34" i="11"/>
  <c r="N13" i="13"/>
  <c r="N22" i="13"/>
  <c r="N24" i="13"/>
  <c r="L13" i="14"/>
  <c r="N21" i="14"/>
  <c r="L25" i="14"/>
  <c r="L29" i="14"/>
  <c r="L33" i="14"/>
  <c r="L34" i="14"/>
  <c r="Z22" i="16"/>
  <c r="N15" i="17"/>
  <c r="X20" i="17"/>
  <c r="V36" i="10"/>
  <c r="V34" i="10"/>
  <c r="V33" i="10"/>
  <c r="V31" i="10"/>
  <c r="V29" i="10"/>
  <c r="V27" i="10"/>
  <c r="V25" i="10"/>
  <c r="V24" i="10"/>
  <c r="V22" i="10"/>
  <c r="V21" i="10"/>
  <c r="V20" i="10"/>
  <c r="V18" i="10"/>
  <c r="V16" i="10"/>
  <c r="T18" i="10"/>
  <c r="V15" i="10"/>
  <c r="Z12" i="10"/>
  <c r="L15" i="10"/>
  <c r="Z25" i="10"/>
  <c r="Z29" i="10"/>
  <c r="Z33" i="10"/>
  <c r="Z34" i="10"/>
  <c r="R36" i="11"/>
  <c r="R34" i="11"/>
  <c r="R33" i="11"/>
  <c r="R31" i="11"/>
  <c r="R29" i="11"/>
  <c r="R27" i="11"/>
  <c r="R25" i="11"/>
  <c r="R24" i="11"/>
  <c r="R22" i="11"/>
  <c r="R21" i="11"/>
  <c r="R20" i="11"/>
  <c r="R18" i="11"/>
  <c r="R16" i="11"/>
  <c r="P18" i="11"/>
  <c r="R15" i="11"/>
  <c r="X12" i="11"/>
  <c r="Z22" i="11"/>
  <c r="Z24" i="11"/>
  <c r="X15" i="13"/>
  <c r="N25" i="13"/>
  <c r="N29" i="13"/>
  <c r="N33" i="13"/>
  <c r="N34" i="13"/>
  <c r="N13" i="14"/>
  <c r="N22" i="14"/>
  <c r="N24" i="14"/>
  <c r="L12" i="17"/>
  <c r="F36" i="17"/>
  <c r="F34" i="17"/>
  <c r="F33" i="17"/>
  <c r="F31" i="17"/>
  <c r="F29" i="17"/>
  <c r="F27" i="17"/>
  <c r="F25" i="17"/>
  <c r="F21" i="17"/>
  <c r="F18" i="17"/>
  <c r="D18" i="17"/>
  <c r="F22" i="17"/>
  <c r="F15" i="17"/>
  <c r="F20" i="17"/>
  <c r="F24" i="17"/>
  <c r="F16" i="17"/>
  <c r="L34" i="17"/>
  <c r="L16" i="10"/>
  <c r="L20" i="10"/>
  <c r="Z12" i="11"/>
  <c r="V24" i="11"/>
  <c r="V22" i="11"/>
  <c r="V21" i="11"/>
  <c r="V20" i="11"/>
  <c r="V18" i="11"/>
  <c r="V16" i="11"/>
  <c r="T18" i="11"/>
  <c r="V15" i="11"/>
  <c r="V29" i="11"/>
  <c r="V27" i="11"/>
  <c r="V36" i="11"/>
  <c r="V25" i="11"/>
  <c r="V34" i="11"/>
  <c r="V33" i="11"/>
  <c r="V31" i="11"/>
  <c r="L15" i="11"/>
  <c r="Z25" i="11"/>
  <c r="Z29" i="11"/>
  <c r="Z33" i="11"/>
  <c r="Z34" i="11"/>
  <c r="L12" i="13"/>
  <c r="F36" i="13"/>
  <c r="F34" i="13"/>
  <c r="F33" i="13"/>
  <c r="F31" i="13"/>
  <c r="F29" i="13"/>
  <c r="F27" i="13"/>
  <c r="F25" i="13"/>
  <c r="F24" i="13"/>
  <c r="F22" i="13"/>
  <c r="F21" i="13"/>
  <c r="F20" i="13"/>
  <c r="F18" i="13"/>
  <c r="F16" i="13"/>
  <c r="D18" i="13"/>
  <c r="F15" i="13"/>
  <c r="X16" i="13"/>
  <c r="X20" i="13"/>
  <c r="X15" i="14"/>
  <c r="N25" i="14"/>
  <c r="N29" i="14"/>
  <c r="N33" i="14"/>
  <c r="N34" i="14"/>
  <c r="N13" i="16"/>
  <c r="L24" i="16"/>
  <c r="J21" i="17"/>
  <c r="H18" i="17"/>
  <c r="J15" i="17"/>
  <c r="J25" i="17"/>
  <c r="J34" i="17"/>
  <c r="J18" i="17"/>
  <c r="N12" i="17"/>
  <c r="J31" i="17"/>
  <c r="J22" i="17"/>
  <c r="J27" i="17"/>
  <c r="J36" i="17"/>
  <c r="J20" i="17"/>
  <c r="J33" i="17"/>
  <c r="J24" i="17"/>
  <c r="J16" i="17"/>
  <c r="J29" i="17"/>
  <c r="X15" i="17"/>
  <c r="L25" i="17"/>
  <c r="N34" i="17"/>
  <c r="N12" i="13"/>
  <c r="J36" i="13"/>
  <c r="J34" i="13"/>
  <c r="J33" i="13"/>
  <c r="J31" i="13"/>
  <c r="J29" i="13"/>
  <c r="J27" i="13"/>
  <c r="J25" i="13"/>
  <c r="J24" i="13"/>
  <c r="J22" i="13"/>
  <c r="J21" i="13"/>
  <c r="J20" i="13"/>
  <c r="J18" i="13"/>
  <c r="J16" i="13"/>
  <c r="H18" i="13"/>
  <c r="J15" i="13"/>
  <c r="X13" i="13"/>
  <c r="Z15" i="13"/>
  <c r="X21" i="13"/>
  <c r="L12" i="14"/>
  <c r="F36" i="14"/>
  <c r="F34" i="14"/>
  <c r="F33" i="14"/>
  <c r="F31" i="14"/>
  <c r="F29" i="14"/>
  <c r="F27" i="14"/>
  <c r="F25" i="14"/>
  <c r="F24" i="14"/>
  <c r="F22" i="14"/>
  <c r="F21" i="14"/>
  <c r="F20" i="14"/>
  <c r="F18" i="14"/>
  <c r="F16" i="14"/>
  <c r="D18" i="14"/>
  <c r="F15" i="14"/>
  <c r="X16" i="14"/>
  <c r="X20" i="14"/>
  <c r="N16" i="16"/>
  <c r="X21" i="16"/>
  <c r="N24" i="16"/>
  <c r="N25" i="17"/>
  <c r="N16" i="10"/>
  <c r="N20" i="10"/>
  <c r="L22" i="10"/>
  <c r="L24" i="10"/>
  <c r="N15" i="11"/>
  <c r="L21" i="11"/>
  <c r="Z13" i="13"/>
  <c r="Z16" i="13"/>
  <c r="Z20" i="13"/>
  <c r="X22" i="13"/>
  <c r="X24" i="13"/>
  <c r="J36" i="14"/>
  <c r="J34" i="14"/>
  <c r="J33" i="14"/>
  <c r="J31" i="14"/>
  <c r="J29" i="14"/>
  <c r="J27" i="14"/>
  <c r="J25" i="14"/>
  <c r="J24" i="14"/>
  <c r="J22" i="14"/>
  <c r="J21" i="14"/>
  <c r="J20" i="14"/>
  <c r="J18" i="14"/>
  <c r="J16" i="14"/>
  <c r="H18" i="14"/>
  <c r="J15" i="14"/>
  <c r="N12" i="14"/>
  <c r="X13" i="14"/>
  <c r="Z15" i="14"/>
  <c r="X21" i="14"/>
  <c r="X13" i="16"/>
  <c r="Z15" i="17"/>
  <c r="L21" i="17"/>
  <c r="L29" i="17"/>
  <c r="L13" i="10"/>
  <c r="N21" i="10"/>
  <c r="L25" i="10"/>
  <c r="L29" i="10"/>
  <c r="L33" i="10"/>
  <c r="L34" i="10"/>
  <c r="N16" i="11"/>
  <c r="N20" i="11"/>
  <c r="L22" i="11"/>
  <c r="L24" i="11"/>
  <c r="Z21" i="13"/>
  <c r="X25" i="13"/>
  <c r="X29" i="13"/>
  <c r="X33" i="13"/>
  <c r="X34" i="13"/>
  <c r="Z13" i="14"/>
  <c r="Z16" i="14"/>
  <c r="Z20" i="14"/>
  <c r="X22" i="14"/>
  <c r="X24" i="14"/>
  <c r="Z13" i="16"/>
  <c r="X16" i="16"/>
  <c r="N20" i="16"/>
  <c r="N21" i="17"/>
  <c r="N29" i="17"/>
  <c r="X34" i="17"/>
  <c r="N13" i="19"/>
  <c r="N22" i="19"/>
  <c r="N24" i="19"/>
  <c r="L13" i="20"/>
  <c r="N21" i="20"/>
  <c r="L25" i="20"/>
  <c r="L29" i="20"/>
  <c r="L33" i="20"/>
  <c r="L34" i="20"/>
  <c r="J36" i="22"/>
  <c r="J34" i="22"/>
  <c r="J33" i="22"/>
  <c r="J31" i="22"/>
  <c r="J29" i="22"/>
  <c r="J27" i="22"/>
  <c r="J25" i="22"/>
  <c r="J24" i="22"/>
  <c r="J22" i="22"/>
  <c r="J21" i="22"/>
  <c r="J20" i="22"/>
  <c r="J18" i="22"/>
  <c r="J16" i="22"/>
  <c r="H18" i="22"/>
  <c r="J15" i="22"/>
  <c r="N12" i="22"/>
  <c r="X13" i="22"/>
  <c r="Z15" i="22"/>
  <c r="X21" i="22"/>
  <c r="F36" i="23"/>
  <c r="F34" i="23"/>
  <c r="F33" i="23"/>
  <c r="F31" i="23"/>
  <c r="F29" i="23"/>
  <c r="F27" i="23"/>
  <c r="F25" i="23"/>
  <c r="F24" i="23"/>
  <c r="F22" i="23"/>
  <c r="F21" i="23"/>
  <c r="F20" i="23"/>
  <c r="F18" i="23"/>
  <c r="F16" i="23"/>
  <c r="D18" i="23"/>
  <c r="F15" i="23"/>
  <c r="L12" i="23"/>
  <c r="X16" i="23"/>
  <c r="X20" i="23"/>
  <c r="Z20" i="25"/>
  <c r="L22" i="25"/>
  <c r="X24" i="25"/>
  <c r="X13" i="26"/>
  <c r="L21" i="26"/>
  <c r="N29" i="31"/>
  <c r="V20" i="16"/>
  <c r="V18" i="16"/>
  <c r="V16" i="16"/>
  <c r="V36" i="16"/>
  <c r="V34" i="16"/>
  <c r="V33" i="16"/>
  <c r="V31" i="16"/>
  <c r="V29" i="16"/>
  <c r="V27" i="16"/>
  <c r="V25" i="16"/>
  <c r="V24" i="16"/>
  <c r="V22" i="16"/>
  <c r="V21" i="16"/>
  <c r="T18" i="16"/>
  <c r="V15" i="16"/>
  <c r="Z12" i="16"/>
  <c r="L15" i="16"/>
  <c r="Z25" i="16"/>
  <c r="Z29" i="16"/>
  <c r="Z33" i="16"/>
  <c r="Z34" i="16"/>
  <c r="R21" i="17"/>
  <c r="R36" i="17"/>
  <c r="R34" i="17"/>
  <c r="R33" i="17"/>
  <c r="R31" i="17"/>
  <c r="R29" i="17"/>
  <c r="R27" i="17"/>
  <c r="R25" i="17"/>
  <c r="P18" i="17"/>
  <c r="R22" i="17"/>
  <c r="X12" i="17"/>
  <c r="R15" i="17"/>
  <c r="R20" i="17"/>
  <c r="R24" i="17"/>
  <c r="R16" i="17"/>
  <c r="R18" i="17"/>
  <c r="Z22" i="17"/>
  <c r="Z24" i="17"/>
  <c r="X15" i="19"/>
  <c r="N25" i="19"/>
  <c r="N29" i="19"/>
  <c r="N33" i="19"/>
  <c r="N34" i="19"/>
  <c r="N13" i="20"/>
  <c r="N22" i="20"/>
  <c r="N24" i="20"/>
  <c r="Z13" i="22"/>
  <c r="Z16" i="22"/>
  <c r="Z20" i="22"/>
  <c r="X22" i="22"/>
  <c r="X24" i="22"/>
  <c r="J24" i="23"/>
  <c r="J22" i="23"/>
  <c r="J21" i="23"/>
  <c r="J20" i="23"/>
  <c r="J18" i="23"/>
  <c r="J16" i="23"/>
  <c r="H18" i="23"/>
  <c r="J15" i="23"/>
  <c r="N12" i="23"/>
  <c r="J36" i="23"/>
  <c r="J34" i="23"/>
  <c r="J33" i="23"/>
  <c r="J31" i="23"/>
  <c r="J29" i="23"/>
  <c r="J27" i="23"/>
  <c r="J25" i="23"/>
  <c r="X13" i="23"/>
  <c r="Z15" i="23"/>
  <c r="X21" i="23"/>
  <c r="L13" i="25"/>
  <c r="Z24" i="25"/>
  <c r="L33" i="25"/>
  <c r="N16" i="26"/>
  <c r="X33" i="26"/>
  <c r="N13" i="32"/>
  <c r="L16" i="16"/>
  <c r="L20" i="16"/>
  <c r="T18" i="17"/>
  <c r="V15" i="17"/>
  <c r="V24" i="17"/>
  <c r="V22" i="17"/>
  <c r="V21" i="17"/>
  <c r="Z12" i="17"/>
  <c r="V31" i="17"/>
  <c r="V27" i="17"/>
  <c r="V20" i="17"/>
  <c r="V36" i="17"/>
  <c r="V16" i="17"/>
  <c r="V33" i="17"/>
  <c r="V29" i="17"/>
  <c r="V25" i="17"/>
  <c r="V18" i="17"/>
  <c r="V34" i="17"/>
  <c r="L15" i="17"/>
  <c r="Z25" i="17"/>
  <c r="Z29" i="17"/>
  <c r="Z33" i="17"/>
  <c r="Z34" i="17"/>
  <c r="F24" i="19"/>
  <c r="F22" i="19"/>
  <c r="F21" i="19"/>
  <c r="F20" i="19"/>
  <c r="F18" i="19"/>
  <c r="F16" i="19"/>
  <c r="D18" i="19"/>
  <c r="F15" i="19"/>
  <c r="L12" i="19"/>
  <c r="F36" i="19"/>
  <c r="F34" i="19"/>
  <c r="F33" i="19"/>
  <c r="F31" i="19"/>
  <c r="F29" i="19"/>
  <c r="F27" i="19"/>
  <c r="F25" i="19"/>
  <c r="X16" i="19"/>
  <c r="X20" i="19"/>
  <c r="X15" i="20"/>
  <c r="N25" i="20"/>
  <c r="N29" i="20"/>
  <c r="N33" i="20"/>
  <c r="N34" i="20"/>
  <c r="Z21" i="22"/>
  <c r="X25" i="22"/>
  <c r="X29" i="22"/>
  <c r="X33" i="22"/>
  <c r="X34" i="22"/>
  <c r="Z13" i="23"/>
  <c r="Z16" i="23"/>
  <c r="Z20" i="23"/>
  <c r="X22" i="23"/>
  <c r="X24" i="23"/>
  <c r="N13" i="25"/>
  <c r="N22" i="25"/>
  <c r="Z29" i="25"/>
  <c r="Z34" i="25"/>
  <c r="N21" i="26"/>
  <c r="Z22" i="26"/>
  <c r="L25" i="26"/>
  <c r="N22" i="32"/>
  <c r="J20" i="19"/>
  <c r="J18" i="19"/>
  <c r="J16" i="19"/>
  <c r="H18" i="19"/>
  <c r="J15" i="19"/>
  <c r="N12" i="19"/>
  <c r="J36" i="19"/>
  <c r="J34" i="19"/>
  <c r="J33" i="19"/>
  <c r="J31" i="19"/>
  <c r="J29" i="19"/>
  <c r="J27" i="19"/>
  <c r="J25" i="19"/>
  <c r="J24" i="19"/>
  <c r="J22" i="19"/>
  <c r="J21" i="19"/>
  <c r="X13" i="19"/>
  <c r="Z15" i="19"/>
  <c r="X21" i="19"/>
  <c r="F21" i="20"/>
  <c r="F20" i="20"/>
  <c r="F18" i="20"/>
  <c r="F16" i="20"/>
  <c r="D18" i="20"/>
  <c r="F15" i="20"/>
  <c r="L12" i="20"/>
  <c r="F36" i="20"/>
  <c r="F34" i="20"/>
  <c r="F33" i="20"/>
  <c r="F31" i="20"/>
  <c r="F29" i="20"/>
  <c r="F27" i="20"/>
  <c r="F25" i="20"/>
  <c r="F24" i="20"/>
  <c r="F22" i="20"/>
  <c r="X16" i="20"/>
  <c r="X20" i="20"/>
  <c r="P18" i="22"/>
  <c r="R15" i="22"/>
  <c r="X12" i="22"/>
  <c r="R36" i="22"/>
  <c r="R34" i="22"/>
  <c r="R33" i="22"/>
  <c r="R31" i="22"/>
  <c r="R29" i="22"/>
  <c r="R27" i="22"/>
  <c r="R25" i="22"/>
  <c r="R24" i="22"/>
  <c r="R22" i="22"/>
  <c r="R21" i="22"/>
  <c r="R20" i="22"/>
  <c r="R18" i="22"/>
  <c r="R16" i="22"/>
  <c r="Z22" i="22"/>
  <c r="Z24" i="22"/>
  <c r="Z21" i="23"/>
  <c r="X25" i="23"/>
  <c r="X29" i="23"/>
  <c r="X33" i="23"/>
  <c r="X34" i="23"/>
  <c r="L21" i="25"/>
  <c r="N33" i="25"/>
  <c r="L20" i="26"/>
  <c r="X20" i="28"/>
  <c r="Z24" i="29"/>
  <c r="Z24" i="34"/>
  <c r="Z13" i="19"/>
  <c r="Z16" i="19"/>
  <c r="Z20" i="19"/>
  <c r="X22" i="19"/>
  <c r="X24" i="19"/>
  <c r="H18" i="20"/>
  <c r="J15" i="20"/>
  <c r="N12" i="20"/>
  <c r="J36" i="20"/>
  <c r="J34" i="20"/>
  <c r="J33" i="20"/>
  <c r="J31" i="20"/>
  <c r="J29" i="20"/>
  <c r="J27" i="20"/>
  <c r="J25" i="20"/>
  <c r="J24" i="20"/>
  <c r="J22" i="20"/>
  <c r="J21" i="20"/>
  <c r="J20" i="20"/>
  <c r="J18" i="20"/>
  <c r="J16" i="20"/>
  <c r="X13" i="20"/>
  <c r="Z15" i="20"/>
  <c r="X21" i="20"/>
  <c r="Z12" i="22"/>
  <c r="V36" i="22"/>
  <c r="V34" i="22"/>
  <c r="V33" i="22"/>
  <c r="V31" i="22"/>
  <c r="V29" i="22"/>
  <c r="V27" i="22"/>
  <c r="V25" i="22"/>
  <c r="V24" i="22"/>
  <c r="V22" i="22"/>
  <c r="V21" i="22"/>
  <c r="V20" i="22"/>
  <c r="V18" i="22"/>
  <c r="V16" i="22"/>
  <c r="T18" i="22"/>
  <c r="V15" i="22"/>
  <c r="L15" i="22"/>
  <c r="Z25" i="22"/>
  <c r="Z29" i="22"/>
  <c r="Z33" i="22"/>
  <c r="Z34" i="22"/>
  <c r="X12" i="23"/>
  <c r="R36" i="23"/>
  <c r="R34" i="23"/>
  <c r="R33" i="23"/>
  <c r="R31" i="23"/>
  <c r="R29" i="23"/>
  <c r="R27" i="23"/>
  <c r="R25" i="23"/>
  <c r="R24" i="23"/>
  <c r="R22" i="23"/>
  <c r="R21" i="23"/>
  <c r="R20" i="23"/>
  <c r="R18" i="23"/>
  <c r="R16" i="23"/>
  <c r="P18" i="23"/>
  <c r="R15" i="23"/>
  <c r="Z22" i="23"/>
  <c r="Z24" i="23"/>
  <c r="Z13" i="25"/>
  <c r="N16" i="25"/>
  <c r="X22" i="25"/>
  <c r="J24" i="26"/>
  <c r="J22" i="26"/>
  <c r="J36" i="26"/>
  <c r="J34" i="26"/>
  <c r="J33" i="26"/>
  <c r="J31" i="26"/>
  <c r="J29" i="26"/>
  <c r="J27" i="26"/>
  <c r="J25" i="26"/>
  <c r="J18" i="26"/>
  <c r="H18" i="26"/>
  <c r="J20" i="26"/>
  <c r="J15" i="26"/>
  <c r="N12" i="26"/>
  <c r="J21" i="26"/>
  <c r="J16" i="26"/>
  <c r="N15" i="26"/>
  <c r="X21" i="26"/>
  <c r="L13" i="16"/>
  <c r="N21" i="16"/>
  <c r="L25" i="16"/>
  <c r="L29" i="16"/>
  <c r="L33" i="16"/>
  <c r="L34" i="16"/>
  <c r="N16" i="17"/>
  <c r="N20" i="17"/>
  <c r="L22" i="17"/>
  <c r="L24" i="17"/>
  <c r="Z21" i="19"/>
  <c r="X25" i="19"/>
  <c r="X29" i="19"/>
  <c r="X33" i="19"/>
  <c r="X34" i="19"/>
  <c r="Z13" i="20"/>
  <c r="Z16" i="20"/>
  <c r="Z20" i="20"/>
  <c r="X22" i="20"/>
  <c r="X24" i="20"/>
  <c r="L16" i="22"/>
  <c r="L20" i="22"/>
  <c r="Z12" i="23"/>
  <c r="V36" i="23"/>
  <c r="V34" i="23"/>
  <c r="V33" i="23"/>
  <c r="V31" i="23"/>
  <c r="V29" i="23"/>
  <c r="V27" i="23"/>
  <c r="V25" i="23"/>
  <c r="V24" i="23"/>
  <c r="V22" i="23"/>
  <c r="V21" i="23"/>
  <c r="V20" i="23"/>
  <c r="V18" i="23"/>
  <c r="V16" i="23"/>
  <c r="T18" i="23"/>
  <c r="V15" i="23"/>
  <c r="L15" i="23"/>
  <c r="Z25" i="23"/>
  <c r="Z29" i="23"/>
  <c r="Z33" i="23"/>
  <c r="Z34" i="23"/>
  <c r="N21" i="25"/>
  <c r="Z22" i="25"/>
  <c r="L25" i="25"/>
  <c r="N20" i="26"/>
  <c r="Z21" i="26"/>
  <c r="L24" i="26"/>
  <c r="X25" i="26"/>
  <c r="X12" i="19"/>
  <c r="R36" i="19"/>
  <c r="R34" i="19"/>
  <c r="R33" i="19"/>
  <c r="R31" i="19"/>
  <c r="R29" i="19"/>
  <c r="R27" i="19"/>
  <c r="R25" i="19"/>
  <c r="R24" i="19"/>
  <c r="R22" i="19"/>
  <c r="R21" i="19"/>
  <c r="R20" i="19"/>
  <c r="R18" i="19"/>
  <c r="R16" i="19"/>
  <c r="P18" i="19"/>
  <c r="R15" i="19"/>
  <c r="Z22" i="19"/>
  <c r="Z24" i="19"/>
  <c r="Z21" i="20"/>
  <c r="X25" i="20"/>
  <c r="X29" i="20"/>
  <c r="X33" i="20"/>
  <c r="X34" i="20"/>
  <c r="N15" i="22"/>
  <c r="L21" i="22"/>
  <c r="L16" i="23"/>
  <c r="L20" i="23"/>
  <c r="L15" i="25"/>
  <c r="Z33" i="25"/>
  <c r="R21" i="26"/>
  <c r="P18" i="26"/>
  <c r="R15" i="26"/>
  <c r="R34" i="26"/>
  <c r="R29" i="26"/>
  <c r="R24" i="26"/>
  <c r="R20" i="26"/>
  <c r="X12" i="26"/>
  <c r="R36" i="26"/>
  <c r="R31" i="26"/>
  <c r="R25" i="26"/>
  <c r="R16" i="26"/>
  <c r="R33" i="26"/>
  <c r="R27" i="26"/>
  <c r="R22" i="26"/>
  <c r="R18" i="26"/>
  <c r="L29" i="26"/>
  <c r="L34" i="26"/>
  <c r="Z33" i="29"/>
  <c r="X15" i="16"/>
  <c r="N25" i="16"/>
  <c r="N29" i="16"/>
  <c r="N33" i="16"/>
  <c r="N34" i="16"/>
  <c r="N13" i="17"/>
  <c r="N22" i="17"/>
  <c r="N24" i="17"/>
  <c r="Z12" i="19"/>
  <c r="V36" i="19"/>
  <c r="V34" i="19"/>
  <c r="V33" i="19"/>
  <c r="V31" i="19"/>
  <c r="V29" i="19"/>
  <c r="V27" i="19"/>
  <c r="V25" i="19"/>
  <c r="V24" i="19"/>
  <c r="V22" i="19"/>
  <c r="V21" i="19"/>
  <c r="V20" i="19"/>
  <c r="V18" i="19"/>
  <c r="V16" i="19"/>
  <c r="T18" i="19"/>
  <c r="V15" i="19"/>
  <c r="L15" i="19"/>
  <c r="Z25" i="19"/>
  <c r="Z29" i="19"/>
  <c r="Z33" i="19"/>
  <c r="Z34" i="19"/>
  <c r="X12" i="20"/>
  <c r="R36" i="20"/>
  <c r="R34" i="20"/>
  <c r="R33" i="20"/>
  <c r="R31" i="20"/>
  <c r="R29" i="20"/>
  <c r="R27" i="20"/>
  <c r="R25" i="20"/>
  <c r="R24" i="20"/>
  <c r="R22" i="20"/>
  <c r="R21" i="20"/>
  <c r="R20" i="20"/>
  <c r="R18" i="20"/>
  <c r="R16" i="20"/>
  <c r="P18" i="20"/>
  <c r="R15" i="20"/>
  <c r="Z22" i="20"/>
  <c r="Z24" i="20"/>
  <c r="N16" i="22"/>
  <c r="N20" i="22"/>
  <c r="L22" i="22"/>
  <c r="L24" i="22"/>
  <c r="N15" i="23"/>
  <c r="L21" i="23"/>
  <c r="N15" i="25"/>
  <c r="N25" i="25"/>
  <c r="N24" i="26"/>
  <c r="L16" i="19"/>
  <c r="L20" i="19"/>
  <c r="Z12" i="20"/>
  <c r="V36" i="20"/>
  <c r="V34" i="20"/>
  <c r="V33" i="20"/>
  <c r="V31" i="20"/>
  <c r="V29" i="20"/>
  <c r="V27" i="20"/>
  <c r="V25" i="20"/>
  <c r="V24" i="20"/>
  <c r="V22" i="20"/>
  <c r="V21" i="20"/>
  <c r="V20" i="20"/>
  <c r="V18" i="20"/>
  <c r="V16" i="20"/>
  <c r="T18" i="20"/>
  <c r="V15" i="20"/>
  <c r="L15" i="20"/>
  <c r="Z25" i="20"/>
  <c r="Z29" i="20"/>
  <c r="Z33" i="20"/>
  <c r="Z34" i="20"/>
  <c r="L13" i="22"/>
  <c r="N21" i="22"/>
  <c r="L25" i="22"/>
  <c r="L29" i="22"/>
  <c r="L33" i="22"/>
  <c r="L34" i="22"/>
  <c r="N16" i="23"/>
  <c r="N20" i="23"/>
  <c r="L22" i="23"/>
  <c r="L24" i="23"/>
  <c r="Z16" i="25"/>
  <c r="N20" i="25"/>
  <c r="L24" i="25"/>
  <c r="Z15" i="26"/>
  <c r="N15" i="19"/>
  <c r="L21" i="19"/>
  <c r="L16" i="20"/>
  <c r="L20" i="20"/>
  <c r="N13" i="22"/>
  <c r="N22" i="22"/>
  <c r="N24" i="22"/>
  <c r="L13" i="23"/>
  <c r="N21" i="23"/>
  <c r="L25" i="23"/>
  <c r="L29" i="23"/>
  <c r="L33" i="23"/>
  <c r="L34" i="23"/>
  <c r="P18" i="25"/>
  <c r="R15" i="25"/>
  <c r="X12" i="25"/>
  <c r="R24" i="25"/>
  <c r="R22" i="25"/>
  <c r="R20" i="25"/>
  <c r="R18" i="25"/>
  <c r="R16" i="25"/>
  <c r="R36" i="25"/>
  <c r="R31" i="25"/>
  <c r="R25" i="25"/>
  <c r="R21" i="25"/>
  <c r="R33" i="25"/>
  <c r="R27" i="25"/>
  <c r="R34" i="25"/>
  <c r="R29" i="25"/>
  <c r="L29" i="25"/>
  <c r="L34" i="25"/>
  <c r="L22" i="26"/>
  <c r="X29" i="26"/>
  <c r="X34" i="26"/>
  <c r="N16" i="19"/>
  <c r="N20" i="19"/>
  <c r="L22" i="19"/>
  <c r="L24" i="19"/>
  <c r="N15" i="20"/>
  <c r="L21" i="20"/>
  <c r="X15" i="22"/>
  <c r="N25" i="22"/>
  <c r="N29" i="22"/>
  <c r="N33" i="22"/>
  <c r="N34" i="22"/>
  <c r="N13" i="23"/>
  <c r="N22" i="23"/>
  <c r="N24" i="23"/>
  <c r="V36" i="25"/>
  <c r="V34" i="25"/>
  <c r="V33" i="25"/>
  <c r="V31" i="25"/>
  <c r="V29" i="25"/>
  <c r="V27" i="25"/>
  <c r="V25" i="25"/>
  <c r="V20" i="25"/>
  <c r="V18" i="25"/>
  <c r="V16" i="25"/>
  <c r="Z12" i="25"/>
  <c r="V21" i="25"/>
  <c r="V22" i="25"/>
  <c r="T18" i="25"/>
  <c r="V24" i="25"/>
  <c r="V15" i="25"/>
  <c r="N24" i="25"/>
  <c r="Z25" i="25"/>
  <c r="L13" i="26"/>
  <c r="Z24" i="26"/>
  <c r="L33" i="26"/>
  <c r="Z21" i="16"/>
  <c r="X25" i="16"/>
  <c r="X29" i="16"/>
  <c r="X33" i="16"/>
  <c r="X34" i="16"/>
  <c r="Z13" i="17"/>
  <c r="Z16" i="17"/>
  <c r="Z20" i="17"/>
  <c r="X22" i="17"/>
  <c r="X24" i="17"/>
  <c r="L13" i="19"/>
  <c r="N21" i="19"/>
  <c r="L25" i="19"/>
  <c r="L29" i="19"/>
  <c r="L33" i="19"/>
  <c r="L34" i="19"/>
  <c r="N16" i="20"/>
  <c r="N20" i="20"/>
  <c r="L22" i="20"/>
  <c r="L24" i="20"/>
  <c r="F36" i="22"/>
  <c r="F34" i="22"/>
  <c r="F33" i="22"/>
  <c r="F31" i="22"/>
  <c r="F29" i="22"/>
  <c r="F27" i="22"/>
  <c r="F25" i="22"/>
  <c r="F24" i="22"/>
  <c r="F22" i="22"/>
  <c r="F21" i="22"/>
  <c r="F20" i="22"/>
  <c r="F18" i="22"/>
  <c r="F16" i="22"/>
  <c r="D18" i="22"/>
  <c r="F15" i="22"/>
  <c r="L12" i="22"/>
  <c r="X16" i="22"/>
  <c r="X20" i="22"/>
  <c r="X15" i="23"/>
  <c r="N25" i="23"/>
  <c r="N29" i="23"/>
  <c r="N33" i="23"/>
  <c r="N34" i="23"/>
  <c r="X15" i="25"/>
  <c r="N29" i="25"/>
  <c r="N34" i="25"/>
  <c r="N13" i="26"/>
  <c r="L16" i="26"/>
  <c r="N22" i="26"/>
  <c r="L15" i="29"/>
  <c r="J36" i="25"/>
  <c r="J34" i="25"/>
  <c r="J33" i="25"/>
  <c r="J31" i="25"/>
  <c r="J29" i="25"/>
  <c r="J27" i="25"/>
  <c r="J25" i="25"/>
  <c r="N12" i="25"/>
  <c r="J24" i="25"/>
  <c r="J20" i="25"/>
  <c r="J15" i="25"/>
  <c r="J21" i="25"/>
  <c r="J16" i="25"/>
  <c r="J22" i="25"/>
  <c r="J18" i="25"/>
  <c r="H18" i="25"/>
  <c r="X13" i="25"/>
  <c r="Z15" i="25"/>
  <c r="X21" i="25"/>
  <c r="L12" i="26"/>
  <c r="F33" i="26"/>
  <c r="F27" i="26"/>
  <c r="F22" i="26"/>
  <c r="F18" i="26"/>
  <c r="F34" i="26"/>
  <c r="F29" i="26"/>
  <c r="D18" i="26"/>
  <c r="F24" i="26"/>
  <c r="F20" i="26"/>
  <c r="F36" i="26"/>
  <c r="F31" i="26"/>
  <c r="F25" i="26"/>
  <c r="F15" i="26"/>
  <c r="F21" i="26"/>
  <c r="F16" i="26"/>
  <c r="X16" i="26"/>
  <c r="X20" i="26"/>
  <c r="T18" i="28"/>
  <c r="V15" i="28"/>
  <c r="Z12" i="28"/>
  <c r="V20" i="28"/>
  <c r="V18" i="28"/>
  <c r="V16" i="28"/>
  <c r="V36" i="28"/>
  <c r="V21" i="28"/>
  <c r="V33" i="28"/>
  <c r="V27" i="28"/>
  <c r="V22" i="28"/>
  <c r="V29" i="28"/>
  <c r="V34" i="28"/>
  <c r="V24" i="28"/>
  <c r="V31" i="28"/>
  <c r="V25" i="28"/>
  <c r="X15" i="28"/>
  <c r="Z25" i="28"/>
  <c r="N29" i="28"/>
  <c r="X16" i="29"/>
  <c r="X34" i="34"/>
  <c r="X25" i="41"/>
  <c r="Z21" i="25"/>
  <c r="X25" i="25"/>
  <c r="X29" i="25"/>
  <c r="X33" i="25"/>
  <c r="X34" i="25"/>
  <c r="Z13" i="26"/>
  <c r="Z16" i="26"/>
  <c r="Z20" i="26"/>
  <c r="X22" i="26"/>
  <c r="X24" i="26"/>
  <c r="L13" i="28"/>
  <c r="Z15" i="28"/>
  <c r="L33" i="28"/>
  <c r="X20" i="29"/>
  <c r="N22" i="29"/>
  <c r="L34" i="29"/>
  <c r="X20" i="31"/>
  <c r="N33" i="32"/>
  <c r="X25" i="34"/>
  <c r="Z20" i="35"/>
  <c r="N13" i="28"/>
  <c r="N22" i="28"/>
  <c r="Z24" i="28"/>
  <c r="Z34" i="28"/>
  <c r="F21" i="29"/>
  <c r="F20" i="29"/>
  <c r="F18" i="29"/>
  <c r="F16" i="29"/>
  <c r="D18" i="29"/>
  <c r="F15" i="29"/>
  <c r="L12" i="29"/>
  <c r="F27" i="29"/>
  <c r="F36" i="29"/>
  <c r="F33" i="29"/>
  <c r="F24" i="29"/>
  <c r="F29" i="29"/>
  <c r="F25" i="29"/>
  <c r="F34" i="29"/>
  <c r="F31" i="29"/>
  <c r="F22" i="29"/>
  <c r="L25" i="29"/>
  <c r="N24" i="32"/>
  <c r="X29" i="35"/>
  <c r="Z29" i="28"/>
  <c r="N33" i="28"/>
  <c r="X15" i="29"/>
  <c r="N34" i="29"/>
  <c r="F24" i="31"/>
  <c r="F22" i="31"/>
  <c r="F21" i="31"/>
  <c r="F20" i="31"/>
  <c r="F18" i="31"/>
  <c r="F16" i="31"/>
  <c r="D18" i="31"/>
  <c r="F15" i="31"/>
  <c r="L12" i="31"/>
  <c r="F36" i="31"/>
  <c r="F34" i="31"/>
  <c r="F33" i="31"/>
  <c r="F31" i="31"/>
  <c r="F29" i="31"/>
  <c r="F27" i="31"/>
  <c r="F25" i="31"/>
  <c r="X15" i="32"/>
  <c r="N34" i="32"/>
  <c r="N24" i="37"/>
  <c r="L16" i="25"/>
  <c r="L20" i="25"/>
  <c r="V24" i="26"/>
  <c r="V22" i="26"/>
  <c r="T18" i="26"/>
  <c r="V15" i="26"/>
  <c r="V34" i="26"/>
  <c r="V29" i="26"/>
  <c r="V20" i="26"/>
  <c r="Z12" i="26"/>
  <c r="V36" i="26"/>
  <c r="V31" i="26"/>
  <c r="V25" i="26"/>
  <c r="V21" i="26"/>
  <c r="V16" i="26"/>
  <c r="V33" i="26"/>
  <c r="V27" i="26"/>
  <c r="V18" i="26"/>
  <c r="L15" i="26"/>
  <c r="Z25" i="26"/>
  <c r="Z29" i="26"/>
  <c r="Z33" i="26"/>
  <c r="Z34" i="26"/>
  <c r="L16" i="28"/>
  <c r="R20" i="29"/>
  <c r="R18" i="29"/>
  <c r="R16" i="29"/>
  <c r="X12" i="29"/>
  <c r="R21" i="29"/>
  <c r="R29" i="29"/>
  <c r="R25" i="29"/>
  <c r="R34" i="29"/>
  <c r="P18" i="29"/>
  <c r="R31" i="29"/>
  <c r="R22" i="29"/>
  <c r="R15" i="29"/>
  <c r="R27" i="29"/>
  <c r="R36" i="29"/>
  <c r="R33" i="29"/>
  <c r="R24" i="29"/>
  <c r="N25" i="29"/>
  <c r="L29" i="29"/>
  <c r="N33" i="31"/>
  <c r="Z21" i="35"/>
  <c r="X13" i="28"/>
  <c r="N21" i="28"/>
  <c r="L25" i="28"/>
  <c r="Z12" i="29"/>
  <c r="V36" i="29"/>
  <c r="V34" i="29"/>
  <c r="V33" i="29"/>
  <c r="V31" i="29"/>
  <c r="V29" i="29"/>
  <c r="V27" i="29"/>
  <c r="V25" i="29"/>
  <c r="T18" i="29"/>
  <c r="V15" i="29"/>
  <c r="V21" i="29"/>
  <c r="V18" i="29"/>
  <c r="V22" i="29"/>
  <c r="V20" i="29"/>
  <c r="V24" i="29"/>
  <c r="V16" i="29"/>
  <c r="N21" i="29"/>
  <c r="Z22" i="29"/>
  <c r="X34" i="29"/>
  <c r="N25" i="32"/>
  <c r="X29" i="34"/>
  <c r="Z13" i="35"/>
  <c r="X22" i="35"/>
  <c r="Z22" i="28"/>
  <c r="L13" i="29"/>
  <c r="X25" i="29"/>
  <c r="N29" i="29"/>
  <c r="L33" i="29"/>
  <c r="X15" i="31"/>
  <c r="N34" i="31"/>
  <c r="X33" i="35"/>
  <c r="L15" i="28"/>
  <c r="N25" i="28"/>
  <c r="Z33" i="28"/>
  <c r="N13" i="29"/>
  <c r="Z34" i="29"/>
  <c r="Z21" i="34"/>
  <c r="X24" i="35"/>
  <c r="L12" i="28"/>
  <c r="F21" i="28"/>
  <c r="F20" i="28"/>
  <c r="F18" i="28"/>
  <c r="F16" i="28"/>
  <c r="F29" i="28"/>
  <c r="F34" i="28"/>
  <c r="F24" i="28"/>
  <c r="F15" i="28"/>
  <c r="F31" i="28"/>
  <c r="F25" i="28"/>
  <c r="F36" i="28"/>
  <c r="F33" i="28"/>
  <c r="F27" i="28"/>
  <c r="F22" i="28"/>
  <c r="D18" i="28"/>
  <c r="X16" i="28"/>
  <c r="L20" i="28"/>
  <c r="N24" i="29"/>
  <c r="Z25" i="29"/>
  <c r="X29" i="29"/>
  <c r="N33" i="29"/>
  <c r="N25" i="31"/>
  <c r="R20" i="34"/>
  <c r="R18" i="34"/>
  <c r="R16" i="34"/>
  <c r="P18" i="34"/>
  <c r="R15" i="34"/>
  <c r="X12" i="34"/>
  <c r="R21" i="34"/>
  <c r="R33" i="34"/>
  <c r="R22" i="34"/>
  <c r="R31" i="34"/>
  <c r="R29" i="34"/>
  <c r="R27" i="34"/>
  <c r="R36" i="34"/>
  <c r="R25" i="34"/>
  <c r="R24" i="34"/>
  <c r="R34" i="34"/>
  <c r="X34" i="35"/>
  <c r="Z22" i="40"/>
  <c r="H18" i="28"/>
  <c r="J15" i="28"/>
  <c r="N12" i="28"/>
  <c r="J20" i="28"/>
  <c r="J31" i="28"/>
  <c r="J25" i="28"/>
  <c r="J36" i="28"/>
  <c r="J21" i="28"/>
  <c r="J16" i="28"/>
  <c r="J33" i="28"/>
  <c r="J27" i="28"/>
  <c r="J22" i="28"/>
  <c r="J18" i="28"/>
  <c r="J34" i="28"/>
  <c r="J24" i="28"/>
  <c r="J29" i="28"/>
  <c r="X21" i="28"/>
  <c r="L29" i="28"/>
  <c r="Z21" i="29"/>
  <c r="X16" i="31"/>
  <c r="N29" i="32"/>
  <c r="X33" i="34"/>
  <c r="Z16" i="35"/>
  <c r="D18" i="25"/>
  <c r="F15" i="25"/>
  <c r="F18" i="25"/>
  <c r="F34" i="25"/>
  <c r="F29" i="25"/>
  <c r="F24" i="25"/>
  <c r="L12" i="25"/>
  <c r="F20" i="25"/>
  <c r="F36" i="25"/>
  <c r="F31" i="25"/>
  <c r="F25" i="25"/>
  <c r="F21" i="25"/>
  <c r="F16" i="25"/>
  <c r="F33" i="25"/>
  <c r="F27" i="25"/>
  <c r="F22" i="25"/>
  <c r="X16" i="25"/>
  <c r="X20" i="25"/>
  <c r="X15" i="26"/>
  <c r="N25" i="26"/>
  <c r="N29" i="26"/>
  <c r="N33" i="26"/>
  <c r="N34" i="26"/>
  <c r="R21" i="28"/>
  <c r="R24" i="28"/>
  <c r="R22" i="28"/>
  <c r="R31" i="28"/>
  <c r="R25" i="28"/>
  <c r="R16" i="28"/>
  <c r="R36" i="28"/>
  <c r="R33" i="28"/>
  <c r="R27" i="28"/>
  <c r="R18" i="28"/>
  <c r="P18" i="28"/>
  <c r="R29" i="28"/>
  <c r="R34" i="28"/>
  <c r="R20" i="28"/>
  <c r="R15" i="28"/>
  <c r="X12" i="28"/>
  <c r="N24" i="28"/>
  <c r="N34" i="28"/>
  <c r="Z29" i="29"/>
  <c r="X33" i="29"/>
  <c r="Z22" i="34"/>
  <c r="X25" i="35"/>
  <c r="Z21" i="28"/>
  <c r="X25" i="28"/>
  <c r="X29" i="28"/>
  <c r="X33" i="28"/>
  <c r="X34" i="28"/>
  <c r="Z13" i="29"/>
  <c r="Z16" i="29"/>
  <c r="Z20" i="29"/>
  <c r="X22" i="29"/>
  <c r="X24" i="29"/>
  <c r="N13" i="31"/>
  <c r="N22" i="31"/>
  <c r="N24" i="31"/>
  <c r="L13" i="32"/>
  <c r="N21" i="32"/>
  <c r="L25" i="32"/>
  <c r="L29" i="32"/>
  <c r="L33" i="32"/>
  <c r="L34" i="32"/>
  <c r="Z13" i="34"/>
  <c r="Z16" i="34"/>
  <c r="Z20" i="34"/>
  <c r="X22" i="34"/>
  <c r="X24" i="34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N12" i="35"/>
  <c r="X13" i="35"/>
  <c r="Z15" i="35"/>
  <c r="X21" i="35"/>
  <c r="Z16" i="37"/>
  <c r="L33" i="37"/>
  <c r="L16" i="38"/>
  <c r="L20" i="38"/>
  <c r="L22" i="38"/>
  <c r="X33" i="40"/>
  <c r="Z16" i="41"/>
  <c r="Z34" i="44"/>
  <c r="X20" i="37"/>
  <c r="N16" i="38"/>
  <c r="N20" i="38"/>
  <c r="X34" i="40"/>
  <c r="L29" i="43"/>
  <c r="Z21" i="49"/>
  <c r="J20" i="31"/>
  <c r="J18" i="31"/>
  <c r="J16" i="31"/>
  <c r="H18" i="31"/>
  <c r="J15" i="31"/>
  <c r="N12" i="31"/>
  <c r="J21" i="31"/>
  <c r="J36" i="31"/>
  <c r="J25" i="31"/>
  <c r="J34" i="31"/>
  <c r="J24" i="31"/>
  <c r="J33" i="31"/>
  <c r="J22" i="31"/>
  <c r="J31" i="31"/>
  <c r="J29" i="31"/>
  <c r="J27" i="31"/>
  <c r="X13" i="31"/>
  <c r="Z15" i="31"/>
  <c r="X21" i="31"/>
  <c r="F21" i="32"/>
  <c r="F20" i="32"/>
  <c r="F18" i="32"/>
  <c r="F16" i="32"/>
  <c r="D18" i="32"/>
  <c r="F15" i="32"/>
  <c r="L12" i="32"/>
  <c r="F24" i="32"/>
  <c r="F22" i="32"/>
  <c r="F31" i="32"/>
  <c r="F29" i="32"/>
  <c r="F27" i="32"/>
  <c r="F36" i="32"/>
  <c r="F25" i="32"/>
  <c r="F34" i="32"/>
  <c r="F33" i="32"/>
  <c r="X16" i="32"/>
  <c r="X20" i="32"/>
  <c r="Z12" i="34"/>
  <c r="V36" i="34"/>
  <c r="V34" i="34"/>
  <c r="V33" i="34"/>
  <c r="V31" i="34"/>
  <c r="V29" i="34"/>
  <c r="V27" i="34"/>
  <c r="V25" i="34"/>
  <c r="V24" i="34"/>
  <c r="V22" i="34"/>
  <c r="T18" i="34"/>
  <c r="V15" i="34"/>
  <c r="V21" i="34"/>
  <c r="V20" i="34"/>
  <c r="V18" i="34"/>
  <c r="V16" i="34"/>
  <c r="L15" i="34"/>
  <c r="Z25" i="34"/>
  <c r="Z29" i="34"/>
  <c r="Z33" i="34"/>
  <c r="Z34" i="34"/>
  <c r="P18" i="35"/>
  <c r="R15" i="35"/>
  <c r="X12" i="35"/>
  <c r="R36" i="35"/>
  <c r="R34" i="35"/>
  <c r="R33" i="35"/>
  <c r="R31" i="35"/>
  <c r="R29" i="35"/>
  <c r="R27" i="35"/>
  <c r="R25" i="35"/>
  <c r="R20" i="35"/>
  <c r="R18" i="35"/>
  <c r="R16" i="35"/>
  <c r="R24" i="35"/>
  <c r="R22" i="35"/>
  <c r="R21" i="35"/>
  <c r="Z22" i="35"/>
  <c r="Z24" i="35"/>
  <c r="Z15" i="37"/>
  <c r="L22" i="37"/>
  <c r="L13" i="38"/>
  <c r="L33" i="38"/>
  <c r="Z24" i="40"/>
  <c r="L34" i="43"/>
  <c r="X24" i="49"/>
  <c r="N15" i="28"/>
  <c r="L21" i="28"/>
  <c r="L16" i="29"/>
  <c r="L20" i="29"/>
  <c r="Z13" i="31"/>
  <c r="Z16" i="31"/>
  <c r="Z20" i="31"/>
  <c r="X22" i="31"/>
  <c r="X24" i="31"/>
  <c r="H18" i="32"/>
  <c r="J15" i="32"/>
  <c r="N12" i="32"/>
  <c r="J36" i="32"/>
  <c r="J34" i="32"/>
  <c r="J33" i="32"/>
  <c r="J31" i="32"/>
  <c r="J29" i="32"/>
  <c r="J27" i="32"/>
  <c r="J25" i="32"/>
  <c r="J20" i="32"/>
  <c r="J18" i="32"/>
  <c r="J16" i="32"/>
  <c r="J21" i="32"/>
  <c r="J24" i="32"/>
  <c r="J22" i="32"/>
  <c r="X13" i="32"/>
  <c r="Z15" i="32"/>
  <c r="X21" i="32"/>
  <c r="L16" i="34"/>
  <c r="L20" i="34"/>
  <c r="Z12" i="35"/>
  <c r="V36" i="35"/>
  <c r="V34" i="35"/>
  <c r="V33" i="35"/>
  <c r="V31" i="35"/>
  <c r="V29" i="35"/>
  <c r="V27" i="35"/>
  <c r="V25" i="35"/>
  <c r="V24" i="35"/>
  <c r="V22" i="35"/>
  <c r="V21" i="35"/>
  <c r="V16" i="35"/>
  <c r="V15" i="35"/>
  <c r="V20" i="35"/>
  <c r="T18" i="35"/>
  <c r="V18" i="35"/>
  <c r="L15" i="35"/>
  <c r="Z25" i="35"/>
  <c r="Z29" i="35"/>
  <c r="Z33" i="35"/>
  <c r="Z34" i="35"/>
  <c r="L13" i="37"/>
  <c r="Z20" i="37"/>
  <c r="X24" i="37"/>
  <c r="X16" i="38"/>
  <c r="X25" i="40"/>
  <c r="Z20" i="41"/>
  <c r="F36" i="50"/>
  <c r="F34" i="50"/>
  <c r="F33" i="50"/>
  <c r="F31" i="50"/>
  <c r="F29" i="50"/>
  <c r="F27" i="50"/>
  <c r="F25" i="50"/>
  <c r="F21" i="50"/>
  <c r="F20" i="50"/>
  <c r="F18" i="50"/>
  <c r="F16" i="50"/>
  <c r="D18" i="50"/>
  <c r="F15" i="50"/>
  <c r="F24" i="50"/>
  <c r="L12" i="50"/>
  <c r="F22" i="50"/>
  <c r="N29" i="53"/>
  <c r="N16" i="28"/>
  <c r="N20" i="28"/>
  <c r="L22" i="28"/>
  <c r="L24" i="28"/>
  <c r="N15" i="29"/>
  <c r="L21" i="29"/>
  <c r="Z21" i="31"/>
  <c r="X25" i="31"/>
  <c r="X29" i="31"/>
  <c r="X33" i="31"/>
  <c r="X34" i="31"/>
  <c r="Z13" i="32"/>
  <c r="Z16" i="32"/>
  <c r="Z20" i="32"/>
  <c r="X22" i="32"/>
  <c r="X24" i="32"/>
  <c r="N15" i="34"/>
  <c r="L21" i="34"/>
  <c r="L16" i="35"/>
  <c r="L20" i="35"/>
  <c r="N13" i="37"/>
  <c r="L16" i="37"/>
  <c r="N22" i="37"/>
  <c r="L15" i="38"/>
  <c r="L24" i="38"/>
  <c r="X29" i="41"/>
  <c r="Z29" i="46"/>
  <c r="L34" i="28"/>
  <c r="N16" i="29"/>
  <c r="N20" i="29"/>
  <c r="L22" i="29"/>
  <c r="L24" i="29"/>
  <c r="X12" i="31"/>
  <c r="R36" i="31"/>
  <c r="R34" i="31"/>
  <c r="R33" i="31"/>
  <c r="R31" i="31"/>
  <c r="R29" i="31"/>
  <c r="R27" i="31"/>
  <c r="R25" i="31"/>
  <c r="R24" i="31"/>
  <c r="R22" i="31"/>
  <c r="R21" i="31"/>
  <c r="R20" i="31"/>
  <c r="R18" i="31"/>
  <c r="R16" i="31"/>
  <c r="R15" i="31"/>
  <c r="P18" i="31"/>
  <c r="Z22" i="31"/>
  <c r="Z24" i="31"/>
  <c r="Z21" i="32"/>
  <c r="X25" i="32"/>
  <c r="X29" i="32"/>
  <c r="X33" i="32"/>
  <c r="X34" i="32"/>
  <c r="N16" i="34"/>
  <c r="N20" i="34"/>
  <c r="L22" i="34"/>
  <c r="L24" i="34"/>
  <c r="N15" i="35"/>
  <c r="L21" i="35"/>
  <c r="L21" i="37"/>
  <c r="L21" i="38"/>
  <c r="X25" i="50"/>
  <c r="Z12" i="31"/>
  <c r="V36" i="31"/>
  <c r="V34" i="31"/>
  <c r="V33" i="31"/>
  <c r="V31" i="31"/>
  <c r="V29" i="31"/>
  <c r="V27" i="31"/>
  <c r="V25" i="31"/>
  <c r="V24" i="31"/>
  <c r="V22" i="31"/>
  <c r="V21" i="31"/>
  <c r="V20" i="31"/>
  <c r="V18" i="31"/>
  <c r="V16" i="31"/>
  <c r="T18" i="31"/>
  <c r="V15" i="31"/>
  <c r="L15" i="31"/>
  <c r="Z25" i="31"/>
  <c r="Z29" i="31"/>
  <c r="Z33" i="31"/>
  <c r="Z34" i="31"/>
  <c r="X12" i="32"/>
  <c r="R36" i="32"/>
  <c r="R34" i="32"/>
  <c r="R33" i="32"/>
  <c r="R31" i="32"/>
  <c r="R29" i="32"/>
  <c r="R27" i="32"/>
  <c r="R25" i="32"/>
  <c r="R24" i="32"/>
  <c r="R22" i="32"/>
  <c r="R21" i="32"/>
  <c r="R20" i="32"/>
  <c r="R18" i="32"/>
  <c r="R16" i="32"/>
  <c r="P18" i="32"/>
  <c r="R15" i="32"/>
  <c r="Z22" i="32"/>
  <c r="Z24" i="32"/>
  <c r="L13" i="34"/>
  <c r="N21" i="34"/>
  <c r="L25" i="34"/>
  <c r="L29" i="34"/>
  <c r="L33" i="34"/>
  <c r="L34" i="34"/>
  <c r="N16" i="35"/>
  <c r="N20" i="35"/>
  <c r="L22" i="35"/>
  <c r="L24" i="35"/>
  <c r="X13" i="37"/>
  <c r="N16" i="37"/>
  <c r="L34" i="37"/>
  <c r="N15" i="38"/>
  <c r="L29" i="38"/>
  <c r="L34" i="38"/>
  <c r="Z21" i="41"/>
  <c r="J36" i="47"/>
  <c r="J34" i="47"/>
  <c r="J33" i="47"/>
  <c r="J31" i="47"/>
  <c r="J29" i="47"/>
  <c r="J27" i="47"/>
  <c r="J25" i="47"/>
  <c r="J21" i="47"/>
  <c r="J22" i="47"/>
  <c r="J24" i="47"/>
  <c r="J15" i="47"/>
  <c r="J18" i="47"/>
  <c r="N12" i="47"/>
  <c r="J20" i="47"/>
  <c r="H18" i="47"/>
  <c r="J16" i="47"/>
  <c r="L16" i="31"/>
  <c r="L20" i="31"/>
  <c r="Z12" i="32"/>
  <c r="V36" i="32"/>
  <c r="V34" i="32"/>
  <c r="V33" i="32"/>
  <c r="V31" i="32"/>
  <c r="V29" i="32"/>
  <c r="V27" i="32"/>
  <c r="V25" i="32"/>
  <c r="V24" i="32"/>
  <c r="V22" i="32"/>
  <c r="V21" i="32"/>
  <c r="V20" i="32"/>
  <c r="V18" i="32"/>
  <c r="V16" i="32"/>
  <c r="T18" i="32"/>
  <c r="V15" i="32"/>
  <c r="L15" i="32"/>
  <c r="Z25" i="32"/>
  <c r="Z29" i="32"/>
  <c r="Z33" i="32"/>
  <c r="Z34" i="32"/>
  <c r="N13" i="34"/>
  <c r="N22" i="34"/>
  <c r="N24" i="34"/>
  <c r="L13" i="35"/>
  <c r="N21" i="35"/>
  <c r="L25" i="35"/>
  <c r="L29" i="35"/>
  <c r="L33" i="35"/>
  <c r="L34" i="35"/>
  <c r="Z13" i="37"/>
  <c r="N21" i="37"/>
  <c r="X22" i="37"/>
  <c r="L25" i="37"/>
  <c r="N21" i="38"/>
  <c r="X29" i="40"/>
  <c r="Z13" i="41"/>
  <c r="X22" i="41"/>
  <c r="N15" i="31"/>
  <c r="L21" i="31"/>
  <c r="L16" i="32"/>
  <c r="L20" i="32"/>
  <c r="X15" i="34"/>
  <c r="N25" i="34"/>
  <c r="N29" i="34"/>
  <c r="N33" i="34"/>
  <c r="N34" i="34"/>
  <c r="N13" i="35"/>
  <c r="N22" i="35"/>
  <c r="N24" i="35"/>
  <c r="L20" i="37"/>
  <c r="X33" i="41"/>
  <c r="N20" i="43"/>
  <c r="N16" i="31"/>
  <c r="N20" i="31"/>
  <c r="L22" i="31"/>
  <c r="L24" i="31"/>
  <c r="N15" i="32"/>
  <c r="L21" i="32"/>
  <c r="F36" i="34"/>
  <c r="F34" i="34"/>
  <c r="F33" i="34"/>
  <c r="F31" i="34"/>
  <c r="F29" i="34"/>
  <c r="F27" i="34"/>
  <c r="F25" i="34"/>
  <c r="F24" i="34"/>
  <c r="F22" i="34"/>
  <c r="F21" i="34"/>
  <c r="F20" i="34"/>
  <c r="F18" i="34"/>
  <c r="F16" i="34"/>
  <c r="D18" i="34"/>
  <c r="F15" i="34"/>
  <c r="L12" i="34"/>
  <c r="X16" i="34"/>
  <c r="X20" i="34"/>
  <c r="X15" i="35"/>
  <c r="N25" i="35"/>
  <c r="N29" i="35"/>
  <c r="N33" i="35"/>
  <c r="N34" i="35"/>
  <c r="F29" i="37"/>
  <c r="F20" i="37"/>
  <c r="F25" i="37"/>
  <c r="F15" i="37"/>
  <c r="F34" i="37"/>
  <c r="F21" i="37"/>
  <c r="F31" i="37"/>
  <c r="F16" i="37"/>
  <c r="F27" i="37"/>
  <c r="F22" i="37"/>
  <c r="F36" i="37"/>
  <c r="F18" i="37"/>
  <c r="F24" i="37"/>
  <c r="L12" i="37"/>
  <c r="F33" i="37"/>
  <c r="D18" i="37"/>
  <c r="N15" i="37"/>
  <c r="X16" i="37"/>
  <c r="L29" i="37"/>
  <c r="L12" i="38"/>
  <c r="F36" i="38"/>
  <c r="F34" i="38"/>
  <c r="F33" i="38"/>
  <c r="F31" i="38"/>
  <c r="F29" i="38"/>
  <c r="F27" i="38"/>
  <c r="F25" i="38"/>
  <c r="F21" i="38"/>
  <c r="F18" i="38"/>
  <c r="F24" i="38"/>
  <c r="D18" i="38"/>
  <c r="F15" i="38"/>
  <c r="F20" i="38"/>
  <c r="F16" i="38"/>
  <c r="F22" i="38"/>
  <c r="Z21" i="40"/>
  <c r="X24" i="41"/>
  <c r="X25" i="47"/>
  <c r="Z13" i="28"/>
  <c r="Z16" i="28"/>
  <c r="Z20" i="28"/>
  <c r="X22" i="28"/>
  <c r="X24" i="28"/>
  <c r="H18" i="29"/>
  <c r="J15" i="29"/>
  <c r="J20" i="29"/>
  <c r="J33" i="29"/>
  <c r="J24" i="29"/>
  <c r="J16" i="29"/>
  <c r="J29" i="29"/>
  <c r="J21" i="29"/>
  <c r="J25" i="29"/>
  <c r="J34" i="29"/>
  <c r="J18" i="29"/>
  <c r="N12" i="29"/>
  <c r="J31" i="29"/>
  <c r="J22" i="29"/>
  <c r="J36" i="29"/>
  <c r="J27" i="29"/>
  <c r="X13" i="29"/>
  <c r="Z15" i="29"/>
  <c r="X21" i="29"/>
  <c r="L13" i="31"/>
  <c r="N21" i="31"/>
  <c r="L25" i="31"/>
  <c r="L29" i="31"/>
  <c r="L33" i="31"/>
  <c r="L34" i="31"/>
  <c r="N16" i="32"/>
  <c r="N20" i="32"/>
  <c r="L22" i="32"/>
  <c r="L24" i="32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H18" i="34"/>
  <c r="J15" i="34"/>
  <c r="N12" i="34"/>
  <c r="X13" i="34"/>
  <c r="Z15" i="34"/>
  <c r="X21" i="34"/>
  <c r="F36" i="35"/>
  <c r="F34" i="35"/>
  <c r="F33" i="35"/>
  <c r="F31" i="35"/>
  <c r="F29" i="35"/>
  <c r="F27" i="35"/>
  <c r="F25" i="35"/>
  <c r="F24" i="35"/>
  <c r="F22" i="35"/>
  <c r="F21" i="35"/>
  <c r="F20" i="35"/>
  <c r="F18" i="35"/>
  <c r="F16" i="35"/>
  <c r="D18" i="35"/>
  <c r="F15" i="35"/>
  <c r="L12" i="35"/>
  <c r="X16" i="35"/>
  <c r="X20" i="35"/>
  <c r="N12" i="37"/>
  <c r="J36" i="37"/>
  <c r="J34" i="37"/>
  <c r="J33" i="37"/>
  <c r="J31" i="37"/>
  <c r="J29" i="37"/>
  <c r="J27" i="37"/>
  <c r="J25" i="37"/>
  <c r="J24" i="37"/>
  <c r="J22" i="37"/>
  <c r="J15" i="37"/>
  <c r="J21" i="37"/>
  <c r="J16" i="37"/>
  <c r="J18" i="37"/>
  <c r="H18" i="37"/>
  <c r="J20" i="37"/>
  <c r="N20" i="37"/>
  <c r="X21" i="37"/>
  <c r="L24" i="37"/>
  <c r="V20" i="38"/>
  <c r="V18" i="38"/>
  <c r="V16" i="38"/>
  <c r="T18" i="38"/>
  <c r="V15" i="38"/>
  <c r="V21" i="38"/>
  <c r="V34" i="38"/>
  <c r="V29" i="38"/>
  <c r="V24" i="38"/>
  <c r="V33" i="38"/>
  <c r="V27" i="38"/>
  <c r="V22" i="38"/>
  <c r="V36" i="38"/>
  <c r="V31" i="38"/>
  <c r="V25" i="38"/>
  <c r="Z12" i="38"/>
  <c r="L25" i="38"/>
  <c r="X12" i="40"/>
  <c r="R21" i="40"/>
  <c r="R20" i="40"/>
  <c r="R18" i="40"/>
  <c r="R16" i="40"/>
  <c r="P18" i="40"/>
  <c r="R15" i="40"/>
  <c r="R31" i="40"/>
  <c r="R29" i="40"/>
  <c r="R27" i="40"/>
  <c r="R36" i="40"/>
  <c r="R25" i="40"/>
  <c r="R34" i="40"/>
  <c r="R24" i="40"/>
  <c r="R22" i="40"/>
  <c r="R33" i="40"/>
  <c r="X34" i="41"/>
  <c r="L24" i="43"/>
  <c r="V21" i="37"/>
  <c r="V20" i="37"/>
  <c r="V18" i="37"/>
  <c r="V16" i="37"/>
  <c r="V24" i="37"/>
  <c r="V22" i="37"/>
  <c r="V34" i="37"/>
  <c r="V31" i="37"/>
  <c r="T18" i="37"/>
  <c r="V27" i="37"/>
  <c r="V36" i="37"/>
  <c r="V33" i="37"/>
  <c r="V15" i="37"/>
  <c r="V29" i="37"/>
  <c r="Z12" i="37"/>
  <c r="V25" i="37"/>
  <c r="L15" i="37"/>
  <c r="Z25" i="37"/>
  <c r="Z29" i="37"/>
  <c r="Z33" i="37"/>
  <c r="Z34" i="37"/>
  <c r="R24" i="38"/>
  <c r="R22" i="38"/>
  <c r="R21" i="38"/>
  <c r="R20" i="38"/>
  <c r="R18" i="38"/>
  <c r="R16" i="38"/>
  <c r="R36" i="38"/>
  <c r="R34" i="38"/>
  <c r="R33" i="38"/>
  <c r="R31" i="38"/>
  <c r="R29" i="38"/>
  <c r="R27" i="38"/>
  <c r="R25" i="38"/>
  <c r="P18" i="38"/>
  <c r="R15" i="38"/>
  <c r="X12" i="38"/>
  <c r="Z22" i="38"/>
  <c r="Z24" i="38"/>
  <c r="F36" i="40"/>
  <c r="F34" i="40"/>
  <c r="F33" i="40"/>
  <c r="F31" i="40"/>
  <c r="F29" i="40"/>
  <c r="F27" i="40"/>
  <c r="F25" i="40"/>
  <c r="F24" i="40"/>
  <c r="F22" i="40"/>
  <c r="F21" i="40"/>
  <c r="F20" i="40"/>
  <c r="F18" i="40"/>
  <c r="F16" i="40"/>
  <c r="D18" i="40"/>
  <c r="F15" i="40"/>
  <c r="L12" i="40"/>
  <c r="X16" i="40"/>
  <c r="X20" i="40"/>
  <c r="X15" i="41"/>
  <c r="N25" i="41"/>
  <c r="N29" i="41"/>
  <c r="N33" i="41"/>
  <c r="N34" i="41"/>
  <c r="L13" i="43"/>
  <c r="L33" i="43"/>
  <c r="N20" i="44"/>
  <c r="Z13" i="46"/>
  <c r="Z20" i="46"/>
  <c r="L24" i="47"/>
  <c r="N22" i="53"/>
  <c r="Z25" i="38"/>
  <c r="Z29" i="38"/>
  <c r="Z33" i="38"/>
  <c r="Z34" i="38"/>
  <c r="J24" i="40"/>
  <c r="J22" i="40"/>
  <c r="J21" i="40"/>
  <c r="J20" i="40"/>
  <c r="J18" i="40"/>
  <c r="J16" i="40"/>
  <c r="H18" i="40"/>
  <c r="J15" i="40"/>
  <c r="J36" i="40"/>
  <c r="J34" i="40"/>
  <c r="J33" i="40"/>
  <c r="J31" i="40"/>
  <c r="J29" i="40"/>
  <c r="J27" i="40"/>
  <c r="J25" i="40"/>
  <c r="N12" i="40"/>
  <c r="X13" i="40"/>
  <c r="Z15" i="40"/>
  <c r="X21" i="40"/>
  <c r="F36" i="41"/>
  <c r="F34" i="41"/>
  <c r="F33" i="41"/>
  <c r="F31" i="41"/>
  <c r="F29" i="41"/>
  <c r="F27" i="41"/>
  <c r="F25" i="41"/>
  <c r="F24" i="41"/>
  <c r="F22" i="41"/>
  <c r="F21" i="41"/>
  <c r="F20" i="41"/>
  <c r="F18" i="41"/>
  <c r="F16" i="41"/>
  <c r="D18" i="41"/>
  <c r="F15" i="41"/>
  <c r="L12" i="41"/>
  <c r="X16" i="41"/>
  <c r="X20" i="41"/>
  <c r="L15" i="43"/>
  <c r="L15" i="44"/>
  <c r="Z25" i="44"/>
  <c r="Z33" i="44"/>
  <c r="X15" i="46"/>
  <c r="N25" i="52"/>
  <c r="Z13" i="40"/>
  <c r="Z16" i="40"/>
  <c r="Z20" i="40"/>
  <c r="X22" i="40"/>
  <c r="X24" i="40"/>
  <c r="J21" i="41"/>
  <c r="J20" i="41"/>
  <c r="J18" i="41"/>
  <c r="J16" i="41"/>
  <c r="H18" i="41"/>
  <c r="J15" i="41"/>
  <c r="J36" i="41"/>
  <c r="J34" i="41"/>
  <c r="J33" i="41"/>
  <c r="J31" i="41"/>
  <c r="J29" i="41"/>
  <c r="J27" i="41"/>
  <c r="J25" i="41"/>
  <c r="J24" i="41"/>
  <c r="J22" i="41"/>
  <c r="N12" i="41"/>
  <c r="X13" i="41"/>
  <c r="Z15" i="41"/>
  <c r="X21" i="41"/>
  <c r="L20" i="43"/>
  <c r="N15" i="44"/>
  <c r="L21" i="44"/>
  <c r="Z15" i="46"/>
  <c r="X21" i="46"/>
  <c r="Z22" i="53"/>
  <c r="Z12" i="40"/>
  <c r="V36" i="40"/>
  <c r="V34" i="40"/>
  <c r="V33" i="40"/>
  <c r="V31" i="40"/>
  <c r="V29" i="40"/>
  <c r="V27" i="40"/>
  <c r="V25" i="40"/>
  <c r="V24" i="40"/>
  <c r="V22" i="40"/>
  <c r="T18" i="40"/>
  <c r="V15" i="40"/>
  <c r="V21" i="40"/>
  <c r="V20" i="40"/>
  <c r="V18" i="40"/>
  <c r="V16" i="40"/>
  <c r="L15" i="40"/>
  <c r="Z25" i="40"/>
  <c r="Z29" i="40"/>
  <c r="Z33" i="40"/>
  <c r="Z34" i="40"/>
  <c r="X12" i="41"/>
  <c r="R36" i="41"/>
  <c r="R34" i="41"/>
  <c r="R33" i="41"/>
  <c r="R31" i="41"/>
  <c r="R29" i="41"/>
  <c r="R27" i="41"/>
  <c r="R25" i="41"/>
  <c r="R20" i="41"/>
  <c r="R18" i="41"/>
  <c r="R16" i="41"/>
  <c r="P18" i="41"/>
  <c r="R15" i="41"/>
  <c r="R24" i="41"/>
  <c r="R22" i="41"/>
  <c r="R21" i="41"/>
  <c r="Z22" i="41"/>
  <c r="Z24" i="41"/>
  <c r="Z29" i="43"/>
  <c r="R21" i="47"/>
  <c r="P18" i="47"/>
  <c r="R15" i="47"/>
  <c r="R22" i="47"/>
  <c r="R34" i="47"/>
  <c r="R29" i="47"/>
  <c r="R24" i="47"/>
  <c r="R16" i="47"/>
  <c r="R36" i="47"/>
  <c r="R31" i="47"/>
  <c r="R25" i="47"/>
  <c r="R18" i="47"/>
  <c r="X12" i="47"/>
  <c r="R33" i="47"/>
  <c r="R20" i="47"/>
  <c r="R27" i="47"/>
  <c r="Z24" i="49"/>
  <c r="Z15" i="50"/>
  <c r="X15" i="37"/>
  <c r="N25" i="37"/>
  <c r="N29" i="37"/>
  <c r="N33" i="37"/>
  <c r="N34" i="37"/>
  <c r="N13" i="38"/>
  <c r="N22" i="38"/>
  <c r="N24" i="38"/>
  <c r="L16" i="40"/>
  <c r="L20" i="40"/>
  <c r="Z12" i="41"/>
  <c r="V36" i="41"/>
  <c r="V34" i="41"/>
  <c r="V33" i="41"/>
  <c r="V31" i="41"/>
  <c r="V29" i="41"/>
  <c r="V27" i="41"/>
  <c r="V25" i="41"/>
  <c r="V24" i="41"/>
  <c r="V22" i="41"/>
  <c r="V21" i="41"/>
  <c r="V15" i="41"/>
  <c r="V20" i="41"/>
  <c r="V18" i="41"/>
  <c r="T18" i="41"/>
  <c r="V16" i="41"/>
  <c r="L15" i="41"/>
  <c r="Z25" i="41"/>
  <c r="Z29" i="41"/>
  <c r="Z33" i="41"/>
  <c r="Z34" i="41"/>
  <c r="L16" i="43"/>
  <c r="N16" i="44"/>
  <c r="L22" i="44"/>
  <c r="Z16" i="46"/>
  <c r="X22" i="46"/>
  <c r="T18" i="47"/>
  <c r="V15" i="47"/>
  <c r="V34" i="47"/>
  <c r="V29" i="47"/>
  <c r="V24" i="47"/>
  <c r="V16" i="47"/>
  <c r="V36" i="47"/>
  <c r="V31" i="47"/>
  <c r="V25" i="47"/>
  <c r="V18" i="47"/>
  <c r="Z12" i="47"/>
  <c r="V33" i="47"/>
  <c r="V22" i="47"/>
  <c r="V21" i="47"/>
  <c r="V20" i="47"/>
  <c r="V27" i="47"/>
  <c r="X15" i="38"/>
  <c r="N25" i="38"/>
  <c r="N29" i="38"/>
  <c r="N33" i="38"/>
  <c r="N34" i="38"/>
  <c r="N15" i="40"/>
  <c r="L21" i="40"/>
  <c r="L16" i="41"/>
  <c r="L20" i="41"/>
  <c r="N16" i="43"/>
  <c r="Z29" i="44"/>
  <c r="X21" i="47"/>
  <c r="X13" i="49"/>
  <c r="L34" i="50"/>
  <c r="J36" i="53"/>
  <c r="J34" i="53"/>
  <c r="J33" i="53"/>
  <c r="J31" i="53"/>
  <c r="J29" i="53"/>
  <c r="J27" i="53"/>
  <c r="J25" i="53"/>
  <c r="J22" i="53"/>
  <c r="J24" i="53"/>
  <c r="J15" i="53"/>
  <c r="J16" i="53"/>
  <c r="N12" i="53"/>
  <c r="J21" i="53"/>
  <c r="J20" i="53"/>
  <c r="J18" i="53"/>
  <c r="H18" i="53"/>
  <c r="X20" i="38"/>
  <c r="N16" i="40"/>
  <c r="N20" i="40"/>
  <c r="L22" i="40"/>
  <c r="L24" i="40"/>
  <c r="N15" i="41"/>
  <c r="L21" i="41"/>
  <c r="N21" i="43"/>
  <c r="L25" i="43"/>
  <c r="J20" i="46"/>
  <c r="J18" i="46"/>
  <c r="J16" i="46"/>
  <c r="J29" i="46"/>
  <c r="H18" i="46"/>
  <c r="J15" i="46"/>
  <c r="J31" i="46"/>
  <c r="J33" i="46"/>
  <c r="N12" i="46"/>
  <c r="J36" i="46"/>
  <c r="J27" i="46"/>
  <c r="J21" i="46"/>
  <c r="J25" i="46"/>
  <c r="J24" i="46"/>
  <c r="J34" i="46"/>
  <c r="J22" i="46"/>
  <c r="X24" i="46"/>
  <c r="L33" i="46"/>
  <c r="N12" i="38"/>
  <c r="J36" i="38"/>
  <c r="J34" i="38"/>
  <c r="J33" i="38"/>
  <c r="J31" i="38"/>
  <c r="J29" i="38"/>
  <c r="J27" i="38"/>
  <c r="J25" i="38"/>
  <c r="J24" i="38"/>
  <c r="J22" i="38"/>
  <c r="J21" i="38"/>
  <c r="J18" i="38"/>
  <c r="H18" i="38"/>
  <c r="J15" i="38"/>
  <c r="J20" i="38"/>
  <c r="J16" i="38"/>
  <c r="X13" i="38"/>
  <c r="Z15" i="38"/>
  <c r="X21" i="38"/>
  <c r="L13" i="40"/>
  <c r="N21" i="40"/>
  <c r="L25" i="40"/>
  <c r="L29" i="40"/>
  <c r="L33" i="40"/>
  <c r="L34" i="40"/>
  <c r="N16" i="41"/>
  <c r="N20" i="41"/>
  <c r="L22" i="41"/>
  <c r="L24" i="41"/>
  <c r="V21" i="43"/>
  <c r="V20" i="43"/>
  <c r="V18" i="43"/>
  <c r="V16" i="43"/>
  <c r="T18" i="43"/>
  <c r="V15" i="43"/>
  <c r="Z12" i="43"/>
  <c r="V31" i="43"/>
  <c r="V25" i="43"/>
  <c r="V36" i="43"/>
  <c r="V29" i="43"/>
  <c r="V24" i="43"/>
  <c r="V27" i="43"/>
  <c r="V33" i="43"/>
  <c r="V22" i="43"/>
  <c r="V34" i="43"/>
  <c r="Z25" i="43"/>
  <c r="L24" i="44"/>
  <c r="N15" i="47"/>
  <c r="Z21" i="37"/>
  <c r="X25" i="37"/>
  <c r="X29" i="37"/>
  <c r="X33" i="37"/>
  <c r="X34" i="37"/>
  <c r="Z13" i="38"/>
  <c r="Z16" i="38"/>
  <c r="Z20" i="38"/>
  <c r="X22" i="38"/>
  <c r="X24" i="38"/>
  <c r="N13" i="40"/>
  <c r="N22" i="40"/>
  <c r="N24" i="40"/>
  <c r="L13" i="41"/>
  <c r="N21" i="41"/>
  <c r="L25" i="41"/>
  <c r="L29" i="41"/>
  <c r="L33" i="41"/>
  <c r="L34" i="41"/>
  <c r="V20" i="44"/>
  <c r="V18" i="44"/>
  <c r="V16" i="44"/>
  <c r="T18" i="44"/>
  <c r="V15" i="44"/>
  <c r="V36" i="44"/>
  <c r="V34" i="44"/>
  <c r="V33" i="44"/>
  <c r="V31" i="44"/>
  <c r="V29" i="44"/>
  <c r="V27" i="44"/>
  <c r="V25" i="44"/>
  <c r="V21" i="44"/>
  <c r="Z12" i="44"/>
  <c r="V24" i="44"/>
  <c r="V22" i="44"/>
  <c r="L34" i="46"/>
  <c r="L16" i="47"/>
  <c r="Z21" i="50"/>
  <c r="R36" i="37"/>
  <c r="R34" i="37"/>
  <c r="R33" i="37"/>
  <c r="R31" i="37"/>
  <c r="R29" i="37"/>
  <c r="R27" i="37"/>
  <c r="R25" i="37"/>
  <c r="R24" i="37"/>
  <c r="R22" i="37"/>
  <c r="R16" i="37"/>
  <c r="R18" i="37"/>
  <c r="P18" i="37"/>
  <c r="R20" i="37"/>
  <c r="R15" i="37"/>
  <c r="R21" i="37"/>
  <c r="X12" i="37"/>
  <c r="Z22" i="37"/>
  <c r="Z24" i="37"/>
  <c r="Z21" i="38"/>
  <c r="X25" i="38"/>
  <c r="X29" i="38"/>
  <c r="X33" i="38"/>
  <c r="X34" i="38"/>
  <c r="X15" i="40"/>
  <c r="N25" i="40"/>
  <c r="N29" i="40"/>
  <c r="N33" i="40"/>
  <c r="N34" i="40"/>
  <c r="N13" i="41"/>
  <c r="N22" i="41"/>
  <c r="N24" i="41"/>
  <c r="L22" i="43"/>
  <c r="X13" i="46"/>
  <c r="X25" i="46"/>
  <c r="N34" i="46"/>
  <c r="N16" i="47"/>
  <c r="X33" i="49"/>
  <c r="Z33" i="43"/>
  <c r="Z34" i="43"/>
  <c r="R24" i="44"/>
  <c r="R22" i="44"/>
  <c r="R21" i="44"/>
  <c r="R20" i="44"/>
  <c r="R18" i="44"/>
  <c r="R16" i="44"/>
  <c r="P18" i="44"/>
  <c r="R15" i="44"/>
  <c r="X12" i="44"/>
  <c r="R36" i="44"/>
  <c r="R34" i="44"/>
  <c r="R33" i="44"/>
  <c r="R31" i="44"/>
  <c r="R29" i="44"/>
  <c r="R27" i="44"/>
  <c r="R25" i="44"/>
  <c r="Z22" i="44"/>
  <c r="Z24" i="44"/>
  <c r="N13" i="46"/>
  <c r="N22" i="46"/>
  <c r="N24" i="46"/>
  <c r="N25" i="46"/>
  <c r="Z22" i="47"/>
  <c r="X33" i="47"/>
  <c r="N13" i="49"/>
  <c r="Z16" i="49"/>
  <c r="L25" i="50"/>
  <c r="X33" i="50"/>
  <c r="N24" i="52"/>
  <c r="Z29" i="52"/>
  <c r="N15" i="43"/>
  <c r="L21" i="43"/>
  <c r="L16" i="44"/>
  <c r="L20" i="44"/>
  <c r="F25" i="46"/>
  <c r="F24" i="46"/>
  <c r="F22" i="46"/>
  <c r="F27" i="46"/>
  <c r="F21" i="46"/>
  <c r="F20" i="46"/>
  <c r="F18" i="46"/>
  <c r="F16" i="46"/>
  <c r="F29" i="46"/>
  <c r="D18" i="46"/>
  <c r="F15" i="46"/>
  <c r="F31" i="46"/>
  <c r="F34" i="46"/>
  <c r="F36" i="46"/>
  <c r="F33" i="46"/>
  <c r="L12" i="46"/>
  <c r="X16" i="46"/>
  <c r="X20" i="46"/>
  <c r="L15" i="47"/>
  <c r="Z21" i="47"/>
  <c r="N25" i="47"/>
  <c r="Z33" i="47"/>
  <c r="Z13" i="49"/>
  <c r="X21" i="49"/>
  <c r="X29" i="50"/>
  <c r="X22" i="53"/>
  <c r="N13" i="43"/>
  <c r="N22" i="43"/>
  <c r="N24" i="43"/>
  <c r="L13" i="44"/>
  <c r="N21" i="44"/>
  <c r="L25" i="44"/>
  <c r="L29" i="44"/>
  <c r="L33" i="44"/>
  <c r="L34" i="44"/>
  <c r="Z21" i="46"/>
  <c r="Z24" i="46"/>
  <c r="Z25" i="46"/>
  <c r="N33" i="46"/>
  <c r="N24" i="47"/>
  <c r="X29" i="49"/>
  <c r="J21" i="50"/>
  <c r="H18" i="50"/>
  <c r="J15" i="50"/>
  <c r="J24" i="50"/>
  <c r="J22" i="50"/>
  <c r="J29" i="50"/>
  <c r="J18" i="50"/>
  <c r="J33" i="50"/>
  <c r="N12" i="50"/>
  <c r="J36" i="50"/>
  <c r="J27" i="50"/>
  <c r="J16" i="50"/>
  <c r="J34" i="50"/>
  <c r="J20" i="50"/>
  <c r="J31" i="50"/>
  <c r="J25" i="50"/>
  <c r="X20" i="50"/>
  <c r="X22" i="50"/>
  <c r="L16" i="52"/>
  <c r="N13" i="53"/>
  <c r="X15" i="43"/>
  <c r="N25" i="43"/>
  <c r="N29" i="43"/>
  <c r="N33" i="43"/>
  <c r="N34" i="43"/>
  <c r="N13" i="44"/>
  <c r="N22" i="44"/>
  <c r="N24" i="44"/>
  <c r="R31" i="46"/>
  <c r="R33" i="46"/>
  <c r="X12" i="46"/>
  <c r="R34" i="46"/>
  <c r="R22" i="46"/>
  <c r="R27" i="46"/>
  <c r="P18" i="46"/>
  <c r="R15" i="46"/>
  <c r="R29" i="46"/>
  <c r="R20" i="46"/>
  <c r="R24" i="46"/>
  <c r="R18" i="46"/>
  <c r="R16" i="46"/>
  <c r="R25" i="46"/>
  <c r="R36" i="46"/>
  <c r="R21" i="46"/>
  <c r="Z22" i="46"/>
  <c r="Z25" i="47"/>
  <c r="N29" i="47"/>
  <c r="N34" i="47"/>
  <c r="Z15" i="49"/>
  <c r="N22" i="49"/>
  <c r="Z13" i="53"/>
  <c r="Z24" i="53"/>
  <c r="L12" i="43"/>
  <c r="F36" i="43"/>
  <c r="F34" i="43"/>
  <c r="F33" i="43"/>
  <c r="F31" i="43"/>
  <c r="F29" i="43"/>
  <c r="F27" i="43"/>
  <c r="F25" i="43"/>
  <c r="F20" i="43"/>
  <c r="F18" i="43"/>
  <c r="F16" i="43"/>
  <c r="D18" i="43"/>
  <c r="F21" i="43"/>
  <c r="F15" i="43"/>
  <c r="F22" i="43"/>
  <c r="F24" i="43"/>
  <c r="X16" i="43"/>
  <c r="X20" i="43"/>
  <c r="X15" i="44"/>
  <c r="N25" i="44"/>
  <c r="N29" i="44"/>
  <c r="N33" i="44"/>
  <c r="N34" i="44"/>
  <c r="V33" i="46"/>
  <c r="Z12" i="46"/>
  <c r="V34" i="46"/>
  <c r="V22" i="46"/>
  <c r="V36" i="46"/>
  <c r="V25" i="46"/>
  <c r="V24" i="46"/>
  <c r="V21" i="46"/>
  <c r="V20" i="46"/>
  <c r="V18" i="46"/>
  <c r="V16" i="46"/>
  <c r="V29" i="46"/>
  <c r="V31" i="46"/>
  <c r="T18" i="46"/>
  <c r="V27" i="46"/>
  <c r="V15" i="46"/>
  <c r="L15" i="46"/>
  <c r="L29" i="46"/>
  <c r="Z34" i="46"/>
  <c r="L22" i="47"/>
  <c r="X25" i="49"/>
  <c r="X16" i="50"/>
  <c r="Z20" i="50"/>
  <c r="L34" i="52"/>
  <c r="N12" i="43"/>
  <c r="J36" i="43"/>
  <c r="J34" i="43"/>
  <c r="J33" i="43"/>
  <c r="J31" i="43"/>
  <c r="J29" i="43"/>
  <c r="J27" i="43"/>
  <c r="J25" i="43"/>
  <c r="J24" i="43"/>
  <c r="J22" i="43"/>
  <c r="J21" i="43"/>
  <c r="H18" i="43"/>
  <c r="J16" i="43"/>
  <c r="J18" i="43"/>
  <c r="J20" i="43"/>
  <c r="J15" i="43"/>
  <c r="X13" i="43"/>
  <c r="Z15" i="43"/>
  <c r="X21" i="43"/>
  <c r="L12" i="44"/>
  <c r="F36" i="44"/>
  <c r="F34" i="44"/>
  <c r="F33" i="44"/>
  <c r="F31" i="44"/>
  <c r="F29" i="44"/>
  <c r="F27" i="44"/>
  <c r="F25" i="44"/>
  <c r="F24" i="44"/>
  <c r="F22" i="44"/>
  <c r="D18" i="44"/>
  <c r="F15" i="44"/>
  <c r="F20" i="44"/>
  <c r="F18" i="44"/>
  <c r="F16" i="44"/>
  <c r="F21" i="44"/>
  <c r="X16" i="44"/>
  <c r="X20" i="44"/>
  <c r="L16" i="46"/>
  <c r="L20" i="46"/>
  <c r="L13" i="47"/>
  <c r="X15" i="47"/>
  <c r="L21" i="47"/>
  <c r="N22" i="47"/>
  <c r="X29" i="47"/>
  <c r="X34" i="47"/>
  <c r="J24" i="49"/>
  <c r="J22" i="49"/>
  <c r="J20" i="49"/>
  <c r="J18" i="49"/>
  <c r="J16" i="49"/>
  <c r="H18" i="49"/>
  <c r="J15" i="49"/>
  <c r="J36" i="49"/>
  <c r="J34" i="49"/>
  <c r="J33" i="49"/>
  <c r="J31" i="49"/>
  <c r="J29" i="49"/>
  <c r="J27" i="49"/>
  <c r="J25" i="49"/>
  <c r="N12" i="49"/>
  <c r="J21" i="49"/>
  <c r="X22" i="49"/>
  <c r="X34" i="49"/>
  <c r="L13" i="50"/>
  <c r="L33" i="50"/>
  <c r="X16" i="52"/>
  <c r="L22" i="52"/>
  <c r="Z13" i="43"/>
  <c r="Z16" i="43"/>
  <c r="Z20" i="43"/>
  <c r="X22" i="43"/>
  <c r="X24" i="43"/>
  <c r="N12" i="44"/>
  <c r="J36" i="44"/>
  <c r="J34" i="44"/>
  <c r="J33" i="44"/>
  <c r="J31" i="44"/>
  <c r="J29" i="44"/>
  <c r="J27" i="44"/>
  <c r="J25" i="44"/>
  <c r="J24" i="44"/>
  <c r="J22" i="44"/>
  <c r="J21" i="44"/>
  <c r="J20" i="44"/>
  <c r="J18" i="44"/>
  <c r="J16" i="44"/>
  <c r="H18" i="44"/>
  <c r="J15" i="44"/>
  <c r="X13" i="44"/>
  <c r="Z15" i="44"/>
  <c r="X21" i="44"/>
  <c r="N15" i="46"/>
  <c r="L21" i="46"/>
  <c r="N29" i="46"/>
  <c r="Z33" i="46"/>
  <c r="N13" i="47"/>
  <c r="Z15" i="47"/>
  <c r="L20" i="47"/>
  <c r="Z24" i="47"/>
  <c r="Z16" i="50"/>
  <c r="N21" i="50"/>
  <c r="Z22" i="52"/>
  <c r="N29" i="52"/>
  <c r="Z15" i="53"/>
  <c r="X25" i="53"/>
  <c r="Z33" i="53"/>
  <c r="Z21" i="43"/>
  <c r="X25" i="43"/>
  <c r="X29" i="43"/>
  <c r="X33" i="43"/>
  <c r="X34" i="43"/>
  <c r="Z13" i="44"/>
  <c r="Z16" i="44"/>
  <c r="Z20" i="44"/>
  <c r="X22" i="44"/>
  <c r="X24" i="44"/>
  <c r="N16" i="46"/>
  <c r="N20" i="46"/>
  <c r="L22" i="46"/>
  <c r="L24" i="46"/>
  <c r="L25" i="46"/>
  <c r="N21" i="47"/>
  <c r="Z29" i="47"/>
  <c r="N33" i="47"/>
  <c r="Z34" i="47"/>
  <c r="Z20" i="49"/>
  <c r="Z22" i="49"/>
  <c r="X13" i="50"/>
  <c r="X24" i="50"/>
  <c r="L29" i="50"/>
  <c r="Z12" i="52"/>
  <c r="V22" i="52"/>
  <c r="V24" i="52"/>
  <c r="V36" i="52"/>
  <c r="V25" i="52"/>
  <c r="V27" i="52"/>
  <c r="V15" i="52"/>
  <c r="V16" i="52"/>
  <c r="V29" i="52"/>
  <c r="V33" i="52"/>
  <c r="V21" i="52"/>
  <c r="T18" i="52"/>
  <c r="V34" i="52"/>
  <c r="V20" i="52"/>
  <c r="V18" i="52"/>
  <c r="V31" i="52"/>
  <c r="L24" i="52"/>
  <c r="X29" i="52"/>
  <c r="N34" i="53"/>
  <c r="R36" i="43"/>
  <c r="R34" i="43"/>
  <c r="R33" i="43"/>
  <c r="R31" i="43"/>
  <c r="R29" i="43"/>
  <c r="R27" i="43"/>
  <c r="R25" i="43"/>
  <c r="R24" i="43"/>
  <c r="R22" i="43"/>
  <c r="R21" i="43"/>
  <c r="R20" i="43"/>
  <c r="R18" i="43"/>
  <c r="R16" i="43"/>
  <c r="P18" i="43"/>
  <c r="R15" i="43"/>
  <c r="X12" i="43"/>
  <c r="Z22" i="43"/>
  <c r="Z24" i="43"/>
  <c r="Z21" i="44"/>
  <c r="X25" i="44"/>
  <c r="X29" i="44"/>
  <c r="X33" i="44"/>
  <c r="X34" i="44"/>
  <c r="L13" i="46"/>
  <c r="N21" i="46"/>
  <c r="X13" i="47"/>
  <c r="N20" i="47"/>
  <c r="X12" i="49"/>
  <c r="P18" i="49"/>
  <c r="R15" i="49"/>
  <c r="R31" i="49"/>
  <c r="R16" i="49"/>
  <c r="R34" i="49"/>
  <c r="R22" i="49"/>
  <c r="R20" i="49"/>
  <c r="R25" i="49"/>
  <c r="R29" i="49"/>
  <c r="R36" i="49"/>
  <c r="R24" i="49"/>
  <c r="R27" i="49"/>
  <c r="R21" i="49"/>
  <c r="R33" i="49"/>
  <c r="R18" i="49"/>
  <c r="N24" i="49"/>
  <c r="Z13" i="50"/>
  <c r="X21" i="50"/>
  <c r="X21" i="53"/>
  <c r="F24" i="49"/>
  <c r="F22" i="49"/>
  <c r="F21" i="49"/>
  <c r="F20" i="49"/>
  <c r="F18" i="49"/>
  <c r="F16" i="49"/>
  <c r="D18" i="49"/>
  <c r="F15" i="49"/>
  <c r="F36" i="49"/>
  <c r="F27" i="49"/>
  <c r="L12" i="49"/>
  <c r="F31" i="49"/>
  <c r="F34" i="49"/>
  <c r="F29" i="49"/>
  <c r="F33" i="49"/>
  <c r="F25" i="49"/>
  <c r="X16" i="49"/>
  <c r="X20" i="49"/>
  <c r="X15" i="50"/>
  <c r="N25" i="50"/>
  <c r="N29" i="50"/>
  <c r="N33" i="50"/>
  <c r="N34" i="50"/>
  <c r="R20" i="52"/>
  <c r="R18" i="52"/>
  <c r="R16" i="52"/>
  <c r="R22" i="52"/>
  <c r="R34" i="52"/>
  <c r="R24" i="52"/>
  <c r="R36" i="52"/>
  <c r="R25" i="52"/>
  <c r="R15" i="52"/>
  <c r="R27" i="52"/>
  <c r="R31" i="52"/>
  <c r="R29" i="52"/>
  <c r="X12" i="52"/>
  <c r="P18" i="52"/>
  <c r="R33" i="52"/>
  <c r="R21" i="52"/>
  <c r="Z20" i="52"/>
  <c r="L25" i="52"/>
  <c r="X13" i="53"/>
  <c r="N20" i="53"/>
  <c r="Z25" i="53"/>
  <c r="L29" i="53"/>
  <c r="X34" i="50"/>
  <c r="L13" i="52"/>
  <c r="X15" i="52"/>
  <c r="Z16" i="52"/>
  <c r="L33" i="52"/>
  <c r="N34" i="52"/>
  <c r="L15" i="53"/>
  <c r="N16" i="53"/>
  <c r="Z21" i="53"/>
  <c r="Z12" i="49"/>
  <c r="V36" i="49"/>
  <c r="V34" i="49"/>
  <c r="V33" i="49"/>
  <c r="V31" i="49"/>
  <c r="V29" i="49"/>
  <c r="V27" i="49"/>
  <c r="V25" i="49"/>
  <c r="V24" i="49"/>
  <c r="V22" i="49"/>
  <c r="V20" i="49"/>
  <c r="V15" i="49"/>
  <c r="V18" i="49"/>
  <c r="V21" i="49"/>
  <c r="T18" i="49"/>
  <c r="V16" i="49"/>
  <c r="L15" i="49"/>
  <c r="Z25" i="49"/>
  <c r="Z29" i="49"/>
  <c r="Z33" i="49"/>
  <c r="Z34" i="49"/>
  <c r="X12" i="50"/>
  <c r="R36" i="50"/>
  <c r="R34" i="50"/>
  <c r="R33" i="50"/>
  <c r="R31" i="50"/>
  <c r="R29" i="50"/>
  <c r="R27" i="50"/>
  <c r="R25" i="50"/>
  <c r="R24" i="50"/>
  <c r="R16" i="50"/>
  <c r="R22" i="50"/>
  <c r="R20" i="50"/>
  <c r="R15" i="50"/>
  <c r="R21" i="50"/>
  <c r="P18" i="50"/>
  <c r="R18" i="50"/>
  <c r="Z22" i="50"/>
  <c r="Z24" i="50"/>
  <c r="N13" i="52"/>
  <c r="N22" i="52"/>
  <c r="X25" i="52"/>
  <c r="X12" i="53"/>
  <c r="P18" i="53"/>
  <c r="R15" i="53"/>
  <c r="R36" i="53"/>
  <c r="R25" i="53"/>
  <c r="R33" i="53"/>
  <c r="R27" i="53"/>
  <c r="R16" i="53"/>
  <c r="R18" i="53"/>
  <c r="R29" i="53"/>
  <c r="R34" i="53"/>
  <c r="R20" i="53"/>
  <c r="R24" i="53"/>
  <c r="R31" i="53"/>
  <c r="R21" i="53"/>
  <c r="R22" i="53"/>
  <c r="N15" i="53"/>
  <c r="Z20" i="53"/>
  <c r="L25" i="53"/>
  <c r="Z34" i="53"/>
  <c r="L25" i="47"/>
  <c r="L29" i="47"/>
  <c r="L33" i="47"/>
  <c r="L34" i="47"/>
  <c r="L16" i="49"/>
  <c r="L20" i="49"/>
  <c r="Z12" i="50"/>
  <c r="V36" i="50"/>
  <c r="V34" i="50"/>
  <c r="V33" i="50"/>
  <c r="V31" i="50"/>
  <c r="V29" i="50"/>
  <c r="V27" i="50"/>
  <c r="V25" i="50"/>
  <c r="V24" i="50"/>
  <c r="V22" i="50"/>
  <c r="V21" i="50"/>
  <c r="V16" i="50"/>
  <c r="V20" i="50"/>
  <c r="T18" i="50"/>
  <c r="V18" i="50"/>
  <c r="V15" i="50"/>
  <c r="L15" i="50"/>
  <c r="Z25" i="50"/>
  <c r="Z29" i="50"/>
  <c r="Z33" i="50"/>
  <c r="Z34" i="50"/>
  <c r="L20" i="52"/>
  <c r="N21" i="52"/>
  <c r="X24" i="52"/>
  <c r="N33" i="52"/>
  <c r="V36" i="53"/>
  <c r="V34" i="53"/>
  <c r="V33" i="53"/>
  <c r="V31" i="53"/>
  <c r="V29" i="53"/>
  <c r="V27" i="53"/>
  <c r="V25" i="53"/>
  <c r="V15" i="53"/>
  <c r="V18" i="53"/>
  <c r="T18" i="53"/>
  <c r="Z12" i="53"/>
  <c r="V20" i="53"/>
  <c r="V21" i="53"/>
  <c r="V22" i="53"/>
  <c r="V24" i="53"/>
  <c r="V16" i="53"/>
  <c r="L24" i="53"/>
  <c r="Z29" i="53"/>
  <c r="N33" i="53"/>
  <c r="N15" i="49"/>
  <c r="L21" i="49"/>
  <c r="L16" i="50"/>
  <c r="L20" i="50"/>
  <c r="N20" i="52"/>
  <c r="Z25" i="52"/>
  <c r="X34" i="52"/>
  <c r="N25" i="53"/>
  <c r="N16" i="49"/>
  <c r="N20" i="49"/>
  <c r="L22" i="49"/>
  <c r="L24" i="49"/>
  <c r="N15" i="50"/>
  <c r="L21" i="50"/>
  <c r="Z13" i="52"/>
  <c r="X22" i="52"/>
  <c r="Z24" i="52"/>
  <c r="L29" i="52"/>
  <c r="L22" i="53"/>
  <c r="N24" i="53"/>
  <c r="L12" i="47"/>
  <c r="F36" i="47"/>
  <c r="F34" i="47"/>
  <c r="F33" i="47"/>
  <c r="F31" i="47"/>
  <c r="F29" i="47"/>
  <c r="F27" i="47"/>
  <c r="F25" i="47"/>
  <c r="F24" i="47"/>
  <c r="F22" i="47"/>
  <c r="D18" i="47"/>
  <c r="F20" i="47"/>
  <c r="F21" i="47"/>
  <c r="F16" i="47"/>
  <c r="F18" i="47"/>
  <c r="F15" i="47"/>
  <c r="X16" i="47"/>
  <c r="X20" i="47"/>
  <c r="L13" i="49"/>
  <c r="N21" i="49"/>
  <c r="L25" i="49"/>
  <c r="L29" i="49"/>
  <c r="L33" i="49"/>
  <c r="L34" i="49"/>
  <c r="N16" i="50"/>
  <c r="N20" i="50"/>
  <c r="L22" i="50"/>
  <c r="L24" i="50"/>
  <c r="F20" i="52"/>
  <c r="F18" i="52"/>
  <c r="F16" i="52"/>
  <c r="F27" i="52"/>
  <c r="F29" i="52"/>
  <c r="D18" i="52"/>
  <c r="F31" i="52"/>
  <c r="F33" i="52"/>
  <c r="F21" i="52"/>
  <c r="F22" i="52"/>
  <c r="F15" i="52"/>
  <c r="F24" i="52"/>
  <c r="F36" i="52"/>
  <c r="L12" i="52"/>
  <c r="F34" i="52"/>
  <c r="F25" i="52"/>
  <c r="X33" i="52"/>
  <c r="Z34" i="52"/>
  <c r="L13" i="53"/>
  <c r="X15" i="53"/>
  <c r="Z16" i="53"/>
  <c r="L21" i="53"/>
  <c r="X29" i="46"/>
  <c r="X33" i="46"/>
  <c r="X34" i="46"/>
  <c r="Z13" i="47"/>
  <c r="Z16" i="47"/>
  <c r="Z20" i="47"/>
  <c r="X22" i="47"/>
  <c r="X24" i="47"/>
  <c r="X15" i="49"/>
  <c r="N25" i="49"/>
  <c r="N29" i="49"/>
  <c r="N33" i="49"/>
  <c r="N34" i="49"/>
  <c r="N13" i="50"/>
  <c r="N22" i="50"/>
  <c r="N24" i="50"/>
  <c r="L15" i="52"/>
  <c r="N16" i="52"/>
  <c r="X20" i="52"/>
  <c r="Z21" i="52"/>
  <c r="Z33" i="52"/>
  <c r="N21" i="53"/>
  <c r="X24" i="53"/>
  <c r="L33" i="53"/>
  <c r="L34" i="53"/>
  <c r="J29" i="52"/>
  <c r="N12" i="52"/>
  <c r="J31" i="52"/>
  <c r="H18" i="52"/>
  <c r="J20" i="52"/>
  <c r="J33" i="52"/>
  <c r="J21" i="52"/>
  <c r="J22" i="52"/>
  <c r="J34" i="52"/>
  <c r="J24" i="52"/>
  <c r="J16" i="52"/>
  <c r="J18" i="52"/>
  <c r="J27" i="52"/>
  <c r="J15" i="52"/>
  <c r="J36" i="52"/>
  <c r="J25" i="52"/>
  <c r="X13" i="52"/>
  <c r="Z15" i="52"/>
  <c r="X21" i="52"/>
  <c r="D18" i="53"/>
  <c r="F15" i="53"/>
  <c r="F20" i="53"/>
  <c r="F22" i="53"/>
  <c r="F36" i="53"/>
  <c r="F24" i="53"/>
  <c r="F25" i="53"/>
  <c r="F33" i="53"/>
  <c r="F27" i="53"/>
  <c r="F34" i="53"/>
  <c r="F21" i="53"/>
  <c r="F31" i="53"/>
  <c r="F29" i="53"/>
  <c r="F18" i="53"/>
  <c r="F16" i="53"/>
  <c r="L12" i="53"/>
  <c r="X16" i="53"/>
  <c r="X20" i="53"/>
  <c r="X29" i="53"/>
  <c r="X33" i="53"/>
  <c r="X34" i="53"/>
  <c r="N15" i="52"/>
  <c r="L21" i="52"/>
  <c r="L16" i="53"/>
  <c r="L20" i="53"/>
  <c r="Z21" i="111"/>
  <c r="X25" i="111"/>
  <c r="X29" i="111"/>
  <c r="X33" i="111"/>
  <c r="X34" i="111"/>
  <c r="J36" i="112"/>
  <c r="J34" i="112"/>
  <c r="J33" i="112"/>
  <c r="J31" i="112"/>
  <c r="J29" i="112"/>
  <c r="J27" i="112"/>
  <c r="J25" i="112"/>
  <c r="J24" i="112"/>
  <c r="J22" i="112"/>
  <c r="J21" i="112"/>
  <c r="J20" i="112"/>
  <c r="J18" i="112"/>
  <c r="J16" i="112"/>
  <c r="H18" i="112"/>
  <c r="J15" i="112"/>
  <c r="N12" i="112"/>
  <c r="X13" i="112"/>
  <c r="Z15" i="112"/>
  <c r="X21" i="112"/>
  <c r="X15" i="113"/>
  <c r="N25" i="113"/>
  <c r="N29" i="113"/>
  <c r="N33" i="113"/>
  <c r="N34" i="113"/>
  <c r="R21" i="111"/>
  <c r="R20" i="111"/>
  <c r="R18" i="111"/>
  <c r="R16" i="111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Z22" i="111"/>
  <c r="Z24" i="111"/>
  <c r="Z13" i="112"/>
  <c r="Z16" i="112"/>
  <c r="Z20" i="112"/>
  <c r="X22" i="112"/>
  <c r="X24" i="112"/>
  <c r="F36" i="113"/>
  <c r="F34" i="113"/>
  <c r="F33" i="113"/>
  <c r="F31" i="113"/>
  <c r="F29" i="113"/>
  <c r="F27" i="113"/>
  <c r="F25" i="113"/>
  <c r="F24" i="113"/>
  <c r="F22" i="113"/>
  <c r="F21" i="113"/>
  <c r="F20" i="113"/>
  <c r="F18" i="113"/>
  <c r="F16" i="113"/>
  <c r="D18" i="113"/>
  <c r="F15" i="113"/>
  <c r="L12" i="113"/>
  <c r="X16" i="113"/>
  <c r="X20" i="113"/>
  <c r="T18" i="111"/>
  <c r="V15" i="111"/>
  <c r="Z12" i="111"/>
  <c r="V36" i="111"/>
  <c r="V34" i="111"/>
  <c r="V33" i="111"/>
  <c r="V31" i="111"/>
  <c r="V29" i="111"/>
  <c r="V27" i="111"/>
  <c r="V25" i="111"/>
  <c r="V24" i="111"/>
  <c r="V22" i="111"/>
  <c r="V21" i="111"/>
  <c r="V20" i="111"/>
  <c r="V18" i="111"/>
  <c r="V16" i="111"/>
  <c r="L15" i="111"/>
  <c r="Z25" i="111"/>
  <c r="Z29" i="111"/>
  <c r="Z33" i="111"/>
  <c r="Z34" i="111"/>
  <c r="Z21" i="112"/>
  <c r="X25" i="112"/>
  <c r="X29" i="112"/>
  <c r="X33" i="112"/>
  <c r="X34" i="112"/>
  <c r="J21" i="113"/>
  <c r="J20" i="113"/>
  <c r="J18" i="113"/>
  <c r="J16" i="113"/>
  <c r="H18" i="113"/>
  <c r="J15" i="113"/>
  <c r="N12" i="113"/>
  <c r="J36" i="113"/>
  <c r="J34" i="113"/>
  <c r="J33" i="113"/>
  <c r="J31" i="113"/>
  <c r="J29" i="113"/>
  <c r="J27" i="113"/>
  <c r="J25" i="113"/>
  <c r="J24" i="113"/>
  <c r="J22" i="113"/>
  <c r="X13" i="113"/>
  <c r="Z15" i="113"/>
  <c r="X21" i="113"/>
  <c r="L16" i="111"/>
  <c r="L20" i="111"/>
  <c r="P18" i="112"/>
  <c r="R15" i="112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Z22" i="112"/>
  <c r="Z24" i="112"/>
  <c r="Z13" i="113"/>
  <c r="Z16" i="113"/>
  <c r="Z20" i="113"/>
  <c r="X22" i="113"/>
  <c r="X24" i="113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Z21" i="113"/>
  <c r="X25" i="113"/>
  <c r="X29" i="113"/>
  <c r="X33" i="113"/>
  <c r="X34" i="113"/>
  <c r="N16" i="111"/>
  <c r="N20" i="111"/>
  <c r="L22" i="111"/>
  <c r="L24" i="111"/>
  <c r="L16" i="112"/>
  <c r="L20" i="112"/>
  <c r="X12" i="113"/>
  <c r="R36" i="113"/>
  <c r="R34" i="113"/>
  <c r="R33" i="113"/>
  <c r="R31" i="113"/>
  <c r="R29" i="113"/>
  <c r="R27" i="113"/>
  <c r="R25" i="113"/>
  <c r="R24" i="113"/>
  <c r="R22" i="113"/>
  <c r="R21" i="113"/>
  <c r="R20" i="113"/>
  <c r="R18" i="113"/>
  <c r="R16" i="113"/>
  <c r="P18" i="113"/>
  <c r="R15" i="113"/>
  <c r="Z22" i="113"/>
  <c r="Z24" i="113"/>
  <c r="L13" i="111"/>
  <c r="N21" i="111"/>
  <c r="L25" i="111"/>
  <c r="L29" i="111"/>
  <c r="L33" i="111"/>
  <c r="L34" i="111"/>
  <c r="N15" i="112"/>
  <c r="L21" i="112"/>
  <c r="Z12" i="113"/>
  <c r="V36" i="113"/>
  <c r="V34" i="113"/>
  <c r="V33" i="113"/>
  <c r="V31" i="113"/>
  <c r="V29" i="113"/>
  <c r="V27" i="113"/>
  <c r="V25" i="113"/>
  <c r="V24" i="113"/>
  <c r="V22" i="113"/>
  <c r="V21" i="113"/>
  <c r="V20" i="113"/>
  <c r="V18" i="113"/>
  <c r="V16" i="113"/>
  <c r="T18" i="113"/>
  <c r="V15" i="113"/>
  <c r="L15" i="113"/>
  <c r="Z25" i="113"/>
  <c r="Z29" i="113"/>
  <c r="Z33" i="113"/>
  <c r="Z34" i="113"/>
  <c r="N13" i="111"/>
  <c r="N22" i="111"/>
  <c r="N24" i="111"/>
  <c r="N16" i="112"/>
  <c r="N20" i="112"/>
  <c r="L22" i="112"/>
  <c r="L24" i="112"/>
  <c r="L16" i="113"/>
  <c r="L20" i="113"/>
  <c r="X15" i="111"/>
  <c r="N25" i="111"/>
  <c r="N29" i="111"/>
  <c r="N33" i="111"/>
  <c r="N34" i="111"/>
  <c r="L13" i="112"/>
  <c r="N21" i="112"/>
  <c r="L25" i="112"/>
  <c r="L29" i="112"/>
  <c r="L33" i="112"/>
  <c r="L34" i="112"/>
  <c r="N15" i="113"/>
  <c r="L21" i="113"/>
  <c r="L12" i="111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X16" i="111"/>
  <c r="X20" i="111"/>
  <c r="N13" i="112"/>
  <c r="N22" i="112"/>
  <c r="N24" i="112"/>
  <c r="N16" i="113"/>
  <c r="N20" i="113"/>
  <c r="L22" i="113"/>
  <c r="L24" i="113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Z15" i="111"/>
  <c r="X21" i="111"/>
  <c r="X15" i="112"/>
  <c r="N25" i="112"/>
  <c r="N29" i="112"/>
  <c r="N33" i="112"/>
  <c r="N34" i="112"/>
  <c r="L13" i="113"/>
  <c r="N21" i="113"/>
  <c r="L25" i="113"/>
  <c r="L29" i="113"/>
  <c r="L33" i="113"/>
  <c r="L34" i="113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N13" i="113"/>
  <c r="N22" i="113"/>
  <c r="N24" i="113"/>
  <c r="Z305" i="3"/>
  <c r="N228" i="3"/>
  <c r="Z254" i="3"/>
  <c r="N296" i="3"/>
  <c r="F314" i="3"/>
  <c r="F301" i="3"/>
  <c r="F289" i="3"/>
  <c r="F285" i="3"/>
  <c r="F269" i="3"/>
  <c r="F253" i="3"/>
  <c r="F252" i="3"/>
  <c r="F245" i="3"/>
  <c r="F244" i="3"/>
  <c r="F237" i="3"/>
  <c r="F236" i="3"/>
  <c r="F217" i="3"/>
  <c r="F213" i="3"/>
  <c r="F315" i="3"/>
  <c r="F280" i="3"/>
  <c r="F279" i="3"/>
  <c r="F264" i="3"/>
  <c r="F224" i="3"/>
  <c r="F223" i="3"/>
  <c r="F208" i="3"/>
  <c r="F204" i="3"/>
  <c r="F200" i="3"/>
  <c r="F199" i="3"/>
  <c r="F250" i="3"/>
  <c r="F316" i="3"/>
  <c r="F303" i="3"/>
  <c r="F302" i="3"/>
  <c r="F295" i="3"/>
  <c r="F275" i="3"/>
  <c r="F255" i="3"/>
  <c r="F254" i="3"/>
  <c r="F231" i="3"/>
  <c r="F198" i="3"/>
  <c r="F191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F139" i="3"/>
  <c r="F135" i="3"/>
  <c r="F134" i="3"/>
  <c r="F327" i="3"/>
  <c r="F251" i="3"/>
  <c r="F317" i="3"/>
  <c r="F290" i="3"/>
  <c r="F286" i="3"/>
  <c r="F270" i="3"/>
  <c r="F246" i="3"/>
  <c r="F238" i="3"/>
  <c r="F218" i="3"/>
  <c r="F214" i="3"/>
  <c r="D196" i="3"/>
  <c r="F262" i="3"/>
  <c r="F318" i="3"/>
  <c r="F306" i="3"/>
  <c r="F297" i="3"/>
  <c r="F296" i="3"/>
  <c r="F281" i="3"/>
  <c r="F265" i="3"/>
  <c r="F257" i="3"/>
  <c r="F256" i="3"/>
  <c r="F225" i="3"/>
  <c r="F209" i="3"/>
  <c r="F205" i="3"/>
  <c r="F201" i="3"/>
  <c r="F307" i="3"/>
  <c r="F276" i="3"/>
  <c r="F248" i="3"/>
  <c r="F247" i="3"/>
  <c r="F232" i="3"/>
  <c r="F192" i="3"/>
  <c r="F188" i="3"/>
  <c r="F184" i="3"/>
  <c r="F180" i="3"/>
  <c r="F176" i="3"/>
  <c r="F172" i="3"/>
  <c r="F168" i="3"/>
  <c r="F164" i="3"/>
  <c r="F160" i="3"/>
  <c r="F156" i="3"/>
  <c r="F152" i="3"/>
  <c r="F148" i="3"/>
  <c r="F144" i="3"/>
  <c r="F140" i="3"/>
  <c r="F136" i="3"/>
  <c r="F312" i="3"/>
  <c r="F308" i="3"/>
  <c r="F299" i="3"/>
  <c r="F298" i="3"/>
  <c r="F291" i="3"/>
  <c r="F287" i="3"/>
  <c r="F283" i="3"/>
  <c r="F282" i="3"/>
  <c r="F271" i="3"/>
  <c r="F259" i="3"/>
  <c r="F258" i="3"/>
  <c r="F239" i="3"/>
  <c r="F227" i="3"/>
  <c r="F226" i="3"/>
  <c r="F219" i="3"/>
  <c r="F215" i="3"/>
  <c r="F211" i="3"/>
  <c r="F210" i="3"/>
  <c r="F242" i="3"/>
  <c r="F322" i="3"/>
  <c r="F309" i="3"/>
  <c r="F266" i="3"/>
  <c r="F234" i="3"/>
  <c r="F233" i="3"/>
  <c r="F206" i="3"/>
  <c r="F202" i="3"/>
  <c r="L12" i="3"/>
  <c r="F243" i="3"/>
  <c r="F203" i="3"/>
  <c r="F310" i="3"/>
  <c r="F277" i="3"/>
  <c r="F273" i="3"/>
  <c r="F272" i="3"/>
  <c r="F261" i="3"/>
  <c r="F260" i="3"/>
  <c r="F249" i="3"/>
  <c r="F241" i="3"/>
  <c r="F240" i="3"/>
  <c r="F229" i="3"/>
  <c r="F228" i="3"/>
  <c r="F193" i="3"/>
  <c r="F189" i="3"/>
  <c r="F185" i="3"/>
  <c r="F181" i="3"/>
  <c r="F177" i="3"/>
  <c r="F173" i="3"/>
  <c r="F169" i="3"/>
  <c r="F165" i="3"/>
  <c r="F161" i="3"/>
  <c r="F157" i="3"/>
  <c r="F153" i="3"/>
  <c r="F149" i="3"/>
  <c r="F145" i="3"/>
  <c r="F141" i="3"/>
  <c r="F137" i="3"/>
  <c r="F311" i="3"/>
  <c r="F300" i="3"/>
  <c r="F292" i="3"/>
  <c r="F288" i="3"/>
  <c r="F284" i="3"/>
  <c r="F268" i="3"/>
  <c r="F267" i="3"/>
  <c r="F220" i="3"/>
  <c r="F216" i="3"/>
  <c r="F212" i="3"/>
  <c r="F326" i="3"/>
  <c r="F313" i="3"/>
  <c r="F294" i="3"/>
  <c r="F293" i="3"/>
  <c r="F278" i="3"/>
  <c r="F274" i="3"/>
  <c r="F230" i="3"/>
  <c r="F222" i="3"/>
  <c r="F221" i="3"/>
  <c r="F194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138" i="3"/>
  <c r="F263" i="3"/>
  <c r="F235" i="3"/>
  <c r="F207" i="3"/>
  <c r="R307" i="3"/>
  <c r="R298" i="3"/>
  <c r="R297" i="3"/>
  <c r="R282" i="3"/>
  <c r="R281" i="3"/>
  <c r="R265" i="3"/>
  <c r="R258" i="3"/>
  <c r="R257" i="3"/>
  <c r="R226" i="3"/>
  <c r="R225" i="3"/>
  <c r="R210" i="3"/>
  <c r="R209" i="3"/>
  <c r="R205" i="3"/>
  <c r="R201" i="3"/>
  <c r="R296" i="3"/>
  <c r="R163" i="3"/>
  <c r="R151" i="3"/>
  <c r="R308" i="3"/>
  <c r="R276" i="3"/>
  <c r="R248" i="3"/>
  <c r="R233" i="3"/>
  <c r="R232" i="3"/>
  <c r="R192" i="3"/>
  <c r="R188" i="3"/>
  <c r="R184" i="3"/>
  <c r="R180" i="3"/>
  <c r="R176" i="3"/>
  <c r="R172" i="3"/>
  <c r="R168" i="3"/>
  <c r="R164" i="3"/>
  <c r="R160" i="3"/>
  <c r="R156" i="3"/>
  <c r="R152" i="3"/>
  <c r="R148" i="3"/>
  <c r="R144" i="3"/>
  <c r="R140" i="3"/>
  <c r="R136" i="3"/>
  <c r="R256" i="3"/>
  <c r="R191" i="3"/>
  <c r="R309" i="3"/>
  <c r="R299" i="3"/>
  <c r="R291" i="3"/>
  <c r="R287" i="3"/>
  <c r="R283" i="3"/>
  <c r="R272" i="3"/>
  <c r="R271" i="3"/>
  <c r="R260" i="3"/>
  <c r="R259" i="3"/>
  <c r="R240" i="3"/>
  <c r="R239" i="3"/>
  <c r="R228" i="3"/>
  <c r="R227" i="3"/>
  <c r="R219" i="3"/>
  <c r="R215" i="3"/>
  <c r="R211" i="3"/>
  <c r="R175" i="3"/>
  <c r="R139" i="3"/>
  <c r="R322" i="3"/>
  <c r="R310" i="3"/>
  <c r="R267" i="3"/>
  <c r="R266" i="3"/>
  <c r="R234" i="3"/>
  <c r="R206" i="3"/>
  <c r="R202" i="3"/>
  <c r="R135" i="3"/>
  <c r="R327" i="3"/>
  <c r="R326" i="3"/>
  <c r="R311" i="3"/>
  <c r="R277" i="3"/>
  <c r="R273" i="3"/>
  <c r="R262" i="3"/>
  <c r="R261" i="3"/>
  <c r="R250" i="3"/>
  <c r="R249" i="3"/>
  <c r="R242" i="3"/>
  <c r="R241" i="3"/>
  <c r="R229" i="3"/>
  <c r="R193" i="3"/>
  <c r="R189" i="3"/>
  <c r="R185" i="3"/>
  <c r="R181" i="3"/>
  <c r="R177" i="3"/>
  <c r="R173" i="3"/>
  <c r="R169" i="3"/>
  <c r="R165" i="3"/>
  <c r="R161" i="3"/>
  <c r="R157" i="3"/>
  <c r="R153" i="3"/>
  <c r="R149" i="3"/>
  <c r="R145" i="3"/>
  <c r="R141" i="3"/>
  <c r="R137" i="3"/>
  <c r="R178" i="3"/>
  <c r="R170" i="3"/>
  <c r="R158" i="3"/>
  <c r="R142" i="3"/>
  <c r="R138" i="3"/>
  <c r="R312" i="3"/>
  <c r="R300" i="3"/>
  <c r="R293" i="3"/>
  <c r="R292" i="3"/>
  <c r="R288" i="3"/>
  <c r="R284" i="3"/>
  <c r="R268" i="3"/>
  <c r="R221" i="3"/>
  <c r="R220" i="3"/>
  <c r="R216" i="3"/>
  <c r="R212" i="3"/>
  <c r="X12" i="3"/>
  <c r="R174" i="3"/>
  <c r="R166" i="3"/>
  <c r="R154" i="3"/>
  <c r="R150" i="3"/>
  <c r="R275" i="3"/>
  <c r="R179" i="3"/>
  <c r="R159" i="3"/>
  <c r="R313" i="3"/>
  <c r="R263" i="3"/>
  <c r="R252" i="3"/>
  <c r="R251" i="3"/>
  <c r="R244" i="3"/>
  <c r="R243" i="3"/>
  <c r="R236" i="3"/>
  <c r="R235" i="3"/>
  <c r="R207" i="3"/>
  <c r="R203" i="3"/>
  <c r="R162" i="3"/>
  <c r="R146" i="3"/>
  <c r="R317" i="3"/>
  <c r="R255" i="3"/>
  <c r="R231" i="3"/>
  <c r="R167" i="3"/>
  <c r="R155" i="3"/>
  <c r="R314" i="3"/>
  <c r="R294" i="3"/>
  <c r="R279" i="3"/>
  <c r="R278" i="3"/>
  <c r="R274" i="3"/>
  <c r="R230" i="3"/>
  <c r="R223" i="3"/>
  <c r="R222" i="3"/>
  <c r="R199" i="3"/>
  <c r="R194" i="3"/>
  <c r="R190" i="3"/>
  <c r="R186" i="3"/>
  <c r="R182" i="3"/>
  <c r="R303" i="3"/>
  <c r="R295" i="3"/>
  <c r="R171" i="3"/>
  <c r="R315" i="3"/>
  <c r="R302" i="3"/>
  <c r="R301" i="3"/>
  <c r="R289" i="3"/>
  <c r="R285" i="3"/>
  <c r="R269" i="3"/>
  <c r="R254" i="3"/>
  <c r="R253" i="3"/>
  <c r="R245" i="3"/>
  <c r="R237" i="3"/>
  <c r="R217" i="3"/>
  <c r="R213" i="3"/>
  <c r="R198" i="3"/>
  <c r="R196" i="3"/>
  <c r="R134" i="3"/>
  <c r="R183" i="3"/>
  <c r="R147" i="3"/>
  <c r="R316" i="3"/>
  <c r="R280" i="3"/>
  <c r="R264" i="3"/>
  <c r="R224" i="3"/>
  <c r="R208" i="3"/>
  <c r="R204" i="3"/>
  <c r="R200" i="3"/>
  <c r="P196" i="3"/>
  <c r="R318" i="3"/>
  <c r="R306" i="3"/>
  <c r="R305" i="3"/>
  <c r="R290" i="3"/>
  <c r="R286" i="3"/>
  <c r="R270" i="3"/>
  <c r="R247" i="3"/>
  <c r="R246" i="3"/>
  <c r="R238" i="3"/>
  <c r="R218" i="3"/>
  <c r="R214" i="3"/>
  <c r="R187" i="3"/>
  <c r="R143" i="3"/>
  <c r="N221" i="3"/>
  <c r="N260" i="3"/>
  <c r="Z327" i="3"/>
  <c r="F97" i="9"/>
  <c r="F96" i="9"/>
  <c r="F89" i="9"/>
  <c r="F77" i="9"/>
  <c r="F84" i="9"/>
  <c r="F72" i="9"/>
  <c r="F73" i="9"/>
  <c r="F41" i="9"/>
  <c r="F37" i="9"/>
  <c r="F33" i="9"/>
  <c r="F32" i="9"/>
  <c r="F92" i="9"/>
  <c r="F91" i="9"/>
  <c r="F80" i="9"/>
  <c r="F79" i="9"/>
  <c r="F68" i="9"/>
  <c r="F60" i="9"/>
  <c r="F59" i="9"/>
  <c r="F28" i="9"/>
  <c r="F24" i="9"/>
  <c r="F102" i="9"/>
  <c r="F100" i="9"/>
  <c r="F87" i="9"/>
  <c r="F75" i="9"/>
  <c r="F74" i="9"/>
  <c r="F104" i="9"/>
  <c r="F88" i="9"/>
  <c r="F76" i="9"/>
  <c r="F64" i="9"/>
  <c r="F63" i="9"/>
  <c r="F109" i="9"/>
  <c r="F106" i="9"/>
  <c r="F95" i="9"/>
  <c r="F94" i="9"/>
  <c r="F83" i="9"/>
  <c r="F82" i="9"/>
  <c r="F71" i="9"/>
  <c r="F39" i="9"/>
  <c r="F35" i="9"/>
  <c r="F66" i="9"/>
  <c r="F65" i="9"/>
  <c r="F54" i="9"/>
  <c r="F46" i="9"/>
  <c r="F45" i="9"/>
  <c r="F30" i="9"/>
  <c r="F26" i="9"/>
  <c r="F22" i="9"/>
  <c r="L12" i="9"/>
  <c r="F98" i="9"/>
  <c r="F55" i="9"/>
  <c r="F42" i="9"/>
  <c r="F29" i="9"/>
  <c r="D17" i="9"/>
  <c r="F69" i="9"/>
  <c r="F58" i="9"/>
  <c r="F50" i="9"/>
  <c r="F19" i="9"/>
  <c r="F61" i="9"/>
  <c r="F43" i="9"/>
  <c r="F40" i="9"/>
  <c r="F27" i="9"/>
  <c r="F20" i="9"/>
  <c r="F86" i="9"/>
  <c r="F67" i="9"/>
  <c r="F47" i="9"/>
  <c r="F90" i="9"/>
  <c r="F53" i="9"/>
  <c r="F25" i="9"/>
  <c r="F56" i="9"/>
  <c r="F44" i="9"/>
  <c r="F23" i="9"/>
  <c r="F70" i="9"/>
  <c r="F38" i="9"/>
  <c r="F49" i="9"/>
  <c r="F78" i="9"/>
  <c r="F62" i="9"/>
  <c r="F51" i="9"/>
  <c r="F48" i="9"/>
  <c r="F21" i="9"/>
  <c r="F81" i="9"/>
  <c r="F93" i="9"/>
  <c r="F36" i="9"/>
  <c r="F31" i="9"/>
  <c r="F85" i="9"/>
  <c r="F57" i="9"/>
  <c r="F15" i="9"/>
  <c r="F52" i="9"/>
  <c r="F34" i="9"/>
  <c r="F17" i="9"/>
  <c r="Z134" i="3"/>
  <c r="N240" i="3"/>
  <c r="Z247" i="3"/>
  <c r="Z28" i="6"/>
  <c r="Z250" i="3"/>
  <c r="N272" i="3"/>
  <c r="J154" i="3"/>
  <c r="J252" i="3"/>
  <c r="L13" i="3"/>
  <c r="N13" i="3" s="1"/>
  <c r="J199" i="3"/>
  <c r="V201" i="3"/>
  <c r="V205" i="3"/>
  <c r="V209" i="3"/>
  <c r="J213" i="3"/>
  <c r="J217" i="3"/>
  <c r="J223" i="3"/>
  <c r="V225" i="3"/>
  <c r="V233" i="3"/>
  <c r="J237" i="3"/>
  <c r="J245" i="3"/>
  <c r="J253" i="3"/>
  <c r="V257" i="3"/>
  <c r="V265" i="3"/>
  <c r="Z267" i="3"/>
  <c r="J269" i="3"/>
  <c r="J279" i="3"/>
  <c r="V281" i="3"/>
  <c r="J285" i="3"/>
  <c r="J289" i="3"/>
  <c r="V297" i="3"/>
  <c r="J301" i="3"/>
  <c r="V307" i="3"/>
  <c r="J314" i="3"/>
  <c r="F14" i="6"/>
  <c r="F16" i="6"/>
  <c r="F18" i="6"/>
  <c r="F20" i="6"/>
  <c r="F22" i="6"/>
  <c r="J24" i="6"/>
  <c r="N28" i="6"/>
  <c r="N29" i="6"/>
  <c r="J19" i="9"/>
  <c r="X20" i="9"/>
  <c r="J29" i="9"/>
  <c r="R40" i="9"/>
  <c r="J42" i="9"/>
  <c r="R47" i="9"/>
  <c r="R77" i="9"/>
  <c r="X82" i="9"/>
  <c r="Z82" i="9" s="1"/>
  <c r="J98" i="9"/>
  <c r="J109" i="9"/>
  <c r="N201" i="12"/>
  <c r="Z270" i="12"/>
  <c r="N253" i="15"/>
  <c r="J162" i="3"/>
  <c r="J244" i="3"/>
  <c r="V139" i="3"/>
  <c r="V143" i="3"/>
  <c r="V147" i="3"/>
  <c r="V151" i="3"/>
  <c r="V155" i="3"/>
  <c r="V159" i="3"/>
  <c r="V163" i="3"/>
  <c r="V167" i="3"/>
  <c r="V171" i="3"/>
  <c r="V175" i="3"/>
  <c r="V179" i="3"/>
  <c r="V183" i="3"/>
  <c r="V187" i="3"/>
  <c r="V191" i="3"/>
  <c r="J203" i="3"/>
  <c r="J207" i="3"/>
  <c r="J221" i="3"/>
  <c r="V231" i="3"/>
  <c r="J235" i="3"/>
  <c r="J243" i="3"/>
  <c r="V247" i="3"/>
  <c r="J251" i="3"/>
  <c r="V255" i="3"/>
  <c r="J263" i="3"/>
  <c r="V275" i="3"/>
  <c r="J293" i="3"/>
  <c r="V295" i="3"/>
  <c r="V303" i="3"/>
  <c r="V305" i="3"/>
  <c r="J312" i="3"/>
  <c r="V317" i="3"/>
  <c r="J14" i="6"/>
  <c r="J16" i="6"/>
  <c r="J18" i="6"/>
  <c r="J20" i="6"/>
  <c r="J22" i="6"/>
  <c r="N12" i="9"/>
  <c r="J17" i="9"/>
  <c r="Z20" i="9"/>
  <c r="V22" i="9"/>
  <c r="V29" i="9"/>
  <c r="J31" i="9"/>
  <c r="V32" i="9"/>
  <c r="J39" i="9"/>
  <c r="R43" i="9"/>
  <c r="R46" i="9"/>
  <c r="L49" i="9"/>
  <c r="N49" i="9"/>
  <c r="J52" i="9"/>
  <c r="R55" i="9"/>
  <c r="J63" i="9"/>
  <c r="R69" i="9"/>
  <c r="R75" i="9"/>
  <c r="J81" i="9"/>
  <c r="Z94" i="9"/>
  <c r="X94" i="9"/>
  <c r="Z201" i="12"/>
  <c r="J138" i="3"/>
  <c r="J170" i="3"/>
  <c r="J294" i="3"/>
  <c r="V200" i="3"/>
  <c r="V204" i="3"/>
  <c r="V208" i="3"/>
  <c r="J212" i="3"/>
  <c r="J216" i="3"/>
  <c r="J220" i="3"/>
  <c r="L221" i="3"/>
  <c r="V224" i="3"/>
  <c r="J242" i="3"/>
  <c r="X247" i="3"/>
  <c r="J250" i="3"/>
  <c r="V256" i="3"/>
  <c r="J262" i="3"/>
  <c r="V264" i="3"/>
  <c r="J268" i="3"/>
  <c r="V280" i="3"/>
  <c r="J284" i="3"/>
  <c r="J288" i="3"/>
  <c r="J292" i="3"/>
  <c r="L293" i="3"/>
  <c r="N293" i="3" s="1"/>
  <c r="V296" i="3"/>
  <c r="J300" i="3"/>
  <c r="J311" i="3"/>
  <c r="V316" i="3"/>
  <c r="J326" i="3"/>
  <c r="J327" i="3"/>
  <c r="L14" i="6"/>
  <c r="L18" i="6"/>
  <c r="L20" i="6"/>
  <c r="R102" i="9"/>
  <c r="R100" i="9"/>
  <c r="R74" i="9"/>
  <c r="R73" i="9"/>
  <c r="R41" i="9"/>
  <c r="R37" i="9"/>
  <c r="R33" i="9"/>
  <c r="R92" i="9"/>
  <c r="R80" i="9"/>
  <c r="R109" i="9"/>
  <c r="R106" i="9"/>
  <c r="R94" i="9"/>
  <c r="R93" i="9"/>
  <c r="R82" i="9"/>
  <c r="R81" i="9"/>
  <c r="R53" i="9"/>
  <c r="R29" i="9"/>
  <c r="R25" i="9"/>
  <c r="R21" i="9"/>
  <c r="R88" i="9"/>
  <c r="R76" i="9"/>
  <c r="R65" i="9"/>
  <c r="R64" i="9"/>
  <c r="R45" i="9"/>
  <c r="R44" i="9"/>
  <c r="R96" i="9"/>
  <c r="R95" i="9"/>
  <c r="R83" i="9"/>
  <c r="R71" i="9"/>
  <c r="R85" i="9"/>
  <c r="R84" i="9"/>
  <c r="R72" i="9"/>
  <c r="R57" i="9"/>
  <c r="R56" i="9"/>
  <c r="R67" i="9"/>
  <c r="R32" i="9"/>
  <c r="R31" i="9"/>
  <c r="R27" i="9"/>
  <c r="R23" i="9"/>
  <c r="R98" i="9"/>
  <c r="R91" i="9"/>
  <c r="R90" i="9"/>
  <c r="R86" i="9"/>
  <c r="R79" i="9"/>
  <c r="R78" i="9"/>
  <c r="R59" i="9"/>
  <c r="R58" i="9"/>
  <c r="R50" i="9"/>
  <c r="R19" i="9"/>
  <c r="R24" i="9"/>
  <c r="X32" i="9"/>
  <c r="Z32" i="9" s="1"/>
  <c r="R42" i="9"/>
  <c r="X43" i="9"/>
  <c r="Z43" i="9"/>
  <c r="J45" i="9"/>
  <c r="V46" i="9"/>
  <c r="J49" i="9"/>
  <c r="L57" i="9"/>
  <c r="N57" i="9" s="1"/>
  <c r="R66" i="9"/>
  <c r="L85" i="9"/>
  <c r="N85" i="9" s="1"/>
  <c r="V89" i="9"/>
  <c r="J91" i="9"/>
  <c r="J146" i="3"/>
  <c r="J158" i="3"/>
  <c r="J182" i="3"/>
  <c r="J190" i="3"/>
  <c r="J230" i="3"/>
  <c r="J278" i="3"/>
  <c r="H16" i="6"/>
  <c r="N63" i="9"/>
  <c r="X15" i="3"/>
  <c r="J149" i="3"/>
  <c r="J181" i="3"/>
  <c r="J185" i="3"/>
  <c r="J189" i="3"/>
  <c r="J193" i="3"/>
  <c r="T196" i="3"/>
  <c r="V196" i="3" s="1"/>
  <c r="V213" i="3"/>
  <c r="V217" i="3"/>
  <c r="J229" i="3"/>
  <c r="V237" i="3"/>
  <c r="J241" i="3"/>
  <c r="V245" i="3"/>
  <c r="J249" i="3"/>
  <c r="V253" i="3"/>
  <c r="J261" i="3"/>
  <c r="J267" i="3"/>
  <c r="V269" i="3"/>
  <c r="J273" i="3"/>
  <c r="J277" i="3"/>
  <c r="V285" i="3"/>
  <c r="V289" i="3"/>
  <c r="V301" i="3"/>
  <c r="J310" i="3"/>
  <c r="V315" i="3"/>
  <c r="V92" i="9"/>
  <c r="V80" i="9"/>
  <c r="V68" i="9"/>
  <c r="V60" i="9"/>
  <c r="V52" i="9"/>
  <c r="V28" i="9"/>
  <c r="V24" i="9"/>
  <c r="V20" i="9"/>
  <c r="V87" i="9"/>
  <c r="V75" i="9"/>
  <c r="V96" i="9"/>
  <c r="V88" i="9"/>
  <c r="V76" i="9"/>
  <c r="V64" i="9"/>
  <c r="V44" i="9"/>
  <c r="V95" i="9"/>
  <c r="V83" i="9"/>
  <c r="V71" i="9"/>
  <c r="V55" i="9"/>
  <c r="V47" i="9"/>
  <c r="V39" i="9"/>
  <c r="V35" i="9"/>
  <c r="V97" i="9"/>
  <c r="V91" i="9"/>
  <c r="V79" i="9"/>
  <c r="V67" i="9"/>
  <c r="V59" i="9"/>
  <c r="V100" i="9"/>
  <c r="V98" i="9"/>
  <c r="V90" i="9"/>
  <c r="V86" i="9"/>
  <c r="V78" i="9"/>
  <c r="V74" i="9"/>
  <c r="V58" i="9"/>
  <c r="V50" i="9"/>
  <c r="V73" i="9"/>
  <c r="V69" i="9"/>
  <c r="V61" i="9"/>
  <c r="V41" i="9"/>
  <c r="V37" i="9"/>
  <c r="V33" i="9"/>
  <c r="J15" i="9"/>
  <c r="P106" i="9"/>
  <c r="R26" i="9"/>
  <c r="V31" i="9"/>
  <c r="R34" i="9"/>
  <c r="V42" i="9"/>
  <c r="V43" i="9"/>
  <c r="R52" i="9"/>
  <c r="J57" i="9"/>
  <c r="R60" i="9"/>
  <c r="V66" i="9"/>
  <c r="V81" i="9"/>
  <c r="R87" i="9"/>
  <c r="J93" i="9"/>
  <c r="P12" i="12"/>
  <c r="X13" i="12"/>
  <c r="Z13" i="12" s="1"/>
  <c r="J222" i="3"/>
  <c r="J274" i="3"/>
  <c r="J153" i="3"/>
  <c r="V134" i="3"/>
  <c r="V138" i="3"/>
  <c r="V142" i="3"/>
  <c r="V146" i="3"/>
  <c r="V150" i="3"/>
  <c r="V154" i="3"/>
  <c r="V158" i="3"/>
  <c r="V162" i="3"/>
  <c r="V166" i="3"/>
  <c r="V170" i="3"/>
  <c r="V174" i="3"/>
  <c r="V178" i="3"/>
  <c r="V182" i="3"/>
  <c r="V186" i="3"/>
  <c r="V190" i="3"/>
  <c r="V194" i="3"/>
  <c r="V198" i="3"/>
  <c r="J202" i="3"/>
  <c r="J206" i="3"/>
  <c r="V222" i="3"/>
  <c r="J228" i="3"/>
  <c r="V230" i="3"/>
  <c r="J234" i="3"/>
  <c r="J240" i="3"/>
  <c r="V254" i="3"/>
  <c r="J260" i="3"/>
  <c r="J266" i="3"/>
  <c r="J272" i="3"/>
  <c r="V274" i="3"/>
  <c r="V278" i="3"/>
  <c r="V294" i="3"/>
  <c r="V302" i="3"/>
  <c r="D305" i="3"/>
  <c r="L305" i="3" s="1"/>
  <c r="N305" i="3" s="1"/>
  <c r="J309" i="3"/>
  <c r="V314" i="3"/>
  <c r="J322" i="3"/>
  <c r="L12" i="6"/>
  <c r="P16" i="6"/>
  <c r="X12" i="9"/>
  <c r="R17" i="9"/>
  <c r="V19" i="9"/>
  <c r="J21" i="9"/>
  <c r="V26" i="9"/>
  <c r="V34" i="9"/>
  <c r="R39" i="9"/>
  <c r="J41" i="9"/>
  <c r="R49" i="9"/>
  <c r="Z52" i="9"/>
  <c r="R54" i="9"/>
  <c r="J62" i="9"/>
  <c r="R63" i="9"/>
  <c r="R68" i="9"/>
  <c r="J76" i="9"/>
  <c r="X85" i="9"/>
  <c r="Z85" i="9" s="1"/>
  <c r="R104" i="9"/>
  <c r="Z167" i="12"/>
  <c r="Z210" i="15"/>
  <c r="J186" i="3"/>
  <c r="J194" i="3"/>
  <c r="J84" i="9"/>
  <c r="J72" i="9"/>
  <c r="J56" i="9"/>
  <c r="J48" i="9"/>
  <c r="J40" i="9"/>
  <c r="J36" i="9"/>
  <c r="J85" i="9"/>
  <c r="J102" i="9"/>
  <c r="J100" i="9"/>
  <c r="J92" i="9"/>
  <c r="J80" i="9"/>
  <c r="J74" i="9"/>
  <c r="J68" i="9"/>
  <c r="J60" i="9"/>
  <c r="J28" i="9"/>
  <c r="J24" i="9"/>
  <c r="J87" i="9"/>
  <c r="J75" i="9"/>
  <c r="J69" i="9"/>
  <c r="J61" i="9"/>
  <c r="J51" i="9"/>
  <c r="J104" i="9"/>
  <c r="J70" i="9"/>
  <c r="J95" i="9"/>
  <c r="J83" i="9"/>
  <c r="J71" i="9"/>
  <c r="J65" i="9"/>
  <c r="J96" i="9"/>
  <c r="J66" i="9"/>
  <c r="J54" i="9"/>
  <c r="J46" i="9"/>
  <c r="J30" i="9"/>
  <c r="J26" i="9"/>
  <c r="J22" i="9"/>
  <c r="J97" i="9"/>
  <c r="J89" i="9"/>
  <c r="J77" i="9"/>
  <c r="J55" i="9"/>
  <c r="J47" i="9"/>
  <c r="J79" i="9"/>
  <c r="J137" i="3"/>
  <c r="J177" i="3"/>
  <c r="V199" i="3"/>
  <c r="V203" i="3"/>
  <c r="V207" i="3"/>
  <c r="J211" i="3"/>
  <c r="J215" i="3"/>
  <c r="J219" i="3"/>
  <c r="V223" i="3"/>
  <c r="J227" i="3"/>
  <c r="J233" i="3"/>
  <c r="V235" i="3"/>
  <c r="J239" i="3"/>
  <c r="V243" i="3"/>
  <c r="V251" i="3"/>
  <c r="J259" i="3"/>
  <c r="V263" i="3"/>
  <c r="J271" i="3"/>
  <c r="V279" i="3"/>
  <c r="J283" i="3"/>
  <c r="J287" i="3"/>
  <c r="J291" i="3"/>
  <c r="J299" i="3"/>
  <c r="J308" i="3"/>
  <c r="V313" i="3"/>
  <c r="N12" i="6"/>
  <c r="R14" i="6"/>
  <c r="R16" i="6"/>
  <c r="R18" i="6"/>
  <c r="R20" i="6"/>
  <c r="Z12" i="9"/>
  <c r="T17" i="9"/>
  <c r="X19" i="9"/>
  <c r="Z19" i="9" s="1"/>
  <c r="J33" i="9"/>
  <c r="R36" i="9"/>
  <c r="J38" i="9"/>
  <c r="Z49" i="9"/>
  <c r="V54" i="9"/>
  <c r="Z57" i="9"/>
  <c r="J59" i="9"/>
  <c r="X63" i="9"/>
  <c r="Z63" i="9"/>
  <c r="V85" i="9"/>
  <c r="V93" i="9"/>
  <c r="V104" i="9"/>
  <c r="N12" i="3"/>
  <c r="J141" i="3"/>
  <c r="J145" i="3"/>
  <c r="J157" i="3"/>
  <c r="J161" i="3"/>
  <c r="J165" i="3"/>
  <c r="J169" i="3"/>
  <c r="J173" i="3"/>
  <c r="Z12" i="3"/>
  <c r="J136" i="3"/>
  <c r="J140" i="3"/>
  <c r="J144" i="3"/>
  <c r="J148" i="3"/>
  <c r="J152" i="3"/>
  <c r="J156" i="3"/>
  <c r="J160" i="3"/>
  <c r="J164" i="3"/>
  <c r="J168" i="3"/>
  <c r="J172" i="3"/>
  <c r="J176" i="3"/>
  <c r="J180" i="3"/>
  <c r="J184" i="3"/>
  <c r="J188" i="3"/>
  <c r="J192" i="3"/>
  <c r="J210" i="3"/>
  <c r="V212" i="3"/>
  <c r="V216" i="3"/>
  <c r="V220" i="3"/>
  <c r="J226" i="3"/>
  <c r="J232" i="3"/>
  <c r="V236" i="3"/>
  <c r="V244" i="3"/>
  <c r="J248" i="3"/>
  <c r="V252" i="3"/>
  <c r="J258" i="3"/>
  <c r="V268" i="3"/>
  <c r="J276" i="3"/>
  <c r="J282" i="3"/>
  <c r="V284" i="3"/>
  <c r="V288" i="3"/>
  <c r="V292" i="3"/>
  <c r="J298" i="3"/>
  <c r="V300" i="3"/>
  <c r="J307" i="3"/>
  <c r="V312" i="3"/>
  <c r="T16" i="6"/>
  <c r="R15" i="9"/>
  <c r="V17" i="9"/>
  <c r="V21" i="9"/>
  <c r="J23" i="9"/>
  <c r="R28" i="9"/>
  <c r="V36" i="9"/>
  <c r="J44" i="9"/>
  <c r="R48" i="9"/>
  <c r="V49" i="9"/>
  <c r="R51" i="9"/>
  <c r="V57" i="9"/>
  <c r="V63" i="9"/>
  <c r="V72" i="9"/>
  <c r="J88" i="9"/>
  <c r="N105" i="15"/>
  <c r="H17" i="9"/>
  <c r="J34" i="9"/>
  <c r="V189" i="3"/>
  <c r="V193" i="3"/>
  <c r="J201" i="3"/>
  <c r="J205" i="3"/>
  <c r="J209" i="3"/>
  <c r="V221" i="3"/>
  <c r="J225" i="3"/>
  <c r="V229" i="3"/>
  <c r="V241" i="3"/>
  <c r="J247" i="3"/>
  <c r="V249" i="3"/>
  <c r="J257" i="3"/>
  <c r="V261" i="3"/>
  <c r="J265" i="3"/>
  <c r="V273" i="3"/>
  <c r="V277" i="3"/>
  <c r="J281" i="3"/>
  <c r="V293" i="3"/>
  <c r="J297" i="3"/>
  <c r="J305" i="3"/>
  <c r="J306" i="3"/>
  <c r="V311" i="3"/>
  <c r="J318" i="3"/>
  <c r="V14" i="6"/>
  <c r="V16" i="6"/>
  <c r="V18" i="6"/>
  <c r="V20" i="6"/>
  <c r="V22" i="6"/>
  <c r="F26" i="6"/>
  <c r="F28" i="6"/>
  <c r="F29" i="6"/>
  <c r="F31" i="6"/>
  <c r="X17" i="9"/>
  <c r="J25" i="9"/>
  <c r="R30" i="9"/>
  <c r="J35" i="9"/>
  <c r="V45" i="9"/>
  <c r="V48" i="9"/>
  <c r="V51" i="9"/>
  <c r="J53" i="9"/>
  <c r="R62" i="9"/>
  <c r="R70" i="9"/>
  <c r="J90" i="9"/>
  <c r="R97" i="9"/>
  <c r="F268" i="12"/>
  <c r="F267" i="12"/>
  <c r="F260" i="12"/>
  <c r="F244" i="12"/>
  <c r="F240" i="12"/>
  <c r="F208" i="12"/>
  <c r="F207" i="12"/>
  <c r="F200" i="12"/>
  <c r="F160" i="12"/>
  <c r="F156" i="12"/>
  <c r="F152" i="12"/>
  <c r="F148" i="12"/>
  <c r="F144" i="12"/>
  <c r="F140" i="12"/>
  <c r="F136" i="12"/>
  <c r="F132" i="12"/>
  <c r="F128" i="12"/>
  <c r="F124" i="12"/>
  <c r="F120" i="12"/>
  <c r="F116" i="12"/>
  <c r="F112" i="12"/>
  <c r="F283" i="12"/>
  <c r="F255" i="12"/>
  <c r="F251" i="12"/>
  <c r="F235" i="12"/>
  <c r="F219" i="12"/>
  <c r="F218" i="12"/>
  <c r="F195" i="12"/>
  <c r="F194" i="12"/>
  <c r="F187" i="12"/>
  <c r="F183" i="12"/>
  <c r="F179" i="12"/>
  <c r="F178" i="12"/>
  <c r="F271" i="12"/>
  <c r="F262" i="12"/>
  <c r="F261" i="12"/>
  <c r="F246" i="12"/>
  <c r="F245" i="12"/>
  <c r="F230" i="12"/>
  <c r="F210" i="12"/>
  <c r="F209" i="12"/>
  <c r="F202" i="12"/>
  <c r="F201" i="12"/>
  <c r="F174" i="12"/>
  <c r="F170" i="12"/>
  <c r="F272" i="12"/>
  <c r="F241" i="12"/>
  <c r="F221" i="12"/>
  <c r="F220" i="12"/>
  <c r="F197" i="12"/>
  <c r="F196" i="12"/>
  <c r="F161" i="12"/>
  <c r="F157" i="12"/>
  <c r="F153" i="12"/>
  <c r="F149" i="12"/>
  <c r="F145" i="12"/>
  <c r="F141" i="12"/>
  <c r="F137" i="12"/>
  <c r="F133" i="12"/>
  <c r="F129" i="12"/>
  <c r="F125" i="12"/>
  <c r="F121" i="12"/>
  <c r="F117" i="12"/>
  <c r="F113" i="12"/>
  <c r="F273" i="12"/>
  <c r="F264" i="12"/>
  <c r="F263" i="12"/>
  <c r="F256" i="12"/>
  <c r="F252" i="12"/>
  <c r="F236" i="12"/>
  <c r="F212" i="12"/>
  <c r="F211" i="12"/>
  <c r="F188" i="12"/>
  <c r="F184" i="12"/>
  <c r="F180" i="12"/>
  <c r="F274" i="12"/>
  <c r="F247" i="12"/>
  <c r="F231" i="12"/>
  <c r="F223" i="12"/>
  <c r="F222" i="12"/>
  <c r="F203" i="12"/>
  <c r="F175" i="12"/>
  <c r="F171" i="12"/>
  <c r="F275" i="12"/>
  <c r="F242" i="12"/>
  <c r="F198" i="12"/>
  <c r="F190" i="12"/>
  <c r="F189" i="12"/>
  <c r="F162" i="12"/>
  <c r="F158" i="12"/>
  <c r="F154" i="12"/>
  <c r="F150" i="12"/>
  <c r="F146" i="12"/>
  <c r="F142" i="12"/>
  <c r="F138" i="12"/>
  <c r="F134" i="12"/>
  <c r="F130" i="12"/>
  <c r="F126" i="12"/>
  <c r="F122" i="12"/>
  <c r="F118" i="12"/>
  <c r="F114" i="12"/>
  <c r="F110" i="12"/>
  <c r="F109" i="12"/>
  <c r="L12" i="12"/>
  <c r="F276" i="12"/>
  <c r="F265" i="12"/>
  <c r="F257" i="12"/>
  <c r="F253" i="12"/>
  <c r="F249" i="12"/>
  <c r="F248" i="12"/>
  <c r="F237" i="12"/>
  <c r="F225" i="12"/>
  <c r="F224" i="12"/>
  <c r="F213" i="12"/>
  <c r="F205" i="12"/>
  <c r="F204" i="12"/>
  <c r="F185" i="12"/>
  <c r="F181" i="12"/>
  <c r="F277" i="12"/>
  <c r="F232" i="12"/>
  <c r="F192" i="12"/>
  <c r="F191" i="12"/>
  <c r="F176" i="12"/>
  <c r="F172" i="12"/>
  <c r="F168" i="12"/>
  <c r="F167" i="12"/>
  <c r="F278" i="12"/>
  <c r="F259" i="12"/>
  <c r="F258" i="12"/>
  <c r="F243" i="12"/>
  <c r="F239" i="12"/>
  <c r="F238" i="12"/>
  <c r="F227" i="12"/>
  <c r="F226" i="12"/>
  <c r="F215" i="12"/>
  <c r="F214" i="12"/>
  <c r="F199" i="12"/>
  <c r="F166" i="12"/>
  <c r="F164" i="12"/>
  <c r="F159" i="12"/>
  <c r="F155" i="12"/>
  <c r="F151" i="12"/>
  <c r="F147" i="12"/>
  <c r="F143" i="12"/>
  <c r="F139" i="12"/>
  <c r="F135" i="12"/>
  <c r="F131" i="12"/>
  <c r="F127" i="12"/>
  <c r="F123" i="12"/>
  <c r="F119" i="12"/>
  <c r="F115" i="12"/>
  <c r="F111" i="12"/>
  <c r="F279" i="12"/>
  <c r="F266" i="12"/>
  <c r="F254" i="12"/>
  <c r="F250" i="12"/>
  <c r="F234" i="12"/>
  <c r="F233" i="12"/>
  <c r="F206" i="12"/>
  <c r="F186" i="12"/>
  <c r="F182" i="12"/>
  <c r="D164" i="12"/>
  <c r="F229" i="12"/>
  <c r="F228" i="12"/>
  <c r="F217" i="12"/>
  <c r="F216" i="12"/>
  <c r="F193" i="12"/>
  <c r="F177" i="12"/>
  <c r="F173" i="12"/>
  <c r="F169" i="12"/>
  <c r="J150" i="3"/>
  <c r="J166" i="3"/>
  <c r="V202" i="3"/>
  <c r="V206" i="3"/>
  <c r="J214" i="3"/>
  <c r="J218" i="3"/>
  <c r="V234" i="3"/>
  <c r="J238" i="3"/>
  <c r="V242" i="3"/>
  <c r="J246" i="3"/>
  <c r="V250" i="3"/>
  <c r="J256" i="3"/>
  <c r="V262" i="3"/>
  <c r="V266" i="3"/>
  <c r="J270" i="3"/>
  <c r="J286" i="3"/>
  <c r="J290" i="3"/>
  <c r="J296" i="3"/>
  <c r="V310" i="3"/>
  <c r="J317" i="3"/>
  <c r="V322" i="3"/>
  <c r="V326" i="3"/>
  <c r="V327" i="3"/>
  <c r="V15" i="9"/>
  <c r="V23" i="9"/>
  <c r="V30" i="9"/>
  <c r="R38" i="9"/>
  <c r="V56" i="9"/>
  <c r="V62" i="9"/>
  <c r="J64" i="9"/>
  <c r="V65" i="9"/>
  <c r="J67" i="9"/>
  <c r="V70" i="9"/>
  <c r="J82" i="9"/>
  <c r="J86" i="9"/>
  <c r="J106" i="9"/>
  <c r="Z191" i="12"/>
  <c r="Z245" i="12"/>
  <c r="J178" i="3"/>
  <c r="J236" i="3"/>
  <c r="J135" i="3"/>
  <c r="J139" i="3"/>
  <c r="J143" i="3"/>
  <c r="J147" i="3"/>
  <c r="J151" i="3"/>
  <c r="J155" i="3"/>
  <c r="J159" i="3"/>
  <c r="J163" i="3"/>
  <c r="J167" i="3"/>
  <c r="J171" i="3"/>
  <c r="J175" i="3"/>
  <c r="J179" i="3"/>
  <c r="J183" i="3"/>
  <c r="J187" i="3"/>
  <c r="J191" i="3"/>
  <c r="H196" i="3"/>
  <c r="V211" i="3"/>
  <c r="V215" i="3"/>
  <c r="V219" i="3"/>
  <c r="V227" i="3"/>
  <c r="J231" i="3"/>
  <c r="V239" i="3"/>
  <c r="X242" i="3"/>
  <c r="Z242" i="3" s="1"/>
  <c r="X250" i="3"/>
  <c r="J255" i="3"/>
  <c r="L256" i="3"/>
  <c r="N256" i="3" s="1"/>
  <c r="V259" i="3"/>
  <c r="X262" i="3"/>
  <c r="Z262" i="3" s="1"/>
  <c r="V267" i="3"/>
  <c r="V271" i="3"/>
  <c r="J275" i="3"/>
  <c r="V283" i="3"/>
  <c r="V287" i="3"/>
  <c r="V291" i="3"/>
  <c r="J295" i="3"/>
  <c r="L296" i="3"/>
  <c r="V299" i="3"/>
  <c r="J303" i="3"/>
  <c r="V309" i="3"/>
  <c r="J316" i="3"/>
  <c r="X326" i="3"/>
  <c r="Z326" i="3" s="1"/>
  <c r="X327" i="3"/>
  <c r="J26" i="6"/>
  <c r="J28" i="6"/>
  <c r="J29" i="6"/>
  <c r="X15" i="9"/>
  <c r="N20" i="9"/>
  <c r="V25" i="9"/>
  <c r="J27" i="9"/>
  <c r="J32" i="9"/>
  <c r="V38" i="9"/>
  <c r="N43" i="9"/>
  <c r="J73" i="9"/>
  <c r="V84" i="9"/>
  <c r="N214" i="12"/>
  <c r="N258" i="12"/>
  <c r="J142" i="3"/>
  <c r="J174" i="3"/>
  <c r="J313" i="3"/>
  <c r="J134" i="3"/>
  <c r="V136" i="3"/>
  <c r="V140" i="3"/>
  <c r="V144" i="3"/>
  <c r="V148" i="3"/>
  <c r="V152" i="3"/>
  <c r="V156" i="3"/>
  <c r="V160" i="3"/>
  <c r="V164" i="3"/>
  <c r="V168" i="3"/>
  <c r="V172" i="3"/>
  <c r="V176" i="3"/>
  <c r="V180" i="3"/>
  <c r="V184" i="3"/>
  <c r="V188" i="3"/>
  <c r="V192" i="3"/>
  <c r="J196" i="3"/>
  <c r="J198" i="3"/>
  <c r="J200" i="3"/>
  <c r="J204" i="3"/>
  <c r="J208" i="3"/>
  <c r="J224" i="3"/>
  <c r="V228" i="3"/>
  <c r="V232" i="3"/>
  <c r="V240" i="3"/>
  <c r="V248" i="3"/>
  <c r="J254" i="3"/>
  <c r="V260" i="3"/>
  <c r="J264" i="3"/>
  <c r="V272" i="3"/>
  <c r="V276" i="3"/>
  <c r="J280" i="3"/>
  <c r="J302" i="3"/>
  <c r="D16" i="6"/>
  <c r="N19" i="9"/>
  <c r="J20" i="9"/>
  <c r="L32" i="9"/>
  <c r="N32" i="9" s="1"/>
  <c r="R35" i="9"/>
  <c r="J37" i="9"/>
  <c r="J43" i="9"/>
  <c r="X47" i="9"/>
  <c r="Z47" i="9" s="1"/>
  <c r="J50" i="9"/>
  <c r="L52" i="9"/>
  <c r="N52" i="9" s="1"/>
  <c r="V53" i="9"/>
  <c r="J58" i="9"/>
  <c r="J94" i="9"/>
  <c r="N261" i="12"/>
  <c r="Z233" i="15"/>
  <c r="J112" i="12"/>
  <c r="J116" i="12"/>
  <c r="J120" i="12"/>
  <c r="J124" i="12"/>
  <c r="J128" i="12"/>
  <c r="J132" i="12"/>
  <c r="J136" i="12"/>
  <c r="J140" i="12"/>
  <c r="J144" i="12"/>
  <c r="J148" i="12"/>
  <c r="J152" i="12"/>
  <c r="J156" i="12"/>
  <c r="J160" i="12"/>
  <c r="Z166" i="12"/>
  <c r="J178" i="12"/>
  <c r="V180" i="12"/>
  <c r="V184" i="12"/>
  <c r="V188" i="12"/>
  <c r="J194" i="12"/>
  <c r="N196" i="12"/>
  <c r="J200" i="12"/>
  <c r="V204" i="12"/>
  <c r="J208" i="12"/>
  <c r="V212" i="12"/>
  <c r="Z214" i="12"/>
  <c r="J218" i="12"/>
  <c r="N220" i="12"/>
  <c r="V224" i="12"/>
  <c r="Z226" i="12"/>
  <c r="V236" i="12"/>
  <c r="Z238" i="12"/>
  <c r="J240" i="12"/>
  <c r="J244" i="12"/>
  <c r="V248" i="12"/>
  <c r="V252" i="12"/>
  <c r="V256" i="12"/>
  <c r="Z258" i="12"/>
  <c r="J260" i="12"/>
  <c r="V264" i="12"/>
  <c r="J268" i="12"/>
  <c r="V274" i="12"/>
  <c r="V106" i="15"/>
  <c r="V110" i="15"/>
  <c r="V114" i="15"/>
  <c r="V118" i="15"/>
  <c r="V122" i="15"/>
  <c r="V126" i="15"/>
  <c r="V130" i="15"/>
  <c r="V134" i="15"/>
  <c r="V138" i="15"/>
  <c r="V142" i="15"/>
  <c r="V146" i="15"/>
  <c r="V150" i="15"/>
  <c r="V154" i="15"/>
  <c r="J160" i="15"/>
  <c r="J162" i="15"/>
  <c r="J166" i="15"/>
  <c r="J170" i="15"/>
  <c r="F175" i="15"/>
  <c r="F179" i="15"/>
  <c r="J186" i="15"/>
  <c r="V190" i="15"/>
  <c r="V194" i="15"/>
  <c r="F198" i="15"/>
  <c r="F199" i="15"/>
  <c r="V202" i="15"/>
  <c r="F207" i="15"/>
  <c r="J208" i="15"/>
  <c r="N210" i="15"/>
  <c r="V214" i="15"/>
  <c r="Z216" i="15"/>
  <c r="F218" i="15"/>
  <c r="F219" i="15"/>
  <c r="V226" i="15"/>
  <c r="Z228" i="15"/>
  <c r="J230" i="15"/>
  <c r="F241" i="15"/>
  <c r="J244" i="15"/>
  <c r="J248" i="15"/>
  <c r="F251" i="15"/>
  <c r="V257" i="15"/>
  <c r="F260" i="15"/>
  <c r="F263" i="15"/>
  <c r="Z123" i="18"/>
  <c r="J166" i="18"/>
  <c r="V109" i="12"/>
  <c r="V113" i="12"/>
  <c r="V117" i="12"/>
  <c r="V121" i="12"/>
  <c r="V125" i="12"/>
  <c r="V129" i="12"/>
  <c r="V133" i="12"/>
  <c r="V137" i="12"/>
  <c r="V141" i="12"/>
  <c r="V145" i="12"/>
  <c r="V149" i="12"/>
  <c r="V153" i="12"/>
  <c r="V157" i="12"/>
  <c r="V161" i="12"/>
  <c r="J169" i="12"/>
  <c r="J173" i="12"/>
  <c r="J177" i="12"/>
  <c r="V189" i="12"/>
  <c r="J193" i="12"/>
  <c r="V197" i="12"/>
  <c r="J207" i="12"/>
  <c r="J217" i="12"/>
  <c r="V221" i="12"/>
  <c r="J229" i="12"/>
  <c r="V241" i="12"/>
  <c r="J267" i="12"/>
  <c r="V273" i="12"/>
  <c r="P12" i="15"/>
  <c r="F108" i="15"/>
  <c r="F112" i="15"/>
  <c r="F116" i="15"/>
  <c r="F120" i="15"/>
  <c r="F124" i="15"/>
  <c r="F128" i="15"/>
  <c r="F132" i="15"/>
  <c r="F136" i="15"/>
  <c r="F140" i="15"/>
  <c r="F144" i="15"/>
  <c r="F148" i="15"/>
  <c r="F152" i="15"/>
  <c r="F156" i="15"/>
  <c r="J161" i="15"/>
  <c r="V163" i="15"/>
  <c r="V167" i="15"/>
  <c r="V171" i="15"/>
  <c r="J175" i="15"/>
  <c r="J179" i="15"/>
  <c r="F183" i="15"/>
  <c r="F184" i="15"/>
  <c r="J185" i="15"/>
  <c r="V187" i="15"/>
  <c r="F192" i="15"/>
  <c r="V195" i="15"/>
  <c r="J199" i="15"/>
  <c r="V203" i="15"/>
  <c r="J207" i="15"/>
  <c r="V211" i="15"/>
  <c r="J219" i="15"/>
  <c r="F223" i="15"/>
  <c r="F224" i="15"/>
  <c r="V231" i="15"/>
  <c r="J238" i="15"/>
  <c r="V239" i="15"/>
  <c r="V249" i="15"/>
  <c r="J251" i="15"/>
  <c r="J254" i="15"/>
  <c r="J263" i="15"/>
  <c r="V123" i="18"/>
  <c r="J170" i="18"/>
  <c r="N248" i="18"/>
  <c r="H122" i="21"/>
  <c r="Z72" i="21"/>
  <c r="V170" i="12"/>
  <c r="V174" i="12"/>
  <c r="J182" i="12"/>
  <c r="J186" i="12"/>
  <c r="V202" i="12"/>
  <c r="J206" i="12"/>
  <c r="V210" i="12"/>
  <c r="J216" i="12"/>
  <c r="V222" i="12"/>
  <c r="J228" i="12"/>
  <c r="V230" i="12"/>
  <c r="J234" i="12"/>
  <c r="V246" i="12"/>
  <c r="J250" i="12"/>
  <c r="J254" i="12"/>
  <c r="V262" i="12"/>
  <c r="J266" i="12"/>
  <c r="V272" i="12"/>
  <c r="J279" i="12"/>
  <c r="V261" i="15"/>
  <c r="V265" i="15"/>
  <c r="V253" i="15"/>
  <c r="V245" i="15"/>
  <c r="V259" i="15"/>
  <c r="J108" i="15"/>
  <c r="J112" i="15"/>
  <c r="J116" i="15"/>
  <c r="J120" i="15"/>
  <c r="J124" i="15"/>
  <c r="J128" i="15"/>
  <c r="J132" i="15"/>
  <c r="J136" i="15"/>
  <c r="J140" i="15"/>
  <c r="J144" i="15"/>
  <c r="J148" i="15"/>
  <c r="J152" i="15"/>
  <c r="J156" i="15"/>
  <c r="F165" i="15"/>
  <c r="F169" i="15"/>
  <c r="V172" i="15"/>
  <c r="V176" i="15"/>
  <c r="V180" i="15"/>
  <c r="J184" i="15"/>
  <c r="V188" i="15"/>
  <c r="J192" i="15"/>
  <c r="F197" i="15"/>
  <c r="J198" i="15"/>
  <c r="V200" i="15"/>
  <c r="V212" i="15"/>
  <c r="F216" i="15"/>
  <c r="F217" i="15"/>
  <c r="J218" i="15"/>
  <c r="V220" i="15"/>
  <c r="J224" i="15"/>
  <c r="F228" i="15"/>
  <c r="F229" i="15"/>
  <c r="V236" i="15"/>
  <c r="F243" i="15"/>
  <c r="F247" i="15"/>
  <c r="V256" i="15"/>
  <c r="J174" i="18"/>
  <c r="J195" i="18"/>
  <c r="F109" i="24"/>
  <c r="F108" i="24"/>
  <c r="F73" i="24"/>
  <c r="F69" i="24"/>
  <c r="F65" i="24"/>
  <c r="F61" i="24"/>
  <c r="F57" i="24"/>
  <c r="F53" i="24"/>
  <c r="F127" i="24"/>
  <c r="F111" i="24"/>
  <c r="F110" i="24"/>
  <c r="F87" i="24"/>
  <c r="F83" i="24"/>
  <c r="F125" i="24"/>
  <c r="F115" i="24"/>
  <c r="F106" i="24"/>
  <c r="F105" i="24"/>
  <c r="F100" i="24"/>
  <c r="F97" i="24"/>
  <c r="F90" i="24"/>
  <c r="F72" i="24"/>
  <c r="F94" i="24"/>
  <c r="F130" i="24"/>
  <c r="F121" i="24"/>
  <c r="F91" i="24"/>
  <c r="F84" i="24"/>
  <c r="F80" i="24"/>
  <c r="F79" i="24"/>
  <c r="D77" i="24"/>
  <c r="F54" i="24"/>
  <c r="F140" i="24"/>
  <c r="F126" i="24"/>
  <c r="F116" i="24"/>
  <c r="F101" i="24"/>
  <c r="F58" i="24"/>
  <c r="F135" i="24"/>
  <c r="F102" i="24"/>
  <c r="F98" i="24"/>
  <c r="F81" i="24"/>
  <c r="F62" i="24"/>
  <c r="F131" i="24"/>
  <c r="F122" i="24"/>
  <c r="F117" i="24"/>
  <c r="F112" i="24"/>
  <c r="F107" i="24"/>
  <c r="F95" i="24"/>
  <c r="F92" i="24"/>
  <c r="F88" i="24"/>
  <c r="F66" i="24"/>
  <c r="F55" i="24"/>
  <c r="F136" i="24"/>
  <c r="F70" i="24"/>
  <c r="F59" i="24"/>
  <c r="F123" i="24"/>
  <c r="F113" i="24"/>
  <c r="F85" i="24"/>
  <c r="F82" i="24"/>
  <c r="F74" i="24"/>
  <c r="F63" i="24"/>
  <c r="F52" i="24"/>
  <c r="F51" i="24"/>
  <c r="F118" i="24"/>
  <c r="F103" i="24"/>
  <c r="F96" i="24"/>
  <c r="F67" i="24"/>
  <c r="F56" i="24"/>
  <c r="F132" i="24"/>
  <c r="F128" i="24"/>
  <c r="F104" i="24"/>
  <c r="F99" i="24"/>
  <c r="F93" i="24"/>
  <c r="F71" i="24"/>
  <c r="F60" i="24"/>
  <c r="L12" i="24"/>
  <c r="N12" i="24" s="1"/>
  <c r="F124" i="24"/>
  <c r="F120" i="24"/>
  <c r="F119" i="24"/>
  <c r="F114" i="24"/>
  <c r="F89" i="24"/>
  <c r="F86" i="24"/>
  <c r="F75" i="24"/>
  <c r="F64" i="24"/>
  <c r="F133" i="24"/>
  <c r="F129" i="24"/>
  <c r="F68" i="24"/>
  <c r="J159" i="12"/>
  <c r="H164" i="12"/>
  <c r="V179" i="12"/>
  <c r="V183" i="12"/>
  <c r="V187" i="12"/>
  <c r="V195" i="12"/>
  <c r="J199" i="12"/>
  <c r="V211" i="12"/>
  <c r="J215" i="12"/>
  <c r="V219" i="12"/>
  <c r="J227" i="12"/>
  <c r="J233" i="12"/>
  <c r="V235" i="12"/>
  <c r="J239" i="12"/>
  <c r="J243" i="12"/>
  <c r="V251" i="12"/>
  <c r="V255" i="12"/>
  <c r="J259" i="12"/>
  <c r="V263" i="12"/>
  <c r="V271" i="12"/>
  <c r="J278" i="12"/>
  <c r="V283" i="12"/>
  <c r="V145" i="15"/>
  <c r="V149" i="15"/>
  <c r="V153" i="15"/>
  <c r="J165" i="15"/>
  <c r="J169" i="15"/>
  <c r="F174" i="15"/>
  <c r="F178" i="15"/>
  <c r="F182" i="15"/>
  <c r="J183" i="15"/>
  <c r="V193" i="15"/>
  <c r="J197" i="15"/>
  <c r="V201" i="15"/>
  <c r="F205" i="15"/>
  <c r="F206" i="15"/>
  <c r="V209" i="15"/>
  <c r="J217" i="15"/>
  <c r="F222" i="15"/>
  <c r="J223" i="15"/>
  <c r="V225" i="15"/>
  <c r="J229" i="15"/>
  <c r="F233" i="15"/>
  <c r="F234" i="15"/>
  <c r="V235" i="15"/>
  <c r="V241" i="15"/>
  <c r="J243" i="15"/>
  <c r="V248" i="15"/>
  <c r="J259" i="15"/>
  <c r="F262" i="15"/>
  <c r="H295" i="18"/>
  <c r="L186" i="18"/>
  <c r="N186" i="18" s="1"/>
  <c r="V112" i="12"/>
  <c r="V116" i="12"/>
  <c r="V120" i="12"/>
  <c r="V124" i="12"/>
  <c r="V128" i="12"/>
  <c r="V132" i="12"/>
  <c r="V136" i="12"/>
  <c r="V140" i="12"/>
  <c r="V144" i="12"/>
  <c r="V148" i="12"/>
  <c r="V152" i="12"/>
  <c r="V156" i="12"/>
  <c r="V160" i="12"/>
  <c r="J164" i="12"/>
  <c r="J166" i="12"/>
  <c r="J168" i="12"/>
  <c r="J172" i="12"/>
  <c r="J176" i="12"/>
  <c r="J192" i="12"/>
  <c r="V196" i="12"/>
  <c r="V200" i="12"/>
  <c r="V208" i="12"/>
  <c r="J214" i="12"/>
  <c r="V220" i="12"/>
  <c r="J226" i="12"/>
  <c r="J232" i="12"/>
  <c r="J238" i="12"/>
  <c r="V240" i="12"/>
  <c r="V244" i="12"/>
  <c r="J258" i="12"/>
  <c r="V260" i="12"/>
  <c r="V268" i="12"/>
  <c r="V270" i="12"/>
  <c r="J277" i="12"/>
  <c r="F107" i="15"/>
  <c r="F111" i="15"/>
  <c r="F115" i="15"/>
  <c r="F119" i="15"/>
  <c r="F123" i="15"/>
  <c r="F127" i="15"/>
  <c r="F131" i="15"/>
  <c r="F135" i="15"/>
  <c r="F139" i="15"/>
  <c r="F143" i="15"/>
  <c r="F147" i="15"/>
  <c r="F151" i="15"/>
  <c r="F155" i="15"/>
  <c r="V162" i="15"/>
  <c r="V166" i="15"/>
  <c r="V170" i="15"/>
  <c r="J174" i="15"/>
  <c r="J178" i="15"/>
  <c r="J182" i="15"/>
  <c r="V186" i="15"/>
  <c r="F190" i="15"/>
  <c r="F191" i="15"/>
  <c r="J206" i="15"/>
  <c r="V210" i="15"/>
  <c r="F214" i="15"/>
  <c r="F215" i="15"/>
  <c r="J216" i="15"/>
  <c r="J222" i="15"/>
  <c r="F227" i="15"/>
  <c r="J228" i="15"/>
  <c r="V230" i="15"/>
  <c r="J234" i="15"/>
  <c r="J240" i="15"/>
  <c r="L247" i="15"/>
  <c r="N247" i="15" s="1"/>
  <c r="V251" i="15"/>
  <c r="V260" i="15"/>
  <c r="J183" i="18"/>
  <c r="J191" i="18"/>
  <c r="N243" i="18"/>
  <c r="N66" i="21"/>
  <c r="H138" i="24"/>
  <c r="Z112" i="24"/>
  <c r="L166" i="12"/>
  <c r="N166" i="12" s="1"/>
  <c r="J167" i="12"/>
  <c r="V169" i="12"/>
  <c r="V173" i="12"/>
  <c r="V177" i="12"/>
  <c r="J181" i="12"/>
  <c r="J185" i="12"/>
  <c r="J191" i="12"/>
  <c r="V193" i="12"/>
  <c r="X196" i="12"/>
  <c r="Z196" i="12" s="1"/>
  <c r="V201" i="12"/>
  <c r="J205" i="12"/>
  <c r="V209" i="12"/>
  <c r="J213" i="12"/>
  <c r="L214" i="12"/>
  <c r="V217" i="12"/>
  <c r="X220" i="12"/>
  <c r="Z220" i="12" s="1"/>
  <c r="J225" i="12"/>
  <c r="L226" i="12"/>
  <c r="N226" i="12" s="1"/>
  <c r="V229" i="12"/>
  <c r="J237" i="12"/>
  <c r="L238" i="12"/>
  <c r="N238" i="12" s="1"/>
  <c r="V245" i="12"/>
  <c r="J249" i="12"/>
  <c r="J253" i="12"/>
  <c r="J257" i="12"/>
  <c r="L258" i="12"/>
  <c r="V261" i="12"/>
  <c r="J265" i="12"/>
  <c r="J276" i="12"/>
  <c r="J107" i="15"/>
  <c r="J111" i="15"/>
  <c r="J115" i="15"/>
  <c r="J119" i="15"/>
  <c r="J123" i="15"/>
  <c r="J127" i="15"/>
  <c r="J131" i="15"/>
  <c r="J135" i="15"/>
  <c r="J139" i="15"/>
  <c r="J143" i="15"/>
  <c r="J147" i="15"/>
  <c r="J151" i="15"/>
  <c r="J155" i="15"/>
  <c r="T158" i="15"/>
  <c r="V158" i="15" s="1"/>
  <c r="F164" i="15"/>
  <c r="F168" i="15"/>
  <c r="V175" i="15"/>
  <c r="V179" i="15"/>
  <c r="J191" i="15"/>
  <c r="F195" i="15"/>
  <c r="F196" i="15"/>
  <c r="V199" i="15"/>
  <c r="F203" i="15"/>
  <c r="F204" i="15"/>
  <c r="J205" i="15"/>
  <c r="V207" i="15"/>
  <c r="X210" i="15"/>
  <c r="J215" i="15"/>
  <c r="L216" i="15"/>
  <c r="N216" i="15" s="1"/>
  <c r="V219" i="15"/>
  <c r="J227" i="15"/>
  <c r="L228" i="15"/>
  <c r="N228" i="15" s="1"/>
  <c r="F232" i="15"/>
  <c r="J233" i="15"/>
  <c r="F237" i="15"/>
  <c r="V238" i="15"/>
  <c r="J246" i="15"/>
  <c r="J250" i="15"/>
  <c r="V254" i="15"/>
  <c r="F258" i="15"/>
  <c r="V263" i="15"/>
  <c r="J138" i="18"/>
  <c r="Z197" i="18"/>
  <c r="N12" i="12"/>
  <c r="J110" i="12"/>
  <c r="J114" i="12"/>
  <c r="J118" i="12"/>
  <c r="J122" i="12"/>
  <c r="J126" i="12"/>
  <c r="J130" i="12"/>
  <c r="J134" i="12"/>
  <c r="J138" i="12"/>
  <c r="J142" i="12"/>
  <c r="J146" i="12"/>
  <c r="J150" i="12"/>
  <c r="J154" i="12"/>
  <c r="J158" i="12"/>
  <c r="J162" i="12"/>
  <c r="V178" i="12"/>
  <c r="V182" i="12"/>
  <c r="V186" i="12"/>
  <c r="J190" i="12"/>
  <c r="V194" i="12"/>
  <c r="J198" i="12"/>
  <c r="J204" i="12"/>
  <c r="V206" i="12"/>
  <c r="V218" i="12"/>
  <c r="J224" i="12"/>
  <c r="V234" i="12"/>
  <c r="J242" i="12"/>
  <c r="J248" i="12"/>
  <c r="V250" i="12"/>
  <c r="V254" i="12"/>
  <c r="V266" i="12"/>
  <c r="J275" i="12"/>
  <c r="V108" i="15"/>
  <c r="V112" i="15"/>
  <c r="V116" i="15"/>
  <c r="V120" i="15"/>
  <c r="V124" i="15"/>
  <c r="V128" i="15"/>
  <c r="V132" i="15"/>
  <c r="V136" i="15"/>
  <c r="V140" i="15"/>
  <c r="V144" i="15"/>
  <c r="V148" i="15"/>
  <c r="V152" i="15"/>
  <c r="V156" i="15"/>
  <c r="V160" i="15"/>
  <c r="J164" i="15"/>
  <c r="J168" i="15"/>
  <c r="F172" i="15"/>
  <c r="F173" i="15"/>
  <c r="F177" i="15"/>
  <c r="F181" i="15"/>
  <c r="V184" i="15"/>
  <c r="F188" i="15"/>
  <c r="F189" i="15"/>
  <c r="J190" i="15"/>
  <c r="V192" i="15"/>
  <c r="J196" i="15"/>
  <c r="J204" i="15"/>
  <c r="V208" i="15"/>
  <c r="F212" i="15"/>
  <c r="F213" i="15"/>
  <c r="J214" i="15"/>
  <c r="F221" i="15"/>
  <c r="V224" i="15"/>
  <c r="J232" i="15"/>
  <c r="L236" i="15"/>
  <c r="N236" i="15" s="1"/>
  <c r="J237" i="15"/>
  <c r="V243" i="15"/>
  <c r="V244" i="15"/>
  <c r="L257" i="15"/>
  <c r="D256" i="15"/>
  <c r="L256" i="15" s="1"/>
  <c r="N256" i="15" s="1"/>
  <c r="J258" i="15"/>
  <c r="P12" i="18"/>
  <c r="J142" i="18"/>
  <c r="N185" i="18"/>
  <c r="Z226" i="18"/>
  <c r="Z97" i="21"/>
  <c r="J109" i="12"/>
  <c r="V111" i="12"/>
  <c r="V115" i="12"/>
  <c r="V119" i="12"/>
  <c r="V123" i="12"/>
  <c r="V127" i="12"/>
  <c r="V131" i="12"/>
  <c r="V135" i="12"/>
  <c r="V139" i="12"/>
  <c r="V143" i="12"/>
  <c r="V147" i="12"/>
  <c r="V151" i="12"/>
  <c r="V155" i="12"/>
  <c r="V159" i="12"/>
  <c r="J171" i="12"/>
  <c r="J175" i="12"/>
  <c r="J189" i="12"/>
  <c r="V199" i="12"/>
  <c r="J203" i="12"/>
  <c r="V207" i="12"/>
  <c r="V215" i="12"/>
  <c r="J223" i="12"/>
  <c r="V227" i="12"/>
  <c r="J231" i="12"/>
  <c r="V239" i="12"/>
  <c r="V243" i="12"/>
  <c r="J247" i="12"/>
  <c r="V259" i="12"/>
  <c r="V267" i="12"/>
  <c r="D270" i="12"/>
  <c r="L270" i="12" s="1"/>
  <c r="N270" i="12" s="1"/>
  <c r="J274" i="12"/>
  <c r="V279" i="12"/>
  <c r="F105" i="15"/>
  <c r="F106" i="15"/>
  <c r="F110" i="15"/>
  <c r="F114" i="15"/>
  <c r="F118" i="15"/>
  <c r="F122" i="15"/>
  <c r="F126" i="15"/>
  <c r="F130" i="15"/>
  <c r="F134" i="15"/>
  <c r="F138" i="15"/>
  <c r="F142" i="15"/>
  <c r="F146" i="15"/>
  <c r="F150" i="15"/>
  <c r="F154" i="15"/>
  <c r="V161" i="15"/>
  <c r="V165" i="15"/>
  <c r="V169" i="15"/>
  <c r="J173" i="15"/>
  <c r="J177" i="15"/>
  <c r="J181" i="15"/>
  <c r="V185" i="15"/>
  <c r="J189" i="15"/>
  <c r="F194" i="15"/>
  <c r="J195" i="15"/>
  <c r="V197" i="15"/>
  <c r="F201" i="15"/>
  <c r="F202" i="15"/>
  <c r="J203" i="15"/>
  <c r="J213" i="15"/>
  <c r="V217" i="15"/>
  <c r="J221" i="15"/>
  <c r="F226" i="15"/>
  <c r="V229" i="15"/>
  <c r="V234" i="15"/>
  <c r="F236" i="15"/>
  <c r="J242" i="15"/>
  <c r="Z244" i="15"/>
  <c r="Z247" i="15"/>
  <c r="J252" i="15"/>
  <c r="F257" i="15"/>
  <c r="F269" i="15"/>
  <c r="X13" i="18"/>
  <c r="Z13" i="18" s="1"/>
  <c r="J146" i="18"/>
  <c r="J185" i="18"/>
  <c r="Z274" i="18"/>
  <c r="Z95" i="21"/>
  <c r="Z51" i="24"/>
  <c r="V168" i="12"/>
  <c r="V172" i="12"/>
  <c r="V176" i="12"/>
  <c r="J180" i="12"/>
  <c r="J184" i="12"/>
  <c r="J188" i="12"/>
  <c r="V192" i="12"/>
  <c r="J212" i="12"/>
  <c r="V216" i="12"/>
  <c r="J222" i="12"/>
  <c r="V228" i="12"/>
  <c r="V232" i="12"/>
  <c r="J236" i="12"/>
  <c r="J252" i="12"/>
  <c r="J256" i="12"/>
  <c r="J264" i="12"/>
  <c r="J273" i="12"/>
  <c r="V278" i="12"/>
  <c r="J106" i="15"/>
  <c r="J110" i="15"/>
  <c r="J114" i="15"/>
  <c r="J118" i="15"/>
  <c r="J122" i="15"/>
  <c r="J126" i="15"/>
  <c r="J130" i="15"/>
  <c r="J134" i="15"/>
  <c r="J138" i="15"/>
  <c r="J142" i="15"/>
  <c r="J146" i="15"/>
  <c r="J150" i="15"/>
  <c r="J154" i="15"/>
  <c r="F163" i="15"/>
  <c r="F167" i="15"/>
  <c r="F171" i="15"/>
  <c r="J172" i="15"/>
  <c r="V174" i="15"/>
  <c r="V178" i="15"/>
  <c r="V182" i="15"/>
  <c r="F187" i="15"/>
  <c r="J188" i="15"/>
  <c r="J194" i="15"/>
  <c r="V198" i="15"/>
  <c r="J202" i="15"/>
  <c r="V206" i="15"/>
  <c r="F210" i="15"/>
  <c r="F211" i="15"/>
  <c r="J212" i="15"/>
  <c r="V218" i="15"/>
  <c r="V222" i="15"/>
  <c r="J226" i="15"/>
  <c r="F231" i="15"/>
  <c r="V240" i="15"/>
  <c r="V247" i="15"/>
  <c r="N249" i="15"/>
  <c r="V250" i="15"/>
  <c r="J257" i="15"/>
  <c r="J261" i="15"/>
  <c r="V262" i="15"/>
  <c r="J187" i="18"/>
  <c r="J161" i="12"/>
  <c r="T164" i="12"/>
  <c r="V181" i="12"/>
  <c r="V185" i="12"/>
  <c r="J197" i="12"/>
  <c r="V205" i="12"/>
  <c r="J211" i="12"/>
  <c r="V213" i="12"/>
  <c r="J221" i="12"/>
  <c r="V225" i="12"/>
  <c r="V233" i="12"/>
  <c r="V237" i="12"/>
  <c r="J241" i="12"/>
  <c r="V249" i="12"/>
  <c r="V253" i="12"/>
  <c r="V257" i="12"/>
  <c r="J263" i="12"/>
  <c r="V265" i="12"/>
  <c r="J272" i="12"/>
  <c r="V277" i="12"/>
  <c r="F254" i="15"/>
  <c r="F253" i="15"/>
  <c r="F246" i="15"/>
  <c r="F259" i="15"/>
  <c r="F250" i="15"/>
  <c r="F249" i="15"/>
  <c r="F242" i="15"/>
  <c r="F238" i="15"/>
  <c r="F261" i="15"/>
  <c r="F264" i="15"/>
  <c r="F265" i="15"/>
  <c r="F252" i="15"/>
  <c r="F240" i="15"/>
  <c r="V147" i="15"/>
  <c r="V151" i="15"/>
  <c r="V155" i="15"/>
  <c r="D158" i="15"/>
  <c r="J163" i="15"/>
  <c r="J167" i="15"/>
  <c r="J171" i="15"/>
  <c r="F176" i="15"/>
  <c r="F180" i="15"/>
  <c r="V183" i="15"/>
  <c r="J187" i="15"/>
  <c r="V191" i="15"/>
  <c r="F200" i="15"/>
  <c r="J201" i="15"/>
  <c r="J211" i="15"/>
  <c r="V215" i="15"/>
  <c r="F220" i="15"/>
  <c r="V223" i="15"/>
  <c r="V227" i="15"/>
  <c r="J231" i="15"/>
  <c r="J236" i="15"/>
  <c r="V237" i="15"/>
  <c r="F239" i="15"/>
  <c r="F245" i="15"/>
  <c r="V246" i="15"/>
  <c r="V269" i="15"/>
  <c r="V110" i="12"/>
  <c r="V114" i="12"/>
  <c r="V118" i="12"/>
  <c r="V122" i="12"/>
  <c r="V126" i="12"/>
  <c r="V130" i="12"/>
  <c r="V134" i="12"/>
  <c r="V138" i="12"/>
  <c r="V142" i="12"/>
  <c r="V146" i="12"/>
  <c r="V150" i="12"/>
  <c r="V154" i="12"/>
  <c r="V158" i="12"/>
  <c r="V162" i="12"/>
  <c r="V164" i="12"/>
  <c r="V166" i="12"/>
  <c r="J170" i="12"/>
  <c r="J174" i="12"/>
  <c r="V190" i="12"/>
  <c r="J196" i="12"/>
  <c r="V198" i="12"/>
  <c r="J202" i="12"/>
  <c r="J210" i="12"/>
  <c r="L211" i="12"/>
  <c r="N211" i="12" s="1"/>
  <c r="V214" i="12"/>
  <c r="J220" i="12"/>
  <c r="V226" i="12"/>
  <c r="J230" i="12"/>
  <c r="X233" i="12"/>
  <c r="Z233" i="12" s="1"/>
  <c r="V238" i="12"/>
  <c r="V242" i="12"/>
  <c r="J246" i="12"/>
  <c r="V258" i="12"/>
  <c r="J262" i="12"/>
  <c r="L263" i="12"/>
  <c r="N263" i="12" s="1"/>
  <c r="J270" i="12"/>
  <c r="J271" i="12"/>
  <c r="V276" i="12"/>
  <c r="J269" i="15"/>
  <c r="J247" i="15"/>
  <c r="J241" i="15"/>
  <c r="J260" i="15"/>
  <c r="J262" i="15"/>
  <c r="J265" i="15"/>
  <c r="J253" i="15"/>
  <c r="J235" i="15"/>
  <c r="L105" i="15"/>
  <c r="F109" i="15"/>
  <c r="F113" i="15"/>
  <c r="F117" i="15"/>
  <c r="F121" i="15"/>
  <c r="F125" i="15"/>
  <c r="F129" i="15"/>
  <c r="F133" i="15"/>
  <c r="F137" i="15"/>
  <c r="F141" i="15"/>
  <c r="F145" i="15"/>
  <c r="F149" i="15"/>
  <c r="F153" i="15"/>
  <c r="F158" i="15"/>
  <c r="F160" i="15"/>
  <c r="V164" i="15"/>
  <c r="V168" i="15"/>
  <c r="J176" i="15"/>
  <c r="J180" i="15"/>
  <c r="X183" i="15"/>
  <c r="Z183" i="15" s="1"/>
  <c r="F193" i="15"/>
  <c r="V196" i="15"/>
  <c r="J200" i="15"/>
  <c r="L201" i="15"/>
  <c r="N201" i="15" s="1"/>
  <c r="V204" i="15"/>
  <c r="F208" i="15"/>
  <c r="F209" i="15"/>
  <c r="J210" i="15"/>
  <c r="V216" i="15"/>
  <c r="J220" i="15"/>
  <c r="X223" i="15"/>
  <c r="Z223" i="15" s="1"/>
  <c r="F225" i="15"/>
  <c r="V228" i="15"/>
  <c r="V232" i="15"/>
  <c r="J239" i="15"/>
  <c r="V242" i="15"/>
  <c r="F244" i="15"/>
  <c r="J245" i="15"/>
  <c r="L249" i="15"/>
  <c r="X253" i="15"/>
  <c r="Z253" i="15" s="1"/>
  <c r="J256" i="15"/>
  <c r="V258" i="15"/>
  <c r="J264" i="15"/>
  <c r="D12" i="18"/>
  <c r="R113" i="21"/>
  <c r="R112" i="21"/>
  <c r="R104" i="21"/>
  <c r="R100" i="21"/>
  <c r="R89" i="21"/>
  <c r="R88" i="21"/>
  <c r="R52" i="21"/>
  <c r="R48" i="21"/>
  <c r="R44" i="21"/>
  <c r="R25" i="21"/>
  <c r="R83" i="21"/>
  <c r="R72" i="21"/>
  <c r="R71" i="21"/>
  <c r="R39" i="21"/>
  <c r="R35" i="21"/>
  <c r="R114" i="21"/>
  <c r="R95" i="21"/>
  <c r="R94" i="21"/>
  <c r="R90" i="21"/>
  <c r="R62" i="21"/>
  <c r="R26" i="21"/>
  <c r="X12" i="21"/>
  <c r="Z12" i="21" s="1"/>
  <c r="R116" i="21"/>
  <c r="R105" i="21"/>
  <c r="R101" i="21"/>
  <c r="R74" i="21"/>
  <c r="R73" i="21"/>
  <c r="R54" i="21"/>
  <c r="R53" i="21"/>
  <c r="R49" i="21"/>
  <c r="R45" i="21"/>
  <c r="R97" i="21"/>
  <c r="R96" i="21"/>
  <c r="R84" i="21"/>
  <c r="R40" i="21"/>
  <c r="R36" i="21"/>
  <c r="R91" i="21"/>
  <c r="R76" i="21"/>
  <c r="R75" i="21"/>
  <c r="R64" i="21"/>
  <c r="R63" i="21"/>
  <c r="R56" i="21"/>
  <c r="R55" i="21"/>
  <c r="R27" i="21"/>
  <c r="R120" i="21"/>
  <c r="R107" i="21"/>
  <c r="R106" i="21"/>
  <c r="R102" i="21"/>
  <c r="R98" i="21"/>
  <c r="R50" i="21"/>
  <c r="R46" i="21"/>
  <c r="R86" i="21"/>
  <c r="R85" i="21"/>
  <c r="R78" i="21"/>
  <c r="R77" i="21"/>
  <c r="R66" i="21"/>
  <c r="R65" i="21"/>
  <c r="R58" i="21"/>
  <c r="R57" i="21"/>
  <c r="R41" i="21"/>
  <c r="R37" i="21"/>
  <c r="R109" i="21"/>
  <c r="R108" i="21"/>
  <c r="R92" i="21"/>
  <c r="R33" i="21"/>
  <c r="R28" i="21"/>
  <c r="R103" i="21"/>
  <c r="R99" i="21"/>
  <c r="R87" i="21"/>
  <c r="R80" i="21"/>
  <c r="R79" i="21"/>
  <c r="R68" i="21"/>
  <c r="R67" i="21"/>
  <c r="R60" i="21"/>
  <c r="R59" i="21"/>
  <c r="R51" i="21"/>
  <c r="R47" i="21"/>
  <c r="R32" i="21"/>
  <c r="R111" i="21"/>
  <c r="R110" i="21"/>
  <c r="R43" i="21"/>
  <c r="R42" i="21"/>
  <c r="R38" i="21"/>
  <c r="R34" i="21"/>
  <c r="P30" i="21"/>
  <c r="R30" i="21" s="1"/>
  <c r="R93" i="21"/>
  <c r="R82" i="21"/>
  <c r="R81" i="21"/>
  <c r="R70" i="21"/>
  <c r="R69" i="21"/>
  <c r="R61" i="21"/>
  <c r="N109" i="21"/>
  <c r="V167" i="12"/>
  <c r="V171" i="12"/>
  <c r="V175" i="12"/>
  <c r="J179" i="12"/>
  <c r="J183" i="12"/>
  <c r="J187" i="12"/>
  <c r="V191" i="12"/>
  <c r="J195" i="12"/>
  <c r="J201" i="12"/>
  <c r="V203" i="12"/>
  <c r="J209" i="12"/>
  <c r="J219" i="12"/>
  <c r="V223" i="12"/>
  <c r="V231" i="12"/>
  <c r="J235" i="12"/>
  <c r="J245" i="12"/>
  <c r="V247" i="12"/>
  <c r="J251" i="12"/>
  <c r="J255" i="12"/>
  <c r="J261" i="12"/>
  <c r="L12" i="15"/>
  <c r="N12" i="15" s="1"/>
  <c r="J109" i="15"/>
  <c r="J113" i="15"/>
  <c r="J117" i="15"/>
  <c r="J121" i="15"/>
  <c r="J125" i="15"/>
  <c r="J129" i="15"/>
  <c r="J133" i="15"/>
  <c r="J137" i="15"/>
  <c r="J141" i="15"/>
  <c r="J145" i="15"/>
  <c r="J149" i="15"/>
  <c r="J153" i="15"/>
  <c r="H158" i="15"/>
  <c r="F161" i="15"/>
  <c r="F162" i="15"/>
  <c r="F166" i="15"/>
  <c r="F170" i="15"/>
  <c r="V173" i="15"/>
  <c r="V177" i="15"/>
  <c r="V181" i="15"/>
  <c r="F185" i="15"/>
  <c r="F186" i="15"/>
  <c r="V189" i="15"/>
  <c r="J193" i="15"/>
  <c r="V205" i="15"/>
  <c r="J209" i="15"/>
  <c r="V213" i="15"/>
  <c r="V221" i="15"/>
  <c r="J225" i="15"/>
  <c r="F230" i="15"/>
  <c r="V233" i="15"/>
  <c r="F235" i="15"/>
  <c r="F248" i="15"/>
  <c r="V252" i="15"/>
  <c r="X258" i="15"/>
  <c r="J290" i="18"/>
  <c r="J277" i="18"/>
  <c r="J265" i="18"/>
  <c r="J249" i="18"/>
  <c r="J243" i="18"/>
  <c r="J223" i="18"/>
  <c r="J217" i="18"/>
  <c r="J209" i="18"/>
  <c r="J181" i="18"/>
  <c r="J177" i="18"/>
  <c r="J173" i="18"/>
  <c r="J169" i="18"/>
  <c r="J165" i="18"/>
  <c r="J161" i="18"/>
  <c r="J157" i="18"/>
  <c r="J153" i="18"/>
  <c r="J149" i="18"/>
  <c r="J145" i="18"/>
  <c r="J141" i="18"/>
  <c r="J137" i="18"/>
  <c r="J133" i="18"/>
  <c r="J129" i="18"/>
  <c r="J125" i="18"/>
  <c r="J291" i="18"/>
  <c r="J278" i="18"/>
  <c r="J260" i="18"/>
  <c r="J244" i="18"/>
  <c r="J232" i="18"/>
  <c r="J224" i="18"/>
  <c r="J210" i="18"/>
  <c r="J204" i="18"/>
  <c r="J200" i="18"/>
  <c r="J186" i="18"/>
  <c r="J292" i="18"/>
  <c r="J279" i="18"/>
  <c r="J271" i="18"/>
  <c r="J261" i="18"/>
  <c r="J255" i="18"/>
  <c r="J233" i="18"/>
  <c r="J211" i="18"/>
  <c r="J293" i="18"/>
  <c r="J272" i="18"/>
  <c r="J266" i="18"/>
  <c r="J262" i="18"/>
  <c r="J250" i="18"/>
  <c r="J234" i="18"/>
  <c r="J218" i="18"/>
  <c r="J295" i="18"/>
  <c r="J282" i="18"/>
  <c r="J281" i="18"/>
  <c r="J273" i="18"/>
  <c r="J245" i="18"/>
  <c r="J235" i="18"/>
  <c r="J225" i="18"/>
  <c r="J205" i="18"/>
  <c r="J201" i="18"/>
  <c r="J283" i="18"/>
  <c r="J274" i="18"/>
  <c r="J256" i="18"/>
  <c r="J236" i="18"/>
  <c r="J226" i="18"/>
  <c r="J212" i="18"/>
  <c r="J196" i="18"/>
  <c r="J192" i="18"/>
  <c r="J188" i="18"/>
  <c r="J297" i="18"/>
  <c r="J284" i="18"/>
  <c r="J275" i="18"/>
  <c r="J267" i="18"/>
  <c r="J263" i="18"/>
  <c r="J251" i="18"/>
  <c r="J237" i="18"/>
  <c r="J227" i="18"/>
  <c r="J219" i="18"/>
  <c r="J213" i="18"/>
  <c r="J197" i="18"/>
  <c r="J179" i="18"/>
  <c r="J175" i="18"/>
  <c r="J171" i="18"/>
  <c r="J167" i="18"/>
  <c r="J163" i="18"/>
  <c r="J159" i="18"/>
  <c r="J155" i="18"/>
  <c r="J151" i="18"/>
  <c r="J147" i="18"/>
  <c r="J143" i="18"/>
  <c r="J139" i="18"/>
  <c r="J135" i="18"/>
  <c r="J131" i="18"/>
  <c r="J127" i="18"/>
  <c r="J285" i="18"/>
  <c r="J246" i="18"/>
  <c r="J238" i="18"/>
  <c r="J228" i="18"/>
  <c r="J220" i="18"/>
  <c r="J214" i="18"/>
  <c r="J206" i="18"/>
  <c r="J202" i="18"/>
  <c r="J198" i="18"/>
  <c r="J286" i="18"/>
  <c r="J257" i="18"/>
  <c r="J239" i="18"/>
  <c r="J229" i="18"/>
  <c r="J221" i="18"/>
  <c r="J215" i="18"/>
  <c r="J193" i="18"/>
  <c r="J189" i="18"/>
  <c r="J287" i="18"/>
  <c r="J276" i="18"/>
  <c r="J268" i="18"/>
  <c r="J264" i="18"/>
  <c r="J258" i="18"/>
  <c r="J252" i="18"/>
  <c r="J240" i="18"/>
  <c r="J230" i="18"/>
  <c r="J216" i="18"/>
  <c r="J180" i="18"/>
  <c r="J176" i="18"/>
  <c r="J172" i="18"/>
  <c r="J168" i="18"/>
  <c r="J164" i="18"/>
  <c r="J160" i="18"/>
  <c r="J156" i="18"/>
  <c r="J152" i="18"/>
  <c r="J148" i="18"/>
  <c r="J144" i="18"/>
  <c r="J140" i="18"/>
  <c r="J136" i="18"/>
  <c r="J132" i="18"/>
  <c r="J128" i="18"/>
  <c r="J124" i="18"/>
  <c r="J288" i="18"/>
  <c r="J269" i="18"/>
  <c r="J259" i="18"/>
  <c r="J253" i="18"/>
  <c r="J247" i="18"/>
  <c r="J241" i="18"/>
  <c r="J231" i="18"/>
  <c r="J207" i="18"/>
  <c r="J203" i="18"/>
  <c r="J199" i="18"/>
  <c r="J289" i="18"/>
  <c r="J270" i="18"/>
  <c r="J254" i="18"/>
  <c r="J248" i="18"/>
  <c r="J242" i="18"/>
  <c r="J222" i="18"/>
  <c r="J208" i="18"/>
  <c r="J194" i="18"/>
  <c r="J190" i="18"/>
  <c r="J162" i="18"/>
  <c r="Z237" i="18"/>
  <c r="N86" i="21"/>
  <c r="V126" i="18"/>
  <c r="V130" i="18"/>
  <c r="V134" i="18"/>
  <c r="V138" i="18"/>
  <c r="V142" i="18"/>
  <c r="V146" i="18"/>
  <c r="V150" i="18"/>
  <c r="V154" i="18"/>
  <c r="V158" i="18"/>
  <c r="V162" i="18"/>
  <c r="V166" i="18"/>
  <c r="V170" i="18"/>
  <c r="V174" i="18"/>
  <c r="V178" i="18"/>
  <c r="N210" i="18"/>
  <c r="V218" i="18"/>
  <c r="Z220" i="18"/>
  <c r="V226" i="18"/>
  <c r="Z228" i="18"/>
  <c r="V234" i="18"/>
  <c r="V250" i="18"/>
  <c r="V262" i="18"/>
  <c r="V266" i="18"/>
  <c r="V274" i="18"/>
  <c r="N278" i="18"/>
  <c r="V282" i="18"/>
  <c r="X283" i="18"/>
  <c r="J28" i="21"/>
  <c r="N32" i="21"/>
  <c r="V44" i="21"/>
  <c r="V48" i="21"/>
  <c r="V52" i="21"/>
  <c r="Z54" i="21"/>
  <c r="J58" i="21"/>
  <c r="N60" i="21"/>
  <c r="J66" i="21"/>
  <c r="N68" i="21"/>
  <c r="V72" i="21"/>
  <c r="Z74" i="21"/>
  <c r="J78" i="21"/>
  <c r="N80" i="21"/>
  <c r="J86" i="21"/>
  <c r="V88" i="21"/>
  <c r="J92" i="21"/>
  <c r="V100" i="21"/>
  <c r="V104" i="21"/>
  <c r="J108" i="21"/>
  <c r="V112" i="21"/>
  <c r="Z116" i="21"/>
  <c r="J122" i="21"/>
  <c r="V51" i="24"/>
  <c r="J57" i="24"/>
  <c r="V62" i="24"/>
  <c r="J72" i="24"/>
  <c r="V73" i="24"/>
  <c r="J77" i="24"/>
  <c r="V81" i="24"/>
  <c r="J97" i="24"/>
  <c r="Z103" i="24"/>
  <c r="J106" i="24"/>
  <c r="V112" i="24"/>
  <c r="J115" i="24"/>
  <c r="N116" i="24"/>
  <c r="V122" i="24"/>
  <c r="D12" i="30"/>
  <c r="L13" i="30"/>
  <c r="N13" i="30" s="1"/>
  <c r="Z61" i="36"/>
  <c r="X61" i="36"/>
  <c r="V187" i="18"/>
  <c r="V191" i="18"/>
  <c r="V195" i="18"/>
  <c r="V211" i="18"/>
  <c r="V235" i="18"/>
  <c r="V255" i="18"/>
  <c r="V271" i="18"/>
  <c r="V279" i="18"/>
  <c r="V281" i="18"/>
  <c r="V293" i="18"/>
  <c r="V25" i="21"/>
  <c r="J37" i="21"/>
  <c r="J41" i="21"/>
  <c r="J57" i="21"/>
  <c r="V61" i="21"/>
  <c r="J65" i="21"/>
  <c r="V69" i="21"/>
  <c r="J77" i="21"/>
  <c r="V81" i="21"/>
  <c r="J85" i="21"/>
  <c r="V89" i="21"/>
  <c r="V93" i="21"/>
  <c r="J107" i="21"/>
  <c r="V113" i="21"/>
  <c r="J136" i="24"/>
  <c r="J135" i="24"/>
  <c r="J140" i="24"/>
  <c r="J120" i="24"/>
  <c r="J110" i="24"/>
  <c r="J100" i="24"/>
  <c r="J96" i="24"/>
  <c r="J92" i="24"/>
  <c r="J128" i="24"/>
  <c r="J112" i="24"/>
  <c r="J102" i="24"/>
  <c r="J53" i="24"/>
  <c r="V58" i="24"/>
  <c r="J68" i="24"/>
  <c r="V69" i="24"/>
  <c r="N79" i="24"/>
  <c r="N80" i="24"/>
  <c r="J83" i="24"/>
  <c r="J90" i="24"/>
  <c r="J105" i="24"/>
  <c r="V111" i="24"/>
  <c r="V121" i="24"/>
  <c r="V126" i="24"/>
  <c r="J129" i="24"/>
  <c r="J133" i="24"/>
  <c r="J118" i="27"/>
  <c r="J110" i="27"/>
  <c r="J123" i="27"/>
  <c r="J106" i="27"/>
  <c r="J98" i="27"/>
  <c r="J124" i="27"/>
  <c r="J129" i="27"/>
  <c r="J117" i="27"/>
  <c r="J103" i="27"/>
  <c r="J93" i="27"/>
  <c r="J116" i="27"/>
  <c r="J105" i="27"/>
  <c r="H61" i="27"/>
  <c r="J56" i="27"/>
  <c r="J52" i="27"/>
  <c r="J48" i="27"/>
  <c r="J44" i="27"/>
  <c r="J95" i="27"/>
  <c r="J81" i="27"/>
  <c r="J113" i="27"/>
  <c r="J78" i="27"/>
  <c r="J70" i="27"/>
  <c r="J66" i="27"/>
  <c r="J125" i="27"/>
  <c r="J121" i="27"/>
  <c r="J90" i="27"/>
  <c r="J99" i="27"/>
  <c r="J86" i="27"/>
  <c r="J82" i="27"/>
  <c r="J122" i="27"/>
  <c r="J100" i="27"/>
  <c r="J96" i="27"/>
  <c r="J91" i="27"/>
  <c r="J79" i="27"/>
  <c r="J75" i="27"/>
  <c r="J71" i="27"/>
  <c r="J67" i="27"/>
  <c r="J114" i="27"/>
  <c r="J107" i="27"/>
  <c r="J104" i="27"/>
  <c r="J87" i="27"/>
  <c r="J58" i="27"/>
  <c r="J54" i="27"/>
  <c r="J50" i="27"/>
  <c r="J46" i="27"/>
  <c r="J111" i="27"/>
  <c r="J108" i="27"/>
  <c r="J92" i="27"/>
  <c r="J83" i="27"/>
  <c r="J101" i="27"/>
  <c r="J115" i="27"/>
  <c r="J88" i="27"/>
  <c r="J80" i="27"/>
  <c r="J59" i="27"/>
  <c r="J55" i="27"/>
  <c r="J51" i="27"/>
  <c r="J47" i="27"/>
  <c r="J43" i="27"/>
  <c r="J112" i="27"/>
  <c r="J102" i="27"/>
  <c r="J97" i="27"/>
  <c r="J94" i="27"/>
  <c r="J89" i="27"/>
  <c r="J84" i="27"/>
  <c r="J73" i="27"/>
  <c r="J69" i="27"/>
  <c r="J65" i="27"/>
  <c r="J63" i="27"/>
  <c r="R46" i="27"/>
  <c r="R58" i="27"/>
  <c r="R65" i="27"/>
  <c r="L93" i="27"/>
  <c r="T183" i="18"/>
  <c r="V200" i="18"/>
  <c r="V204" i="18"/>
  <c r="V224" i="18"/>
  <c r="V232" i="18"/>
  <c r="V244" i="18"/>
  <c r="V260" i="18"/>
  <c r="V272" i="18"/>
  <c r="V292" i="18"/>
  <c r="V34" i="21"/>
  <c r="V38" i="21"/>
  <c r="V42" i="21"/>
  <c r="J46" i="21"/>
  <c r="J50" i="21"/>
  <c r="J56" i="21"/>
  <c r="J64" i="21"/>
  <c r="V70" i="21"/>
  <c r="J76" i="21"/>
  <c r="V82" i="21"/>
  <c r="J98" i="21"/>
  <c r="J102" i="21"/>
  <c r="J106" i="21"/>
  <c r="V110" i="21"/>
  <c r="J120" i="21"/>
  <c r="V54" i="24"/>
  <c r="J64" i="24"/>
  <c r="V65" i="24"/>
  <c r="J75" i="24"/>
  <c r="J86" i="24"/>
  <c r="V87" i="24"/>
  <c r="J89" i="24"/>
  <c r="V91" i="24"/>
  <c r="L103" i="24"/>
  <c r="J109" i="24"/>
  <c r="N114" i="24"/>
  <c r="V130" i="24"/>
  <c r="J138" i="24"/>
  <c r="N93" i="27"/>
  <c r="N112" i="27"/>
  <c r="V209" i="18"/>
  <c r="V217" i="18"/>
  <c r="V233" i="18"/>
  <c r="V249" i="18"/>
  <c r="V261" i="18"/>
  <c r="V265" i="18"/>
  <c r="V277" i="18"/>
  <c r="V291" i="18"/>
  <c r="D12" i="21"/>
  <c r="T30" i="21"/>
  <c r="V43" i="21"/>
  <c r="V47" i="21"/>
  <c r="V51" i="21"/>
  <c r="J55" i="21"/>
  <c r="V59" i="21"/>
  <c r="J63" i="21"/>
  <c r="V67" i="21"/>
  <c r="J75" i="21"/>
  <c r="V79" i="21"/>
  <c r="V87" i="21"/>
  <c r="J91" i="21"/>
  <c r="J97" i="21"/>
  <c r="V99" i="21"/>
  <c r="V103" i="21"/>
  <c r="V111" i="21"/>
  <c r="N128" i="24"/>
  <c r="R119" i="27"/>
  <c r="R112" i="27"/>
  <c r="R111" i="27"/>
  <c r="R109" i="27"/>
  <c r="R102" i="27"/>
  <c r="R101" i="27"/>
  <c r="R117" i="27"/>
  <c r="R116" i="27"/>
  <c r="R104" i="27"/>
  <c r="R96" i="27"/>
  <c r="R110" i="27"/>
  <c r="R103" i="27"/>
  <c r="R90" i="27"/>
  <c r="R86" i="27"/>
  <c r="R85" i="27"/>
  <c r="R74" i="27"/>
  <c r="R57" i="27"/>
  <c r="R53" i="27"/>
  <c r="R49" i="27"/>
  <c r="R45" i="27"/>
  <c r="R125" i="27"/>
  <c r="R122" i="27"/>
  <c r="R99" i="27"/>
  <c r="R91" i="27"/>
  <c r="R82" i="27"/>
  <c r="R75" i="27"/>
  <c r="R100" i="27"/>
  <c r="R79" i="27"/>
  <c r="R71" i="27"/>
  <c r="R67" i="27"/>
  <c r="R107" i="27"/>
  <c r="R87" i="27"/>
  <c r="R118" i="27"/>
  <c r="R114" i="27"/>
  <c r="R108" i="27"/>
  <c r="R92" i="27"/>
  <c r="R83" i="27"/>
  <c r="R76" i="27"/>
  <c r="R42" i="27"/>
  <c r="R88" i="27"/>
  <c r="R72" i="27"/>
  <c r="R68" i="27"/>
  <c r="R123" i="27"/>
  <c r="R115" i="27"/>
  <c r="R93" i="27"/>
  <c r="R80" i="27"/>
  <c r="R64" i="27"/>
  <c r="R59" i="27"/>
  <c r="R55" i="27"/>
  <c r="R51" i="27"/>
  <c r="R47" i="27"/>
  <c r="R43" i="27"/>
  <c r="R97" i="27"/>
  <c r="R94" i="27"/>
  <c r="R89" i="27"/>
  <c r="R84" i="27"/>
  <c r="R77" i="27"/>
  <c r="R105" i="27"/>
  <c r="R98" i="27"/>
  <c r="R56" i="27"/>
  <c r="R52" i="27"/>
  <c r="R48" i="27"/>
  <c r="R44" i="27"/>
  <c r="R129" i="27"/>
  <c r="R113" i="27"/>
  <c r="R106" i="27"/>
  <c r="R95" i="27"/>
  <c r="R78" i="27"/>
  <c r="R70" i="27"/>
  <c r="R66" i="27"/>
  <c r="P61" i="27"/>
  <c r="V186" i="18"/>
  <c r="V190" i="18"/>
  <c r="V194" i="18"/>
  <c r="V210" i="18"/>
  <c r="V222" i="18"/>
  <c r="V242" i="18"/>
  <c r="V254" i="18"/>
  <c r="V270" i="18"/>
  <c r="V278" i="18"/>
  <c r="D281" i="18"/>
  <c r="L281" i="18" s="1"/>
  <c r="N281" i="18" s="1"/>
  <c r="V290" i="18"/>
  <c r="X13" i="21"/>
  <c r="Z13" i="21" s="1"/>
  <c r="V28" i="21"/>
  <c r="V30" i="21"/>
  <c r="V32" i="21"/>
  <c r="J36" i="21"/>
  <c r="J40" i="21"/>
  <c r="J54" i="21"/>
  <c r="V60" i="21"/>
  <c r="V68" i="21"/>
  <c r="J74" i="21"/>
  <c r="V80" i="21"/>
  <c r="J84" i="21"/>
  <c r="V92" i="21"/>
  <c r="J96" i="21"/>
  <c r="V108" i="21"/>
  <c r="J116" i="21"/>
  <c r="J118" i="21"/>
  <c r="P12" i="24"/>
  <c r="Z102" i="27"/>
  <c r="N115" i="27"/>
  <c r="L115" i="27"/>
  <c r="Z98" i="33"/>
  <c r="X186" i="18"/>
  <c r="Z186" i="18" s="1"/>
  <c r="V199" i="18"/>
  <c r="V203" i="18"/>
  <c r="V207" i="18"/>
  <c r="X210" i="18"/>
  <c r="Z210" i="18" s="1"/>
  <c r="L220" i="18"/>
  <c r="N220" i="18" s="1"/>
  <c r="V223" i="18"/>
  <c r="L228" i="18"/>
  <c r="N228" i="18" s="1"/>
  <c r="V231" i="18"/>
  <c r="V243" i="18"/>
  <c r="V247" i="18"/>
  <c r="V259" i="18"/>
  <c r="X278" i="18"/>
  <c r="Z278" i="18" s="1"/>
  <c r="V289" i="18"/>
  <c r="X32" i="21"/>
  <c r="Z32" i="21" s="1"/>
  <c r="V33" i="21"/>
  <c r="V37" i="21"/>
  <c r="V41" i="21"/>
  <c r="J45" i="21"/>
  <c r="J49" i="21"/>
  <c r="J53" i="21"/>
  <c r="V57" i="21"/>
  <c r="V65" i="21"/>
  <c r="J73" i="21"/>
  <c r="V77" i="21"/>
  <c r="V85" i="21"/>
  <c r="J95" i="21"/>
  <c r="J101" i="21"/>
  <c r="J105" i="21"/>
  <c r="V109" i="21"/>
  <c r="L116" i="21"/>
  <c r="V135" i="24"/>
  <c r="V133" i="24"/>
  <c r="V132" i="24"/>
  <c r="V124" i="24"/>
  <c r="V116" i="24"/>
  <c r="V104" i="24"/>
  <c r="V88" i="24"/>
  <c r="V84" i="24"/>
  <c r="V80" i="24"/>
  <c r="V106" i="24"/>
  <c r="V98" i="24"/>
  <c r="V94" i="24"/>
  <c r="V90" i="24"/>
  <c r="V53" i="24"/>
  <c r="V68" i="24"/>
  <c r="T77" i="24"/>
  <c r="V79" i="24"/>
  <c r="V83" i="24"/>
  <c r="J103" i="24"/>
  <c r="J108" i="24"/>
  <c r="V110" i="24"/>
  <c r="V120" i="24"/>
  <c r="J123" i="24"/>
  <c r="J127" i="24"/>
  <c r="L132" i="24"/>
  <c r="X12" i="27"/>
  <c r="Z12" i="27" s="1"/>
  <c r="R50" i="27"/>
  <c r="D121" i="27"/>
  <c r="L121" i="27" s="1"/>
  <c r="N121" i="27" s="1"/>
  <c r="L123" i="27"/>
  <c r="V208" i="18"/>
  <c r="V216" i="18"/>
  <c r="X223" i="18"/>
  <c r="Z223" i="18" s="1"/>
  <c r="L237" i="18"/>
  <c r="N237" i="18" s="1"/>
  <c r="V240" i="18"/>
  <c r="X243" i="18"/>
  <c r="Z243" i="18" s="1"/>
  <c r="V248" i="18"/>
  <c r="V252" i="18"/>
  <c r="V264" i="18"/>
  <c r="V268" i="18"/>
  <c r="V276" i="18"/>
  <c r="V288" i="18"/>
  <c r="J26" i="21"/>
  <c r="V46" i="21"/>
  <c r="V50" i="21"/>
  <c r="V58" i="21"/>
  <c r="J62" i="21"/>
  <c r="V66" i="21"/>
  <c r="J72" i="21"/>
  <c r="V78" i="21"/>
  <c r="V86" i="21"/>
  <c r="J90" i="21"/>
  <c r="J94" i="21"/>
  <c r="L95" i="21"/>
  <c r="N95" i="21" s="1"/>
  <c r="V98" i="21"/>
  <c r="V102" i="21"/>
  <c r="V106" i="21"/>
  <c r="X109" i="21"/>
  <c r="Z109" i="21" s="1"/>
  <c r="J114" i="21"/>
  <c r="V120" i="21"/>
  <c r="Z90" i="24"/>
  <c r="X110" i="24"/>
  <c r="L136" i="24"/>
  <c r="V189" i="18"/>
  <c r="V193" i="18"/>
  <c r="V221" i="18"/>
  <c r="V229" i="18"/>
  <c r="V241" i="18"/>
  <c r="V253" i="18"/>
  <c r="V257" i="18"/>
  <c r="V269" i="18"/>
  <c r="V287" i="18"/>
  <c r="J25" i="21"/>
  <c r="V27" i="21"/>
  <c r="J35" i="21"/>
  <c r="J39" i="21"/>
  <c r="V55" i="21"/>
  <c r="V63" i="21"/>
  <c r="J71" i="21"/>
  <c r="V75" i="21"/>
  <c r="J83" i="21"/>
  <c r="J89" i="21"/>
  <c r="V91" i="21"/>
  <c r="V107" i="21"/>
  <c r="J113" i="21"/>
  <c r="J55" i="24"/>
  <c r="V60" i="24"/>
  <c r="J66" i="24"/>
  <c r="V71" i="24"/>
  <c r="J88" i="24"/>
  <c r="J95" i="24"/>
  <c r="V96" i="24"/>
  <c r="V99" i="24"/>
  <c r="V105" i="24"/>
  <c r="J107" i="24"/>
  <c r="N112" i="24"/>
  <c r="V114" i="24"/>
  <c r="J117" i="24"/>
  <c r="J131" i="24"/>
  <c r="V238" i="18"/>
  <c r="V246" i="18"/>
  <c r="V258" i="18"/>
  <c r="V286" i="18"/>
  <c r="V36" i="21"/>
  <c r="V40" i="21"/>
  <c r="V56" i="21"/>
  <c r="V64" i="21"/>
  <c r="J70" i="21"/>
  <c r="V76" i="21"/>
  <c r="J82" i="21"/>
  <c r="V84" i="21"/>
  <c r="J88" i="21"/>
  <c r="V96" i="21"/>
  <c r="J100" i="21"/>
  <c r="J104" i="21"/>
  <c r="J112" i="21"/>
  <c r="L130" i="24"/>
  <c r="D12" i="27"/>
  <c r="Z45" i="36"/>
  <c r="X45" i="36"/>
  <c r="V45" i="36"/>
  <c r="V239" i="18"/>
  <c r="V251" i="18"/>
  <c r="V263" i="18"/>
  <c r="V267" i="18"/>
  <c r="V275" i="18"/>
  <c r="V285" i="18"/>
  <c r="V297" i="18"/>
  <c r="J43" i="21"/>
  <c r="V45" i="21"/>
  <c r="V49" i="21"/>
  <c r="V53" i="21"/>
  <c r="J61" i="21"/>
  <c r="J69" i="21"/>
  <c r="V73" i="21"/>
  <c r="J81" i="21"/>
  <c r="J93" i="21"/>
  <c r="V97" i="21"/>
  <c r="V101" i="21"/>
  <c r="V105" i="21"/>
  <c r="J111" i="21"/>
  <c r="V119" i="24"/>
  <c r="V127" i="24"/>
  <c r="V131" i="24"/>
  <c r="L13" i="27"/>
  <c r="R54" i="27"/>
  <c r="V188" i="18"/>
  <c r="V192" i="18"/>
  <c r="V196" i="18"/>
  <c r="V212" i="18"/>
  <c r="X215" i="18"/>
  <c r="Z215" i="18" s="1"/>
  <c r="V220" i="18"/>
  <c r="V228" i="18"/>
  <c r="L233" i="18"/>
  <c r="N233" i="18" s="1"/>
  <c r="V236" i="18"/>
  <c r="X239" i="18"/>
  <c r="Z239" i="18" s="1"/>
  <c r="V256" i="18"/>
  <c r="L261" i="18"/>
  <c r="N261" i="18" s="1"/>
  <c r="V284" i="18"/>
  <c r="V26" i="21"/>
  <c r="J30" i="21"/>
  <c r="J32" i="21"/>
  <c r="J34" i="21"/>
  <c r="J38" i="21"/>
  <c r="J42" i="21"/>
  <c r="L43" i="21"/>
  <c r="N43" i="21" s="1"/>
  <c r="V54" i="21"/>
  <c r="J60" i="21"/>
  <c r="V62" i="21"/>
  <c r="J68" i="21"/>
  <c r="V74" i="21"/>
  <c r="J80" i="21"/>
  <c r="V90" i="21"/>
  <c r="V94" i="21"/>
  <c r="X97" i="21"/>
  <c r="J110" i="21"/>
  <c r="L111" i="21"/>
  <c r="V114" i="21"/>
  <c r="V116" i="21"/>
  <c r="Z108" i="24"/>
  <c r="N130" i="24"/>
  <c r="Z42" i="27"/>
  <c r="R81" i="27"/>
  <c r="V197" i="18"/>
  <c r="V201" i="18"/>
  <c r="V205" i="18"/>
  <c r="V213" i="18"/>
  <c r="V225" i="18"/>
  <c r="V237" i="18"/>
  <c r="V245" i="18"/>
  <c r="V273" i="18"/>
  <c r="J33" i="21"/>
  <c r="V35" i="21"/>
  <c r="V39" i="21"/>
  <c r="J47" i="21"/>
  <c r="J51" i="21"/>
  <c r="J59" i="21"/>
  <c r="J67" i="21"/>
  <c r="V71" i="21"/>
  <c r="J79" i="21"/>
  <c r="V83" i="21"/>
  <c r="J87" i="21"/>
  <c r="J99" i="21"/>
  <c r="J103" i="21"/>
  <c r="V55" i="24"/>
  <c r="V66" i="24"/>
  <c r="V95" i="24"/>
  <c r="V107" i="24"/>
  <c r="V108" i="24"/>
  <c r="V117" i="24"/>
  <c r="J130" i="24"/>
  <c r="P135" i="24"/>
  <c r="X135" i="24" s="1"/>
  <c r="V140" i="24"/>
  <c r="V42" i="27"/>
  <c r="R63" i="27"/>
  <c r="R69" i="27"/>
  <c r="R73" i="27"/>
  <c r="L88" i="27"/>
  <c r="N88" i="27" s="1"/>
  <c r="N133" i="36"/>
  <c r="V45" i="27"/>
  <c r="V49" i="27"/>
  <c r="V53" i="27"/>
  <c r="V57" i="27"/>
  <c r="V74" i="27"/>
  <c r="V75" i="27"/>
  <c r="V85" i="27"/>
  <c r="Z86" i="27"/>
  <c r="V90" i="27"/>
  <c r="V91" i="27"/>
  <c r="V103" i="27"/>
  <c r="V110" i="27"/>
  <c r="V117" i="27"/>
  <c r="X99" i="30"/>
  <c r="Z99" i="30" s="1"/>
  <c r="V107" i="30"/>
  <c r="L113" i="30"/>
  <c r="N113" i="30" s="1"/>
  <c r="V118" i="30"/>
  <c r="L122" i="30"/>
  <c r="N122" i="30" s="1"/>
  <c r="Z151" i="30"/>
  <c r="H160" i="30"/>
  <c r="X42" i="33"/>
  <c r="Z42" i="33" s="1"/>
  <c r="X67" i="33"/>
  <c r="Z67" i="33" s="1"/>
  <c r="N78" i="33"/>
  <c r="R45" i="36"/>
  <c r="R61" i="36"/>
  <c r="F133" i="36"/>
  <c r="V81" i="27"/>
  <c r="X86" i="27"/>
  <c r="V95" i="27"/>
  <c r="L43" i="30"/>
  <c r="N43" i="30" s="1"/>
  <c r="L94" i="30"/>
  <c r="N94" i="30" s="1"/>
  <c r="J94" i="30"/>
  <c r="Z122" i="30"/>
  <c r="X122" i="30"/>
  <c r="V126" i="30"/>
  <c r="V131" i="30"/>
  <c r="L152" i="30"/>
  <c r="N152" i="30" s="1"/>
  <c r="D151" i="30"/>
  <c r="L151" i="30" s="1"/>
  <c r="L12" i="36"/>
  <c r="N12" i="36" s="1"/>
  <c r="F52" i="36"/>
  <c r="R86" i="36"/>
  <c r="F92" i="36"/>
  <c r="N110" i="36"/>
  <c r="L110" i="36"/>
  <c r="J110" i="36"/>
  <c r="R112" i="36"/>
  <c r="L126" i="36"/>
  <c r="N126" i="36" s="1"/>
  <c r="J126" i="36"/>
  <c r="N108" i="27"/>
  <c r="Z78" i="33"/>
  <c r="X78" i="33"/>
  <c r="L34" i="36"/>
  <c r="N34" i="36" s="1"/>
  <c r="F56" i="36"/>
  <c r="F81" i="36"/>
  <c r="N92" i="36"/>
  <c r="R128" i="36"/>
  <c r="Z94" i="30"/>
  <c r="X94" i="30"/>
  <c r="L102" i="30"/>
  <c r="N102" i="30" s="1"/>
  <c r="J102" i="30"/>
  <c r="X143" i="30"/>
  <c r="Z143" i="30" s="1"/>
  <c r="V78" i="33"/>
  <c r="R26" i="36"/>
  <c r="J34" i="36"/>
  <c r="R44" i="36"/>
  <c r="N58" i="36"/>
  <c r="L58" i="36"/>
  <c r="R60" i="36"/>
  <c r="Z88" i="36"/>
  <c r="X88" i="36"/>
  <c r="N124" i="36"/>
  <c r="L134" i="36"/>
  <c r="N134" i="36" s="1"/>
  <c r="D133" i="36"/>
  <c r="L133" i="36" s="1"/>
  <c r="V122" i="27"/>
  <c r="V106" i="27"/>
  <c r="V98" i="27"/>
  <c r="V116" i="27"/>
  <c r="V92" i="27"/>
  <c r="V84" i="27"/>
  <c r="V80" i="27"/>
  <c r="V129" i="27"/>
  <c r="V121" i="27"/>
  <c r="V119" i="27"/>
  <c r="V111" i="27"/>
  <c r="V87" i="27"/>
  <c r="T61" i="27"/>
  <c r="N100" i="27"/>
  <c r="V102" i="27"/>
  <c r="L108" i="27"/>
  <c r="V112" i="27"/>
  <c r="Z43" i="30"/>
  <c r="X43" i="30"/>
  <c r="D12" i="33"/>
  <c r="Z26" i="36"/>
  <c r="R36" i="36"/>
  <c r="R40" i="36"/>
  <c r="J58" i="36"/>
  <c r="V88" i="36"/>
  <c r="Z92" i="36"/>
  <c r="R101" i="36"/>
  <c r="V101" i="27"/>
  <c r="V123" i="27"/>
  <c r="Z102" i="30"/>
  <c r="X102" i="30"/>
  <c r="F137" i="36"/>
  <c r="F94" i="36"/>
  <c r="F74" i="36"/>
  <c r="F73" i="36"/>
  <c r="F66" i="36"/>
  <c r="F33" i="36"/>
  <c r="F105" i="36"/>
  <c r="F85" i="36"/>
  <c r="F84" i="36"/>
  <c r="F53" i="36"/>
  <c r="F49" i="36"/>
  <c r="D31" i="36"/>
  <c r="F128" i="36"/>
  <c r="F120" i="36"/>
  <c r="F116" i="36"/>
  <c r="F112" i="36"/>
  <c r="F100" i="36"/>
  <c r="F76" i="36"/>
  <c r="F75" i="36"/>
  <c r="F60" i="36"/>
  <c r="F44" i="36"/>
  <c r="F40" i="36"/>
  <c r="F36" i="36"/>
  <c r="F141" i="36"/>
  <c r="F95" i="36"/>
  <c r="F87" i="36"/>
  <c r="F86" i="36"/>
  <c r="F67" i="36"/>
  <c r="F27" i="36"/>
  <c r="F26" i="36"/>
  <c r="F122" i="36"/>
  <c r="F121" i="36"/>
  <c r="F106" i="36"/>
  <c r="F102" i="36"/>
  <c r="F101" i="36"/>
  <c r="F78" i="36"/>
  <c r="F77" i="36"/>
  <c r="F62" i="36"/>
  <c r="F61" i="36"/>
  <c r="F54" i="36"/>
  <c r="F50" i="36"/>
  <c r="F46" i="36"/>
  <c r="F45" i="36"/>
  <c r="F129" i="36"/>
  <c r="F117" i="36"/>
  <c r="F113" i="36"/>
  <c r="F89" i="36"/>
  <c r="F88" i="36"/>
  <c r="F69" i="36"/>
  <c r="F68" i="36"/>
  <c r="F41" i="36"/>
  <c r="F37" i="36"/>
  <c r="F108" i="36"/>
  <c r="F107" i="36"/>
  <c r="F96" i="36"/>
  <c r="F80" i="36"/>
  <c r="F79" i="36"/>
  <c r="F64" i="36"/>
  <c r="F63" i="36"/>
  <c r="F28" i="36"/>
  <c r="F131" i="36"/>
  <c r="F130" i="36"/>
  <c r="F123" i="36"/>
  <c r="F103" i="36"/>
  <c r="F91" i="36"/>
  <c r="F90" i="36"/>
  <c r="F71" i="36"/>
  <c r="F70" i="36"/>
  <c r="F55" i="36"/>
  <c r="F51" i="36"/>
  <c r="F47" i="36"/>
  <c r="F118" i="36"/>
  <c r="F114" i="36"/>
  <c r="F98" i="36"/>
  <c r="F97" i="36"/>
  <c r="F42" i="36"/>
  <c r="F38" i="36"/>
  <c r="F134" i="36"/>
  <c r="F125" i="36"/>
  <c r="F124" i="36"/>
  <c r="F109" i="36"/>
  <c r="F136" i="36"/>
  <c r="F127" i="36"/>
  <c r="F126" i="36"/>
  <c r="F119" i="36"/>
  <c r="F115" i="36"/>
  <c r="F111" i="36"/>
  <c r="F110" i="36"/>
  <c r="F99" i="36"/>
  <c r="F83" i="36"/>
  <c r="F82" i="36"/>
  <c r="F59" i="36"/>
  <c r="F58" i="36"/>
  <c r="F43" i="36"/>
  <c r="F39" i="36"/>
  <c r="F35" i="36"/>
  <c r="F34" i="36"/>
  <c r="R122" i="36"/>
  <c r="R107" i="36"/>
  <c r="R106" i="36"/>
  <c r="R102" i="36"/>
  <c r="R79" i="36"/>
  <c r="R78" i="36"/>
  <c r="R63" i="36"/>
  <c r="R62" i="36"/>
  <c r="R54" i="36"/>
  <c r="R50" i="36"/>
  <c r="R46" i="36"/>
  <c r="R130" i="36"/>
  <c r="R129" i="36"/>
  <c r="R117" i="36"/>
  <c r="R113" i="36"/>
  <c r="R90" i="36"/>
  <c r="R89" i="36"/>
  <c r="R70" i="36"/>
  <c r="R69" i="36"/>
  <c r="R41" i="36"/>
  <c r="R37" i="36"/>
  <c r="R108" i="36"/>
  <c r="R97" i="36"/>
  <c r="R96" i="36"/>
  <c r="R80" i="36"/>
  <c r="R64" i="36"/>
  <c r="R28" i="36"/>
  <c r="R131" i="36"/>
  <c r="R124" i="36"/>
  <c r="R123" i="36"/>
  <c r="R103" i="36"/>
  <c r="R92" i="36"/>
  <c r="R91" i="36"/>
  <c r="R71" i="36"/>
  <c r="R56" i="36"/>
  <c r="R55" i="36"/>
  <c r="R51" i="36"/>
  <c r="R47" i="36"/>
  <c r="R134" i="36"/>
  <c r="R118" i="36"/>
  <c r="R114" i="36"/>
  <c r="R98" i="36"/>
  <c r="R42" i="36"/>
  <c r="R38" i="36"/>
  <c r="R135" i="36"/>
  <c r="R126" i="36"/>
  <c r="R125" i="36"/>
  <c r="R110" i="36"/>
  <c r="R109" i="36"/>
  <c r="R93" i="36"/>
  <c r="R82" i="36"/>
  <c r="R81" i="36"/>
  <c r="R65" i="36"/>
  <c r="R58" i="36"/>
  <c r="R57" i="36"/>
  <c r="R34" i="36"/>
  <c r="R29" i="36"/>
  <c r="R136" i="36"/>
  <c r="R104" i="36"/>
  <c r="R73" i="36"/>
  <c r="R72" i="36"/>
  <c r="R52" i="36"/>
  <c r="R48" i="36"/>
  <c r="R33" i="36"/>
  <c r="R31" i="36"/>
  <c r="X12" i="36"/>
  <c r="Z12" i="36" s="1"/>
  <c r="R137" i="36"/>
  <c r="R127" i="36"/>
  <c r="R119" i="36"/>
  <c r="R115" i="36"/>
  <c r="R111" i="36"/>
  <c r="R99" i="36"/>
  <c r="R84" i="36"/>
  <c r="R83" i="36"/>
  <c r="R59" i="36"/>
  <c r="R43" i="36"/>
  <c r="R39" i="36"/>
  <c r="R35" i="36"/>
  <c r="P31" i="36"/>
  <c r="R94" i="36"/>
  <c r="R75" i="36"/>
  <c r="R74" i="36"/>
  <c r="R66" i="36"/>
  <c r="R105" i="36"/>
  <c r="R141" i="36"/>
  <c r="R95" i="36"/>
  <c r="R88" i="36"/>
  <c r="R87" i="36"/>
  <c r="R68" i="36"/>
  <c r="R67" i="36"/>
  <c r="R27" i="36"/>
  <c r="F72" i="36"/>
  <c r="R77" i="36"/>
  <c r="Z121" i="36"/>
  <c r="V93" i="27"/>
  <c r="L95" i="27"/>
  <c r="V104" i="27"/>
  <c r="V115" i="27"/>
  <c r="P12" i="33"/>
  <c r="X18" i="33"/>
  <c r="Z86" i="33"/>
  <c r="X86" i="33"/>
  <c r="X15" i="36"/>
  <c r="F29" i="36"/>
  <c r="Z58" i="36"/>
  <c r="Z68" i="36"/>
  <c r="X68" i="36"/>
  <c r="Z77" i="36"/>
  <c r="X77" i="36"/>
  <c r="F93" i="36"/>
  <c r="Z108" i="27"/>
  <c r="X119" i="30"/>
  <c r="Z119" i="30" s="1"/>
  <c r="L73" i="33"/>
  <c r="N73" i="33" s="1"/>
  <c r="F57" i="36"/>
  <c r="R85" i="36"/>
  <c r="R100" i="36"/>
  <c r="R120" i="36"/>
  <c r="N95" i="27"/>
  <c r="L106" i="27"/>
  <c r="N106" i="27" s="1"/>
  <c r="V107" i="27"/>
  <c r="V108" i="27"/>
  <c r="V119" i="30"/>
  <c r="N151" i="30"/>
  <c r="N61" i="36"/>
  <c r="F135" i="36"/>
  <c r="Z100" i="27"/>
  <c r="P12" i="30"/>
  <c r="Z81" i="30"/>
  <c r="N98" i="33"/>
  <c r="R53" i="36"/>
  <c r="F65" i="36"/>
  <c r="R76" i="36"/>
  <c r="V82" i="27"/>
  <c r="X95" i="27"/>
  <c r="Z95" i="27" s="1"/>
  <c r="V99" i="27"/>
  <c r="V100" i="27"/>
  <c r="X106" i="27"/>
  <c r="Z106" i="27" s="1"/>
  <c r="P121" i="27"/>
  <c r="X121" i="27" s="1"/>
  <c r="Z121" i="27" s="1"/>
  <c r="V125" i="27"/>
  <c r="V144" i="30"/>
  <c r="V132" i="30"/>
  <c r="V120" i="30"/>
  <c r="V108" i="30"/>
  <c r="V100" i="30"/>
  <c r="V92" i="30"/>
  <c r="V64" i="30"/>
  <c r="V60" i="30"/>
  <c r="V56" i="30"/>
  <c r="V52" i="30"/>
  <c r="V48" i="30"/>
  <c r="V44" i="30"/>
  <c r="V127" i="30"/>
  <c r="V111" i="30"/>
  <c r="V91" i="30"/>
  <c r="V87" i="30"/>
  <c r="V83" i="30"/>
  <c r="V158" i="30"/>
  <c r="V146" i="30"/>
  <c r="V138" i="30"/>
  <c r="V134" i="30"/>
  <c r="V122" i="30"/>
  <c r="V110" i="30"/>
  <c r="V102" i="30"/>
  <c r="V94" i="30"/>
  <c r="V78" i="30"/>
  <c r="V74" i="30"/>
  <c r="V148" i="30"/>
  <c r="V140" i="30"/>
  <c r="V128" i="30"/>
  <c r="V112" i="30"/>
  <c r="V104" i="30"/>
  <c r="V88" i="30"/>
  <c r="V84" i="30"/>
  <c r="V147" i="30"/>
  <c r="V139" i="30"/>
  <c r="V135" i="30"/>
  <c r="V123" i="30"/>
  <c r="V115" i="30"/>
  <c r="V103" i="30"/>
  <c r="V95" i="30"/>
  <c r="V79" i="30"/>
  <c r="V75" i="30"/>
  <c r="V71" i="30"/>
  <c r="V130" i="30"/>
  <c r="V114" i="30"/>
  <c r="V106" i="30"/>
  <c r="V70" i="30"/>
  <c r="V66" i="30"/>
  <c r="V62" i="30"/>
  <c r="V58" i="30"/>
  <c r="V54" i="30"/>
  <c r="V50" i="30"/>
  <c r="V46" i="30"/>
  <c r="V151" i="30"/>
  <c r="V149" i="30"/>
  <c r="V141" i="30"/>
  <c r="V129" i="30"/>
  <c r="V117" i="30"/>
  <c r="V105" i="30"/>
  <c r="V97" i="30"/>
  <c r="V89" i="30"/>
  <c r="V85" i="30"/>
  <c r="V81" i="30"/>
  <c r="T68" i="30"/>
  <c r="V68" i="30" s="1"/>
  <c r="V152" i="30"/>
  <c r="V136" i="30"/>
  <c r="V124" i="30"/>
  <c r="V116" i="30"/>
  <c r="V96" i="30"/>
  <c r="V80" i="30"/>
  <c r="V76" i="30"/>
  <c r="V72" i="30"/>
  <c r="V145" i="30"/>
  <c r="V137" i="30"/>
  <c r="V133" i="30"/>
  <c r="V125" i="30"/>
  <c r="V109" i="30"/>
  <c r="V77" i="30"/>
  <c r="V73" i="30"/>
  <c r="V65" i="30"/>
  <c r="Z97" i="30"/>
  <c r="P98" i="33"/>
  <c r="X98" i="33" s="1"/>
  <c r="R49" i="36"/>
  <c r="N82" i="36"/>
  <c r="L82" i="36"/>
  <c r="R116" i="36"/>
  <c r="J71" i="30"/>
  <c r="N81" i="30"/>
  <c r="J85" i="30"/>
  <c r="J89" i="30"/>
  <c r="N97" i="30"/>
  <c r="J105" i="30"/>
  <c r="J115" i="30"/>
  <c r="N117" i="30"/>
  <c r="J129" i="30"/>
  <c r="J141" i="30"/>
  <c r="J149" i="30"/>
  <c r="J32" i="33"/>
  <c r="J36" i="33"/>
  <c r="T39" i="33"/>
  <c r="V52" i="33"/>
  <c r="V56" i="33"/>
  <c r="V60" i="33"/>
  <c r="J64" i="33"/>
  <c r="V68" i="33"/>
  <c r="V80" i="33"/>
  <c r="J84" i="33"/>
  <c r="V92" i="33"/>
  <c r="J96" i="33"/>
  <c r="V102" i="33"/>
  <c r="N26" i="36"/>
  <c r="H31" i="36"/>
  <c r="V46" i="36"/>
  <c r="V50" i="36"/>
  <c r="V54" i="36"/>
  <c r="V62" i="36"/>
  <c r="J66" i="36"/>
  <c r="V70" i="36"/>
  <c r="J74" i="36"/>
  <c r="V78" i="36"/>
  <c r="J84" i="36"/>
  <c r="N86" i="36"/>
  <c r="V90" i="36"/>
  <c r="J94" i="36"/>
  <c r="V102" i="36"/>
  <c r="V106" i="36"/>
  <c r="V122" i="36"/>
  <c r="V130" i="36"/>
  <c r="J137" i="36"/>
  <c r="Z68" i="39"/>
  <c r="N88" i="39"/>
  <c r="Z129" i="39"/>
  <c r="L13" i="51"/>
  <c r="N13" i="51" s="1"/>
  <c r="D12" i="51"/>
  <c r="N39" i="39"/>
  <c r="L39" i="39"/>
  <c r="H144" i="39"/>
  <c r="J122" i="30"/>
  <c r="J128" i="30"/>
  <c r="J160" i="30"/>
  <c r="V55" i="33"/>
  <c r="V59" i="33"/>
  <c r="V67" i="33"/>
  <c r="J73" i="33"/>
  <c r="V75" i="33"/>
  <c r="V99" i="33"/>
  <c r="V61" i="36"/>
  <c r="V77" i="36"/>
  <c r="V85" i="36"/>
  <c r="V101" i="36"/>
  <c r="V105" i="36"/>
  <c r="V121" i="36"/>
  <c r="J133" i="36"/>
  <c r="J134" i="36"/>
  <c r="J39" i="39"/>
  <c r="N105" i="39"/>
  <c r="R47" i="42"/>
  <c r="J27" i="45"/>
  <c r="J93" i="30"/>
  <c r="J101" i="30"/>
  <c r="J111" i="30"/>
  <c r="J121" i="30"/>
  <c r="V32" i="33"/>
  <c r="V36" i="33"/>
  <c r="J44" i="33"/>
  <c r="J48" i="33"/>
  <c r="V64" i="33"/>
  <c r="J72" i="33"/>
  <c r="V76" i="33"/>
  <c r="V84" i="33"/>
  <c r="J88" i="33"/>
  <c r="V96" i="33"/>
  <c r="V98" i="33"/>
  <c r="J105" i="33"/>
  <c r="V26" i="36"/>
  <c r="J56" i="36"/>
  <c r="V66" i="36"/>
  <c r="V74" i="36"/>
  <c r="V86" i="36"/>
  <c r="J92" i="36"/>
  <c r="V94" i="36"/>
  <c r="J98" i="36"/>
  <c r="X101" i="36"/>
  <c r="Z101" i="36" s="1"/>
  <c r="J114" i="36"/>
  <c r="J118" i="36"/>
  <c r="X121" i="36"/>
  <c r="J124" i="36"/>
  <c r="N79" i="39"/>
  <c r="Z86" i="39"/>
  <c r="R40" i="42"/>
  <c r="Z94" i="42"/>
  <c r="J74" i="30"/>
  <c r="J78" i="30"/>
  <c r="J92" i="30"/>
  <c r="J110" i="30"/>
  <c r="J134" i="30"/>
  <c r="J138" i="30"/>
  <c r="J146" i="30"/>
  <c r="J158" i="30"/>
  <c r="V45" i="33"/>
  <c r="V49" i="33"/>
  <c r="J53" i="33"/>
  <c r="J57" i="33"/>
  <c r="J61" i="33"/>
  <c r="V65" i="33"/>
  <c r="J71" i="33"/>
  <c r="J81" i="33"/>
  <c r="V89" i="33"/>
  <c r="J93" i="33"/>
  <c r="J104" i="33"/>
  <c r="V109" i="33"/>
  <c r="V35" i="36"/>
  <c r="V39" i="36"/>
  <c r="V43" i="36"/>
  <c r="J47" i="36"/>
  <c r="J51" i="36"/>
  <c r="J55" i="36"/>
  <c r="V59" i="36"/>
  <c r="J71" i="36"/>
  <c r="V75" i="36"/>
  <c r="V83" i="36"/>
  <c r="J91" i="36"/>
  <c r="J97" i="36"/>
  <c r="V99" i="36"/>
  <c r="J103" i="36"/>
  <c r="V111" i="36"/>
  <c r="V115" i="36"/>
  <c r="V119" i="36"/>
  <c r="J123" i="36"/>
  <c r="V127" i="36"/>
  <c r="J131" i="36"/>
  <c r="V137" i="36"/>
  <c r="Z39" i="39"/>
  <c r="N61" i="42"/>
  <c r="R100" i="42"/>
  <c r="J83" i="30"/>
  <c r="J87" i="30"/>
  <c r="J91" i="30"/>
  <c r="J109" i="30"/>
  <c r="J127" i="30"/>
  <c r="J133" i="30"/>
  <c r="J145" i="30"/>
  <c r="J34" i="33"/>
  <c r="H39" i="33"/>
  <c r="J52" i="33"/>
  <c r="V54" i="33"/>
  <c r="V58" i="33"/>
  <c r="V62" i="33"/>
  <c r="J70" i="33"/>
  <c r="V74" i="33"/>
  <c r="J80" i="33"/>
  <c r="V82" i="33"/>
  <c r="J92" i="33"/>
  <c r="V94" i="33"/>
  <c r="J103" i="33"/>
  <c r="T31" i="36"/>
  <c r="V48" i="36"/>
  <c r="V52" i="36"/>
  <c r="V72" i="36"/>
  <c r="J80" i="36"/>
  <c r="V84" i="36"/>
  <c r="J90" i="36"/>
  <c r="J96" i="36"/>
  <c r="V104" i="36"/>
  <c r="J108" i="36"/>
  <c r="J130" i="36"/>
  <c r="P133" i="36"/>
  <c r="X133" i="36" s="1"/>
  <c r="Z133" i="36" s="1"/>
  <c r="V136" i="36"/>
  <c r="L64" i="39"/>
  <c r="N64" i="39" s="1"/>
  <c r="Z75" i="39"/>
  <c r="N77" i="42"/>
  <c r="Z100" i="42"/>
  <c r="J144" i="30"/>
  <c r="J156" i="30"/>
  <c r="V31" i="33"/>
  <c r="V35" i="33"/>
  <c r="V63" i="33"/>
  <c r="V83" i="33"/>
  <c r="J87" i="33"/>
  <c r="J91" i="33"/>
  <c r="V95" i="33"/>
  <c r="D98" i="33"/>
  <c r="L98" i="33" s="1"/>
  <c r="J102" i="33"/>
  <c r="V93" i="36"/>
  <c r="V109" i="36"/>
  <c r="V125" i="36"/>
  <c r="V135" i="36"/>
  <c r="N66" i="39"/>
  <c r="X77" i="39"/>
  <c r="Z77" i="39" s="1"/>
  <c r="N83" i="39"/>
  <c r="L83" i="39"/>
  <c r="V44" i="33"/>
  <c r="V48" i="33"/>
  <c r="V72" i="33"/>
  <c r="V88" i="33"/>
  <c r="V58" i="36"/>
  <c r="J68" i="36"/>
  <c r="V82" i="36"/>
  <c r="J88" i="36"/>
  <c r="V98" i="36"/>
  <c r="V110" i="36"/>
  <c r="V114" i="36"/>
  <c r="V118" i="36"/>
  <c r="J122" i="36"/>
  <c r="V126" i="36"/>
  <c r="V134" i="36"/>
  <c r="N62" i="39"/>
  <c r="J66" i="39"/>
  <c r="V77" i="39"/>
  <c r="J83" i="39"/>
  <c r="Z112" i="39"/>
  <c r="Z126" i="39"/>
  <c r="N138" i="39"/>
  <c r="T132" i="42"/>
  <c r="V114" i="42"/>
  <c r="J142" i="30"/>
  <c r="J153" i="30"/>
  <c r="V53" i="33"/>
  <c r="V57" i="33"/>
  <c r="V61" i="33"/>
  <c r="J67" i="33"/>
  <c r="V73" i="33"/>
  <c r="L78" i="33"/>
  <c r="V81" i="33"/>
  <c r="L86" i="33"/>
  <c r="N86" i="33" s="1"/>
  <c r="V93" i="33"/>
  <c r="J100" i="33"/>
  <c r="V105" i="33"/>
  <c r="L13" i="36"/>
  <c r="N13" i="36" s="1"/>
  <c r="X58" i="36"/>
  <c r="V91" i="36"/>
  <c r="V103" i="36"/>
  <c r="V123" i="36"/>
  <c r="V131" i="36"/>
  <c r="V133" i="36"/>
  <c r="Z51" i="39"/>
  <c r="Z138" i="39"/>
  <c r="X83" i="42"/>
  <c r="Z83" i="42" s="1"/>
  <c r="J19" i="48"/>
  <c r="J131" i="30"/>
  <c r="J151" i="30"/>
  <c r="J152" i="30"/>
  <c r="V34" i="33"/>
  <c r="J66" i="33"/>
  <c r="L67" i="33"/>
  <c r="N67" i="33" s="1"/>
  <c r="V70" i="33"/>
  <c r="X73" i="33"/>
  <c r="Z73" i="33" s="1"/>
  <c r="J76" i="33"/>
  <c r="J90" i="33"/>
  <c r="J98" i="33"/>
  <c r="J99" i="33"/>
  <c r="V104" i="33"/>
  <c r="L45" i="36"/>
  <c r="N45" i="36" s="1"/>
  <c r="V56" i="36"/>
  <c r="L61" i="36"/>
  <c r="V64" i="36"/>
  <c r="L77" i="36"/>
  <c r="N77" i="36" s="1"/>
  <c r="V80" i="36"/>
  <c r="V92" i="36"/>
  <c r="V96" i="36"/>
  <c r="V108" i="36"/>
  <c r="V124" i="36"/>
  <c r="D12" i="39"/>
  <c r="L13" i="39"/>
  <c r="N13" i="39" s="1"/>
  <c r="R123" i="42"/>
  <c r="R122" i="42"/>
  <c r="R110" i="42"/>
  <c r="R106" i="42"/>
  <c r="R83" i="42"/>
  <c r="R82" i="42"/>
  <c r="R55" i="42"/>
  <c r="R54" i="42"/>
  <c r="R50" i="42"/>
  <c r="R46" i="42"/>
  <c r="R101" i="42"/>
  <c r="R90" i="42"/>
  <c r="R89" i="42"/>
  <c r="R74" i="42"/>
  <c r="R73" i="42"/>
  <c r="R41" i="42"/>
  <c r="R37" i="42"/>
  <c r="R124" i="42"/>
  <c r="R117" i="42"/>
  <c r="R116" i="42"/>
  <c r="R96" i="42"/>
  <c r="R85" i="42"/>
  <c r="R84" i="42"/>
  <c r="R64" i="42"/>
  <c r="R57" i="42"/>
  <c r="R56" i="42"/>
  <c r="R127" i="42"/>
  <c r="R128" i="42"/>
  <c r="R119" i="42"/>
  <c r="R118" i="42"/>
  <c r="R103" i="42"/>
  <c r="R102" i="42"/>
  <c r="R86" i="42"/>
  <c r="R59" i="42"/>
  <c r="R58" i="42"/>
  <c r="R42" i="42"/>
  <c r="R129" i="42"/>
  <c r="R97" i="42"/>
  <c r="R66" i="42"/>
  <c r="R65" i="42"/>
  <c r="R130" i="42"/>
  <c r="R120" i="42"/>
  <c r="R112" i="42"/>
  <c r="R108" i="42"/>
  <c r="R104" i="42"/>
  <c r="R92" i="42"/>
  <c r="R77" i="42"/>
  <c r="R76" i="42"/>
  <c r="R61" i="42"/>
  <c r="R60" i="42"/>
  <c r="R52" i="42"/>
  <c r="R48" i="42"/>
  <c r="R121" i="42"/>
  <c r="R114" i="42"/>
  <c r="R113" i="42"/>
  <c r="R109" i="42"/>
  <c r="R105" i="42"/>
  <c r="R94" i="42"/>
  <c r="R93" i="42"/>
  <c r="R107" i="42"/>
  <c r="R81" i="42"/>
  <c r="R134" i="42"/>
  <c r="R79" i="42"/>
  <c r="R68" i="42"/>
  <c r="R43" i="42"/>
  <c r="R36" i="42"/>
  <c r="R33" i="42"/>
  <c r="R27" i="42"/>
  <c r="R111" i="42"/>
  <c r="R95" i="42"/>
  <c r="R91" i="42"/>
  <c r="R44" i="42"/>
  <c r="R39" i="42"/>
  <c r="R115" i="42"/>
  <c r="R99" i="42"/>
  <c r="R87" i="42"/>
  <c r="R71" i="42"/>
  <c r="R63" i="42"/>
  <c r="X12" i="42"/>
  <c r="Z12" i="42" s="1"/>
  <c r="R53" i="42"/>
  <c r="R51" i="42"/>
  <c r="R34" i="42"/>
  <c r="R28" i="42"/>
  <c r="R25" i="42"/>
  <c r="R45" i="42"/>
  <c r="R35" i="42"/>
  <c r="P30" i="42"/>
  <c r="R26" i="42"/>
  <c r="R98" i="42"/>
  <c r="R88" i="42"/>
  <c r="R78" i="42"/>
  <c r="R70" i="42"/>
  <c r="R62" i="42"/>
  <c r="R67" i="42"/>
  <c r="R38" i="42"/>
  <c r="R32" i="42"/>
  <c r="X59" i="42"/>
  <c r="Z59" i="42" s="1"/>
  <c r="R75" i="42"/>
  <c r="V83" i="42"/>
  <c r="J68" i="30"/>
  <c r="J70" i="30"/>
  <c r="J72" i="30"/>
  <c r="J76" i="30"/>
  <c r="J80" i="30"/>
  <c r="J96" i="30"/>
  <c r="J106" i="30"/>
  <c r="J116" i="30"/>
  <c r="J124" i="30"/>
  <c r="J130" i="30"/>
  <c r="V43" i="33"/>
  <c r="V47" i="33"/>
  <c r="V51" i="33"/>
  <c r="J55" i="33"/>
  <c r="J59" i="33"/>
  <c r="J65" i="33"/>
  <c r="V71" i="33"/>
  <c r="J75" i="33"/>
  <c r="V79" i="33"/>
  <c r="V87" i="33"/>
  <c r="V91" i="33"/>
  <c r="V37" i="36"/>
  <c r="V41" i="36"/>
  <c r="V69" i="36"/>
  <c r="J75" i="36"/>
  <c r="J85" i="36"/>
  <c r="V89" i="36"/>
  <c r="V97" i="36"/>
  <c r="J105" i="36"/>
  <c r="V113" i="36"/>
  <c r="V117" i="36"/>
  <c r="J37" i="39"/>
  <c r="Z66" i="39"/>
  <c r="L92" i="39"/>
  <c r="N115" i="39"/>
  <c r="P12" i="39"/>
  <c r="J33" i="39"/>
  <c r="J51" i="39"/>
  <c r="V53" i="39"/>
  <c r="V57" i="39"/>
  <c r="V61" i="39"/>
  <c r="J69" i="39"/>
  <c r="J75" i="39"/>
  <c r="V81" i="39"/>
  <c r="J85" i="39"/>
  <c r="V89" i="39"/>
  <c r="J97" i="39"/>
  <c r="V105" i="39"/>
  <c r="V109" i="39"/>
  <c r="J113" i="39"/>
  <c r="J135" i="39"/>
  <c r="V141" i="39"/>
  <c r="N59" i="42"/>
  <c r="X70" i="42"/>
  <c r="V86" i="42"/>
  <c r="V105" i="42"/>
  <c r="V123" i="42"/>
  <c r="V92" i="45"/>
  <c r="V76" i="45"/>
  <c r="V72" i="45"/>
  <c r="V60" i="45"/>
  <c r="V52" i="45"/>
  <c r="V36" i="45"/>
  <c r="V32" i="45"/>
  <c r="V28" i="45"/>
  <c r="V91" i="45"/>
  <c r="V87" i="45"/>
  <c r="V83" i="45"/>
  <c r="V71" i="45"/>
  <c r="V59" i="45"/>
  <c r="V51" i="45"/>
  <c r="V27" i="45"/>
  <c r="V25" i="45"/>
  <c r="V23" i="45"/>
  <c r="V104" i="45"/>
  <c r="V94" i="45"/>
  <c r="V78" i="45"/>
  <c r="V62" i="45"/>
  <c r="V46" i="45"/>
  <c r="V42" i="45"/>
  <c r="T25" i="45"/>
  <c r="V93" i="45"/>
  <c r="V73" i="45"/>
  <c r="V61" i="45"/>
  <c r="V53" i="45"/>
  <c r="V37" i="45"/>
  <c r="V33" i="45"/>
  <c r="V29" i="45"/>
  <c r="V96" i="45"/>
  <c r="V88" i="45"/>
  <c r="V84" i="45"/>
  <c r="V64" i="45"/>
  <c r="V20" i="45"/>
  <c r="V95" i="45"/>
  <c r="V79" i="45"/>
  <c r="V63" i="45"/>
  <c r="V55" i="45"/>
  <c r="V47" i="45"/>
  <c r="V43" i="45"/>
  <c r="V39" i="45"/>
  <c r="V74" i="45"/>
  <c r="V66" i="45"/>
  <c r="V54" i="45"/>
  <c r="V38" i="45"/>
  <c r="V34" i="45"/>
  <c r="V30" i="45"/>
  <c r="V75" i="45"/>
  <c r="V67" i="45"/>
  <c r="V35" i="45"/>
  <c r="V31" i="45"/>
  <c r="V81" i="45"/>
  <c r="V77" i="45"/>
  <c r="V69" i="45"/>
  <c r="V49" i="45"/>
  <c r="V45" i="45"/>
  <c r="V41" i="45"/>
  <c r="H102" i="45"/>
  <c r="V44" i="45"/>
  <c r="R54" i="45"/>
  <c r="V58" i="45"/>
  <c r="F62" i="45"/>
  <c r="R67" i="45"/>
  <c r="F73" i="45"/>
  <c r="F77" i="45"/>
  <c r="L109" i="51"/>
  <c r="D106" i="51"/>
  <c r="L106" i="51" s="1"/>
  <c r="J32" i="39"/>
  <c r="V34" i="39"/>
  <c r="J42" i="39"/>
  <c r="J46" i="39"/>
  <c r="J50" i="39"/>
  <c r="V62" i="39"/>
  <c r="J68" i="39"/>
  <c r="V70" i="39"/>
  <c r="J74" i="39"/>
  <c r="V78" i="39"/>
  <c r="V90" i="39"/>
  <c r="J96" i="39"/>
  <c r="V98" i="39"/>
  <c r="J102" i="39"/>
  <c r="J112" i="39"/>
  <c r="V114" i="39"/>
  <c r="J118" i="39"/>
  <c r="J122" i="39"/>
  <c r="V130" i="39"/>
  <c r="J134" i="39"/>
  <c r="V140" i="39"/>
  <c r="D12" i="42"/>
  <c r="J25" i="42"/>
  <c r="V38" i="42"/>
  <c r="J42" i="42"/>
  <c r="J59" i="42"/>
  <c r="J66" i="42"/>
  <c r="V81" i="42"/>
  <c r="L85" i="42"/>
  <c r="N85" i="42" s="1"/>
  <c r="N100" i="42"/>
  <c r="F47" i="45"/>
  <c r="N62" i="45"/>
  <c r="L19" i="48"/>
  <c r="N19" i="48" s="1"/>
  <c r="L57" i="48"/>
  <c r="F57" i="48"/>
  <c r="L19" i="56"/>
  <c r="N19" i="56"/>
  <c r="J101" i="39"/>
  <c r="V103" i="39"/>
  <c r="J107" i="39"/>
  <c r="J111" i="39"/>
  <c r="V115" i="39"/>
  <c r="V119" i="39"/>
  <c r="V123" i="39"/>
  <c r="J127" i="39"/>
  <c r="V131" i="39"/>
  <c r="V139" i="39"/>
  <c r="J121" i="42"/>
  <c r="J113" i="42"/>
  <c r="J109" i="42"/>
  <c r="J105" i="42"/>
  <c r="J93" i="42"/>
  <c r="J79" i="42"/>
  <c r="J69" i="42"/>
  <c r="J53" i="42"/>
  <c r="J49" i="42"/>
  <c r="J45" i="42"/>
  <c r="J134" i="42"/>
  <c r="J114" i="42"/>
  <c r="J94" i="42"/>
  <c r="J88" i="42"/>
  <c r="J80" i="42"/>
  <c r="J70" i="42"/>
  <c r="J40" i="42"/>
  <c r="J36" i="42"/>
  <c r="J115" i="42"/>
  <c r="J99" i="42"/>
  <c r="J95" i="42"/>
  <c r="J81" i="42"/>
  <c r="J71" i="42"/>
  <c r="J63" i="42"/>
  <c r="J122" i="42"/>
  <c r="J123" i="42"/>
  <c r="J101" i="42"/>
  <c r="J89" i="42"/>
  <c r="J83" i="42"/>
  <c r="J73" i="42"/>
  <c r="J55" i="42"/>
  <c r="J41" i="42"/>
  <c r="J124" i="42"/>
  <c r="J116" i="42"/>
  <c r="J96" i="42"/>
  <c r="J90" i="42"/>
  <c r="J84" i="42"/>
  <c r="J74" i="42"/>
  <c r="J64" i="42"/>
  <c r="J56" i="42"/>
  <c r="J28" i="42"/>
  <c r="J117" i="42"/>
  <c r="J111" i="42"/>
  <c r="J107" i="42"/>
  <c r="J91" i="42"/>
  <c r="J85" i="42"/>
  <c r="J75" i="42"/>
  <c r="J57" i="42"/>
  <c r="J51" i="42"/>
  <c r="J47" i="42"/>
  <c r="J129" i="42"/>
  <c r="J120" i="42"/>
  <c r="J112" i="42"/>
  <c r="J108" i="42"/>
  <c r="J104" i="42"/>
  <c r="J92" i="42"/>
  <c r="Z70" i="42"/>
  <c r="J72" i="42"/>
  <c r="J100" i="42"/>
  <c r="Z103" i="42"/>
  <c r="X103" i="42"/>
  <c r="X114" i="42"/>
  <c r="Z114" i="42" s="1"/>
  <c r="J118" i="42"/>
  <c r="X130" i="42"/>
  <c r="P126" i="42"/>
  <c r="X126" i="42" s="1"/>
  <c r="Z126" i="42" s="1"/>
  <c r="L27" i="45"/>
  <c r="N27" i="45" s="1"/>
  <c r="J40" i="39"/>
  <c r="V42" i="39"/>
  <c r="V46" i="39"/>
  <c r="V50" i="39"/>
  <c r="J54" i="39"/>
  <c r="J58" i="39"/>
  <c r="J64" i="39"/>
  <c r="V74" i="39"/>
  <c r="J82" i="39"/>
  <c r="V86" i="39"/>
  <c r="J92" i="39"/>
  <c r="V102" i="39"/>
  <c r="J106" i="39"/>
  <c r="J110" i="39"/>
  <c r="V118" i="39"/>
  <c r="V122" i="39"/>
  <c r="V134" i="39"/>
  <c r="J144" i="39"/>
  <c r="J39" i="42"/>
  <c r="V49" i="42"/>
  <c r="J58" i="42"/>
  <c r="V69" i="42"/>
  <c r="V94" i="42"/>
  <c r="V102" i="42"/>
  <c r="F61" i="45"/>
  <c r="Z62" i="45"/>
  <c r="F72" i="45"/>
  <c r="V82" i="45"/>
  <c r="N92" i="45"/>
  <c r="Z61" i="48"/>
  <c r="X61" i="48"/>
  <c r="D81" i="56"/>
  <c r="J35" i="39"/>
  <c r="V51" i="39"/>
  <c r="V55" i="39"/>
  <c r="V59" i="39"/>
  <c r="J63" i="39"/>
  <c r="V67" i="39"/>
  <c r="J71" i="39"/>
  <c r="V75" i="39"/>
  <c r="J81" i="39"/>
  <c r="J91" i="39"/>
  <c r="V95" i="39"/>
  <c r="J99" i="39"/>
  <c r="J105" i="39"/>
  <c r="V107" i="39"/>
  <c r="V111" i="39"/>
  <c r="V127" i="39"/>
  <c r="V135" i="39"/>
  <c r="J142" i="39"/>
  <c r="V117" i="42"/>
  <c r="V101" i="42"/>
  <c r="V89" i="42"/>
  <c r="V85" i="42"/>
  <c r="V73" i="42"/>
  <c r="V57" i="42"/>
  <c r="V41" i="42"/>
  <c r="V37" i="42"/>
  <c r="V33" i="42"/>
  <c r="V126" i="42"/>
  <c r="V124" i="42"/>
  <c r="V116" i="42"/>
  <c r="V96" i="42"/>
  <c r="V84" i="42"/>
  <c r="V64" i="42"/>
  <c r="V56" i="42"/>
  <c r="V32" i="42"/>
  <c r="V30" i="42"/>
  <c r="V28" i="42"/>
  <c r="V127" i="42"/>
  <c r="V119" i="42"/>
  <c r="V111" i="42"/>
  <c r="V107" i="42"/>
  <c r="V103" i="42"/>
  <c r="V91" i="42"/>
  <c r="V75" i="42"/>
  <c r="V59" i="42"/>
  <c r="V51" i="42"/>
  <c r="V47" i="42"/>
  <c r="V128" i="42"/>
  <c r="V118" i="42"/>
  <c r="V129" i="42"/>
  <c r="V97" i="42"/>
  <c r="V77" i="42"/>
  <c r="V65" i="42"/>
  <c r="V61" i="42"/>
  <c r="V132" i="42"/>
  <c r="V130" i="42"/>
  <c r="V120" i="42"/>
  <c r="V112" i="42"/>
  <c r="V108" i="42"/>
  <c r="V104" i="42"/>
  <c r="V92" i="42"/>
  <c r="V76" i="42"/>
  <c r="V68" i="42"/>
  <c r="V60" i="42"/>
  <c r="V52" i="42"/>
  <c r="V48" i="42"/>
  <c r="V44" i="42"/>
  <c r="V87" i="42"/>
  <c r="V79" i="42"/>
  <c r="V67" i="42"/>
  <c r="V43" i="42"/>
  <c r="V39" i="42"/>
  <c r="V134" i="42"/>
  <c r="V100" i="42"/>
  <c r="V88" i="42"/>
  <c r="J46" i="42"/>
  <c r="J65" i="42"/>
  <c r="V66" i="42"/>
  <c r="J68" i="42"/>
  <c r="V72" i="42"/>
  <c r="X100" i="42"/>
  <c r="R35" i="45"/>
  <c r="X66" i="45"/>
  <c r="Z66" i="45" s="1"/>
  <c r="N72" i="45"/>
  <c r="F78" i="45"/>
  <c r="V80" i="45"/>
  <c r="R85" i="45"/>
  <c r="V90" i="45"/>
  <c r="F94" i="45"/>
  <c r="R70" i="48"/>
  <c r="R63" i="48"/>
  <c r="R62" i="48"/>
  <c r="R55" i="48"/>
  <c r="R54" i="48"/>
  <c r="R43" i="48"/>
  <c r="R42" i="48"/>
  <c r="R64" i="48"/>
  <c r="R57" i="48"/>
  <c r="R56" i="48"/>
  <c r="R45" i="48"/>
  <c r="R44" i="48"/>
  <c r="R28" i="48"/>
  <c r="R24" i="48"/>
  <c r="R58" i="48"/>
  <c r="R47" i="48"/>
  <c r="R46" i="48"/>
  <c r="R38" i="48"/>
  <c r="R34" i="48"/>
  <c r="R19" i="48"/>
  <c r="R15" i="48"/>
  <c r="R77" i="48"/>
  <c r="R65" i="48"/>
  <c r="R30" i="48"/>
  <c r="R29" i="48"/>
  <c r="R25" i="48"/>
  <c r="R21" i="48"/>
  <c r="P17" i="48"/>
  <c r="R17" i="48" s="1"/>
  <c r="R49" i="48"/>
  <c r="R48" i="48"/>
  <c r="R51" i="48"/>
  <c r="R40" i="48"/>
  <c r="R23" i="48"/>
  <c r="R67" i="48"/>
  <c r="R59" i="48"/>
  <c r="R33" i="48"/>
  <c r="R73" i="48"/>
  <c r="R41" i="48"/>
  <c r="R31" i="48"/>
  <c r="R36" i="48"/>
  <c r="R26" i="48"/>
  <c r="R60" i="48"/>
  <c r="R52" i="48"/>
  <c r="R22" i="48"/>
  <c r="R72" i="48"/>
  <c r="R61" i="48"/>
  <c r="R53" i="48"/>
  <c r="R37" i="48"/>
  <c r="R35" i="48"/>
  <c r="N15" i="48"/>
  <c r="H17" i="48"/>
  <c r="J15" i="48"/>
  <c r="Z53" i="48"/>
  <c r="X53" i="48"/>
  <c r="V61" i="48"/>
  <c r="Z53" i="56"/>
  <c r="V32" i="39"/>
  <c r="J44" i="39"/>
  <c r="J48" i="39"/>
  <c r="J62" i="39"/>
  <c r="V68" i="39"/>
  <c r="V72" i="39"/>
  <c r="J80" i="39"/>
  <c r="V84" i="39"/>
  <c r="J90" i="39"/>
  <c r="V96" i="39"/>
  <c r="V100" i="39"/>
  <c r="J104" i="39"/>
  <c r="V112" i="39"/>
  <c r="J116" i="39"/>
  <c r="J120" i="39"/>
  <c r="J124" i="39"/>
  <c r="J132" i="39"/>
  <c r="J141" i="39"/>
  <c r="V146" i="39"/>
  <c r="V25" i="42"/>
  <c r="J27" i="42"/>
  <c r="J33" i="42"/>
  <c r="V34" i="42"/>
  <c r="J43" i="42"/>
  <c r="V53" i="42"/>
  <c r="V58" i="42"/>
  <c r="J60" i="42"/>
  <c r="X72" i="42"/>
  <c r="Z72" i="42" s="1"/>
  <c r="J76" i="42"/>
  <c r="V82" i="42"/>
  <c r="J97" i="42"/>
  <c r="N117" i="42"/>
  <c r="J128" i="42"/>
  <c r="R31" i="45"/>
  <c r="L52" i="45"/>
  <c r="N52" i="45" s="1"/>
  <c r="X57" i="45"/>
  <c r="R66" i="45"/>
  <c r="R68" i="45"/>
  <c r="V85" i="45"/>
  <c r="N94" i="45"/>
  <c r="L15" i="48"/>
  <c r="V53" i="48"/>
  <c r="N14" i="54"/>
  <c r="H16" i="54"/>
  <c r="N73" i="56"/>
  <c r="V41" i="39"/>
  <c r="V45" i="39"/>
  <c r="V49" i="39"/>
  <c r="J53" i="39"/>
  <c r="J57" i="39"/>
  <c r="J61" i="39"/>
  <c r="V65" i="39"/>
  <c r="V73" i="39"/>
  <c r="J79" i="39"/>
  <c r="J89" i="39"/>
  <c r="V93" i="39"/>
  <c r="V101" i="39"/>
  <c r="J109" i="39"/>
  <c r="J115" i="39"/>
  <c r="V117" i="39"/>
  <c r="V121" i="39"/>
  <c r="V125" i="39"/>
  <c r="J131" i="39"/>
  <c r="V133" i="39"/>
  <c r="J140" i="39"/>
  <c r="N32" i="42"/>
  <c r="V46" i="42"/>
  <c r="J48" i="42"/>
  <c r="J50" i="42"/>
  <c r="V63" i="42"/>
  <c r="V71" i="42"/>
  <c r="V74" i="42"/>
  <c r="V93" i="42"/>
  <c r="V99" i="42"/>
  <c r="V113" i="42"/>
  <c r="V115" i="42"/>
  <c r="N119" i="42"/>
  <c r="N126" i="42"/>
  <c r="F97" i="45"/>
  <c r="F96" i="45"/>
  <c r="F89" i="45"/>
  <c r="F85" i="45"/>
  <c r="F65" i="45"/>
  <c r="F64" i="45"/>
  <c r="F21" i="45"/>
  <c r="F20" i="45"/>
  <c r="F80" i="45"/>
  <c r="F56" i="45"/>
  <c r="F55" i="45"/>
  <c r="F48" i="45"/>
  <c r="F44" i="45"/>
  <c r="F40" i="45"/>
  <c r="F39" i="45"/>
  <c r="L12" i="45"/>
  <c r="F75" i="45"/>
  <c r="F67" i="45"/>
  <c r="F66" i="45"/>
  <c r="F35" i="45"/>
  <c r="F31" i="45"/>
  <c r="F98" i="45"/>
  <c r="F90" i="45"/>
  <c r="F86" i="45"/>
  <c r="F58" i="45"/>
  <c r="F57" i="45"/>
  <c r="F22" i="45"/>
  <c r="F81" i="45"/>
  <c r="F69" i="45"/>
  <c r="F68" i="45"/>
  <c r="F49" i="45"/>
  <c r="F45" i="45"/>
  <c r="F41" i="45"/>
  <c r="F76" i="45"/>
  <c r="F36" i="45"/>
  <c r="F32" i="45"/>
  <c r="F100" i="45"/>
  <c r="F91" i="45"/>
  <c r="F87" i="45"/>
  <c r="F83" i="45"/>
  <c r="F82" i="45"/>
  <c r="F71" i="45"/>
  <c r="F70" i="45"/>
  <c r="F59" i="45"/>
  <c r="F51" i="45"/>
  <c r="F50" i="45"/>
  <c r="F23" i="45"/>
  <c r="F88" i="45"/>
  <c r="F84" i="45"/>
  <c r="F27" i="45"/>
  <c r="F74" i="45"/>
  <c r="F54" i="45"/>
  <c r="F38" i="45"/>
  <c r="F34" i="45"/>
  <c r="F30" i="45"/>
  <c r="F46" i="45"/>
  <c r="F52" i="45"/>
  <c r="Z57" i="45"/>
  <c r="V98" i="45"/>
  <c r="J34" i="39"/>
  <c r="T37" i="39"/>
  <c r="V37" i="39" s="1"/>
  <c r="V54" i="39"/>
  <c r="V58" i="39"/>
  <c r="V66" i="39"/>
  <c r="J70" i="39"/>
  <c r="J78" i="39"/>
  <c r="V82" i="39"/>
  <c r="J88" i="39"/>
  <c r="V94" i="39"/>
  <c r="J98" i="39"/>
  <c r="V106" i="39"/>
  <c r="V110" i="39"/>
  <c r="J114" i="39"/>
  <c r="V126" i="39"/>
  <c r="J130" i="39"/>
  <c r="J138" i="39"/>
  <c r="J139" i="39"/>
  <c r="J32" i="42"/>
  <c r="J67" i="42"/>
  <c r="X79" i="42"/>
  <c r="N81" i="42"/>
  <c r="L81" i="42"/>
  <c r="J119" i="42"/>
  <c r="J126" i="42"/>
  <c r="R21" i="45"/>
  <c r="F28" i="45"/>
  <c r="F42" i="45"/>
  <c r="R55" i="45"/>
  <c r="V57" i="45"/>
  <c r="L60" i="45"/>
  <c r="N60" i="45" s="1"/>
  <c r="V68" i="45"/>
  <c r="R74" i="45"/>
  <c r="F104" i="45"/>
  <c r="J20" i="48"/>
  <c r="R66" i="48"/>
  <c r="R68" i="48"/>
  <c r="V35" i="39"/>
  <c r="V39" i="39"/>
  <c r="J43" i="39"/>
  <c r="J47" i="39"/>
  <c r="V63" i="39"/>
  <c r="V71" i="39"/>
  <c r="J77" i="39"/>
  <c r="V83" i="39"/>
  <c r="J87" i="39"/>
  <c r="V91" i="39"/>
  <c r="V99" i="39"/>
  <c r="J103" i="39"/>
  <c r="J119" i="39"/>
  <c r="J123" i="39"/>
  <c r="J129" i="39"/>
  <c r="J38" i="42"/>
  <c r="J52" i="42"/>
  <c r="N57" i="42"/>
  <c r="J62" i="42"/>
  <c r="J78" i="42"/>
  <c r="J86" i="42"/>
  <c r="V95" i="42"/>
  <c r="N103" i="42"/>
  <c r="V109" i="42"/>
  <c r="V121" i="42"/>
  <c r="V21" i="45"/>
  <c r="N28" i="45"/>
  <c r="V48" i="45"/>
  <c r="F60" i="45"/>
  <c r="L17" i="48"/>
  <c r="V40" i="39"/>
  <c r="V44" i="39"/>
  <c r="V48" i="39"/>
  <c r="J52" i="39"/>
  <c r="J56" i="39"/>
  <c r="J60" i="39"/>
  <c r="V64" i="39"/>
  <c r="J76" i="39"/>
  <c r="V80" i="39"/>
  <c r="J86" i="39"/>
  <c r="V92" i="39"/>
  <c r="V104" i="39"/>
  <c r="J108" i="39"/>
  <c r="V116" i="39"/>
  <c r="V120" i="39"/>
  <c r="V124" i="39"/>
  <c r="J128" i="39"/>
  <c r="V132" i="39"/>
  <c r="V142" i="39"/>
  <c r="J26" i="42"/>
  <c r="V27" i="42"/>
  <c r="H30" i="42"/>
  <c r="J30" i="42" s="1"/>
  <c r="X32" i="42"/>
  <c r="Z32" i="42" s="1"/>
  <c r="J35" i="42"/>
  <c r="V36" i="42"/>
  <c r="V50" i="42"/>
  <c r="J54" i="42"/>
  <c r="V55" i="42"/>
  <c r="Z79" i="42"/>
  <c r="J98" i="42"/>
  <c r="J103" i="42"/>
  <c r="J130" i="42"/>
  <c r="R100" i="45"/>
  <c r="R82" i="45"/>
  <c r="R81" i="45"/>
  <c r="R70" i="45"/>
  <c r="R69" i="45"/>
  <c r="R50" i="45"/>
  <c r="R49" i="45"/>
  <c r="R45" i="45"/>
  <c r="R41" i="45"/>
  <c r="R77" i="45"/>
  <c r="R76" i="45"/>
  <c r="R36" i="45"/>
  <c r="R32" i="45"/>
  <c r="R92" i="45"/>
  <c r="R91" i="45"/>
  <c r="R87" i="45"/>
  <c r="R83" i="45"/>
  <c r="R72" i="45"/>
  <c r="R71" i="45"/>
  <c r="R60" i="45"/>
  <c r="R59" i="45"/>
  <c r="R52" i="45"/>
  <c r="R51" i="45"/>
  <c r="R28" i="45"/>
  <c r="R23" i="45"/>
  <c r="R104" i="45"/>
  <c r="R78" i="45"/>
  <c r="R46" i="45"/>
  <c r="R42" i="45"/>
  <c r="R27" i="45"/>
  <c r="R94" i="45"/>
  <c r="R93" i="45"/>
  <c r="R73" i="45"/>
  <c r="R62" i="45"/>
  <c r="R61" i="45"/>
  <c r="R53" i="45"/>
  <c r="R37" i="45"/>
  <c r="R33" i="45"/>
  <c r="R29" i="45"/>
  <c r="P25" i="45"/>
  <c r="R88" i="45"/>
  <c r="R84" i="45"/>
  <c r="R96" i="45"/>
  <c r="R95" i="45"/>
  <c r="R79" i="45"/>
  <c r="R64" i="45"/>
  <c r="R63" i="45"/>
  <c r="R47" i="45"/>
  <c r="R43" i="45"/>
  <c r="R20" i="45"/>
  <c r="R80" i="45"/>
  <c r="R57" i="45"/>
  <c r="R56" i="45"/>
  <c r="R48" i="45"/>
  <c r="R44" i="45"/>
  <c r="R40" i="45"/>
  <c r="X12" i="45"/>
  <c r="Z12" i="45" s="1"/>
  <c r="R98" i="45"/>
  <c r="R90" i="45"/>
  <c r="R86" i="45"/>
  <c r="R58" i="45"/>
  <c r="R22" i="45"/>
  <c r="D25" i="45"/>
  <c r="R38" i="45"/>
  <c r="V50" i="45"/>
  <c r="V65" i="45"/>
  <c r="F79" i="45"/>
  <c r="V86" i="45"/>
  <c r="F93" i="45"/>
  <c r="T82" i="48"/>
  <c r="N40" i="51"/>
  <c r="L40" i="51"/>
  <c r="J97" i="45"/>
  <c r="V40" i="48"/>
  <c r="V43" i="48"/>
  <c r="Z51" i="48"/>
  <c r="V56" i="48"/>
  <c r="J101" i="51"/>
  <c r="J93" i="51"/>
  <c r="J81" i="51"/>
  <c r="J67" i="51"/>
  <c r="J63" i="51"/>
  <c r="J103" i="51"/>
  <c r="J95" i="51"/>
  <c r="J83" i="51"/>
  <c r="J77" i="51"/>
  <c r="J73" i="51"/>
  <c r="J59" i="51"/>
  <c r="J104" i="51"/>
  <c r="J96" i="51"/>
  <c r="J84" i="51"/>
  <c r="J68" i="51"/>
  <c r="J64" i="51"/>
  <c r="J60" i="51"/>
  <c r="J58" i="51"/>
  <c r="J56" i="51"/>
  <c r="J85" i="51"/>
  <c r="H56" i="51"/>
  <c r="J51" i="51"/>
  <c r="J47" i="51"/>
  <c r="J43" i="51"/>
  <c r="J107" i="51"/>
  <c r="J106" i="51"/>
  <c r="J86" i="51"/>
  <c r="J78" i="51"/>
  <c r="J74" i="51"/>
  <c r="J108" i="51"/>
  <c r="J97" i="51"/>
  <c r="J87" i="51"/>
  <c r="J69" i="51"/>
  <c r="J65" i="51"/>
  <c r="J61" i="51"/>
  <c r="J109" i="51"/>
  <c r="J98" i="51"/>
  <c r="J88" i="51"/>
  <c r="J70" i="51"/>
  <c r="J52" i="51"/>
  <c r="J48" i="51"/>
  <c r="J44" i="51"/>
  <c r="J114" i="51"/>
  <c r="J100" i="51"/>
  <c r="J92" i="51"/>
  <c r="J80" i="51"/>
  <c r="J76" i="51"/>
  <c r="J72" i="51"/>
  <c r="J102" i="51"/>
  <c r="Z103" i="51"/>
  <c r="X103" i="51"/>
  <c r="J110" i="51"/>
  <c r="N16" i="56"/>
  <c r="H81" i="56"/>
  <c r="X14" i="57"/>
  <c r="P16" i="57"/>
  <c r="J63" i="45"/>
  <c r="J79" i="45"/>
  <c r="J95" i="45"/>
  <c r="V75" i="48"/>
  <c r="V73" i="48"/>
  <c r="V57" i="48"/>
  <c r="V45" i="48"/>
  <c r="V37" i="48"/>
  <c r="V33" i="48"/>
  <c r="V47" i="48"/>
  <c r="V19" i="48"/>
  <c r="V17" i="48"/>
  <c r="V15" i="48"/>
  <c r="V82" i="48"/>
  <c r="V79" i="48"/>
  <c r="V77" i="48"/>
  <c r="V65" i="48"/>
  <c r="V49" i="48"/>
  <c r="V29" i="48"/>
  <c r="V25" i="48"/>
  <c r="V21" i="48"/>
  <c r="V48" i="48"/>
  <c r="V67" i="48"/>
  <c r="V59" i="48"/>
  <c r="V51" i="48"/>
  <c r="V39" i="48"/>
  <c r="V35" i="48"/>
  <c r="V31" i="48"/>
  <c r="V72" i="48"/>
  <c r="V70" i="48"/>
  <c r="V62" i="48"/>
  <c r="V54" i="48"/>
  <c r="V42" i="48"/>
  <c r="V27" i="48"/>
  <c r="N47" i="48"/>
  <c r="V66" i="48"/>
  <c r="Z69" i="48"/>
  <c r="J50" i="51"/>
  <c r="T112" i="51"/>
  <c r="N59" i="51"/>
  <c r="J71" i="51"/>
  <c r="J75" i="51"/>
  <c r="J28" i="45"/>
  <c r="J42" i="45"/>
  <c r="J46" i="45"/>
  <c r="J52" i="45"/>
  <c r="J60" i="45"/>
  <c r="J72" i="45"/>
  <c r="J78" i="45"/>
  <c r="J92" i="45"/>
  <c r="J104" i="45"/>
  <c r="J31" i="48"/>
  <c r="V34" i="48"/>
  <c r="N41" i="48"/>
  <c r="J65" i="48"/>
  <c r="V68" i="48"/>
  <c r="P12" i="51"/>
  <c r="J40" i="51"/>
  <c r="J90" i="51"/>
  <c r="Z22" i="54"/>
  <c r="T26" i="54"/>
  <c r="N14" i="55"/>
  <c r="H16" i="55"/>
  <c r="L14" i="55"/>
  <c r="X18" i="55"/>
  <c r="Z18" i="55"/>
  <c r="Z67" i="56"/>
  <c r="Z71" i="56"/>
  <c r="J23" i="45"/>
  <c r="J51" i="45"/>
  <c r="J59" i="45"/>
  <c r="J71" i="45"/>
  <c r="J77" i="45"/>
  <c r="J83" i="45"/>
  <c r="J87" i="45"/>
  <c r="J91" i="45"/>
  <c r="F66" i="48"/>
  <c r="F50" i="48"/>
  <c r="F49" i="48"/>
  <c r="F26" i="48"/>
  <c r="F22" i="48"/>
  <c r="L12" i="48"/>
  <c r="N12" i="48" s="1"/>
  <c r="F68" i="48"/>
  <c r="F67" i="48"/>
  <c r="F60" i="48"/>
  <c r="F52" i="48"/>
  <c r="F51" i="48"/>
  <c r="F40" i="48"/>
  <c r="F36" i="48"/>
  <c r="F32" i="48"/>
  <c r="F70" i="48"/>
  <c r="F69" i="48"/>
  <c r="F62" i="48"/>
  <c r="F61" i="48"/>
  <c r="F54" i="48"/>
  <c r="F53" i="48"/>
  <c r="F42" i="48"/>
  <c r="F41" i="48"/>
  <c r="F37" i="48"/>
  <c r="F33" i="48"/>
  <c r="F73" i="48"/>
  <c r="F64" i="48"/>
  <c r="F63" i="48"/>
  <c r="F56" i="48"/>
  <c r="F55" i="48"/>
  <c r="F44" i="48"/>
  <c r="F43" i="48"/>
  <c r="F28" i="48"/>
  <c r="F24" i="48"/>
  <c r="F59" i="48"/>
  <c r="F39" i="48"/>
  <c r="F35" i="48"/>
  <c r="X15" i="48"/>
  <c r="V20" i="48"/>
  <c r="V22" i="48"/>
  <c r="V24" i="48"/>
  <c r="F30" i="48"/>
  <c r="F38" i="48"/>
  <c r="L41" i="48"/>
  <c r="V44" i="48"/>
  <c r="J46" i="48"/>
  <c r="Z47" i="48"/>
  <c r="J49" i="48"/>
  <c r="V52" i="48"/>
  <c r="V55" i="48"/>
  <c r="N57" i="48"/>
  <c r="V60" i="48"/>
  <c r="V63" i="48"/>
  <c r="L67" i="48"/>
  <c r="N67" i="48" s="1"/>
  <c r="J77" i="48"/>
  <c r="X13" i="51"/>
  <c r="Z13" i="51" s="1"/>
  <c r="J42" i="51"/>
  <c r="J54" i="51"/>
  <c r="X59" i="51"/>
  <c r="Z59" i="51" s="1"/>
  <c r="L70" i="51"/>
  <c r="N70" i="51" s="1"/>
  <c r="J99" i="51"/>
  <c r="Z57" i="56"/>
  <c r="J32" i="45"/>
  <c r="J36" i="45"/>
  <c r="J50" i="45"/>
  <c r="J70" i="45"/>
  <c r="J76" i="45"/>
  <c r="J82" i="45"/>
  <c r="J100" i="45"/>
  <c r="J102" i="45"/>
  <c r="V26" i="48"/>
  <c r="J49" i="51"/>
  <c r="J66" i="51"/>
  <c r="J41" i="45"/>
  <c r="J45" i="45"/>
  <c r="J49" i="45"/>
  <c r="J69" i="45"/>
  <c r="J81" i="45"/>
  <c r="F17" i="48"/>
  <c r="Z19" i="48"/>
  <c r="V28" i="48"/>
  <c r="J30" i="48"/>
  <c r="V36" i="48"/>
  <c r="V46" i="48"/>
  <c r="J62" i="51"/>
  <c r="J94" i="51"/>
  <c r="N106" i="51"/>
  <c r="Z18" i="57"/>
  <c r="X66" i="42"/>
  <c r="L72" i="42"/>
  <c r="N72" i="42" s="1"/>
  <c r="L100" i="42"/>
  <c r="J22" i="45"/>
  <c r="J58" i="45"/>
  <c r="J68" i="45"/>
  <c r="J86" i="45"/>
  <c r="J90" i="45"/>
  <c r="J98" i="45"/>
  <c r="X19" i="48"/>
  <c r="L30" i="48"/>
  <c r="N30" i="48" s="1"/>
  <c r="V38" i="48"/>
  <c r="Z41" i="48"/>
  <c r="Z81" i="51"/>
  <c r="X95" i="51"/>
  <c r="Z95" i="51" s="1"/>
  <c r="N20" i="54"/>
  <c r="L20" i="54"/>
  <c r="X119" i="42"/>
  <c r="Z119" i="42" s="1"/>
  <c r="J31" i="45"/>
  <c r="J35" i="45"/>
  <c r="J57" i="45"/>
  <c r="X62" i="45"/>
  <c r="J67" i="45"/>
  <c r="L68" i="45"/>
  <c r="N68" i="45" s="1"/>
  <c r="J75" i="45"/>
  <c r="V41" i="48"/>
  <c r="L45" i="48"/>
  <c r="N45" i="48" s="1"/>
  <c r="X51" i="48"/>
  <c r="D72" i="48"/>
  <c r="L72" i="48" s="1"/>
  <c r="N72" i="48" s="1"/>
  <c r="J46" i="51"/>
  <c r="L89" i="51"/>
  <c r="N89" i="51" s="1"/>
  <c r="L98" i="51"/>
  <c r="N98" i="51" s="1"/>
  <c r="T37" i="55"/>
  <c r="N12" i="45"/>
  <c r="J40" i="45"/>
  <c r="J44" i="45"/>
  <c r="J48" i="45"/>
  <c r="J56" i="45"/>
  <c r="J66" i="45"/>
  <c r="J67" i="48"/>
  <c r="J51" i="48"/>
  <c r="J69" i="48"/>
  <c r="J61" i="48"/>
  <c r="J53" i="48"/>
  <c r="J41" i="48"/>
  <c r="J27" i="48"/>
  <c r="J23" i="48"/>
  <c r="J70" i="48"/>
  <c r="J63" i="48"/>
  <c r="J55" i="48"/>
  <c r="J43" i="48"/>
  <c r="J37" i="48"/>
  <c r="J33" i="48"/>
  <c r="J73" i="48"/>
  <c r="J72" i="48"/>
  <c r="J64" i="48"/>
  <c r="J56" i="48"/>
  <c r="J44" i="48"/>
  <c r="J28" i="48"/>
  <c r="J24" i="48"/>
  <c r="J57" i="48"/>
  <c r="J45" i="48"/>
  <c r="J66" i="48"/>
  <c r="J50" i="48"/>
  <c r="L20" i="48"/>
  <c r="N20" i="48" s="1"/>
  <c r="J25" i="48"/>
  <c r="X41" i="48"/>
  <c r="F45" i="48"/>
  <c r="N53" i="48"/>
  <c r="Z67" i="48"/>
  <c r="J41" i="51"/>
  <c r="J53" i="51"/>
  <c r="X58" i="51"/>
  <c r="Z58" i="51" s="1"/>
  <c r="J82" i="51"/>
  <c r="Z83" i="51"/>
  <c r="X83" i="51"/>
  <c r="J89" i="51"/>
  <c r="J91" i="51"/>
  <c r="N29" i="54"/>
  <c r="Z16" i="55"/>
  <c r="Z49" i="56"/>
  <c r="Z51" i="58"/>
  <c r="X51" i="58"/>
  <c r="V68" i="51"/>
  <c r="V84" i="51"/>
  <c r="V96" i="51"/>
  <c r="V104" i="51"/>
  <c r="V106" i="51"/>
  <c r="R23" i="55"/>
  <c r="P81" i="56"/>
  <c r="V58" i="57"/>
  <c r="V63" i="58"/>
  <c r="N29" i="56"/>
  <c r="L71" i="57"/>
  <c r="N71" i="57" s="1"/>
  <c r="R48" i="61"/>
  <c r="R47" i="61"/>
  <c r="R58" i="61"/>
  <c r="R38" i="61"/>
  <c r="R34" i="61"/>
  <c r="R30" i="61"/>
  <c r="R62" i="61"/>
  <c r="R60" i="61"/>
  <c r="R50" i="61"/>
  <c r="R49" i="61"/>
  <c r="R25" i="61"/>
  <c r="R21" i="61"/>
  <c r="R51" i="61"/>
  <c r="R40" i="61"/>
  <c r="R39" i="61"/>
  <c r="R35" i="61"/>
  <c r="R31" i="61"/>
  <c r="R64" i="61"/>
  <c r="R26" i="61"/>
  <c r="R22" i="61"/>
  <c r="R69" i="61"/>
  <c r="R66" i="61"/>
  <c r="R42" i="61"/>
  <c r="R41" i="61"/>
  <c r="R53" i="61"/>
  <c r="R52" i="61"/>
  <c r="R36" i="61"/>
  <c r="R32" i="61"/>
  <c r="X12" i="61"/>
  <c r="R57" i="61"/>
  <c r="R56" i="61"/>
  <c r="R29" i="61"/>
  <c r="R28" i="61"/>
  <c r="R24" i="61"/>
  <c r="R20" i="61"/>
  <c r="P16" i="61"/>
  <c r="R45" i="61"/>
  <c r="R16" i="61"/>
  <c r="R54" i="61"/>
  <c r="R43" i="61"/>
  <c r="R55" i="61"/>
  <c r="R14" i="61"/>
  <c r="R46" i="61"/>
  <c r="R44" i="61"/>
  <c r="R37" i="61"/>
  <c r="R18" i="61"/>
  <c r="R33" i="61"/>
  <c r="R19" i="61"/>
  <c r="R27" i="61"/>
  <c r="V81" i="51"/>
  <c r="V93" i="51"/>
  <c r="V101" i="51"/>
  <c r="F31" i="54"/>
  <c r="F29" i="54"/>
  <c r="F28" i="54"/>
  <c r="F26" i="54"/>
  <c r="L12" i="54"/>
  <c r="F24" i="54"/>
  <c r="D16" i="54"/>
  <c r="F18" i="54"/>
  <c r="N27" i="55"/>
  <c r="N18" i="56"/>
  <c r="Z19" i="56"/>
  <c r="V51" i="56"/>
  <c r="V62" i="56"/>
  <c r="Z75" i="56"/>
  <c r="F80" i="57"/>
  <c r="F63" i="57"/>
  <c r="F82" i="57"/>
  <c r="F51" i="57"/>
  <c r="F41" i="57"/>
  <c r="F40" i="57"/>
  <c r="F71" i="57"/>
  <c r="F62" i="57"/>
  <c r="F43" i="57"/>
  <c r="F42" i="57"/>
  <c r="F27" i="57"/>
  <c r="F23" i="57"/>
  <c r="F85" i="57"/>
  <c r="F67" i="57"/>
  <c r="F57" i="57"/>
  <c r="F52" i="57"/>
  <c r="F78" i="57"/>
  <c r="F72" i="57"/>
  <c r="F53" i="57"/>
  <c r="F45" i="57"/>
  <c r="F44" i="57"/>
  <c r="F37" i="57"/>
  <c r="F33" i="57"/>
  <c r="F58" i="57"/>
  <c r="F28" i="57"/>
  <c r="F24" i="57"/>
  <c r="F20" i="57"/>
  <c r="F19" i="57"/>
  <c r="F68" i="57"/>
  <c r="F54" i="57"/>
  <c r="F47" i="57"/>
  <c r="F46" i="57"/>
  <c r="F18" i="57"/>
  <c r="F16" i="57"/>
  <c r="F14" i="57"/>
  <c r="F73" i="57"/>
  <c r="F69" i="57"/>
  <c r="F59" i="57"/>
  <c r="F55" i="57"/>
  <c r="F38" i="57"/>
  <c r="F34" i="57"/>
  <c r="F30" i="57"/>
  <c r="F29" i="57"/>
  <c r="D16" i="57"/>
  <c r="F48" i="57"/>
  <c r="F25" i="57"/>
  <c r="F21" i="57"/>
  <c r="F74" i="57"/>
  <c r="F64" i="57"/>
  <c r="F49" i="57"/>
  <c r="F70" i="57"/>
  <c r="F61" i="57"/>
  <c r="F56" i="57"/>
  <c r="F50" i="57"/>
  <c r="F26" i="57"/>
  <c r="F22" i="57"/>
  <c r="V14" i="57"/>
  <c r="V62" i="51"/>
  <c r="V66" i="51"/>
  <c r="V90" i="51"/>
  <c r="J31" i="54"/>
  <c r="J29" i="54"/>
  <c r="J28" i="54"/>
  <c r="J26" i="54"/>
  <c r="J22" i="54"/>
  <c r="J20" i="54"/>
  <c r="J18" i="54"/>
  <c r="J16" i="54"/>
  <c r="J14" i="54"/>
  <c r="F29" i="55"/>
  <c r="F33" i="55"/>
  <c r="F31" i="55"/>
  <c r="F22" i="55"/>
  <c r="F21" i="55"/>
  <c r="D16" i="55"/>
  <c r="F24" i="55"/>
  <c r="F23" i="55"/>
  <c r="F28" i="55"/>
  <c r="F27" i="55"/>
  <c r="L12" i="55"/>
  <c r="R14" i="55"/>
  <c r="N18" i="55"/>
  <c r="R19" i="55"/>
  <c r="X53" i="56"/>
  <c r="V75" i="56"/>
  <c r="L42" i="57"/>
  <c r="N42" i="57" s="1"/>
  <c r="N50" i="57"/>
  <c r="N52" i="57"/>
  <c r="Z71" i="57"/>
  <c r="V75" i="51"/>
  <c r="V79" i="51"/>
  <c r="V91" i="51"/>
  <c r="V99" i="51"/>
  <c r="X73" i="57"/>
  <c r="Z73" i="57"/>
  <c r="R23" i="61"/>
  <c r="V88" i="51"/>
  <c r="V110" i="51"/>
  <c r="P16" i="54"/>
  <c r="R31" i="54"/>
  <c r="R29" i="54"/>
  <c r="R28" i="54"/>
  <c r="R26" i="54"/>
  <c r="X14" i="54"/>
  <c r="R24" i="54"/>
  <c r="X14" i="55"/>
  <c r="X21" i="55"/>
  <c r="F37" i="55"/>
  <c r="Z40" i="56"/>
  <c r="N42" i="56"/>
  <c r="Z47" i="56"/>
  <c r="V61" i="51"/>
  <c r="V65" i="51"/>
  <c r="V69" i="51"/>
  <c r="V89" i="51"/>
  <c r="V97" i="51"/>
  <c r="V109" i="51"/>
  <c r="F16" i="54"/>
  <c r="R35" i="55"/>
  <c r="R27" i="55"/>
  <c r="R26" i="55"/>
  <c r="R28" i="55"/>
  <c r="R33" i="55"/>
  <c r="R31" i="55"/>
  <c r="R21" i="55"/>
  <c r="R20" i="55"/>
  <c r="P16" i="55"/>
  <c r="R18" i="55"/>
  <c r="Z21" i="55"/>
  <c r="R24" i="55"/>
  <c r="R29" i="55"/>
  <c r="Z29" i="56"/>
  <c r="N49" i="56"/>
  <c r="Z55" i="56"/>
  <c r="X19" i="57"/>
  <c r="Z19" i="57" s="1"/>
  <c r="D80" i="58"/>
  <c r="J65" i="59"/>
  <c r="J57" i="59"/>
  <c r="J51" i="59"/>
  <c r="J41" i="59"/>
  <c r="J37" i="59"/>
  <c r="J33" i="59"/>
  <c r="J81" i="59"/>
  <c r="J78" i="59"/>
  <c r="J66" i="59"/>
  <c r="J58" i="59"/>
  <c r="J52" i="59"/>
  <c r="J42" i="59"/>
  <c r="J28" i="59"/>
  <c r="J24" i="59"/>
  <c r="J67" i="59"/>
  <c r="J59" i="59"/>
  <c r="J53" i="59"/>
  <c r="J43" i="59"/>
  <c r="J68" i="59"/>
  <c r="J60" i="59"/>
  <c r="J54" i="59"/>
  <c r="J69" i="59"/>
  <c r="J61" i="59"/>
  <c r="J45" i="59"/>
  <c r="J29" i="59"/>
  <c r="J25" i="59"/>
  <c r="J21" i="59"/>
  <c r="J19" i="59"/>
  <c r="J17" i="59"/>
  <c r="J15" i="59"/>
  <c r="J55" i="59"/>
  <c r="J39" i="59"/>
  <c r="J35" i="59"/>
  <c r="J70" i="59"/>
  <c r="J62" i="59"/>
  <c r="J46" i="59"/>
  <c r="J30" i="59"/>
  <c r="J26" i="59"/>
  <c r="J22" i="59"/>
  <c r="N12" i="59"/>
  <c r="J76" i="59"/>
  <c r="J50" i="59"/>
  <c r="J49" i="59"/>
  <c r="J64" i="59"/>
  <c r="J31" i="59"/>
  <c r="H17" i="59"/>
  <c r="J72" i="59"/>
  <c r="J23" i="59"/>
  <c r="J56" i="59"/>
  <c r="J27" i="59"/>
  <c r="J63" i="59"/>
  <c r="J40" i="59"/>
  <c r="J38" i="59"/>
  <c r="J48" i="59"/>
  <c r="J34" i="59"/>
  <c r="J36" i="59"/>
  <c r="L12" i="59"/>
  <c r="J44" i="59"/>
  <c r="J32" i="59"/>
  <c r="J74" i="59"/>
  <c r="J20" i="59"/>
  <c r="V60" i="59"/>
  <c r="X60" i="59"/>
  <c r="Z60" i="59" s="1"/>
  <c r="V73" i="57"/>
  <c r="V63" i="57"/>
  <c r="V85" i="57"/>
  <c r="V82" i="57"/>
  <c r="V80" i="57"/>
  <c r="V54" i="57"/>
  <c r="V72" i="57"/>
  <c r="V28" i="57"/>
  <c r="V24" i="57"/>
  <c r="V20" i="57"/>
  <c r="V64" i="57"/>
  <c r="V38" i="57"/>
  <c r="V34" i="57"/>
  <c r="V30" i="57"/>
  <c r="V69" i="57"/>
  <c r="V60" i="57"/>
  <c r="V59" i="57"/>
  <c r="V55" i="57"/>
  <c r="V25" i="57"/>
  <c r="V21" i="57"/>
  <c r="V50" i="57"/>
  <c r="V49" i="57"/>
  <c r="V40" i="57"/>
  <c r="V74" i="57"/>
  <c r="V65" i="57"/>
  <c r="V39" i="57"/>
  <c r="V35" i="57"/>
  <c r="V31" i="57"/>
  <c r="V76" i="57"/>
  <c r="V66" i="57"/>
  <c r="V61" i="57"/>
  <c r="V42" i="57"/>
  <c r="V26" i="57"/>
  <c r="V22" i="57"/>
  <c r="V70" i="57"/>
  <c r="V56" i="57"/>
  <c r="V41" i="57"/>
  <c r="V71" i="57"/>
  <c r="V52" i="57"/>
  <c r="V51" i="57"/>
  <c r="V44" i="57"/>
  <c r="V36" i="57"/>
  <c r="V32" i="57"/>
  <c r="Z12" i="57"/>
  <c r="V78" i="57"/>
  <c r="V62" i="57"/>
  <c r="V43" i="57"/>
  <c r="V27" i="57"/>
  <c r="V23" i="57"/>
  <c r="V19" i="57"/>
  <c r="X12" i="57"/>
  <c r="V68" i="57"/>
  <c r="V67" i="57"/>
  <c r="V53" i="57"/>
  <c r="V45" i="57"/>
  <c r="V37" i="57"/>
  <c r="V33" i="57"/>
  <c r="V29" i="57"/>
  <c r="T16" i="57"/>
  <c r="V43" i="51"/>
  <c r="V47" i="51"/>
  <c r="V51" i="51"/>
  <c r="V87" i="51"/>
  <c r="X12" i="55"/>
  <c r="F20" i="55"/>
  <c r="V61" i="56"/>
  <c r="V53" i="56"/>
  <c r="V41" i="56"/>
  <c r="V55" i="56"/>
  <c r="V43" i="56"/>
  <c r="V27" i="56"/>
  <c r="V23" i="56"/>
  <c r="V19" i="56"/>
  <c r="V81" i="56"/>
  <c r="V79" i="56"/>
  <c r="V77" i="56"/>
  <c r="V69" i="56"/>
  <c r="V57" i="56"/>
  <c r="V45" i="56"/>
  <c r="V37" i="56"/>
  <c r="V33" i="56"/>
  <c r="V29" i="56"/>
  <c r="T16" i="56"/>
  <c r="X16" i="56" s="1"/>
  <c r="V56" i="56"/>
  <c r="V28" i="56"/>
  <c r="V24" i="56"/>
  <c r="V20" i="56"/>
  <c r="V71" i="56"/>
  <c r="V63" i="56"/>
  <c r="V70" i="56"/>
  <c r="V58" i="56"/>
  <c r="V46" i="56"/>
  <c r="V38" i="56"/>
  <c r="V34" i="56"/>
  <c r="V30" i="56"/>
  <c r="V88" i="56"/>
  <c r="V85" i="56"/>
  <c r="V83" i="56"/>
  <c r="V73" i="56"/>
  <c r="V65" i="56"/>
  <c r="V49" i="56"/>
  <c r="V25" i="56"/>
  <c r="V21" i="56"/>
  <c r="V72" i="56"/>
  <c r="V64" i="56"/>
  <c r="V74" i="56"/>
  <c r="V66" i="56"/>
  <c r="V50" i="56"/>
  <c r="V42" i="56"/>
  <c r="V26" i="56"/>
  <c r="V22" i="56"/>
  <c r="V52" i="56"/>
  <c r="X61" i="56"/>
  <c r="Z61" i="56" s="1"/>
  <c r="L65" i="56"/>
  <c r="N65" i="56" s="1"/>
  <c r="N67" i="56"/>
  <c r="L71" i="56"/>
  <c r="N71" i="56" s="1"/>
  <c r="V76" i="56"/>
  <c r="V46" i="57"/>
  <c r="V48" i="57"/>
  <c r="F66" i="57"/>
  <c r="V47" i="58"/>
  <c r="V58" i="58"/>
  <c r="V46" i="58"/>
  <c r="V65" i="58"/>
  <c r="V57" i="58"/>
  <c r="V49" i="58"/>
  <c r="V29" i="58"/>
  <c r="V25" i="58"/>
  <c r="V21" i="58"/>
  <c r="V67" i="58"/>
  <c r="V59" i="58"/>
  <c r="V51" i="58"/>
  <c r="V69" i="58"/>
  <c r="V61" i="58"/>
  <c r="V53" i="58"/>
  <c r="V41" i="58"/>
  <c r="V68" i="58"/>
  <c r="V60" i="58"/>
  <c r="V52" i="58"/>
  <c r="V40" i="58"/>
  <c r="V36" i="58"/>
  <c r="V32" i="58"/>
  <c r="Z12" i="58"/>
  <c r="V76" i="58"/>
  <c r="V74" i="58"/>
  <c r="V72" i="58"/>
  <c r="V64" i="58"/>
  <c r="V56" i="58"/>
  <c r="V44" i="58"/>
  <c r="V35" i="58"/>
  <c r="V24" i="58"/>
  <c r="X12" i="58"/>
  <c r="V83" i="58"/>
  <c r="V78" i="58"/>
  <c r="V71" i="58"/>
  <c r="V54" i="58"/>
  <c r="V38" i="58"/>
  <c r="V30" i="58"/>
  <c r="V27" i="58"/>
  <c r="V14" i="58"/>
  <c r="V22" i="58"/>
  <c r="V20" i="58"/>
  <c r="V66" i="58"/>
  <c r="V55" i="58"/>
  <c r="V39" i="58"/>
  <c r="V33" i="58"/>
  <c r="V16" i="58"/>
  <c r="V80" i="58"/>
  <c r="V62" i="58"/>
  <c r="V31" i="58"/>
  <c r="V28" i="58"/>
  <c r="T16" i="58"/>
  <c r="V50" i="58"/>
  <c r="V45" i="58"/>
  <c r="V42" i="58"/>
  <c r="V23" i="58"/>
  <c r="V18" i="58"/>
  <c r="V34" i="58"/>
  <c r="V70" i="58"/>
  <c r="V43" i="58"/>
  <c r="V26" i="58"/>
  <c r="Z58" i="59"/>
  <c r="J30" i="56"/>
  <c r="R31" i="56"/>
  <c r="J34" i="56"/>
  <c r="R35" i="56"/>
  <c r="J38" i="56"/>
  <c r="R39" i="56"/>
  <c r="R40" i="56"/>
  <c r="J46" i="56"/>
  <c r="J58" i="56"/>
  <c r="R59" i="56"/>
  <c r="F63" i="56"/>
  <c r="J70" i="56"/>
  <c r="R71" i="57"/>
  <c r="R70" i="57"/>
  <c r="R73" i="57"/>
  <c r="R72" i="57"/>
  <c r="R56" i="57"/>
  <c r="R68" i="57"/>
  <c r="R67" i="57"/>
  <c r="R60" i="57"/>
  <c r="R59" i="57"/>
  <c r="R52" i="57"/>
  <c r="R51" i="57"/>
  <c r="R19" i="57"/>
  <c r="J41" i="57"/>
  <c r="J51" i="57"/>
  <c r="R57" i="57"/>
  <c r="J66" i="57"/>
  <c r="J76" i="57"/>
  <c r="R78" i="57"/>
  <c r="J82" i="57"/>
  <c r="R85" i="57"/>
  <c r="L14" i="58"/>
  <c r="H16" i="58"/>
  <c r="L16" i="58" s="1"/>
  <c r="Z19" i="58"/>
  <c r="J31" i="58"/>
  <c r="R37" i="58"/>
  <c r="R40" i="58"/>
  <c r="L55" i="58"/>
  <c r="Z63" i="58"/>
  <c r="J67" i="58"/>
  <c r="J72" i="58"/>
  <c r="F76" i="59"/>
  <c r="F50" i="59"/>
  <c r="F49" i="59"/>
  <c r="F65" i="59"/>
  <c r="F57" i="59"/>
  <c r="F41" i="59"/>
  <c r="F37" i="59"/>
  <c r="F33" i="59"/>
  <c r="F52" i="59"/>
  <c r="F51" i="59"/>
  <c r="F28" i="59"/>
  <c r="F24" i="59"/>
  <c r="F81" i="59"/>
  <c r="F78" i="59"/>
  <c r="F67" i="59"/>
  <c r="F66" i="59"/>
  <c r="F59" i="59"/>
  <c r="F58" i="59"/>
  <c r="F54" i="59"/>
  <c r="F53" i="59"/>
  <c r="F38" i="59"/>
  <c r="F34" i="59"/>
  <c r="F19" i="59"/>
  <c r="F17" i="59"/>
  <c r="F15" i="59"/>
  <c r="F55" i="59"/>
  <c r="F39" i="59"/>
  <c r="F35" i="59"/>
  <c r="D17" i="59"/>
  <c r="F74" i="59"/>
  <c r="F72" i="59"/>
  <c r="F27" i="59"/>
  <c r="F23" i="59"/>
  <c r="F32" i="59"/>
  <c r="R39" i="59"/>
  <c r="N44" i="59"/>
  <c r="F46" i="59"/>
  <c r="Z47" i="59"/>
  <c r="X66" i="59"/>
  <c r="Z66" i="59" s="1"/>
  <c r="N68" i="59"/>
  <c r="X19" i="60"/>
  <c r="Z19" i="60" s="1"/>
  <c r="Z60" i="64"/>
  <c r="N53" i="68"/>
  <c r="R57" i="59"/>
  <c r="R66" i="59"/>
  <c r="R81" i="59"/>
  <c r="Z19" i="61"/>
  <c r="N14" i="64"/>
  <c r="H16" i="64"/>
  <c r="L14" i="64"/>
  <c r="R83" i="56"/>
  <c r="N55" i="58"/>
  <c r="L19" i="59"/>
  <c r="N19" i="59" s="1"/>
  <c r="N53" i="59"/>
  <c r="Z68" i="59"/>
  <c r="R74" i="59"/>
  <c r="R32" i="60"/>
  <c r="Z49" i="60"/>
  <c r="Z71" i="69"/>
  <c r="X71" i="69"/>
  <c r="V14" i="55"/>
  <c r="V16" i="55"/>
  <c r="V18" i="55"/>
  <c r="J26" i="55"/>
  <c r="L14" i="56"/>
  <c r="J19" i="56"/>
  <c r="R30" i="56"/>
  <c r="J33" i="56"/>
  <c r="R34" i="56"/>
  <c r="J37" i="56"/>
  <c r="R38" i="56"/>
  <c r="J45" i="56"/>
  <c r="R46" i="56"/>
  <c r="R47" i="56"/>
  <c r="F53" i="56"/>
  <c r="F54" i="56"/>
  <c r="J55" i="56"/>
  <c r="R58" i="56"/>
  <c r="F61" i="56"/>
  <c r="F62" i="56"/>
  <c r="J69" i="56"/>
  <c r="R70" i="56"/>
  <c r="R71" i="56"/>
  <c r="J77" i="56"/>
  <c r="R41" i="57"/>
  <c r="R42" i="57"/>
  <c r="J49" i="57"/>
  <c r="J60" i="57"/>
  <c r="R66" i="57"/>
  <c r="R76" i="57"/>
  <c r="R82" i="57"/>
  <c r="J14" i="58"/>
  <c r="R16" i="58"/>
  <c r="R31" i="58"/>
  <c r="J44" i="58"/>
  <c r="X55" i="58"/>
  <c r="R62" i="58"/>
  <c r="J66" i="58"/>
  <c r="L71" i="58"/>
  <c r="N71" i="58" s="1"/>
  <c r="R80" i="58"/>
  <c r="V69" i="59"/>
  <c r="V61" i="59"/>
  <c r="V45" i="59"/>
  <c r="V29" i="59"/>
  <c r="V25" i="59"/>
  <c r="V21" i="59"/>
  <c r="V63" i="59"/>
  <c r="V55" i="59"/>
  <c r="V47" i="59"/>
  <c r="V39" i="59"/>
  <c r="V35" i="59"/>
  <c r="V31" i="59"/>
  <c r="V72" i="59"/>
  <c r="V70" i="59"/>
  <c r="V62" i="59"/>
  <c r="V49" i="59"/>
  <c r="V51" i="59"/>
  <c r="V27" i="59"/>
  <c r="V23" i="59"/>
  <c r="V76" i="59"/>
  <c r="V66" i="59"/>
  <c r="V58" i="59"/>
  <c r="V50" i="59"/>
  <c r="V42" i="59"/>
  <c r="V54" i="59"/>
  <c r="V38" i="59"/>
  <c r="V34" i="59"/>
  <c r="T17" i="59"/>
  <c r="V20" i="59"/>
  <c r="F40" i="59"/>
  <c r="F43" i="59"/>
  <c r="Z44" i="59"/>
  <c r="V46" i="59"/>
  <c r="Z49" i="59"/>
  <c r="X49" i="59"/>
  <c r="R51" i="59"/>
  <c r="X53" i="59"/>
  <c r="N63" i="59"/>
  <c r="V68" i="59"/>
  <c r="R44" i="60"/>
  <c r="N46" i="60"/>
  <c r="X14" i="61"/>
  <c r="V29" i="61"/>
  <c r="V33" i="61"/>
  <c r="X55" i="61"/>
  <c r="N57" i="61"/>
  <c r="N104" i="69"/>
  <c r="J104" i="69"/>
  <c r="J25" i="55"/>
  <c r="J37" i="55"/>
  <c r="J40" i="55"/>
  <c r="J44" i="56"/>
  <c r="J54" i="56"/>
  <c r="J62" i="56"/>
  <c r="R63" i="56"/>
  <c r="R22" i="57"/>
  <c r="R26" i="57"/>
  <c r="X44" i="57"/>
  <c r="Z44" i="57" s="1"/>
  <c r="L60" i="57"/>
  <c r="N60" i="57" s="1"/>
  <c r="R61" i="57"/>
  <c r="J80" i="57"/>
  <c r="X18" i="58"/>
  <c r="Z18" i="58" s="1"/>
  <c r="J20" i="58"/>
  <c r="R55" i="58"/>
  <c r="J64" i="58"/>
  <c r="Z67" i="58"/>
  <c r="X20" i="59"/>
  <c r="Z20" i="59" s="1"/>
  <c r="R53" i="59"/>
  <c r="X68" i="59"/>
  <c r="R27" i="60"/>
  <c r="R36" i="60"/>
  <c r="Z44" i="60"/>
  <c r="R68" i="60"/>
  <c r="Z18" i="61"/>
  <c r="V24" i="61"/>
  <c r="X29" i="61"/>
  <c r="Z29" i="61" s="1"/>
  <c r="V37" i="61"/>
  <c r="N29" i="64"/>
  <c r="R79" i="56"/>
  <c r="R81" i="56"/>
  <c r="R74" i="57"/>
  <c r="Z55" i="58"/>
  <c r="J59" i="58"/>
  <c r="Z53" i="59"/>
  <c r="R65" i="59"/>
  <c r="R76" i="59"/>
  <c r="Z18" i="60"/>
  <c r="V18" i="61"/>
  <c r="V20" i="61"/>
  <c r="V28" i="61"/>
  <c r="V46" i="61"/>
  <c r="Z55" i="61"/>
  <c r="Z55" i="64"/>
  <c r="J23" i="55"/>
  <c r="J35" i="55"/>
  <c r="N12" i="56"/>
  <c r="R14" i="56"/>
  <c r="R16" i="56"/>
  <c r="R18" i="56"/>
  <c r="J32" i="56"/>
  <c r="R33" i="56"/>
  <c r="J36" i="56"/>
  <c r="R37" i="56"/>
  <c r="J42" i="56"/>
  <c r="R45" i="56"/>
  <c r="J52" i="56"/>
  <c r="J60" i="56"/>
  <c r="J68" i="56"/>
  <c r="R69" i="56"/>
  <c r="J76" i="56"/>
  <c r="R77" i="56"/>
  <c r="H16" i="57"/>
  <c r="J29" i="57"/>
  <c r="J47" i="57"/>
  <c r="R49" i="57"/>
  <c r="J63" i="57"/>
  <c r="J73" i="57"/>
  <c r="R14" i="58"/>
  <c r="R30" i="58"/>
  <c r="J38" i="58"/>
  <c r="L43" i="58"/>
  <c r="N43" i="58" s="1"/>
  <c r="R52" i="58"/>
  <c r="X71" i="58"/>
  <c r="F21" i="59"/>
  <c r="F31" i="59"/>
  <c r="V53" i="59"/>
  <c r="Z63" i="59"/>
  <c r="V65" i="59"/>
  <c r="V67" i="59"/>
  <c r="F69" i="59"/>
  <c r="X14" i="60"/>
  <c r="N40" i="60"/>
  <c r="Z46" i="60"/>
  <c r="V14" i="61"/>
  <c r="V48" i="61"/>
  <c r="X57" i="61"/>
  <c r="Z57" i="61" s="1"/>
  <c r="Z16" i="64"/>
  <c r="T108" i="64"/>
  <c r="J61" i="68"/>
  <c r="J45" i="68"/>
  <c r="J37" i="68"/>
  <c r="J33" i="68"/>
  <c r="J19" i="68"/>
  <c r="J46" i="68"/>
  <c r="J28" i="68"/>
  <c r="J24" i="68"/>
  <c r="J20" i="68"/>
  <c r="J18" i="68"/>
  <c r="J16" i="68"/>
  <c r="J14" i="68"/>
  <c r="J65" i="68"/>
  <c r="J63" i="68"/>
  <c r="J55" i="68"/>
  <c r="J47" i="68"/>
  <c r="J29" i="68"/>
  <c r="H16" i="68"/>
  <c r="J48" i="68"/>
  <c r="J38" i="68"/>
  <c r="J34" i="68"/>
  <c r="J30" i="68"/>
  <c r="J67" i="68"/>
  <c r="J49" i="68"/>
  <c r="J25" i="68"/>
  <c r="J21" i="68"/>
  <c r="J56" i="68"/>
  <c r="J50" i="68"/>
  <c r="J72" i="68"/>
  <c r="J69" i="68"/>
  <c r="J51" i="68"/>
  <c r="J39" i="68"/>
  <c r="J35" i="68"/>
  <c r="J31" i="68"/>
  <c r="J40" i="68"/>
  <c r="J26" i="68"/>
  <c r="J22" i="68"/>
  <c r="J57" i="68"/>
  <c r="J41" i="68"/>
  <c r="J58" i="68"/>
  <c r="J52" i="68"/>
  <c r="J42" i="68"/>
  <c r="J36" i="68"/>
  <c r="J32" i="68"/>
  <c r="N12" i="68"/>
  <c r="J44" i="68"/>
  <c r="J60" i="68"/>
  <c r="J54" i="68"/>
  <c r="J53" i="68"/>
  <c r="L12" i="68"/>
  <c r="J23" i="68"/>
  <c r="R19" i="56"/>
  <c r="J41" i="56"/>
  <c r="J51" i="56"/>
  <c r="R54" i="56"/>
  <c r="R55" i="56"/>
  <c r="R62" i="56"/>
  <c r="F65" i="56"/>
  <c r="F66" i="56"/>
  <c r="J67" i="56"/>
  <c r="F73" i="56"/>
  <c r="F74" i="56"/>
  <c r="J75" i="56"/>
  <c r="F85" i="56"/>
  <c r="F88" i="56"/>
  <c r="R21" i="57"/>
  <c r="R25" i="57"/>
  <c r="J46" i="57"/>
  <c r="J54" i="57"/>
  <c r="R55" i="57"/>
  <c r="N58" i="57"/>
  <c r="R64" i="57"/>
  <c r="R69" i="57"/>
  <c r="R80" i="57"/>
  <c r="J69" i="58"/>
  <c r="J61" i="58"/>
  <c r="J53" i="58"/>
  <c r="J41" i="58"/>
  <c r="J27" i="58"/>
  <c r="J23" i="58"/>
  <c r="L12" i="58"/>
  <c r="J70" i="58"/>
  <c r="J62" i="58"/>
  <c r="J54" i="58"/>
  <c r="J42" i="58"/>
  <c r="J71" i="58"/>
  <c r="J63" i="58"/>
  <c r="J55" i="58"/>
  <c r="J43" i="58"/>
  <c r="J37" i="58"/>
  <c r="J33" i="58"/>
  <c r="J19" i="58"/>
  <c r="J45" i="58"/>
  <c r="J65" i="58"/>
  <c r="J57" i="58"/>
  <c r="J47" i="58"/>
  <c r="J29" i="58"/>
  <c r="J25" i="58"/>
  <c r="J21" i="58"/>
  <c r="J78" i="58"/>
  <c r="J58" i="58"/>
  <c r="J48" i="58"/>
  <c r="J30" i="58"/>
  <c r="J68" i="58"/>
  <c r="J60" i="58"/>
  <c r="J52" i="58"/>
  <c r="J40" i="58"/>
  <c r="J32" i="58"/>
  <c r="J35" i="58"/>
  <c r="N49" i="58"/>
  <c r="J74" i="58"/>
  <c r="N31" i="59"/>
  <c r="F60" i="59"/>
  <c r="F62" i="59"/>
  <c r="L72" i="59"/>
  <c r="X18" i="60"/>
  <c r="V57" i="61"/>
  <c r="N19" i="58"/>
  <c r="L58" i="58"/>
  <c r="N58" i="58" s="1"/>
  <c r="Z71" i="58"/>
  <c r="R54" i="59"/>
  <c r="R38" i="59"/>
  <c r="R34" i="59"/>
  <c r="R19" i="59"/>
  <c r="R17" i="59"/>
  <c r="R15" i="59"/>
  <c r="R69" i="59"/>
  <c r="R61" i="59"/>
  <c r="R45" i="59"/>
  <c r="R29" i="59"/>
  <c r="R25" i="59"/>
  <c r="R21" i="59"/>
  <c r="P17" i="59"/>
  <c r="R55" i="59"/>
  <c r="R70" i="59"/>
  <c r="R63" i="59"/>
  <c r="R62" i="59"/>
  <c r="R47" i="59"/>
  <c r="R46" i="59"/>
  <c r="R31" i="59"/>
  <c r="R30" i="59"/>
  <c r="R26" i="59"/>
  <c r="R22" i="59"/>
  <c r="X12" i="59"/>
  <c r="Z12" i="59" s="1"/>
  <c r="R64" i="59"/>
  <c r="R56" i="59"/>
  <c r="R49" i="59"/>
  <c r="R48" i="59"/>
  <c r="R40" i="59"/>
  <c r="R36" i="59"/>
  <c r="R32" i="59"/>
  <c r="R27" i="59"/>
  <c r="R23" i="59"/>
  <c r="R68" i="59"/>
  <c r="R67" i="59"/>
  <c r="R60" i="59"/>
  <c r="R59" i="59"/>
  <c r="R44" i="59"/>
  <c r="R43" i="59"/>
  <c r="R20" i="59"/>
  <c r="X58" i="59"/>
  <c r="R29" i="60"/>
  <c r="R28" i="60"/>
  <c r="R24" i="60"/>
  <c r="R20" i="60"/>
  <c r="P16" i="60"/>
  <c r="R56" i="60"/>
  <c r="R55" i="60"/>
  <c r="R47" i="60"/>
  <c r="R38" i="60"/>
  <c r="R34" i="60"/>
  <c r="R30" i="60"/>
  <c r="R57" i="60"/>
  <c r="R25" i="60"/>
  <c r="R21" i="60"/>
  <c r="R61" i="60"/>
  <c r="R59" i="60"/>
  <c r="R49" i="60"/>
  <c r="R48" i="60"/>
  <c r="R40" i="60"/>
  <c r="R39" i="60"/>
  <c r="R35" i="60"/>
  <c r="R31" i="60"/>
  <c r="R51" i="60"/>
  <c r="R50" i="60"/>
  <c r="R26" i="60"/>
  <c r="R22" i="60"/>
  <c r="R63" i="60"/>
  <c r="R42" i="60"/>
  <c r="R41" i="60"/>
  <c r="R54" i="60"/>
  <c r="R53" i="60"/>
  <c r="R46" i="60"/>
  <c r="R45" i="60"/>
  <c r="R37" i="60"/>
  <c r="R33" i="60"/>
  <c r="R18" i="60"/>
  <c r="R16" i="60"/>
  <c r="R14" i="60"/>
  <c r="R52" i="60"/>
  <c r="L40" i="61"/>
  <c r="N40" i="61" s="1"/>
  <c r="N68" i="64"/>
  <c r="N70" i="64"/>
  <c r="L70" i="64"/>
  <c r="P22" i="65"/>
  <c r="V14" i="54"/>
  <c r="V16" i="54"/>
  <c r="V18" i="54"/>
  <c r="V20" i="54"/>
  <c r="J14" i="55"/>
  <c r="J16" i="55"/>
  <c r="J18" i="55"/>
  <c r="X12" i="56"/>
  <c r="J31" i="56"/>
  <c r="R32" i="56"/>
  <c r="J35" i="56"/>
  <c r="R36" i="56"/>
  <c r="J39" i="56"/>
  <c r="F47" i="56"/>
  <c r="F48" i="56"/>
  <c r="J49" i="56"/>
  <c r="R52" i="56"/>
  <c r="R53" i="56"/>
  <c r="J59" i="56"/>
  <c r="R60" i="56"/>
  <c r="R61" i="56"/>
  <c r="F64" i="56"/>
  <c r="J65" i="56"/>
  <c r="R68" i="56"/>
  <c r="F71" i="56"/>
  <c r="F72" i="56"/>
  <c r="J73" i="56"/>
  <c r="R76" i="56"/>
  <c r="J85" i="56"/>
  <c r="J88" i="56"/>
  <c r="J69" i="57"/>
  <c r="J55" i="57"/>
  <c r="J74" i="57"/>
  <c r="J64" i="57"/>
  <c r="J48" i="57"/>
  <c r="J44" i="57"/>
  <c r="R47" i="57"/>
  <c r="J57" i="57"/>
  <c r="R63" i="57"/>
  <c r="J67" i="57"/>
  <c r="J78" i="57"/>
  <c r="J85" i="57"/>
  <c r="R72" i="58"/>
  <c r="R64" i="58"/>
  <c r="R56" i="58"/>
  <c r="R45" i="58"/>
  <c r="R44" i="58"/>
  <c r="R28" i="58"/>
  <c r="R24" i="58"/>
  <c r="R20" i="58"/>
  <c r="P16" i="58"/>
  <c r="R76" i="58"/>
  <c r="R74" i="58"/>
  <c r="R47" i="58"/>
  <c r="R46" i="58"/>
  <c r="R38" i="58"/>
  <c r="R34" i="58"/>
  <c r="R78" i="58"/>
  <c r="R49" i="58"/>
  <c r="R48" i="58"/>
  <c r="R67" i="58"/>
  <c r="R66" i="58"/>
  <c r="R51" i="58"/>
  <c r="R50" i="58"/>
  <c r="R26" i="58"/>
  <c r="R22" i="58"/>
  <c r="X14" i="58"/>
  <c r="J26" i="58"/>
  <c r="X43" i="58"/>
  <c r="X49" i="58"/>
  <c r="Z49" i="58" s="1"/>
  <c r="J51" i="58"/>
  <c r="J56" i="58"/>
  <c r="R61" i="58"/>
  <c r="N63" i="58"/>
  <c r="R68" i="58"/>
  <c r="X13" i="59"/>
  <c r="Z13" i="59" s="1"/>
  <c r="X31" i="59"/>
  <c r="Z31" i="59" s="1"/>
  <c r="N47" i="59"/>
  <c r="R52" i="59"/>
  <c r="R58" i="59"/>
  <c r="R72" i="59"/>
  <c r="R78" i="59"/>
  <c r="V55" i="60"/>
  <c r="V47" i="60"/>
  <c r="V38" i="60"/>
  <c r="V34" i="60"/>
  <c r="V30" i="60"/>
  <c r="V61" i="60"/>
  <c r="V59" i="60"/>
  <c r="V57" i="60"/>
  <c r="V49" i="60"/>
  <c r="V25" i="60"/>
  <c r="V21" i="60"/>
  <c r="V48" i="60"/>
  <c r="V40" i="60"/>
  <c r="V51" i="60"/>
  <c r="V39" i="60"/>
  <c r="V35" i="60"/>
  <c r="V31" i="60"/>
  <c r="V50" i="60"/>
  <c r="V42" i="60"/>
  <c r="V68" i="60"/>
  <c r="V65" i="60"/>
  <c r="V63" i="60"/>
  <c r="V41" i="60"/>
  <c r="V52" i="60"/>
  <c r="V44" i="60"/>
  <c r="V36" i="60"/>
  <c r="V32" i="60"/>
  <c r="Z12" i="60"/>
  <c r="V56" i="60"/>
  <c r="V28" i="60"/>
  <c r="V24" i="60"/>
  <c r="V20" i="60"/>
  <c r="T16" i="60"/>
  <c r="V26" i="60"/>
  <c r="V33" i="60"/>
  <c r="V45" i="60"/>
  <c r="L49" i="60"/>
  <c r="N49" i="60" s="1"/>
  <c r="L59" i="60"/>
  <c r="T16" i="61"/>
  <c r="V45" i="61"/>
  <c r="J59" i="68"/>
  <c r="J21" i="56"/>
  <c r="R22" i="56"/>
  <c r="J25" i="56"/>
  <c r="R26" i="56"/>
  <c r="F46" i="56"/>
  <c r="J47" i="56"/>
  <c r="R50" i="56"/>
  <c r="R51" i="56"/>
  <c r="F57" i="56"/>
  <c r="F58" i="56"/>
  <c r="R66" i="56"/>
  <c r="R67" i="56"/>
  <c r="F70" i="56"/>
  <c r="J71" i="56"/>
  <c r="R74" i="56"/>
  <c r="F79" i="56"/>
  <c r="R14" i="57"/>
  <c r="R16" i="57"/>
  <c r="R18" i="57"/>
  <c r="J32" i="57"/>
  <c r="R33" i="57"/>
  <c r="J36" i="57"/>
  <c r="R37" i="57"/>
  <c r="J42" i="57"/>
  <c r="R45" i="57"/>
  <c r="R46" i="57"/>
  <c r="R53" i="57"/>
  <c r="R54" i="57"/>
  <c r="R58" i="57"/>
  <c r="J71" i="57"/>
  <c r="J34" i="58"/>
  <c r="Z43" i="58"/>
  <c r="N45" i="58"/>
  <c r="R63" i="58"/>
  <c r="R65" i="58"/>
  <c r="R70" i="58"/>
  <c r="R37" i="59"/>
  <c r="R42" i="59"/>
  <c r="Z54" i="60"/>
  <c r="V62" i="61"/>
  <c r="V60" i="61"/>
  <c r="V58" i="61"/>
  <c r="V50" i="61"/>
  <c r="V38" i="61"/>
  <c r="V34" i="61"/>
  <c r="V30" i="61"/>
  <c r="V49" i="61"/>
  <c r="V25" i="61"/>
  <c r="V21" i="61"/>
  <c r="V40" i="61"/>
  <c r="V51" i="61"/>
  <c r="V39" i="61"/>
  <c r="V35" i="61"/>
  <c r="V31" i="61"/>
  <c r="V69" i="61"/>
  <c r="V66" i="61"/>
  <c r="V64" i="61"/>
  <c r="V42" i="61"/>
  <c r="V26" i="61"/>
  <c r="V22" i="61"/>
  <c r="V53" i="61"/>
  <c r="V41" i="61"/>
  <c r="V52" i="61"/>
  <c r="V44" i="61"/>
  <c r="V36" i="61"/>
  <c r="V32" i="61"/>
  <c r="Z12" i="61"/>
  <c r="V55" i="61"/>
  <c r="V43" i="61"/>
  <c r="V27" i="61"/>
  <c r="V23" i="61"/>
  <c r="V19" i="61"/>
  <c r="V47" i="61"/>
  <c r="X19" i="61"/>
  <c r="Z62" i="64"/>
  <c r="Z48" i="68"/>
  <c r="X48" i="68"/>
  <c r="F80" i="58"/>
  <c r="F83" i="58"/>
  <c r="N12" i="60"/>
  <c r="J32" i="60"/>
  <c r="J36" i="60"/>
  <c r="J42" i="60"/>
  <c r="J52" i="60"/>
  <c r="F63" i="60"/>
  <c r="L12" i="61"/>
  <c r="J23" i="61"/>
  <c r="J27" i="61"/>
  <c r="F32" i="61"/>
  <c r="F36" i="61"/>
  <c r="J43" i="61"/>
  <c r="F52" i="61"/>
  <c r="J53" i="61"/>
  <c r="P16" i="64"/>
  <c r="L29" i="64"/>
  <c r="R34" i="64"/>
  <c r="V53" i="64"/>
  <c r="L68" i="64"/>
  <c r="V73" i="64"/>
  <c r="F83" i="64"/>
  <c r="Z84" i="64"/>
  <c r="F106" i="64"/>
  <c r="F76" i="64"/>
  <c r="N102" i="64"/>
  <c r="P65" i="68"/>
  <c r="P12" i="69"/>
  <c r="X16" i="69"/>
  <c r="F21" i="58"/>
  <c r="F25" i="58"/>
  <c r="F29" i="58"/>
  <c r="F57" i="58"/>
  <c r="F65" i="58"/>
  <c r="F74" i="58"/>
  <c r="F76" i="58"/>
  <c r="F21" i="60"/>
  <c r="F25" i="60"/>
  <c r="J48" i="60"/>
  <c r="F56" i="60"/>
  <c r="F57" i="60"/>
  <c r="J31" i="61"/>
  <c r="J35" i="61"/>
  <c r="J39" i="61"/>
  <c r="J51" i="61"/>
  <c r="V25" i="64"/>
  <c r="V27" i="64"/>
  <c r="R31" i="64"/>
  <c r="F50" i="64"/>
  <c r="N52" i="64"/>
  <c r="V55" i="64"/>
  <c r="Z64" i="64"/>
  <c r="V66" i="64"/>
  <c r="V85" i="64"/>
  <c r="V97" i="64"/>
  <c r="N112" i="69"/>
  <c r="J112" i="69"/>
  <c r="D16" i="60"/>
  <c r="J21" i="60"/>
  <c r="J25" i="60"/>
  <c r="F29" i="60"/>
  <c r="F30" i="60"/>
  <c r="F34" i="60"/>
  <c r="F38" i="60"/>
  <c r="J57" i="60"/>
  <c r="F21" i="61"/>
  <c r="F25" i="61"/>
  <c r="F48" i="61"/>
  <c r="F49" i="61"/>
  <c r="J50" i="61"/>
  <c r="J60" i="61"/>
  <c r="J62" i="61"/>
  <c r="V21" i="64"/>
  <c r="V31" i="64"/>
  <c r="V91" i="64"/>
  <c r="D16" i="61"/>
  <c r="F78" i="64"/>
  <c r="F77" i="64"/>
  <c r="F46" i="64"/>
  <c r="F45" i="64"/>
  <c r="F38" i="64"/>
  <c r="F34" i="64"/>
  <c r="F30" i="64"/>
  <c r="F29" i="64"/>
  <c r="F108" i="64"/>
  <c r="F97" i="64"/>
  <c r="F89" i="64"/>
  <c r="F85" i="64"/>
  <c r="F84" i="64"/>
  <c r="F73" i="64"/>
  <c r="F72" i="64"/>
  <c r="F61" i="64"/>
  <c r="F60" i="64"/>
  <c r="F53" i="64"/>
  <c r="F52" i="64"/>
  <c r="F25" i="64"/>
  <c r="F21" i="64"/>
  <c r="F110" i="64"/>
  <c r="F48" i="64"/>
  <c r="F47" i="64"/>
  <c r="F79" i="64"/>
  <c r="F63" i="64"/>
  <c r="F62" i="64"/>
  <c r="F39" i="64"/>
  <c r="F35" i="64"/>
  <c r="F31" i="64"/>
  <c r="F98" i="64"/>
  <c r="F90" i="64"/>
  <c r="F86" i="64"/>
  <c r="F74" i="64"/>
  <c r="F54" i="64"/>
  <c r="F26" i="64"/>
  <c r="F22" i="64"/>
  <c r="F115" i="64"/>
  <c r="F112" i="64"/>
  <c r="F65" i="64"/>
  <c r="F64" i="64"/>
  <c r="F49" i="64"/>
  <c r="F41" i="64"/>
  <c r="F40" i="64"/>
  <c r="F100" i="64"/>
  <c r="F99" i="64"/>
  <c r="F92" i="64"/>
  <c r="F91" i="64"/>
  <c r="F80" i="64"/>
  <c r="F56" i="64"/>
  <c r="F55" i="64"/>
  <c r="F36" i="64"/>
  <c r="F32" i="64"/>
  <c r="F87" i="64"/>
  <c r="F75" i="64"/>
  <c r="F67" i="64"/>
  <c r="F66" i="64"/>
  <c r="F43" i="64"/>
  <c r="F42" i="64"/>
  <c r="F27" i="64"/>
  <c r="F23" i="64"/>
  <c r="F104" i="64"/>
  <c r="F102" i="64"/>
  <c r="F69" i="64"/>
  <c r="F68" i="64"/>
  <c r="F57" i="64"/>
  <c r="F37" i="64"/>
  <c r="F33" i="64"/>
  <c r="N18" i="64"/>
  <c r="F105" i="64"/>
  <c r="H16" i="60"/>
  <c r="J29" i="60"/>
  <c r="J47" i="60"/>
  <c r="J55" i="60"/>
  <c r="F46" i="61"/>
  <c r="F47" i="61"/>
  <c r="J58" i="61"/>
  <c r="L18" i="64"/>
  <c r="Z19" i="64"/>
  <c r="X19" i="64"/>
  <c r="F28" i="64"/>
  <c r="Z40" i="64"/>
  <c r="F58" i="64"/>
  <c r="V63" i="64"/>
  <c r="F88" i="64"/>
  <c r="N40" i="68"/>
  <c r="N42" i="68"/>
  <c r="L42" i="68"/>
  <c r="L29" i="60"/>
  <c r="N29" i="60" s="1"/>
  <c r="X51" i="60"/>
  <c r="Z51" i="60" s="1"/>
  <c r="H16" i="61"/>
  <c r="X42" i="61"/>
  <c r="Z42" i="61" s="1"/>
  <c r="L48" i="61"/>
  <c r="N48" i="61" s="1"/>
  <c r="L12" i="64"/>
  <c r="D16" i="64"/>
  <c r="F51" i="64"/>
  <c r="N58" i="64"/>
  <c r="F71" i="64"/>
  <c r="F82" i="64"/>
  <c r="V90" i="64"/>
  <c r="F94" i="64"/>
  <c r="F96" i="64"/>
  <c r="F103" i="64"/>
  <c r="L58" i="68"/>
  <c r="N58" i="68" s="1"/>
  <c r="F41" i="58"/>
  <c r="F42" i="58"/>
  <c r="F53" i="58"/>
  <c r="F54" i="58"/>
  <c r="F61" i="58"/>
  <c r="F62" i="58"/>
  <c r="F69" i="58"/>
  <c r="F70" i="58"/>
  <c r="J19" i="60"/>
  <c r="J33" i="60"/>
  <c r="J37" i="60"/>
  <c r="J45" i="60"/>
  <c r="J53" i="60"/>
  <c r="F65" i="60"/>
  <c r="F68" i="60"/>
  <c r="J14" i="61"/>
  <c r="J16" i="61"/>
  <c r="J18" i="61"/>
  <c r="J20" i="61"/>
  <c r="J24" i="61"/>
  <c r="J28" i="61"/>
  <c r="F33" i="61"/>
  <c r="F37" i="61"/>
  <c r="F44" i="61"/>
  <c r="F45" i="61"/>
  <c r="J46" i="61"/>
  <c r="J56" i="61"/>
  <c r="L57" i="61"/>
  <c r="R99" i="64"/>
  <c r="R98" i="64"/>
  <c r="R91" i="64"/>
  <c r="R90" i="64"/>
  <c r="R86" i="64"/>
  <c r="R74" i="64"/>
  <c r="R55" i="64"/>
  <c r="R54" i="64"/>
  <c r="R26" i="64"/>
  <c r="R22" i="64"/>
  <c r="R66" i="64"/>
  <c r="R65" i="64"/>
  <c r="R49" i="64"/>
  <c r="R42" i="64"/>
  <c r="R41" i="64"/>
  <c r="R100" i="64"/>
  <c r="R93" i="64"/>
  <c r="R92" i="64"/>
  <c r="R81" i="64"/>
  <c r="R80" i="64"/>
  <c r="R56" i="64"/>
  <c r="R36" i="64"/>
  <c r="R103" i="64"/>
  <c r="R102" i="64"/>
  <c r="R87" i="64"/>
  <c r="R75" i="64"/>
  <c r="R68" i="64"/>
  <c r="R67" i="64"/>
  <c r="R43" i="64"/>
  <c r="R27" i="64"/>
  <c r="R104" i="64"/>
  <c r="R95" i="64"/>
  <c r="R94" i="64"/>
  <c r="R82" i="64"/>
  <c r="R50" i="64"/>
  <c r="R105" i="64"/>
  <c r="R70" i="64"/>
  <c r="R69" i="64"/>
  <c r="R58" i="64"/>
  <c r="R57" i="64"/>
  <c r="R37" i="64"/>
  <c r="R33" i="64"/>
  <c r="R18" i="64"/>
  <c r="R16" i="64"/>
  <c r="R14" i="64"/>
  <c r="R106" i="64"/>
  <c r="R96" i="64"/>
  <c r="R88" i="64"/>
  <c r="R77" i="64"/>
  <c r="R76" i="64"/>
  <c r="R45" i="64"/>
  <c r="R44" i="64"/>
  <c r="R29" i="64"/>
  <c r="R28" i="64"/>
  <c r="R24" i="64"/>
  <c r="R20" i="64"/>
  <c r="R108" i="64"/>
  <c r="R84" i="64"/>
  <c r="R83" i="64"/>
  <c r="R72" i="64"/>
  <c r="R71" i="64"/>
  <c r="R60" i="64"/>
  <c r="R59" i="64"/>
  <c r="R52" i="64"/>
  <c r="R51" i="64"/>
  <c r="R97" i="64"/>
  <c r="R89" i="64"/>
  <c r="R85" i="64"/>
  <c r="R73" i="64"/>
  <c r="R62" i="64"/>
  <c r="R61" i="64"/>
  <c r="R53" i="64"/>
  <c r="R25" i="64"/>
  <c r="R21" i="64"/>
  <c r="F16" i="64"/>
  <c r="Z18" i="64"/>
  <c r="F24" i="64"/>
  <c r="R39" i="64"/>
  <c r="L58" i="64"/>
  <c r="T16" i="65"/>
  <c r="X16" i="65" s="1"/>
  <c r="V29" i="65"/>
  <c r="V26" i="65"/>
  <c r="V24" i="65"/>
  <c r="Z12" i="65"/>
  <c r="Z18" i="68"/>
  <c r="Z42" i="68"/>
  <c r="D12" i="69"/>
  <c r="L13" i="69"/>
  <c r="N13" i="69" s="1"/>
  <c r="T124" i="69"/>
  <c r="X82" i="69"/>
  <c r="Z82" i="69" s="1"/>
  <c r="J44" i="60"/>
  <c r="F53" i="61"/>
  <c r="F54" i="61"/>
  <c r="J55" i="61"/>
  <c r="V93" i="64"/>
  <c r="V81" i="64"/>
  <c r="V65" i="64"/>
  <c r="V49" i="64"/>
  <c r="V41" i="64"/>
  <c r="V102" i="64"/>
  <c r="V100" i="64"/>
  <c r="V92" i="64"/>
  <c r="V80" i="64"/>
  <c r="V68" i="64"/>
  <c r="V56" i="64"/>
  <c r="V36" i="64"/>
  <c r="V32" i="64"/>
  <c r="Z12" i="64"/>
  <c r="V103" i="64"/>
  <c r="V95" i="64"/>
  <c r="V87" i="64"/>
  <c r="V75" i="64"/>
  <c r="V67" i="64"/>
  <c r="V43" i="64"/>
  <c r="V104" i="64"/>
  <c r="V94" i="64"/>
  <c r="V82" i="64"/>
  <c r="V70" i="64"/>
  <c r="V58" i="64"/>
  <c r="V50" i="64"/>
  <c r="V105" i="64"/>
  <c r="V77" i="64"/>
  <c r="V69" i="64"/>
  <c r="V57" i="64"/>
  <c r="V45" i="64"/>
  <c r="V37" i="64"/>
  <c r="V33" i="64"/>
  <c r="V29" i="64"/>
  <c r="V108" i="64"/>
  <c r="V106" i="64"/>
  <c r="V96" i="64"/>
  <c r="V88" i="64"/>
  <c r="V84" i="64"/>
  <c r="V76" i="64"/>
  <c r="V72" i="64"/>
  <c r="V60" i="64"/>
  <c r="V52" i="64"/>
  <c r="V44" i="64"/>
  <c r="V28" i="64"/>
  <c r="V24" i="64"/>
  <c r="V20" i="64"/>
  <c r="V83" i="64"/>
  <c r="V71" i="64"/>
  <c r="V59" i="64"/>
  <c r="V51" i="64"/>
  <c r="V47" i="64"/>
  <c r="V78" i="64"/>
  <c r="V62" i="64"/>
  <c r="V46" i="64"/>
  <c r="V38" i="64"/>
  <c r="V34" i="64"/>
  <c r="V30" i="64"/>
  <c r="V115" i="64"/>
  <c r="V112" i="64"/>
  <c r="V110" i="64"/>
  <c r="V64" i="64"/>
  <c r="V48" i="64"/>
  <c r="V40" i="64"/>
  <c r="V18" i="64"/>
  <c r="F20" i="64"/>
  <c r="V26" i="64"/>
  <c r="V39" i="64"/>
  <c r="V86" i="64"/>
  <c r="V98" i="64"/>
  <c r="F32" i="58"/>
  <c r="F36" i="58"/>
  <c r="F40" i="58"/>
  <c r="F51" i="58"/>
  <c r="F52" i="58"/>
  <c r="F60" i="58"/>
  <c r="F67" i="58"/>
  <c r="L12" i="60"/>
  <c r="J23" i="60"/>
  <c r="J27" i="60"/>
  <c r="F32" i="60"/>
  <c r="F36" i="60"/>
  <c r="J43" i="60"/>
  <c r="F51" i="60"/>
  <c r="J65" i="60"/>
  <c r="F23" i="61"/>
  <c r="F27" i="61"/>
  <c r="F42" i="61"/>
  <c r="F43" i="61"/>
  <c r="J44" i="61"/>
  <c r="F66" i="61"/>
  <c r="X12" i="64"/>
  <c r="V22" i="64"/>
  <c r="R30" i="64"/>
  <c r="R32" i="64"/>
  <c r="R112" i="64"/>
  <c r="N71" i="69"/>
  <c r="V82" i="69"/>
  <c r="X56" i="74"/>
  <c r="J79" i="70"/>
  <c r="N63" i="71"/>
  <c r="Z56" i="74"/>
  <c r="J14" i="64"/>
  <c r="J16" i="64"/>
  <c r="J18" i="64"/>
  <c r="J20" i="64"/>
  <c r="J24" i="64"/>
  <c r="J28" i="64"/>
  <c r="J44" i="64"/>
  <c r="J58" i="64"/>
  <c r="J70" i="64"/>
  <c r="J76" i="64"/>
  <c r="J88" i="64"/>
  <c r="J96" i="64"/>
  <c r="J105" i="64"/>
  <c r="J26" i="65"/>
  <c r="J29" i="65"/>
  <c r="R14" i="68"/>
  <c r="R16" i="68"/>
  <c r="R18" i="68"/>
  <c r="R33" i="68"/>
  <c r="R37" i="68"/>
  <c r="F40" i="68"/>
  <c r="F41" i="68"/>
  <c r="R45" i="68"/>
  <c r="R46" i="68"/>
  <c r="V48" i="68"/>
  <c r="F57" i="68"/>
  <c r="R61" i="68"/>
  <c r="V47" i="69"/>
  <c r="V51" i="69"/>
  <c r="V55" i="69"/>
  <c r="V59" i="69"/>
  <c r="V63" i="69"/>
  <c r="V67" i="69"/>
  <c r="V69" i="69"/>
  <c r="V71" i="69"/>
  <c r="J75" i="69"/>
  <c r="J79" i="69"/>
  <c r="J93" i="69"/>
  <c r="J103" i="69"/>
  <c r="V107" i="69"/>
  <c r="J111" i="69"/>
  <c r="J119" i="69"/>
  <c r="L61" i="70"/>
  <c r="R53" i="73"/>
  <c r="R65" i="73"/>
  <c r="R73" i="73"/>
  <c r="Z36" i="74"/>
  <c r="Z78" i="74"/>
  <c r="Z33" i="76"/>
  <c r="D16" i="65"/>
  <c r="T16" i="68"/>
  <c r="R19" i="68"/>
  <c r="R54" i="68"/>
  <c r="L93" i="69"/>
  <c r="N93" i="69" s="1"/>
  <c r="J118" i="69"/>
  <c r="L15" i="70"/>
  <c r="D12" i="70"/>
  <c r="N25" i="70"/>
  <c r="N61" i="70"/>
  <c r="D12" i="73"/>
  <c r="L13" i="73"/>
  <c r="N29" i="73"/>
  <c r="Z39" i="73"/>
  <c r="N78" i="73"/>
  <c r="N54" i="79"/>
  <c r="L54" i="79"/>
  <c r="J50" i="64"/>
  <c r="J68" i="64"/>
  <c r="J82" i="64"/>
  <c r="J94" i="64"/>
  <c r="J102" i="64"/>
  <c r="J103" i="64"/>
  <c r="F14" i="65"/>
  <c r="F16" i="65"/>
  <c r="F18" i="65"/>
  <c r="F20" i="65"/>
  <c r="J24" i="65"/>
  <c r="V14" i="68"/>
  <c r="V16" i="68"/>
  <c r="V18" i="68"/>
  <c r="R23" i="68"/>
  <c r="R27" i="68"/>
  <c r="F31" i="68"/>
  <c r="F35" i="68"/>
  <c r="F39" i="68"/>
  <c r="R43" i="68"/>
  <c r="R44" i="68"/>
  <c r="V46" i="68"/>
  <c r="F50" i="68"/>
  <c r="F51" i="68"/>
  <c r="V54" i="68"/>
  <c r="R59" i="68"/>
  <c r="R60" i="68"/>
  <c r="J49" i="69"/>
  <c r="J53" i="69"/>
  <c r="J57" i="69"/>
  <c r="J61" i="69"/>
  <c r="J65" i="69"/>
  <c r="V85" i="69"/>
  <c r="V89" i="69"/>
  <c r="V97" i="69"/>
  <c r="J101" i="69"/>
  <c r="V105" i="69"/>
  <c r="V113" i="69"/>
  <c r="V122" i="69"/>
  <c r="N68" i="70"/>
  <c r="Z75" i="71"/>
  <c r="X29" i="73"/>
  <c r="Z29" i="73" s="1"/>
  <c r="D12" i="74"/>
  <c r="D12" i="75"/>
  <c r="L13" i="75"/>
  <c r="N13" i="75" s="1"/>
  <c r="J43" i="64"/>
  <c r="J67" i="64"/>
  <c r="J75" i="64"/>
  <c r="J81" i="64"/>
  <c r="J87" i="64"/>
  <c r="J93" i="64"/>
  <c r="H16" i="65"/>
  <c r="X12" i="68"/>
  <c r="R32" i="68"/>
  <c r="R36" i="68"/>
  <c r="R52" i="68"/>
  <c r="R53" i="68"/>
  <c r="F56" i="68"/>
  <c r="V59" i="68"/>
  <c r="J122" i="69"/>
  <c r="V46" i="69"/>
  <c r="V50" i="69"/>
  <c r="V54" i="69"/>
  <c r="V58" i="69"/>
  <c r="V62" i="69"/>
  <c r="V66" i="69"/>
  <c r="J74" i="69"/>
  <c r="J78" i="69"/>
  <c r="V94" i="69"/>
  <c r="J100" i="69"/>
  <c r="V106" i="69"/>
  <c r="J110" i="69"/>
  <c r="J116" i="69"/>
  <c r="H79" i="70"/>
  <c r="N35" i="70"/>
  <c r="R29" i="73"/>
  <c r="R24" i="73"/>
  <c r="R80" i="73"/>
  <c r="R79" i="73"/>
  <c r="R67" i="73"/>
  <c r="R56" i="73"/>
  <c r="R55" i="73"/>
  <c r="R47" i="73"/>
  <c r="R43" i="73"/>
  <c r="R28" i="73"/>
  <c r="R26" i="73"/>
  <c r="R74" i="73"/>
  <c r="R39" i="73"/>
  <c r="R38" i="73"/>
  <c r="R34" i="73"/>
  <c r="R30" i="73"/>
  <c r="P26" i="73"/>
  <c r="X12" i="73"/>
  <c r="R81" i="73"/>
  <c r="R58" i="73"/>
  <c r="R57" i="73"/>
  <c r="R83" i="73"/>
  <c r="R68" i="73"/>
  <c r="R48" i="73"/>
  <c r="R44" i="73"/>
  <c r="R40" i="73"/>
  <c r="R21" i="73"/>
  <c r="R75" i="73"/>
  <c r="R60" i="73"/>
  <c r="R59" i="73"/>
  <c r="R35" i="73"/>
  <c r="R31" i="73"/>
  <c r="R22" i="73"/>
  <c r="R87" i="73"/>
  <c r="R70" i="73"/>
  <c r="R69" i="73"/>
  <c r="R62" i="73"/>
  <c r="R61" i="73"/>
  <c r="R50" i="73"/>
  <c r="R49" i="73"/>
  <c r="R45" i="73"/>
  <c r="R41" i="73"/>
  <c r="R76" i="73"/>
  <c r="R36" i="73"/>
  <c r="R32" i="73"/>
  <c r="R72" i="73"/>
  <c r="R71" i="73"/>
  <c r="R64" i="73"/>
  <c r="R63" i="73"/>
  <c r="R52" i="73"/>
  <c r="R51" i="73"/>
  <c r="R23" i="73"/>
  <c r="R46" i="73"/>
  <c r="R42" i="73"/>
  <c r="R78" i="73"/>
  <c r="N12" i="64"/>
  <c r="J32" i="64"/>
  <c r="J36" i="64"/>
  <c r="J42" i="64"/>
  <c r="J56" i="64"/>
  <c r="J66" i="64"/>
  <c r="J80" i="64"/>
  <c r="J92" i="64"/>
  <c r="J100" i="64"/>
  <c r="J14" i="65"/>
  <c r="J16" i="65"/>
  <c r="J18" i="65"/>
  <c r="J20" i="65"/>
  <c r="J22" i="65"/>
  <c r="R26" i="65"/>
  <c r="R29" i="65"/>
  <c r="F21" i="68"/>
  <c r="F25" i="68"/>
  <c r="V32" i="68"/>
  <c r="V36" i="68"/>
  <c r="R41" i="68"/>
  <c r="R42" i="68"/>
  <c r="V44" i="68"/>
  <c r="F48" i="68"/>
  <c r="F49" i="68"/>
  <c r="V52" i="68"/>
  <c r="R57" i="68"/>
  <c r="R58" i="68"/>
  <c r="V60" i="68"/>
  <c r="F67" i="68"/>
  <c r="V75" i="69"/>
  <c r="V79" i="69"/>
  <c r="J83" i="69"/>
  <c r="J87" i="69"/>
  <c r="J91" i="69"/>
  <c r="V95" i="69"/>
  <c r="J99" i="69"/>
  <c r="V103" i="69"/>
  <c r="J109" i="69"/>
  <c r="V111" i="69"/>
  <c r="J115" i="69"/>
  <c r="V119" i="69"/>
  <c r="V121" i="69"/>
  <c r="J22" i="70"/>
  <c r="Z88" i="71"/>
  <c r="N93" i="71"/>
  <c r="L102" i="71"/>
  <c r="N102" i="71" s="1"/>
  <c r="X112" i="71"/>
  <c r="P22" i="72"/>
  <c r="T89" i="73"/>
  <c r="Z67" i="74"/>
  <c r="J41" i="64"/>
  <c r="J49" i="64"/>
  <c r="J55" i="64"/>
  <c r="J65" i="64"/>
  <c r="J91" i="64"/>
  <c r="J99" i="64"/>
  <c r="P102" i="64"/>
  <c r="X102" i="64" s="1"/>
  <c r="Z102" i="64" s="1"/>
  <c r="D16" i="68"/>
  <c r="R22" i="68"/>
  <c r="R26" i="68"/>
  <c r="F34" i="68"/>
  <c r="F38" i="68"/>
  <c r="V53" i="68"/>
  <c r="V57" i="68"/>
  <c r="F63" i="68"/>
  <c r="F65" i="68"/>
  <c r="J48" i="69"/>
  <c r="J52" i="69"/>
  <c r="J56" i="69"/>
  <c r="J60" i="69"/>
  <c r="J64" i="69"/>
  <c r="H69" i="69"/>
  <c r="J82" i="69"/>
  <c r="V84" i="69"/>
  <c r="V88" i="69"/>
  <c r="V92" i="69"/>
  <c r="V104" i="69"/>
  <c r="J108" i="69"/>
  <c r="V112" i="69"/>
  <c r="D12" i="71"/>
  <c r="Z112" i="71"/>
  <c r="J40" i="64"/>
  <c r="J54" i="64"/>
  <c r="J64" i="64"/>
  <c r="J74" i="64"/>
  <c r="J86" i="64"/>
  <c r="J90" i="64"/>
  <c r="J98" i="64"/>
  <c r="J112" i="64"/>
  <c r="J115" i="64"/>
  <c r="R31" i="68"/>
  <c r="R35" i="68"/>
  <c r="R39" i="68"/>
  <c r="R40" i="68"/>
  <c r="F46" i="68"/>
  <c r="F47" i="68"/>
  <c r="R51" i="68"/>
  <c r="F55" i="68"/>
  <c r="V58" i="68"/>
  <c r="V49" i="69"/>
  <c r="V53" i="69"/>
  <c r="V57" i="69"/>
  <c r="V61" i="69"/>
  <c r="V65" i="69"/>
  <c r="J71" i="69"/>
  <c r="J73" i="69"/>
  <c r="J77" i="69"/>
  <c r="J81" i="69"/>
  <c r="V93" i="69"/>
  <c r="V101" i="69"/>
  <c r="N24" i="70"/>
  <c r="Z52" i="70"/>
  <c r="R33" i="73"/>
  <c r="J63" i="64"/>
  <c r="J79" i="64"/>
  <c r="F19" i="68"/>
  <c r="F20" i="68"/>
  <c r="F24" i="68"/>
  <c r="F28" i="68"/>
  <c r="V35" i="68"/>
  <c r="V39" i="68"/>
  <c r="V51" i="68"/>
  <c r="R56" i="68"/>
  <c r="R69" i="68"/>
  <c r="R72" i="68"/>
  <c r="J72" i="69"/>
  <c r="V74" i="69"/>
  <c r="V78" i="69"/>
  <c r="J86" i="69"/>
  <c r="J90" i="69"/>
  <c r="X93" i="69"/>
  <c r="Z93" i="69" s="1"/>
  <c r="J98" i="69"/>
  <c r="V102" i="69"/>
  <c r="V110" i="69"/>
  <c r="J114" i="69"/>
  <c r="V118" i="69"/>
  <c r="J24" i="70"/>
  <c r="P12" i="71"/>
  <c r="X64" i="71"/>
  <c r="Z64" i="71" s="1"/>
  <c r="N115" i="71"/>
  <c r="N121" i="71"/>
  <c r="R54" i="73"/>
  <c r="R66" i="73"/>
  <c r="T98" i="74"/>
  <c r="J48" i="64"/>
  <c r="J62" i="64"/>
  <c r="J110" i="64"/>
  <c r="R14" i="65"/>
  <c r="R16" i="65"/>
  <c r="R18" i="65"/>
  <c r="R20" i="65"/>
  <c r="R21" i="68"/>
  <c r="R25" i="68"/>
  <c r="L29" i="68"/>
  <c r="N29" i="68" s="1"/>
  <c r="F33" i="68"/>
  <c r="F37" i="68"/>
  <c r="V40" i="68"/>
  <c r="F44" i="68"/>
  <c r="F45" i="68"/>
  <c r="R49" i="68"/>
  <c r="R50" i="68"/>
  <c r="V56" i="68"/>
  <c r="F60" i="68"/>
  <c r="F61" i="68"/>
  <c r="L63" i="68"/>
  <c r="R67" i="68"/>
  <c r="J47" i="69"/>
  <c r="J51" i="69"/>
  <c r="J55" i="69"/>
  <c r="J59" i="69"/>
  <c r="J63" i="69"/>
  <c r="J67" i="69"/>
  <c r="L72" i="69"/>
  <c r="N72" i="69" s="1"/>
  <c r="V83" i="69"/>
  <c r="V87" i="69"/>
  <c r="V91" i="69"/>
  <c r="J97" i="69"/>
  <c r="V99" i="69"/>
  <c r="X102" i="69"/>
  <c r="Z102" i="69" s="1"/>
  <c r="J107" i="69"/>
  <c r="V115" i="69"/>
  <c r="X118" i="69"/>
  <c r="Z118" i="69" s="1"/>
  <c r="J21" i="64"/>
  <c r="J25" i="64"/>
  <c r="J47" i="64"/>
  <c r="J53" i="64"/>
  <c r="J61" i="64"/>
  <c r="J73" i="64"/>
  <c r="J85" i="64"/>
  <c r="J89" i="64"/>
  <c r="R30" i="68"/>
  <c r="R34" i="68"/>
  <c r="V49" i="68"/>
  <c r="F53" i="68"/>
  <c r="V67" i="68"/>
  <c r="V69" i="68"/>
  <c r="J46" i="69"/>
  <c r="V48" i="69"/>
  <c r="V52" i="69"/>
  <c r="V56" i="69"/>
  <c r="V60" i="69"/>
  <c r="V64" i="69"/>
  <c r="J76" i="69"/>
  <c r="J80" i="69"/>
  <c r="J96" i="69"/>
  <c r="V100" i="69"/>
  <c r="J106" i="69"/>
  <c r="V108" i="69"/>
  <c r="V116" i="69"/>
  <c r="V124" i="69"/>
  <c r="Z115" i="71"/>
  <c r="Z28" i="73"/>
  <c r="Z64" i="73"/>
  <c r="R77" i="73"/>
  <c r="N56" i="74"/>
  <c r="L78" i="74"/>
  <c r="N78" i="74" s="1"/>
  <c r="J25" i="70"/>
  <c r="V27" i="70"/>
  <c r="V31" i="70"/>
  <c r="J39" i="70"/>
  <c r="J43" i="70"/>
  <c r="J51" i="70"/>
  <c r="V55" i="70"/>
  <c r="J61" i="70"/>
  <c r="V63" i="70"/>
  <c r="J67" i="70"/>
  <c r="J75" i="70"/>
  <c r="V81" i="70"/>
  <c r="V64" i="71"/>
  <c r="V68" i="71"/>
  <c r="V72" i="71"/>
  <c r="J76" i="71"/>
  <c r="J80" i="71"/>
  <c r="J84" i="71"/>
  <c r="V88" i="71"/>
  <c r="J92" i="71"/>
  <c r="V96" i="71"/>
  <c r="J102" i="71"/>
  <c r="V104" i="71"/>
  <c r="V112" i="71"/>
  <c r="J116" i="71"/>
  <c r="H127" i="71"/>
  <c r="J127" i="71" s="1"/>
  <c r="T16" i="72"/>
  <c r="V29" i="73"/>
  <c r="V33" i="73"/>
  <c r="V37" i="73"/>
  <c r="J41" i="73"/>
  <c r="J45" i="73"/>
  <c r="J49" i="73"/>
  <c r="V53" i="73"/>
  <c r="J61" i="73"/>
  <c r="V65" i="73"/>
  <c r="J69" i="73"/>
  <c r="V73" i="73"/>
  <c r="V77" i="73"/>
  <c r="J87" i="73"/>
  <c r="V36" i="74"/>
  <c r="V40" i="74"/>
  <c r="V44" i="74"/>
  <c r="V48" i="74"/>
  <c r="V52" i="74"/>
  <c r="V54" i="74"/>
  <c r="V56" i="74"/>
  <c r="J60" i="74"/>
  <c r="J64" i="74"/>
  <c r="J78" i="74"/>
  <c r="X83" i="74"/>
  <c r="Z83" i="74" s="1"/>
  <c r="J88" i="74"/>
  <c r="L89" i="74"/>
  <c r="V92" i="74"/>
  <c r="N55" i="75"/>
  <c r="J63" i="75"/>
  <c r="Z79" i="75"/>
  <c r="J87" i="75"/>
  <c r="L93" i="75"/>
  <c r="N93" i="75" s="1"/>
  <c r="Z108" i="75"/>
  <c r="V110" i="75"/>
  <c r="L116" i="75"/>
  <c r="N116" i="75" s="1"/>
  <c r="F65" i="76"/>
  <c r="F71" i="76"/>
  <c r="V55" i="80"/>
  <c r="J20" i="70"/>
  <c r="V36" i="70"/>
  <c r="V40" i="70"/>
  <c r="V44" i="70"/>
  <c r="J50" i="70"/>
  <c r="J60" i="70"/>
  <c r="V64" i="70"/>
  <c r="J74" i="70"/>
  <c r="J45" i="71"/>
  <c r="J49" i="71"/>
  <c r="J53" i="71"/>
  <c r="J57" i="71"/>
  <c r="J75" i="71"/>
  <c r="V77" i="71"/>
  <c r="V81" i="71"/>
  <c r="V85" i="71"/>
  <c r="J91" i="71"/>
  <c r="J101" i="71"/>
  <c r="J109" i="71"/>
  <c r="J115" i="71"/>
  <c r="V14" i="72"/>
  <c r="V16" i="72"/>
  <c r="V18" i="72"/>
  <c r="V20" i="72"/>
  <c r="V22" i="72"/>
  <c r="F26" i="72"/>
  <c r="F29" i="72"/>
  <c r="J22" i="73"/>
  <c r="V42" i="73"/>
  <c r="V46" i="73"/>
  <c r="V54" i="73"/>
  <c r="J60" i="73"/>
  <c r="V66" i="73"/>
  <c r="V78" i="73"/>
  <c r="H85" i="73"/>
  <c r="P12" i="74"/>
  <c r="V57" i="74"/>
  <c r="V61" i="74"/>
  <c r="V65" i="74"/>
  <c r="J69" i="74"/>
  <c r="J73" i="74"/>
  <c r="J77" i="74"/>
  <c r="J87" i="74"/>
  <c r="J36" i="75"/>
  <c r="J40" i="75"/>
  <c r="J59" i="75"/>
  <c r="V65" i="75"/>
  <c r="J69" i="75"/>
  <c r="N91" i="75"/>
  <c r="J118" i="75"/>
  <c r="V123" i="75"/>
  <c r="F49" i="76"/>
  <c r="F73" i="76"/>
  <c r="F86" i="76"/>
  <c r="F88" i="76"/>
  <c r="P12" i="77"/>
  <c r="V17" i="70"/>
  <c r="J29" i="70"/>
  <c r="J33" i="70"/>
  <c r="J49" i="70"/>
  <c r="V53" i="70"/>
  <c r="J59" i="70"/>
  <c r="V69" i="70"/>
  <c r="J73" i="70"/>
  <c r="V42" i="71"/>
  <c r="V46" i="71"/>
  <c r="V50" i="71"/>
  <c r="V54" i="71"/>
  <c r="V58" i="71"/>
  <c r="J66" i="71"/>
  <c r="J70" i="71"/>
  <c r="J74" i="71"/>
  <c r="V86" i="71"/>
  <c r="J90" i="71"/>
  <c r="V94" i="71"/>
  <c r="J100" i="71"/>
  <c r="J108" i="71"/>
  <c r="V110" i="71"/>
  <c r="J114" i="71"/>
  <c r="V118" i="71"/>
  <c r="D121" i="71"/>
  <c r="L121" i="71" s="1"/>
  <c r="J125" i="71"/>
  <c r="X14" i="72"/>
  <c r="J21" i="73"/>
  <c r="V23" i="73"/>
  <c r="J31" i="73"/>
  <c r="J35" i="73"/>
  <c r="V51" i="73"/>
  <c r="J59" i="73"/>
  <c r="V63" i="73"/>
  <c r="V71" i="73"/>
  <c r="J75" i="73"/>
  <c r="J83" i="73"/>
  <c r="J85" i="73"/>
  <c r="V100" i="74"/>
  <c r="V93" i="74"/>
  <c r="J38" i="74"/>
  <c r="J42" i="74"/>
  <c r="J46" i="74"/>
  <c r="J50" i="74"/>
  <c r="V70" i="74"/>
  <c r="V74" i="74"/>
  <c r="J86" i="74"/>
  <c r="V90" i="74"/>
  <c r="V96" i="74"/>
  <c r="V61" i="75"/>
  <c r="X87" i="75"/>
  <c r="Z102" i="75"/>
  <c r="J107" i="75"/>
  <c r="J109" i="75"/>
  <c r="X118" i="75"/>
  <c r="Z118" i="75" s="1"/>
  <c r="P116" i="75"/>
  <c r="X116" i="75" s="1"/>
  <c r="Z116" i="75" s="1"/>
  <c r="X33" i="76"/>
  <c r="N86" i="76"/>
  <c r="L12" i="81"/>
  <c r="V26" i="70"/>
  <c r="V30" i="70"/>
  <c r="V34" i="70"/>
  <c r="J38" i="70"/>
  <c r="J42" i="70"/>
  <c r="J48" i="70"/>
  <c r="J58" i="70"/>
  <c r="V62" i="70"/>
  <c r="J66" i="70"/>
  <c r="J72" i="70"/>
  <c r="L13" i="71"/>
  <c r="V67" i="71"/>
  <c r="V71" i="71"/>
  <c r="J79" i="71"/>
  <c r="J83" i="71"/>
  <c r="V95" i="71"/>
  <c r="J99" i="71"/>
  <c r="V103" i="71"/>
  <c r="J107" i="71"/>
  <c r="J124" i="71"/>
  <c r="V129" i="71"/>
  <c r="V32" i="73"/>
  <c r="V36" i="73"/>
  <c r="J40" i="73"/>
  <c r="J44" i="73"/>
  <c r="J48" i="73"/>
  <c r="V52" i="73"/>
  <c r="J58" i="73"/>
  <c r="V64" i="73"/>
  <c r="J68" i="73"/>
  <c r="V72" i="73"/>
  <c r="V76" i="73"/>
  <c r="V51" i="74"/>
  <c r="J59" i="74"/>
  <c r="J63" i="74"/>
  <c r="V79" i="74"/>
  <c r="J85" i="74"/>
  <c r="V91" i="74"/>
  <c r="Z87" i="75"/>
  <c r="V113" i="75"/>
  <c r="P12" i="76"/>
  <c r="D30" i="76"/>
  <c r="F43" i="76"/>
  <c r="F45" i="76"/>
  <c r="P12" i="70"/>
  <c r="J19" i="70"/>
  <c r="T22" i="70"/>
  <c r="V35" i="70"/>
  <c r="V39" i="70"/>
  <c r="V43" i="70"/>
  <c r="J47" i="70"/>
  <c r="V51" i="70"/>
  <c r="J57" i="70"/>
  <c r="V67" i="70"/>
  <c r="J71" i="70"/>
  <c r="V75" i="70"/>
  <c r="V77" i="70"/>
  <c r="V76" i="71"/>
  <c r="V80" i="71"/>
  <c r="V84" i="71"/>
  <c r="V92" i="71"/>
  <c r="J98" i="71"/>
  <c r="J106" i="71"/>
  <c r="V116" i="71"/>
  <c r="J123" i="71"/>
  <c r="D16" i="72"/>
  <c r="J39" i="73"/>
  <c r="V41" i="73"/>
  <c r="V45" i="73"/>
  <c r="V49" i="73"/>
  <c r="X52" i="73"/>
  <c r="J57" i="73"/>
  <c r="V61" i="73"/>
  <c r="X64" i="73"/>
  <c r="V69" i="73"/>
  <c r="J81" i="73"/>
  <c r="V87" i="73"/>
  <c r="V89" i="73"/>
  <c r="V60" i="74"/>
  <c r="V64" i="74"/>
  <c r="J68" i="74"/>
  <c r="J72" i="74"/>
  <c r="J76" i="74"/>
  <c r="V80" i="74"/>
  <c r="J84" i="74"/>
  <c r="V88" i="74"/>
  <c r="V94" i="74"/>
  <c r="V55" i="75"/>
  <c r="V57" i="75"/>
  <c r="V80" i="75"/>
  <c r="N82" i="75"/>
  <c r="Z89" i="75"/>
  <c r="Z91" i="75"/>
  <c r="V93" i="75"/>
  <c r="L95" i="75"/>
  <c r="N95" i="75" s="1"/>
  <c r="J97" i="75"/>
  <c r="N99" i="75"/>
  <c r="V105" i="75"/>
  <c r="V111" i="75"/>
  <c r="L72" i="79"/>
  <c r="F72" i="79"/>
  <c r="V20" i="70"/>
  <c r="V22" i="70"/>
  <c r="V24" i="70"/>
  <c r="J28" i="70"/>
  <c r="J32" i="70"/>
  <c r="J46" i="70"/>
  <c r="V52" i="70"/>
  <c r="J56" i="70"/>
  <c r="V60" i="70"/>
  <c r="V68" i="70"/>
  <c r="V45" i="71"/>
  <c r="V49" i="71"/>
  <c r="V53" i="71"/>
  <c r="V57" i="71"/>
  <c r="J61" i="71"/>
  <c r="J63" i="71"/>
  <c r="J65" i="71"/>
  <c r="J69" i="71"/>
  <c r="J73" i="71"/>
  <c r="J89" i="71"/>
  <c r="V93" i="71"/>
  <c r="J97" i="71"/>
  <c r="V101" i="71"/>
  <c r="J105" i="71"/>
  <c r="V109" i="71"/>
  <c r="J113" i="71"/>
  <c r="V117" i="71"/>
  <c r="J121" i="71"/>
  <c r="J122" i="71"/>
  <c r="F14" i="72"/>
  <c r="F16" i="72"/>
  <c r="F18" i="72"/>
  <c r="F20" i="72"/>
  <c r="J24" i="72"/>
  <c r="V22" i="73"/>
  <c r="J26" i="73"/>
  <c r="J28" i="73"/>
  <c r="J30" i="73"/>
  <c r="J34" i="73"/>
  <c r="J38" i="73"/>
  <c r="V50" i="73"/>
  <c r="J56" i="73"/>
  <c r="V62" i="73"/>
  <c r="V70" i="73"/>
  <c r="J74" i="73"/>
  <c r="J80" i="73"/>
  <c r="J37" i="74"/>
  <c r="J41" i="74"/>
  <c r="J45" i="74"/>
  <c r="J49" i="74"/>
  <c r="H54" i="74"/>
  <c r="J67" i="74"/>
  <c r="V69" i="74"/>
  <c r="V73" i="74"/>
  <c r="V77" i="74"/>
  <c r="J83" i="74"/>
  <c r="V89" i="74"/>
  <c r="L35" i="75"/>
  <c r="L62" i="76"/>
  <c r="F81" i="81"/>
  <c r="F85" i="81"/>
  <c r="F73" i="81"/>
  <c r="F53" i="81"/>
  <c r="F52" i="81"/>
  <c r="F24" i="81"/>
  <c r="F68" i="81"/>
  <c r="F44" i="81"/>
  <c r="F40" i="81"/>
  <c r="F36" i="81"/>
  <c r="F35" i="81"/>
  <c r="D22" i="81"/>
  <c r="F63" i="81"/>
  <c r="F31" i="81"/>
  <c r="F27" i="81"/>
  <c r="F74" i="81"/>
  <c r="F70" i="81"/>
  <c r="F69" i="81"/>
  <c r="F54" i="81"/>
  <c r="F18" i="81"/>
  <c r="F17" i="81"/>
  <c r="F45" i="81"/>
  <c r="F41" i="81"/>
  <c r="F37" i="81"/>
  <c r="F64" i="81"/>
  <c r="F56" i="81"/>
  <c r="F55" i="81"/>
  <c r="F32" i="81"/>
  <c r="F28" i="81"/>
  <c r="F75" i="81"/>
  <c r="F71" i="81"/>
  <c r="F47" i="81"/>
  <c r="F46" i="81"/>
  <c r="F19" i="81"/>
  <c r="F72" i="81"/>
  <c r="F60" i="81"/>
  <c r="F59" i="81"/>
  <c r="F20" i="81"/>
  <c r="F62" i="81"/>
  <c r="F61" i="81"/>
  <c r="F34" i="81"/>
  <c r="F30" i="81"/>
  <c r="F26" i="81"/>
  <c r="F25" i="81"/>
  <c r="F43" i="81"/>
  <c r="F67" i="81"/>
  <c r="F50" i="81"/>
  <c r="F77" i="81"/>
  <c r="F65" i="81"/>
  <c r="F57" i="81"/>
  <c r="F48" i="81"/>
  <c r="F38" i="81"/>
  <c r="F42" i="81"/>
  <c r="F78" i="81"/>
  <c r="F51" i="81"/>
  <c r="F66" i="81"/>
  <c r="F58" i="81"/>
  <c r="F49" i="81"/>
  <c r="F39" i="81"/>
  <c r="F29" i="81"/>
  <c r="P12" i="81"/>
  <c r="X15" i="81"/>
  <c r="V25" i="70"/>
  <c r="V29" i="70"/>
  <c r="V33" i="70"/>
  <c r="J37" i="70"/>
  <c r="J41" i="70"/>
  <c r="J45" i="70"/>
  <c r="V49" i="70"/>
  <c r="J55" i="70"/>
  <c r="V61" i="70"/>
  <c r="J65" i="70"/>
  <c r="V73" i="70"/>
  <c r="X13" i="71"/>
  <c r="J64" i="71"/>
  <c r="V66" i="71"/>
  <c r="V70" i="71"/>
  <c r="V74" i="71"/>
  <c r="J78" i="71"/>
  <c r="J82" i="71"/>
  <c r="J88" i="71"/>
  <c r="V90" i="71"/>
  <c r="X93" i="71"/>
  <c r="Z93" i="71" s="1"/>
  <c r="V102" i="71"/>
  <c r="J112" i="71"/>
  <c r="V114" i="71"/>
  <c r="H16" i="72"/>
  <c r="J29" i="73"/>
  <c r="V31" i="73"/>
  <c r="V35" i="73"/>
  <c r="J43" i="73"/>
  <c r="J47" i="73"/>
  <c r="J55" i="73"/>
  <c r="V59" i="73"/>
  <c r="J67" i="73"/>
  <c r="V75" i="73"/>
  <c r="J79" i="73"/>
  <c r="J36" i="74"/>
  <c r="V38" i="74"/>
  <c r="V42" i="74"/>
  <c r="V46" i="74"/>
  <c r="V50" i="74"/>
  <c r="J54" i="74"/>
  <c r="J56" i="74"/>
  <c r="J58" i="74"/>
  <c r="J62" i="74"/>
  <c r="J66" i="74"/>
  <c r="V78" i="74"/>
  <c r="J82" i="74"/>
  <c r="V86" i="74"/>
  <c r="J93" i="74"/>
  <c r="P12" i="75"/>
  <c r="X16" i="75"/>
  <c r="N35" i="75"/>
  <c r="F40" i="76"/>
  <c r="F36" i="76"/>
  <c r="F79" i="76"/>
  <c r="F75" i="76"/>
  <c r="F74" i="76"/>
  <c r="F67" i="76"/>
  <c r="F66" i="76"/>
  <c r="F55" i="76"/>
  <c r="F54" i="76"/>
  <c r="F92" i="76"/>
  <c r="F50" i="76"/>
  <c r="F46" i="76"/>
  <c r="F81" i="76"/>
  <c r="F80" i="76"/>
  <c r="F69" i="76"/>
  <c r="F68" i="76"/>
  <c r="F57" i="76"/>
  <c r="F56" i="76"/>
  <c r="F41" i="76"/>
  <c r="F37" i="76"/>
  <c r="F76" i="76"/>
  <c r="L12" i="76"/>
  <c r="F59" i="76"/>
  <c r="F58" i="76"/>
  <c r="F51" i="76"/>
  <c r="F47" i="76"/>
  <c r="F82" i="76"/>
  <c r="F70" i="76"/>
  <c r="F42" i="76"/>
  <c r="F38" i="76"/>
  <c r="F34" i="76"/>
  <c r="F33" i="76"/>
  <c r="F77" i="76"/>
  <c r="F61" i="76"/>
  <c r="F60" i="76"/>
  <c r="F32" i="76"/>
  <c r="F30" i="76"/>
  <c r="F28" i="76"/>
  <c r="F63" i="76"/>
  <c r="F62" i="76"/>
  <c r="F39" i="76"/>
  <c r="F35" i="76"/>
  <c r="F87" i="76"/>
  <c r="F78" i="76"/>
  <c r="N62" i="76"/>
  <c r="F64" i="76"/>
  <c r="V71" i="80"/>
  <c r="V59" i="80"/>
  <c r="V47" i="80"/>
  <c r="V31" i="80"/>
  <c r="V27" i="80"/>
  <c r="V66" i="80"/>
  <c r="V58" i="80"/>
  <c r="V46" i="80"/>
  <c r="V18" i="80"/>
  <c r="V83" i="80"/>
  <c r="V65" i="80"/>
  <c r="V49" i="80"/>
  <c r="V41" i="80"/>
  <c r="V37" i="80"/>
  <c r="V72" i="80"/>
  <c r="V60" i="80"/>
  <c r="V48" i="80"/>
  <c r="V32" i="80"/>
  <c r="V28" i="80"/>
  <c r="V67" i="80"/>
  <c r="V51" i="80"/>
  <c r="V19" i="80"/>
  <c r="V74" i="80"/>
  <c r="V50" i="80"/>
  <c r="V42" i="80"/>
  <c r="V38" i="80"/>
  <c r="V34" i="80"/>
  <c r="V73" i="80"/>
  <c r="V61" i="80"/>
  <c r="V53" i="80"/>
  <c r="V33" i="80"/>
  <c r="V29" i="80"/>
  <c r="V25" i="80"/>
  <c r="V70" i="80"/>
  <c r="V62" i="80"/>
  <c r="V54" i="80"/>
  <c r="V30" i="80"/>
  <c r="V26" i="80"/>
  <c r="V64" i="80"/>
  <c r="V56" i="80"/>
  <c r="V44" i="80"/>
  <c r="V40" i="80"/>
  <c r="V36" i="80"/>
  <c r="V69" i="80"/>
  <c r="V17" i="80"/>
  <c r="V57" i="80"/>
  <c r="V22" i="80"/>
  <c r="V76" i="80"/>
  <c r="T22" i="80"/>
  <c r="V79" i="80"/>
  <c r="V35" i="80"/>
  <c r="V68" i="80"/>
  <c r="V45" i="80"/>
  <c r="V39" i="80"/>
  <c r="V20" i="80"/>
  <c r="V75" i="80"/>
  <c r="V63" i="80"/>
  <c r="V52" i="80"/>
  <c r="V43" i="80"/>
  <c r="F76" i="81"/>
  <c r="V38" i="70"/>
  <c r="V42" i="70"/>
  <c r="V50" i="70"/>
  <c r="J54" i="70"/>
  <c r="V58" i="70"/>
  <c r="J64" i="70"/>
  <c r="V66" i="70"/>
  <c r="J70" i="70"/>
  <c r="V74" i="70"/>
  <c r="J43" i="71"/>
  <c r="J47" i="71"/>
  <c r="J51" i="71"/>
  <c r="J55" i="71"/>
  <c r="J59" i="71"/>
  <c r="V75" i="71"/>
  <c r="V79" i="71"/>
  <c r="V83" i="71"/>
  <c r="J87" i="71"/>
  <c r="V91" i="71"/>
  <c r="V99" i="71"/>
  <c r="V107" i="71"/>
  <c r="J111" i="71"/>
  <c r="V115" i="71"/>
  <c r="J119" i="71"/>
  <c r="V125" i="71"/>
  <c r="J14" i="72"/>
  <c r="J16" i="72"/>
  <c r="J18" i="72"/>
  <c r="J20" i="72"/>
  <c r="R26" i="72"/>
  <c r="R29" i="72"/>
  <c r="J24" i="73"/>
  <c r="V40" i="73"/>
  <c r="V44" i="73"/>
  <c r="V48" i="73"/>
  <c r="J54" i="73"/>
  <c r="V60" i="73"/>
  <c r="J66" i="73"/>
  <c r="V68" i="73"/>
  <c r="J78" i="73"/>
  <c r="L13" i="74"/>
  <c r="N13" i="74" s="1"/>
  <c r="J57" i="74"/>
  <c r="V59" i="74"/>
  <c r="V63" i="74"/>
  <c r="J71" i="74"/>
  <c r="J75" i="74"/>
  <c r="V87" i="74"/>
  <c r="J119" i="75"/>
  <c r="J108" i="75"/>
  <c r="J86" i="75"/>
  <c r="J78" i="75"/>
  <c r="J50" i="75"/>
  <c r="J46" i="75"/>
  <c r="J42" i="75"/>
  <c r="J38" i="75"/>
  <c r="J110" i="75"/>
  <c r="J104" i="75"/>
  <c r="J88" i="75"/>
  <c r="J80" i="75"/>
  <c r="J64" i="75"/>
  <c r="J60" i="75"/>
  <c r="J123" i="75"/>
  <c r="J111" i="75"/>
  <c r="J89" i="75"/>
  <c r="J51" i="75"/>
  <c r="J47" i="75"/>
  <c r="J43" i="75"/>
  <c r="J39" i="75"/>
  <c r="J112" i="75"/>
  <c r="J98" i="75"/>
  <c r="J90" i="75"/>
  <c r="J74" i="75"/>
  <c r="J70" i="75"/>
  <c r="J56" i="75"/>
  <c r="J113" i="75"/>
  <c r="J105" i="75"/>
  <c r="J99" i="75"/>
  <c r="J91" i="75"/>
  <c r="J81" i="75"/>
  <c r="J65" i="75"/>
  <c r="J61" i="75"/>
  <c r="J57" i="75"/>
  <c r="J55" i="75"/>
  <c r="J35" i="75"/>
  <c r="J100" i="75"/>
  <c r="J92" i="75"/>
  <c r="J82" i="75"/>
  <c r="J66" i="75"/>
  <c r="J93" i="75"/>
  <c r="J83" i="75"/>
  <c r="J75" i="75"/>
  <c r="J71" i="75"/>
  <c r="J67" i="75"/>
  <c r="J101" i="75"/>
  <c r="J95" i="75"/>
  <c r="J85" i="75"/>
  <c r="J49" i="75"/>
  <c r="J45" i="75"/>
  <c r="J41" i="75"/>
  <c r="J37" i="75"/>
  <c r="J117" i="75"/>
  <c r="J116" i="75"/>
  <c r="H53" i="75"/>
  <c r="V64" i="75"/>
  <c r="N66" i="75"/>
  <c r="J77" i="75"/>
  <c r="X82" i="75"/>
  <c r="Z82" i="75" s="1"/>
  <c r="J114" i="75"/>
  <c r="F48" i="76"/>
  <c r="N60" i="76"/>
  <c r="V19" i="70"/>
  <c r="J27" i="70"/>
  <c r="J31" i="70"/>
  <c r="V47" i="70"/>
  <c r="V59" i="70"/>
  <c r="J63" i="70"/>
  <c r="V71" i="70"/>
  <c r="J81" i="70"/>
  <c r="J42" i="71"/>
  <c r="V44" i="71"/>
  <c r="V48" i="71"/>
  <c r="V52" i="71"/>
  <c r="V56" i="71"/>
  <c r="J68" i="71"/>
  <c r="J72" i="71"/>
  <c r="J86" i="71"/>
  <c r="J96" i="71"/>
  <c r="V100" i="71"/>
  <c r="J104" i="71"/>
  <c r="V108" i="71"/>
  <c r="P121" i="71"/>
  <c r="X121" i="71" s="1"/>
  <c r="Z121" i="71" s="1"/>
  <c r="V124" i="71"/>
  <c r="V21" i="73"/>
  <c r="J33" i="73"/>
  <c r="J37" i="73"/>
  <c r="J53" i="73"/>
  <c r="V57" i="73"/>
  <c r="X60" i="73"/>
  <c r="J65" i="73"/>
  <c r="J73" i="73"/>
  <c r="J77" i="73"/>
  <c r="V81" i="73"/>
  <c r="V83" i="73"/>
  <c r="V85" i="73"/>
  <c r="J40" i="74"/>
  <c r="J44" i="74"/>
  <c r="J48" i="74"/>
  <c r="J52" i="74"/>
  <c r="V68" i="74"/>
  <c r="V72" i="74"/>
  <c r="V76" i="74"/>
  <c r="V84" i="74"/>
  <c r="J92" i="74"/>
  <c r="V98" i="75"/>
  <c r="V90" i="75"/>
  <c r="V82" i="75"/>
  <c r="V74" i="75"/>
  <c r="V70" i="75"/>
  <c r="V66" i="75"/>
  <c r="T53" i="75"/>
  <c r="V53" i="75" s="1"/>
  <c r="V100" i="75"/>
  <c r="V92" i="75"/>
  <c r="V84" i="75"/>
  <c r="V48" i="75"/>
  <c r="V44" i="75"/>
  <c r="V40" i="75"/>
  <c r="V36" i="75"/>
  <c r="V95" i="75"/>
  <c r="V83" i="75"/>
  <c r="V75" i="75"/>
  <c r="V71" i="75"/>
  <c r="V67" i="75"/>
  <c r="V116" i="75"/>
  <c r="V114" i="75"/>
  <c r="V106" i="75"/>
  <c r="V102" i="75"/>
  <c r="V94" i="75"/>
  <c r="V62" i="75"/>
  <c r="V58" i="75"/>
  <c r="V117" i="75"/>
  <c r="V101" i="75"/>
  <c r="V85" i="75"/>
  <c r="V77" i="75"/>
  <c r="V49" i="75"/>
  <c r="V45" i="75"/>
  <c r="V41" i="75"/>
  <c r="V37" i="75"/>
  <c r="V118" i="75"/>
  <c r="V108" i="75"/>
  <c r="V96" i="75"/>
  <c r="V76" i="75"/>
  <c r="V72" i="75"/>
  <c r="V68" i="75"/>
  <c r="V119" i="75"/>
  <c r="V107" i="75"/>
  <c r="V103" i="75"/>
  <c r="V87" i="75"/>
  <c r="V79" i="75"/>
  <c r="V63" i="75"/>
  <c r="V59" i="75"/>
  <c r="V109" i="75"/>
  <c r="V97" i="75"/>
  <c r="V89" i="75"/>
  <c r="V73" i="75"/>
  <c r="V69" i="75"/>
  <c r="V112" i="75"/>
  <c r="V104" i="75"/>
  <c r="N56" i="75"/>
  <c r="J58" i="75"/>
  <c r="V60" i="75"/>
  <c r="J68" i="75"/>
  <c r="J94" i="75"/>
  <c r="V99" i="75"/>
  <c r="J106" i="75"/>
  <c r="N108" i="75"/>
  <c r="N110" i="75"/>
  <c r="F72" i="76"/>
  <c r="F84" i="76"/>
  <c r="L87" i="76"/>
  <c r="Z40" i="77"/>
  <c r="V28" i="70"/>
  <c r="V32" i="70"/>
  <c r="J36" i="70"/>
  <c r="J40" i="70"/>
  <c r="J44" i="70"/>
  <c r="V48" i="70"/>
  <c r="V56" i="70"/>
  <c r="V72" i="70"/>
  <c r="V65" i="71"/>
  <c r="V69" i="71"/>
  <c r="V73" i="71"/>
  <c r="J77" i="71"/>
  <c r="J81" i="71"/>
  <c r="J85" i="71"/>
  <c r="V89" i="71"/>
  <c r="J95" i="71"/>
  <c r="V97" i="71"/>
  <c r="V105" i="71"/>
  <c r="V113" i="71"/>
  <c r="V123" i="71"/>
  <c r="V24" i="72"/>
  <c r="V26" i="72"/>
  <c r="Z12" i="73"/>
  <c r="V30" i="73"/>
  <c r="V34" i="73"/>
  <c r="V38" i="73"/>
  <c r="J42" i="73"/>
  <c r="J46" i="73"/>
  <c r="J52" i="73"/>
  <c r="V58" i="73"/>
  <c r="J64" i="73"/>
  <c r="J72" i="73"/>
  <c r="V74" i="73"/>
  <c r="V37" i="74"/>
  <c r="V41" i="74"/>
  <c r="V45" i="74"/>
  <c r="V49" i="74"/>
  <c r="J61" i="74"/>
  <c r="J65" i="74"/>
  <c r="J81" i="74"/>
  <c r="V85" i="74"/>
  <c r="J91" i="74"/>
  <c r="X93" i="74"/>
  <c r="V98" i="74"/>
  <c r="V50" i="75"/>
  <c r="X56" i="75"/>
  <c r="Z56" i="75" s="1"/>
  <c r="J72" i="75"/>
  <c r="J79" i="75"/>
  <c r="L102" i="75"/>
  <c r="N102" i="75" s="1"/>
  <c r="X112" i="75"/>
  <c r="Z112" i="75" s="1"/>
  <c r="X80" i="76"/>
  <c r="V109" i="77"/>
  <c r="V97" i="77"/>
  <c r="V89" i="77"/>
  <c r="V69" i="77"/>
  <c r="V65" i="77"/>
  <c r="V61" i="77"/>
  <c r="V110" i="77"/>
  <c r="V88" i="77"/>
  <c r="V52" i="77"/>
  <c r="V48" i="77"/>
  <c r="V99" i="77"/>
  <c r="V91" i="77"/>
  <c r="V79" i="77"/>
  <c r="V75" i="77"/>
  <c r="V71" i="77"/>
  <c r="V90" i="77"/>
  <c r="V66" i="77"/>
  <c r="V62" i="77"/>
  <c r="V101" i="77"/>
  <c r="V93" i="77"/>
  <c r="V81" i="77"/>
  <c r="V114" i="77"/>
  <c r="V100" i="77"/>
  <c r="V92" i="77"/>
  <c r="V80" i="77"/>
  <c r="V76" i="77"/>
  <c r="V72" i="77"/>
  <c r="V103" i="77"/>
  <c r="V95" i="77"/>
  <c r="V83" i="77"/>
  <c r="V67" i="77"/>
  <c r="V63" i="77"/>
  <c r="V59" i="77"/>
  <c r="V106" i="77"/>
  <c r="V104" i="77"/>
  <c r="V96" i="77"/>
  <c r="V84" i="77"/>
  <c r="V68" i="77"/>
  <c r="V64" i="77"/>
  <c r="V60" i="77"/>
  <c r="V108" i="77"/>
  <c r="V98" i="77"/>
  <c r="V86" i="77"/>
  <c r="V78" i="77"/>
  <c r="V74" i="77"/>
  <c r="V70" i="77"/>
  <c r="V94" i="77"/>
  <c r="V41" i="77"/>
  <c r="V107" i="77"/>
  <c r="V102" i="77"/>
  <c r="V56" i="77"/>
  <c r="T56" i="77"/>
  <c r="V50" i="77"/>
  <c r="V45" i="77"/>
  <c r="V42" i="77"/>
  <c r="V53" i="77"/>
  <c r="V82" i="77"/>
  <c r="V51" i="77"/>
  <c r="V43" i="77"/>
  <c r="V73" i="77"/>
  <c r="V58" i="77"/>
  <c r="V46" i="77"/>
  <c r="V54" i="77"/>
  <c r="V49" i="77"/>
  <c r="V40" i="77"/>
  <c r="V87" i="77"/>
  <c r="V77" i="77"/>
  <c r="V44" i="77"/>
  <c r="J53" i="70"/>
  <c r="V57" i="70"/>
  <c r="J69" i="70"/>
  <c r="J77" i="70"/>
  <c r="T61" i="71"/>
  <c r="V78" i="71"/>
  <c r="V82" i="71"/>
  <c r="J94" i="71"/>
  <c r="V98" i="71"/>
  <c r="V106" i="71"/>
  <c r="J110" i="71"/>
  <c r="V39" i="73"/>
  <c r="V43" i="73"/>
  <c r="V47" i="73"/>
  <c r="J51" i="73"/>
  <c r="V55" i="73"/>
  <c r="J63" i="73"/>
  <c r="V67" i="73"/>
  <c r="J71" i="73"/>
  <c r="J94" i="74"/>
  <c r="J100" i="74"/>
  <c r="V58" i="74"/>
  <c r="V62" i="74"/>
  <c r="V66" i="74"/>
  <c r="J70" i="74"/>
  <c r="J74" i="74"/>
  <c r="J80" i="74"/>
  <c r="V82" i="74"/>
  <c r="J90" i="74"/>
  <c r="J76" i="75"/>
  <c r="J96" i="75"/>
  <c r="F44" i="76"/>
  <c r="X56" i="76"/>
  <c r="X68" i="76"/>
  <c r="Z68" i="76" s="1"/>
  <c r="Z80" i="76"/>
  <c r="V33" i="76"/>
  <c r="V37" i="76"/>
  <c r="V41" i="76"/>
  <c r="V57" i="76"/>
  <c r="V69" i="76"/>
  <c r="V81" i="76"/>
  <c r="X58" i="77"/>
  <c r="Z58" i="77" s="1"/>
  <c r="Z81" i="77"/>
  <c r="N52" i="79"/>
  <c r="L47" i="80"/>
  <c r="Z63" i="80"/>
  <c r="Z69" i="81"/>
  <c r="H32" i="86"/>
  <c r="J20" i="86"/>
  <c r="L18" i="76"/>
  <c r="N18" i="76" s="1"/>
  <c r="V46" i="76"/>
  <c r="V50" i="76"/>
  <c r="V58" i="76"/>
  <c r="J64" i="76"/>
  <c r="J78" i="76"/>
  <c r="J86" i="76"/>
  <c r="J87" i="76"/>
  <c r="V92" i="76"/>
  <c r="J51" i="77"/>
  <c r="Z83" i="77"/>
  <c r="X83" i="77"/>
  <c r="J93" i="77"/>
  <c r="F68" i="80"/>
  <c r="F52" i="80"/>
  <c r="F51" i="80"/>
  <c r="F20" i="80"/>
  <c r="F75" i="80"/>
  <c r="F74" i="80"/>
  <c r="F43" i="80"/>
  <c r="F39" i="80"/>
  <c r="F35" i="80"/>
  <c r="F34" i="80"/>
  <c r="F62" i="80"/>
  <c r="F54" i="80"/>
  <c r="F53" i="80"/>
  <c r="F30" i="80"/>
  <c r="F26" i="80"/>
  <c r="F25" i="80"/>
  <c r="F77" i="80"/>
  <c r="F76" i="80"/>
  <c r="F69" i="80"/>
  <c r="F24" i="80"/>
  <c r="F22" i="80"/>
  <c r="F64" i="80"/>
  <c r="F63" i="80"/>
  <c r="F56" i="80"/>
  <c r="F55" i="80"/>
  <c r="F44" i="80"/>
  <c r="F40" i="80"/>
  <c r="F36" i="80"/>
  <c r="D22" i="80"/>
  <c r="F71" i="80"/>
  <c r="F70" i="80"/>
  <c r="F31" i="80"/>
  <c r="F27" i="80"/>
  <c r="F79" i="80"/>
  <c r="F58" i="80"/>
  <c r="F57" i="80"/>
  <c r="F46" i="80"/>
  <c r="F45" i="80"/>
  <c r="F18" i="80"/>
  <c r="F17" i="80"/>
  <c r="F67" i="80"/>
  <c r="F66" i="80"/>
  <c r="F19" i="80"/>
  <c r="F73" i="80"/>
  <c r="F61" i="80"/>
  <c r="F33" i="80"/>
  <c r="F29" i="80"/>
  <c r="Z24" i="80"/>
  <c r="F37" i="80"/>
  <c r="F47" i="80"/>
  <c r="V69" i="81"/>
  <c r="N85" i="84"/>
  <c r="N87" i="84"/>
  <c r="L87" i="84"/>
  <c r="V36" i="76"/>
  <c r="V40" i="76"/>
  <c r="J44" i="76"/>
  <c r="J48" i="76"/>
  <c r="J52" i="76"/>
  <c r="V56" i="76"/>
  <c r="J62" i="76"/>
  <c r="V68" i="76"/>
  <c r="J72" i="76"/>
  <c r="V80" i="76"/>
  <c r="J84" i="76"/>
  <c r="J42" i="77"/>
  <c r="J53" i="77"/>
  <c r="J63" i="77"/>
  <c r="X103" i="77"/>
  <c r="Z50" i="79"/>
  <c r="F49" i="80"/>
  <c r="N66" i="80"/>
  <c r="F72" i="80"/>
  <c r="L76" i="81"/>
  <c r="N76" i="81" s="1"/>
  <c r="Z66" i="85"/>
  <c r="H30" i="76"/>
  <c r="V45" i="76"/>
  <c r="V49" i="76"/>
  <c r="V53" i="76"/>
  <c r="V65" i="76"/>
  <c r="V73" i="76"/>
  <c r="H116" i="77"/>
  <c r="R131" i="85"/>
  <c r="R113" i="85"/>
  <c r="R101" i="85"/>
  <c r="R90" i="85"/>
  <c r="R89" i="85"/>
  <c r="R73" i="85"/>
  <c r="R69" i="85"/>
  <c r="R108" i="85"/>
  <c r="R80" i="85"/>
  <c r="R64" i="85"/>
  <c r="R60" i="85"/>
  <c r="R120" i="85"/>
  <c r="R119" i="85"/>
  <c r="R92" i="85"/>
  <c r="R91" i="85"/>
  <c r="R56" i="85"/>
  <c r="R51" i="85"/>
  <c r="R47" i="85"/>
  <c r="R43" i="85"/>
  <c r="R39" i="85"/>
  <c r="R114" i="85"/>
  <c r="R103" i="85"/>
  <c r="R102" i="85"/>
  <c r="R74" i="85"/>
  <c r="R70" i="85"/>
  <c r="R55" i="85"/>
  <c r="R53" i="85"/>
  <c r="R35" i="85"/>
  <c r="X12" i="85"/>
  <c r="Z12" i="85" s="1"/>
  <c r="R122" i="85"/>
  <c r="R121" i="85"/>
  <c r="R110" i="85"/>
  <c r="R109" i="85"/>
  <c r="R94" i="85"/>
  <c r="R93" i="85"/>
  <c r="R82" i="85"/>
  <c r="R81" i="85"/>
  <c r="R66" i="85"/>
  <c r="R65" i="85"/>
  <c r="R61" i="85"/>
  <c r="R57" i="85"/>
  <c r="P53" i="85"/>
  <c r="R104" i="85"/>
  <c r="R48" i="85"/>
  <c r="R44" i="85"/>
  <c r="R40" i="85"/>
  <c r="R36" i="85"/>
  <c r="R124" i="85"/>
  <c r="R123" i="85"/>
  <c r="R115" i="85"/>
  <c r="R111" i="85"/>
  <c r="R96" i="85"/>
  <c r="R95" i="85"/>
  <c r="R84" i="85"/>
  <c r="R83" i="85"/>
  <c r="R75" i="85"/>
  <c r="R71" i="85"/>
  <c r="R67" i="85"/>
  <c r="R62" i="85"/>
  <c r="R58" i="85"/>
  <c r="R125" i="85"/>
  <c r="R105" i="85"/>
  <c r="R98" i="85"/>
  <c r="R97" i="85"/>
  <c r="R86" i="85"/>
  <c r="R85" i="85"/>
  <c r="R49" i="85"/>
  <c r="R45" i="85"/>
  <c r="R41" i="85"/>
  <c r="R37" i="85"/>
  <c r="R127" i="85"/>
  <c r="R117" i="85"/>
  <c r="R116" i="85"/>
  <c r="R112" i="85"/>
  <c r="R77" i="85"/>
  <c r="R76" i="85"/>
  <c r="R72" i="85"/>
  <c r="R68" i="85"/>
  <c r="R63" i="85"/>
  <c r="R87" i="85"/>
  <c r="R99" i="85"/>
  <c r="R78" i="85"/>
  <c r="R38" i="85"/>
  <c r="R88" i="85"/>
  <c r="R42" i="85"/>
  <c r="R118" i="85"/>
  <c r="R106" i="85"/>
  <c r="R46" i="85"/>
  <c r="R79" i="85"/>
  <c r="R59" i="85"/>
  <c r="X13" i="76"/>
  <c r="Z13" i="76" s="1"/>
  <c r="J28" i="76"/>
  <c r="J30" i="76"/>
  <c r="J32" i="76"/>
  <c r="J34" i="76"/>
  <c r="J38" i="76"/>
  <c r="J42" i="76"/>
  <c r="V54" i="76"/>
  <c r="J60" i="76"/>
  <c r="V66" i="76"/>
  <c r="J70" i="76"/>
  <c r="V74" i="76"/>
  <c r="V78" i="76"/>
  <c r="J82" i="76"/>
  <c r="V88" i="76"/>
  <c r="Z101" i="77"/>
  <c r="J112" i="77"/>
  <c r="N17" i="81"/>
  <c r="N70" i="84"/>
  <c r="J70" i="84"/>
  <c r="J33" i="76"/>
  <c r="V35" i="76"/>
  <c r="V39" i="76"/>
  <c r="J47" i="76"/>
  <c r="J51" i="76"/>
  <c r="J59" i="76"/>
  <c r="V63" i="76"/>
  <c r="V87" i="76"/>
  <c r="D12" i="77"/>
  <c r="F51" i="79"/>
  <c r="F61" i="79"/>
  <c r="R64" i="79"/>
  <c r="H85" i="80"/>
  <c r="F59" i="80"/>
  <c r="Z66" i="80"/>
  <c r="X76" i="80"/>
  <c r="X17" i="81"/>
  <c r="Z17" i="81" s="1"/>
  <c r="L61" i="81"/>
  <c r="N61" i="81" s="1"/>
  <c r="N12" i="76"/>
  <c r="V44" i="76"/>
  <c r="V48" i="76"/>
  <c r="V52" i="76"/>
  <c r="J58" i="76"/>
  <c r="V64" i="76"/>
  <c r="V72" i="76"/>
  <c r="J76" i="76"/>
  <c r="V84" i="76"/>
  <c r="V86" i="76"/>
  <c r="J103" i="77"/>
  <c r="J95" i="77"/>
  <c r="J83" i="77"/>
  <c r="J77" i="77"/>
  <c r="J73" i="77"/>
  <c r="J59" i="77"/>
  <c r="J104" i="77"/>
  <c r="J96" i="77"/>
  <c r="J84" i="77"/>
  <c r="J68" i="77"/>
  <c r="J64" i="77"/>
  <c r="J60" i="77"/>
  <c r="J58" i="77"/>
  <c r="J56" i="77"/>
  <c r="J85" i="77"/>
  <c r="J107" i="77"/>
  <c r="J106" i="77"/>
  <c r="J86" i="77"/>
  <c r="J78" i="77"/>
  <c r="J74" i="77"/>
  <c r="J108" i="77"/>
  <c r="J97" i="77"/>
  <c r="J87" i="77"/>
  <c r="J69" i="77"/>
  <c r="J65" i="77"/>
  <c r="J61" i="77"/>
  <c r="J109" i="77"/>
  <c r="J98" i="77"/>
  <c r="J88" i="77"/>
  <c r="J70" i="77"/>
  <c r="J52" i="77"/>
  <c r="J48" i="77"/>
  <c r="J44" i="77"/>
  <c r="J110" i="77"/>
  <c r="J99" i="77"/>
  <c r="J89" i="77"/>
  <c r="J79" i="77"/>
  <c r="J75" i="77"/>
  <c r="J71" i="77"/>
  <c r="J114" i="77"/>
  <c r="J100" i="77"/>
  <c r="J92" i="77"/>
  <c r="J80" i="77"/>
  <c r="J76" i="77"/>
  <c r="J72" i="77"/>
  <c r="J116" i="77"/>
  <c r="J102" i="77"/>
  <c r="J94" i="77"/>
  <c r="J82" i="77"/>
  <c r="J54" i="77"/>
  <c r="J50" i="77"/>
  <c r="J46" i="77"/>
  <c r="J40" i="77"/>
  <c r="Z95" i="77"/>
  <c r="L109" i="77"/>
  <c r="D106" i="77"/>
  <c r="L106" i="77" s="1"/>
  <c r="N106" i="77" s="1"/>
  <c r="Z39" i="79"/>
  <c r="N61" i="79"/>
  <c r="L71" i="79"/>
  <c r="N71" i="79" s="1"/>
  <c r="D67" i="79"/>
  <c r="L67" i="79" s="1"/>
  <c r="N67" i="79" s="1"/>
  <c r="X25" i="80"/>
  <c r="Z25" i="80" s="1"/>
  <c r="F38" i="80"/>
  <c r="F48" i="80"/>
  <c r="Z76" i="80"/>
  <c r="T22" i="81"/>
  <c r="N59" i="81"/>
  <c r="J37" i="76"/>
  <c r="J41" i="76"/>
  <c r="J57" i="76"/>
  <c r="V61" i="76"/>
  <c r="J69" i="76"/>
  <c r="V77" i="76"/>
  <c r="J81" i="76"/>
  <c r="J47" i="77"/>
  <c r="J66" i="77"/>
  <c r="F38" i="79"/>
  <c r="F34" i="79"/>
  <c r="F65" i="79"/>
  <c r="F64" i="79"/>
  <c r="F25" i="79"/>
  <c r="F21" i="79"/>
  <c r="F56" i="79"/>
  <c r="F48" i="79"/>
  <c r="F44" i="79"/>
  <c r="F40" i="79"/>
  <c r="F39" i="79"/>
  <c r="F68" i="79"/>
  <c r="F35" i="79"/>
  <c r="F31" i="79"/>
  <c r="F30" i="79"/>
  <c r="F69" i="79"/>
  <c r="F67" i="79"/>
  <c r="F58" i="79"/>
  <c r="F57" i="79"/>
  <c r="F29" i="79"/>
  <c r="F22" i="79"/>
  <c r="L12" i="79"/>
  <c r="F70" i="79"/>
  <c r="F49" i="79"/>
  <c r="F45" i="79"/>
  <c r="F41" i="79"/>
  <c r="D27" i="79"/>
  <c r="F71" i="79"/>
  <c r="F60" i="79"/>
  <c r="F59" i="79"/>
  <c r="F36" i="79"/>
  <c r="F32" i="79"/>
  <c r="F53" i="79"/>
  <c r="F52" i="79"/>
  <c r="F37" i="79"/>
  <c r="F33" i="79"/>
  <c r="F63" i="79"/>
  <c r="F55" i="79"/>
  <c r="F54" i="79"/>
  <c r="F47" i="79"/>
  <c r="F43" i="79"/>
  <c r="F24" i="79"/>
  <c r="X30" i="79"/>
  <c r="F42" i="79"/>
  <c r="F32" i="80"/>
  <c r="P12" i="83"/>
  <c r="X15" i="83"/>
  <c r="Z15" i="83" s="1"/>
  <c r="Z56" i="84"/>
  <c r="V56" i="84"/>
  <c r="V34" i="76"/>
  <c r="V38" i="76"/>
  <c r="V42" i="76"/>
  <c r="V62" i="76"/>
  <c r="V70" i="76"/>
  <c r="V82" i="76"/>
  <c r="L89" i="77"/>
  <c r="N89" i="77" s="1"/>
  <c r="Z30" i="79"/>
  <c r="N82" i="85"/>
  <c r="T30" i="76"/>
  <c r="V43" i="76"/>
  <c r="V47" i="76"/>
  <c r="V51" i="76"/>
  <c r="J55" i="76"/>
  <c r="V59" i="76"/>
  <c r="J67" i="76"/>
  <c r="V71" i="76"/>
  <c r="J75" i="76"/>
  <c r="J49" i="77"/>
  <c r="Z59" i="77"/>
  <c r="N85" i="77"/>
  <c r="V30" i="79"/>
  <c r="Z57" i="79"/>
  <c r="P12" i="80"/>
  <c r="F50" i="80"/>
  <c r="Z55" i="80"/>
  <c r="J81" i="81"/>
  <c r="J85" i="81"/>
  <c r="J68" i="81"/>
  <c r="J44" i="81"/>
  <c r="J40" i="81"/>
  <c r="J36" i="81"/>
  <c r="J69" i="81"/>
  <c r="J63" i="81"/>
  <c r="J31" i="81"/>
  <c r="J27" i="81"/>
  <c r="J17" i="81"/>
  <c r="J74" i="81"/>
  <c r="J70" i="81"/>
  <c r="J54" i="81"/>
  <c r="J18" i="81"/>
  <c r="J55" i="81"/>
  <c r="J45" i="81"/>
  <c r="J41" i="81"/>
  <c r="J37" i="81"/>
  <c r="J64" i="81"/>
  <c r="J56" i="81"/>
  <c r="J46" i="81"/>
  <c r="J32" i="81"/>
  <c r="J28" i="81"/>
  <c r="J75" i="81"/>
  <c r="J71" i="81"/>
  <c r="J65" i="81"/>
  <c r="J57" i="81"/>
  <c r="J47" i="81"/>
  <c r="J19" i="81"/>
  <c r="J76" i="81"/>
  <c r="J66" i="81"/>
  <c r="J58" i="81"/>
  <c r="J48" i="81"/>
  <c r="J42" i="81"/>
  <c r="J38" i="81"/>
  <c r="N12" i="81"/>
  <c r="J79" i="81"/>
  <c r="J67" i="81"/>
  <c r="J61" i="81"/>
  <c r="J51" i="81"/>
  <c r="J43" i="81"/>
  <c r="J39" i="81"/>
  <c r="J25" i="81"/>
  <c r="J73" i="81"/>
  <c r="J53" i="81"/>
  <c r="J35" i="81"/>
  <c r="H22" i="81"/>
  <c r="Z24" i="81"/>
  <c r="N50" i="81"/>
  <c r="Z59" i="81"/>
  <c r="N69" i="81"/>
  <c r="N55" i="85"/>
  <c r="Z79" i="85"/>
  <c r="R107" i="85"/>
  <c r="N110" i="85"/>
  <c r="X25" i="88"/>
  <c r="Z25" i="88" s="1"/>
  <c r="X109" i="77"/>
  <c r="V22" i="79"/>
  <c r="P27" i="79"/>
  <c r="R31" i="79"/>
  <c r="J34" i="79"/>
  <c r="R35" i="79"/>
  <c r="J38" i="79"/>
  <c r="V50" i="79"/>
  <c r="Z52" i="79"/>
  <c r="V58" i="79"/>
  <c r="J64" i="79"/>
  <c r="P67" i="79"/>
  <c r="R69" i="79"/>
  <c r="V70" i="79"/>
  <c r="J78" i="79"/>
  <c r="J81" i="79"/>
  <c r="J20" i="80"/>
  <c r="J34" i="80"/>
  <c r="J52" i="80"/>
  <c r="J68" i="80"/>
  <c r="J74" i="80"/>
  <c r="V37" i="81"/>
  <c r="V41" i="81"/>
  <c r="V45" i="81"/>
  <c r="V57" i="81"/>
  <c r="V65" i="81"/>
  <c r="D12" i="84"/>
  <c r="L13" i="84"/>
  <c r="N13" i="84" s="1"/>
  <c r="Z24" i="84"/>
  <c r="R46" i="84"/>
  <c r="X56" i="84"/>
  <c r="L15" i="85"/>
  <c r="D12" i="85"/>
  <c r="J96" i="85"/>
  <c r="X107" i="85"/>
  <c r="Z107" i="85" s="1"/>
  <c r="R28" i="86"/>
  <c r="X12" i="86"/>
  <c r="Z12" i="86" s="1"/>
  <c r="R30" i="86"/>
  <c r="R16" i="86"/>
  <c r="R17" i="86"/>
  <c r="R34" i="86"/>
  <c r="R23" i="86"/>
  <c r="R18" i="86"/>
  <c r="R22" i="86"/>
  <c r="R25" i="86"/>
  <c r="R24" i="86"/>
  <c r="P20" i="86"/>
  <c r="R20" i="86" s="1"/>
  <c r="T36" i="86"/>
  <c r="R93" i="88"/>
  <c r="R92" i="88"/>
  <c r="R68" i="88"/>
  <c r="R76" i="88"/>
  <c r="R75" i="88"/>
  <c r="R60" i="88"/>
  <c r="R59" i="88"/>
  <c r="R52" i="88"/>
  <c r="R51" i="88"/>
  <c r="R95" i="88"/>
  <c r="R94" i="88"/>
  <c r="R86" i="88"/>
  <c r="R77" i="88"/>
  <c r="R70" i="88"/>
  <c r="R69" i="88"/>
  <c r="R62" i="88"/>
  <c r="R61" i="88"/>
  <c r="R53" i="88"/>
  <c r="R96" i="88"/>
  <c r="R98" i="88"/>
  <c r="R87" i="88"/>
  <c r="R83" i="88"/>
  <c r="R72" i="88"/>
  <c r="R71" i="88"/>
  <c r="R64" i="88"/>
  <c r="R63" i="88"/>
  <c r="R73" i="88"/>
  <c r="R66" i="88"/>
  <c r="R65" i="88"/>
  <c r="R46" i="88"/>
  <c r="R45" i="88"/>
  <c r="R85" i="88"/>
  <c r="R81" i="88"/>
  <c r="R58" i="88"/>
  <c r="R57" i="88"/>
  <c r="R50" i="88"/>
  <c r="R49" i="88"/>
  <c r="R25" i="88"/>
  <c r="R20" i="88"/>
  <c r="R90" i="88"/>
  <c r="R56" i="88"/>
  <c r="R43" i="88"/>
  <c r="R39" i="88"/>
  <c r="R24" i="88"/>
  <c r="R22" i="88"/>
  <c r="R84" i="88"/>
  <c r="R82" i="88"/>
  <c r="R80" i="88"/>
  <c r="R54" i="88"/>
  <c r="R35" i="88"/>
  <c r="R34" i="88"/>
  <c r="R30" i="88"/>
  <c r="R26" i="88"/>
  <c r="P22" i="88"/>
  <c r="R88" i="88"/>
  <c r="R47" i="88"/>
  <c r="R40" i="88"/>
  <c r="R36" i="88"/>
  <c r="R17" i="88"/>
  <c r="R44" i="88"/>
  <c r="R31" i="88"/>
  <c r="R27" i="88"/>
  <c r="R102" i="88"/>
  <c r="R91" i="88"/>
  <c r="R18" i="88"/>
  <c r="R89" i="88"/>
  <c r="R78" i="88"/>
  <c r="R41" i="88"/>
  <c r="R37" i="88"/>
  <c r="R48" i="88"/>
  <c r="R32" i="88"/>
  <c r="R28" i="88"/>
  <c r="R79" i="88"/>
  <c r="R67" i="88"/>
  <c r="R55" i="88"/>
  <c r="R19" i="88"/>
  <c r="H104" i="88"/>
  <c r="R33" i="88"/>
  <c r="J20" i="79"/>
  <c r="R21" i="79"/>
  <c r="J24" i="79"/>
  <c r="R25" i="79"/>
  <c r="T27" i="79"/>
  <c r="R30" i="79"/>
  <c r="V40" i="79"/>
  <c r="V44" i="79"/>
  <c r="V48" i="79"/>
  <c r="J54" i="79"/>
  <c r="V56" i="79"/>
  <c r="R65" i="79"/>
  <c r="V68" i="79"/>
  <c r="J76" i="79"/>
  <c r="N12" i="80"/>
  <c r="J38" i="80"/>
  <c r="J42" i="80"/>
  <c r="J50" i="80"/>
  <c r="V27" i="81"/>
  <c r="V31" i="81"/>
  <c r="V55" i="81"/>
  <c r="V63" i="81"/>
  <c r="V81" i="81"/>
  <c r="F20" i="83"/>
  <c r="F26" i="83"/>
  <c r="F24" i="83"/>
  <c r="F22" i="83"/>
  <c r="F30" i="83"/>
  <c r="D22" i="83"/>
  <c r="F18" i="83"/>
  <c r="F17" i="83"/>
  <c r="N35" i="85"/>
  <c r="N84" i="85"/>
  <c r="L84" i="85"/>
  <c r="N92" i="85"/>
  <c r="N103" i="85"/>
  <c r="N124" i="85"/>
  <c r="N22" i="86"/>
  <c r="X46" i="88"/>
  <c r="Z46" i="88" s="1"/>
  <c r="V85" i="88"/>
  <c r="Z26" i="89"/>
  <c r="R20" i="79"/>
  <c r="J23" i="79"/>
  <c r="R24" i="79"/>
  <c r="V39" i="79"/>
  <c r="V43" i="79"/>
  <c r="V47" i="79"/>
  <c r="J51" i="79"/>
  <c r="V55" i="79"/>
  <c r="J61" i="79"/>
  <c r="V63" i="79"/>
  <c r="J72" i="79"/>
  <c r="R76" i="79"/>
  <c r="J37" i="80"/>
  <c r="J41" i="80"/>
  <c r="J47" i="80"/>
  <c r="J59" i="80"/>
  <c r="J65" i="80"/>
  <c r="J83" i="80"/>
  <c r="V26" i="81"/>
  <c r="V30" i="81"/>
  <c r="V34" i="81"/>
  <c r="V62" i="81"/>
  <c r="L35" i="84"/>
  <c r="N52" i="84"/>
  <c r="Z90" i="85"/>
  <c r="Z110" i="85"/>
  <c r="V25" i="88"/>
  <c r="X58" i="88"/>
  <c r="Z58" i="88" s="1"/>
  <c r="V20" i="79"/>
  <c r="V24" i="79"/>
  <c r="J32" i="79"/>
  <c r="R33" i="79"/>
  <c r="J36" i="79"/>
  <c r="R37" i="79"/>
  <c r="J50" i="79"/>
  <c r="R53" i="79"/>
  <c r="R54" i="79"/>
  <c r="J60" i="79"/>
  <c r="V64" i="79"/>
  <c r="J71" i="79"/>
  <c r="V76" i="79"/>
  <c r="J18" i="80"/>
  <c r="J46" i="80"/>
  <c r="J58" i="80"/>
  <c r="V35" i="81"/>
  <c r="V39" i="81"/>
  <c r="V43" i="81"/>
  <c r="V51" i="81"/>
  <c r="V67" i="81"/>
  <c r="H100" i="84"/>
  <c r="Z87" i="84"/>
  <c r="Z16" i="86"/>
  <c r="R19" i="79"/>
  <c r="V33" i="79"/>
  <c r="V37" i="79"/>
  <c r="J41" i="79"/>
  <c r="R42" i="79"/>
  <c r="J45" i="79"/>
  <c r="R46" i="79"/>
  <c r="J49" i="79"/>
  <c r="V53" i="79"/>
  <c r="J59" i="79"/>
  <c r="R62" i="79"/>
  <c r="J70" i="79"/>
  <c r="J17" i="80"/>
  <c r="J27" i="80"/>
  <c r="J31" i="80"/>
  <c r="J45" i="80"/>
  <c r="J57" i="80"/>
  <c r="J71" i="80"/>
  <c r="J79" i="80"/>
  <c r="J81" i="80"/>
  <c r="V85" i="81"/>
  <c r="V20" i="81"/>
  <c r="V22" i="81"/>
  <c r="V24" i="81"/>
  <c r="V52" i="81"/>
  <c r="V60" i="81"/>
  <c r="V72" i="81"/>
  <c r="N35" i="84"/>
  <c r="Z52" i="84"/>
  <c r="L62" i="84"/>
  <c r="X94" i="84"/>
  <c r="Z88" i="85"/>
  <c r="V95" i="88"/>
  <c r="V75" i="88"/>
  <c r="V59" i="88"/>
  <c r="V51" i="88"/>
  <c r="V94" i="88"/>
  <c r="V86" i="88"/>
  <c r="V82" i="88"/>
  <c r="V70" i="88"/>
  <c r="V62" i="88"/>
  <c r="V98" i="88"/>
  <c r="V96" i="88"/>
  <c r="V72" i="88"/>
  <c r="V64" i="88"/>
  <c r="V87" i="88"/>
  <c r="V83" i="88"/>
  <c r="V79" i="88"/>
  <c r="V71" i="88"/>
  <c r="V63" i="88"/>
  <c r="V78" i="88"/>
  <c r="V66" i="88"/>
  <c r="V54" i="88"/>
  <c r="V102" i="88"/>
  <c r="V88" i="88"/>
  <c r="V84" i="88"/>
  <c r="V80" i="88"/>
  <c r="V56" i="88"/>
  <c r="V48" i="88"/>
  <c r="V92" i="88"/>
  <c r="V76" i="88"/>
  <c r="V68" i="88"/>
  <c r="V60" i="88"/>
  <c r="V52" i="88"/>
  <c r="V90" i="88"/>
  <c r="V43" i="88"/>
  <c r="V39" i="88"/>
  <c r="V35" i="88"/>
  <c r="T22" i="88"/>
  <c r="V49" i="88"/>
  <c r="V34" i="88"/>
  <c r="V30" i="88"/>
  <c r="V26" i="88"/>
  <c r="V93" i="88"/>
  <c r="V17" i="88"/>
  <c r="V77" i="88"/>
  <c r="V61" i="88"/>
  <c r="V47" i="88"/>
  <c r="V40" i="88"/>
  <c r="V36" i="88"/>
  <c r="V91" i="88"/>
  <c r="V50" i="88"/>
  <c r="V44" i="88"/>
  <c r="V31" i="88"/>
  <c r="V27" i="88"/>
  <c r="V89" i="88"/>
  <c r="V73" i="88"/>
  <c r="V18" i="88"/>
  <c r="V57" i="88"/>
  <c r="V41" i="88"/>
  <c r="V37" i="88"/>
  <c r="V32" i="88"/>
  <c r="V28" i="88"/>
  <c r="V81" i="88"/>
  <c r="V67" i="88"/>
  <c r="V55" i="88"/>
  <c r="V53" i="88"/>
  <c r="V45" i="88"/>
  <c r="V19" i="88"/>
  <c r="V74" i="88"/>
  <c r="V69" i="88"/>
  <c r="V58" i="88"/>
  <c r="V46" i="88"/>
  <c r="V42" i="88"/>
  <c r="V38" i="88"/>
  <c r="Z12" i="88"/>
  <c r="Z24" i="88"/>
  <c r="Z72" i="88"/>
  <c r="L16" i="92"/>
  <c r="D95" i="92"/>
  <c r="J22" i="79"/>
  <c r="R23" i="79"/>
  <c r="H27" i="79"/>
  <c r="V42" i="79"/>
  <c r="V46" i="79"/>
  <c r="R51" i="79"/>
  <c r="R52" i="79"/>
  <c r="V54" i="79"/>
  <c r="J58" i="79"/>
  <c r="V62" i="79"/>
  <c r="J69" i="79"/>
  <c r="J36" i="80"/>
  <c r="J40" i="80"/>
  <c r="J44" i="80"/>
  <c r="J56" i="80"/>
  <c r="J64" i="80"/>
  <c r="J70" i="80"/>
  <c r="N62" i="84"/>
  <c r="V19" i="79"/>
  <c r="V23" i="79"/>
  <c r="J27" i="79"/>
  <c r="J29" i="79"/>
  <c r="J31" i="79"/>
  <c r="R32" i="79"/>
  <c r="J35" i="79"/>
  <c r="R36" i="79"/>
  <c r="V51" i="79"/>
  <c r="J57" i="79"/>
  <c r="R60" i="79"/>
  <c r="R61" i="79"/>
  <c r="J67" i="79"/>
  <c r="J68" i="79"/>
  <c r="R72" i="79"/>
  <c r="J55" i="80"/>
  <c r="J63" i="80"/>
  <c r="J69" i="80"/>
  <c r="J77" i="80"/>
  <c r="V38" i="81"/>
  <c r="V42" i="81"/>
  <c r="V50" i="81"/>
  <c r="V58" i="81"/>
  <c r="V66" i="81"/>
  <c r="V78" i="81"/>
  <c r="Z35" i="84"/>
  <c r="J62" i="84"/>
  <c r="R66" i="84"/>
  <c r="V94" i="84"/>
  <c r="N23" i="86"/>
  <c r="X91" i="77"/>
  <c r="J30" i="79"/>
  <c r="V32" i="79"/>
  <c r="V36" i="79"/>
  <c r="J40" i="79"/>
  <c r="R41" i="79"/>
  <c r="J44" i="79"/>
  <c r="R45" i="79"/>
  <c r="J48" i="79"/>
  <c r="R49" i="79"/>
  <c r="R50" i="79"/>
  <c r="V52" i="79"/>
  <c r="J56" i="79"/>
  <c r="V60" i="79"/>
  <c r="R71" i="79"/>
  <c r="V72" i="79"/>
  <c r="J22" i="80"/>
  <c r="J24" i="80"/>
  <c r="J26" i="80"/>
  <c r="J30" i="80"/>
  <c r="X49" i="80"/>
  <c r="Z49" i="80" s="1"/>
  <c r="J54" i="80"/>
  <c r="J62" i="80"/>
  <c r="J76" i="80"/>
  <c r="V47" i="81"/>
  <c r="V59" i="81"/>
  <c r="V71" i="81"/>
  <c r="V75" i="81"/>
  <c r="L12" i="83"/>
  <c r="N12" i="83" s="1"/>
  <c r="N24" i="84"/>
  <c r="N46" i="84"/>
  <c r="Z48" i="84"/>
  <c r="X48" i="84"/>
  <c r="N60" i="84"/>
  <c r="Z66" i="84"/>
  <c r="L75" i="84"/>
  <c r="N75" i="84" s="1"/>
  <c r="N77" i="84"/>
  <c r="T96" i="84"/>
  <c r="N56" i="85"/>
  <c r="L96" i="85"/>
  <c r="J23" i="86"/>
  <c r="L48" i="88"/>
  <c r="X12" i="79"/>
  <c r="Z12" i="79" s="1"/>
  <c r="J21" i="79"/>
  <c r="R22" i="79"/>
  <c r="J25" i="79"/>
  <c r="J39" i="79"/>
  <c r="V41" i="79"/>
  <c r="V45" i="79"/>
  <c r="V49" i="79"/>
  <c r="R58" i="79"/>
  <c r="R59" i="79"/>
  <c r="V61" i="79"/>
  <c r="J25" i="80"/>
  <c r="J35" i="80"/>
  <c r="J39" i="80"/>
  <c r="J43" i="80"/>
  <c r="J53" i="80"/>
  <c r="V28" i="81"/>
  <c r="V32" i="81"/>
  <c r="V48" i="81"/>
  <c r="V56" i="81"/>
  <c r="V64" i="81"/>
  <c r="V76" i="81"/>
  <c r="X81" i="81"/>
  <c r="N48" i="88"/>
  <c r="T28" i="83"/>
  <c r="V28" i="83" s="1"/>
  <c r="R18" i="84"/>
  <c r="J35" i="84"/>
  <c r="V37" i="84"/>
  <c r="V41" i="84"/>
  <c r="V45" i="84"/>
  <c r="J53" i="84"/>
  <c r="R54" i="84"/>
  <c r="J61" i="84"/>
  <c r="V65" i="84"/>
  <c r="J69" i="84"/>
  <c r="J75" i="84"/>
  <c r="R78" i="84"/>
  <c r="J81" i="84"/>
  <c r="R82" i="84"/>
  <c r="J87" i="84"/>
  <c r="R90" i="84"/>
  <c r="R91" i="84"/>
  <c r="V59" i="85"/>
  <c r="V63" i="85"/>
  <c r="J67" i="85"/>
  <c r="J71" i="85"/>
  <c r="J75" i="85"/>
  <c r="V79" i="85"/>
  <c r="J83" i="85"/>
  <c r="V87" i="85"/>
  <c r="J95" i="85"/>
  <c r="V99" i="85"/>
  <c r="V107" i="85"/>
  <c r="J111" i="85"/>
  <c r="J115" i="85"/>
  <c r="J123" i="85"/>
  <c r="J18" i="86"/>
  <c r="V26" i="86"/>
  <c r="J18" i="88"/>
  <c r="F27" i="88"/>
  <c r="F31" i="88"/>
  <c r="J57" i="88"/>
  <c r="N62" i="88"/>
  <c r="F96" i="88"/>
  <c r="F73" i="89"/>
  <c r="F61" i="89"/>
  <c r="F60" i="89"/>
  <c r="F89" i="89"/>
  <c r="F67" i="89"/>
  <c r="F66" i="89"/>
  <c r="F59" i="89"/>
  <c r="F58" i="89"/>
  <c r="F43" i="89"/>
  <c r="F39" i="89"/>
  <c r="F46" i="89"/>
  <c r="F37" i="89"/>
  <c r="F32" i="89"/>
  <c r="F28" i="89"/>
  <c r="L12" i="89"/>
  <c r="N12" i="89" s="1"/>
  <c r="F83" i="89"/>
  <c r="F74" i="89"/>
  <c r="F70" i="89"/>
  <c r="F63" i="89"/>
  <c r="F53" i="89"/>
  <c r="F19" i="89"/>
  <c r="F18" i="89"/>
  <c r="F54" i="89"/>
  <c r="F47" i="89"/>
  <c r="F79" i="89"/>
  <c r="F71" i="89"/>
  <c r="F48" i="89"/>
  <c r="F44" i="89"/>
  <c r="F33" i="89"/>
  <c r="F29" i="89"/>
  <c r="F85" i="89"/>
  <c r="F41" i="89"/>
  <c r="F38" i="89"/>
  <c r="F20" i="89"/>
  <c r="F68" i="89"/>
  <c r="F64" i="89"/>
  <c r="F50" i="89"/>
  <c r="F49" i="89"/>
  <c r="F55" i="89"/>
  <c r="F21" i="89"/>
  <c r="F76" i="89"/>
  <c r="F65" i="89"/>
  <c r="F56" i="89"/>
  <c r="F52" i="89"/>
  <c r="F35" i="89"/>
  <c r="F31" i="89"/>
  <c r="F27" i="89"/>
  <c r="F26" i="89"/>
  <c r="F82" i="89"/>
  <c r="F78" i="89"/>
  <c r="F77" i="89"/>
  <c r="F62" i="89"/>
  <c r="F57" i="89"/>
  <c r="F40" i="89"/>
  <c r="F36" i="89"/>
  <c r="D23" i="89"/>
  <c r="F25" i="89"/>
  <c r="V47" i="89"/>
  <c r="Z51" i="89"/>
  <c r="H95" i="92"/>
  <c r="V20" i="83"/>
  <c r="V22" i="83"/>
  <c r="V24" i="83"/>
  <c r="V26" i="83"/>
  <c r="V18" i="84"/>
  <c r="J22" i="84"/>
  <c r="J24" i="84"/>
  <c r="J26" i="84"/>
  <c r="R27" i="84"/>
  <c r="J30" i="84"/>
  <c r="R31" i="84"/>
  <c r="J34" i="84"/>
  <c r="V46" i="84"/>
  <c r="J52" i="84"/>
  <c r="V54" i="84"/>
  <c r="J60" i="84"/>
  <c r="R63" i="84"/>
  <c r="R64" i="84"/>
  <c r="V66" i="84"/>
  <c r="R71" i="84"/>
  <c r="J74" i="84"/>
  <c r="V78" i="84"/>
  <c r="V82" i="84"/>
  <c r="J86" i="84"/>
  <c r="V90" i="84"/>
  <c r="J100" i="84"/>
  <c r="J36" i="85"/>
  <c r="J40" i="85"/>
  <c r="J44" i="85"/>
  <c r="J48" i="85"/>
  <c r="H53" i="85"/>
  <c r="J66" i="85"/>
  <c r="V68" i="85"/>
  <c r="V72" i="85"/>
  <c r="V76" i="85"/>
  <c r="J82" i="85"/>
  <c r="V88" i="85"/>
  <c r="J94" i="85"/>
  <c r="V100" i="85"/>
  <c r="J104" i="85"/>
  <c r="J110" i="85"/>
  <c r="V112" i="85"/>
  <c r="V116" i="85"/>
  <c r="J122" i="85"/>
  <c r="V27" i="86"/>
  <c r="D22" i="88"/>
  <c r="J27" i="88"/>
  <c r="J31" i="88"/>
  <c r="F35" i="88"/>
  <c r="F36" i="88"/>
  <c r="F40" i="88"/>
  <c r="F44" i="88"/>
  <c r="N64" i="88"/>
  <c r="J73" i="88"/>
  <c r="N91" i="88"/>
  <c r="F93" i="88"/>
  <c r="L14" i="89"/>
  <c r="V33" i="89"/>
  <c r="V37" i="89"/>
  <c r="F42" i="89"/>
  <c r="R46" i="89"/>
  <c r="Z49" i="89"/>
  <c r="V53" i="89"/>
  <c r="N70" i="89"/>
  <c r="R78" i="89"/>
  <c r="L82" i="89"/>
  <c r="N16" i="92"/>
  <c r="L50" i="93"/>
  <c r="N50" i="93" s="1"/>
  <c r="N52" i="93"/>
  <c r="L52" i="93"/>
  <c r="X74" i="94"/>
  <c r="Z74" i="94"/>
  <c r="R17" i="84"/>
  <c r="J25" i="84"/>
  <c r="V27" i="84"/>
  <c r="V31" i="84"/>
  <c r="R36" i="84"/>
  <c r="J39" i="84"/>
  <c r="R40" i="84"/>
  <c r="J43" i="84"/>
  <c r="R44" i="84"/>
  <c r="J51" i="84"/>
  <c r="J59" i="84"/>
  <c r="V63" i="84"/>
  <c r="V71" i="84"/>
  <c r="R76" i="84"/>
  <c r="R77" i="84"/>
  <c r="J85" i="84"/>
  <c r="R88" i="84"/>
  <c r="R89" i="84"/>
  <c r="V91" i="84"/>
  <c r="J35" i="85"/>
  <c r="V37" i="85"/>
  <c r="V41" i="85"/>
  <c r="V45" i="85"/>
  <c r="V49" i="85"/>
  <c r="J55" i="85"/>
  <c r="J57" i="85"/>
  <c r="J61" i="85"/>
  <c r="J65" i="85"/>
  <c r="V77" i="85"/>
  <c r="J81" i="85"/>
  <c r="V85" i="85"/>
  <c r="J93" i="85"/>
  <c r="V97" i="85"/>
  <c r="J103" i="85"/>
  <c r="V105" i="85"/>
  <c r="J109" i="85"/>
  <c r="V117" i="85"/>
  <c r="J121" i="85"/>
  <c r="V125" i="85"/>
  <c r="V127" i="85"/>
  <c r="V24" i="86"/>
  <c r="J34" i="86"/>
  <c r="F24" i="88"/>
  <c r="J36" i="88"/>
  <c r="J40" i="88"/>
  <c r="Z48" i="88"/>
  <c r="X62" i="88"/>
  <c r="J64" i="88"/>
  <c r="X91" i="88"/>
  <c r="Z91" i="88" s="1"/>
  <c r="V29" i="89"/>
  <c r="F72" i="89"/>
  <c r="R74" i="89"/>
  <c r="J50" i="93"/>
  <c r="J18" i="83"/>
  <c r="J20" i="84"/>
  <c r="V36" i="84"/>
  <c r="V40" i="84"/>
  <c r="V44" i="84"/>
  <c r="J50" i="84"/>
  <c r="R53" i="84"/>
  <c r="J58" i="84"/>
  <c r="R61" i="84"/>
  <c r="R62" i="84"/>
  <c r="V64" i="84"/>
  <c r="J68" i="84"/>
  <c r="R69" i="84"/>
  <c r="R70" i="84"/>
  <c r="V76" i="84"/>
  <c r="J80" i="84"/>
  <c r="R81" i="84"/>
  <c r="J84" i="84"/>
  <c r="V88" i="84"/>
  <c r="J98" i="84"/>
  <c r="J56" i="85"/>
  <c r="V58" i="85"/>
  <c r="V62" i="85"/>
  <c r="J70" i="85"/>
  <c r="J74" i="85"/>
  <c r="V86" i="85"/>
  <c r="J92" i="85"/>
  <c r="V98" i="85"/>
  <c r="J102" i="85"/>
  <c r="J114" i="85"/>
  <c r="J120" i="85"/>
  <c r="D12" i="86"/>
  <c r="V25" i="86"/>
  <c r="F25" i="88"/>
  <c r="F26" i="88"/>
  <c r="F30" i="88"/>
  <c r="F34" i="88"/>
  <c r="J35" i="88"/>
  <c r="X48" i="88"/>
  <c r="N52" i="88"/>
  <c r="J61" i="88"/>
  <c r="Z62" i="88"/>
  <c r="J77" i="88"/>
  <c r="F86" i="88"/>
  <c r="V52" i="89"/>
  <c r="J17" i="83"/>
  <c r="V19" i="83"/>
  <c r="P22" i="84"/>
  <c r="R22" i="84" s="1"/>
  <c r="R26" i="84"/>
  <c r="J29" i="84"/>
  <c r="R30" i="84"/>
  <c r="J33" i="84"/>
  <c r="R34" i="84"/>
  <c r="R35" i="84"/>
  <c r="J49" i="84"/>
  <c r="V53" i="84"/>
  <c r="J57" i="84"/>
  <c r="V61" i="84"/>
  <c r="V69" i="84"/>
  <c r="J73" i="84"/>
  <c r="R74" i="84"/>
  <c r="R75" i="84"/>
  <c r="V77" i="84"/>
  <c r="V81" i="84"/>
  <c r="R86" i="84"/>
  <c r="R87" i="84"/>
  <c r="V89" i="84"/>
  <c r="J39" i="85"/>
  <c r="J43" i="85"/>
  <c r="J47" i="85"/>
  <c r="J51" i="85"/>
  <c r="V67" i="85"/>
  <c r="V71" i="85"/>
  <c r="V75" i="85"/>
  <c r="V83" i="85"/>
  <c r="J91" i="85"/>
  <c r="V95" i="85"/>
  <c r="V111" i="85"/>
  <c r="V115" i="85"/>
  <c r="J119" i="85"/>
  <c r="V123" i="85"/>
  <c r="J16" i="86"/>
  <c r="V18" i="86"/>
  <c r="V20" i="86"/>
  <c r="V22" i="86"/>
  <c r="J30" i="86"/>
  <c r="J32" i="86"/>
  <c r="J22" i="88"/>
  <c r="J24" i="88"/>
  <c r="J26" i="88"/>
  <c r="J30" i="88"/>
  <c r="J34" i="88"/>
  <c r="F39" i="88"/>
  <c r="F43" i="88"/>
  <c r="F54" i="88"/>
  <c r="R82" i="89"/>
  <c r="R81" i="89"/>
  <c r="R70" i="89"/>
  <c r="R69" i="89"/>
  <c r="R45" i="89"/>
  <c r="R41" i="89"/>
  <c r="R37" i="89"/>
  <c r="R80" i="89"/>
  <c r="R79" i="89"/>
  <c r="R63" i="89"/>
  <c r="R59" i="89"/>
  <c r="R38" i="89"/>
  <c r="R20" i="89"/>
  <c r="R64" i="89"/>
  <c r="R44" i="89"/>
  <c r="R75" i="89"/>
  <c r="R72" i="89"/>
  <c r="R60" i="89"/>
  <c r="R50" i="89"/>
  <c r="R34" i="89"/>
  <c r="R30" i="89"/>
  <c r="R68" i="89"/>
  <c r="R56" i="89"/>
  <c r="R55" i="89"/>
  <c r="R51" i="89"/>
  <c r="R26" i="89"/>
  <c r="R21" i="89"/>
  <c r="R42" i="89"/>
  <c r="R39" i="89"/>
  <c r="R25" i="89"/>
  <c r="R23" i="89"/>
  <c r="R89" i="89"/>
  <c r="R77" i="89"/>
  <c r="R76" i="89"/>
  <c r="R65" i="89"/>
  <c r="R61" i="89"/>
  <c r="R35" i="89"/>
  <c r="R31" i="89"/>
  <c r="R27" i="89"/>
  <c r="P23" i="89"/>
  <c r="R62" i="89"/>
  <c r="R57" i="89"/>
  <c r="R52" i="89"/>
  <c r="R18" i="89"/>
  <c r="R83" i="89"/>
  <c r="R40" i="89"/>
  <c r="R71" i="89"/>
  <c r="R54" i="89"/>
  <c r="R49" i="89"/>
  <c r="R48" i="89"/>
  <c r="R33" i="89"/>
  <c r="R29" i="89"/>
  <c r="V19" i="89"/>
  <c r="N36" i="89"/>
  <c r="J36" i="89"/>
  <c r="L62" i="89"/>
  <c r="P80" i="94"/>
  <c r="X80" i="94" s="1"/>
  <c r="X81" i="94"/>
  <c r="J30" i="83"/>
  <c r="R24" i="84"/>
  <c r="R39" i="84"/>
  <c r="J42" i="84"/>
  <c r="R43" i="84"/>
  <c r="J48" i="84"/>
  <c r="R51" i="84"/>
  <c r="R52" i="84"/>
  <c r="J56" i="84"/>
  <c r="R59" i="84"/>
  <c r="R60" i="84"/>
  <c r="V62" i="84"/>
  <c r="V70" i="84"/>
  <c r="V74" i="84"/>
  <c r="V86" i="84"/>
  <c r="J94" i="84"/>
  <c r="J96" i="84"/>
  <c r="V36" i="85"/>
  <c r="V40" i="85"/>
  <c r="V44" i="85"/>
  <c r="V48" i="85"/>
  <c r="J60" i="85"/>
  <c r="J64" i="85"/>
  <c r="J80" i="85"/>
  <c r="V84" i="85"/>
  <c r="J90" i="85"/>
  <c r="V96" i="85"/>
  <c r="V104" i="85"/>
  <c r="J108" i="85"/>
  <c r="V124" i="85"/>
  <c r="X22" i="86"/>
  <c r="Z22" i="86" s="1"/>
  <c r="V23" i="86"/>
  <c r="L30" i="86"/>
  <c r="F102" i="88"/>
  <c r="F88" i="88"/>
  <c r="F84" i="88"/>
  <c r="F80" i="88"/>
  <c r="F79" i="88"/>
  <c r="F67" i="88"/>
  <c r="F66" i="88"/>
  <c r="F55" i="88"/>
  <c r="F47" i="88"/>
  <c r="F46" i="88"/>
  <c r="F90" i="88"/>
  <c r="F89" i="88"/>
  <c r="F85" i="88"/>
  <c r="F81" i="88"/>
  <c r="F57" i="88"/>
  <c r="F56" i="88"/>
  <c r="F49" i="88"/>
  <c r="F48" i="88"/>
  <c r="F92" i="88"/>
  <c r="F91" i="88"/>
  <c r="F68" i="88"/>
  <c r="F75" i="88"/>
  <c r="F59" i="88"/>
  <c r="F58" i="88"/>
  <c r="F51" i="88"/>
  <c r="F50" i="88"/>
  <c r="F77" i="88"/>
  <c r="F76" i="88"/>
  <c r="F69" i="88"/>
  <c r="F61" i="88"/>
  <c r="F60" i="88"/>
  <c r="F53" i="88"/>
  <c r="F52" i="88"/>
  <c r="F98" i="88"/>
  <c r="F73" i="88"/>
  <c r="F72" i="88"/>
  <c r="F65" i="88"/>
  <c r="F64" i="88"/>
  <c r="F20" i="88"/>
  <c r="J43" i="88"/>
  <c r="J49" i="88"/>
  <c r="J54" i="88"/>
  <c r="F63" i="88"/>
  <c r="F82" i="88"/>
  <c r="F95" i="88"/>
  <c r="V64" i="89"/>
  <c r="V56" i="89"/>
  <c r="V82" i="89"/>
  <c r="V74" i="89"/>
  <c r="V70" i="89"/>
  <c r="V54" i="89"/>
  <c r="V80" i="89"/>
  <c r="V60" i="89"/>
  <c r="V44" i="89"/>
  <c r="V41" i="89"/>
  <c r="V75" i="89"/>
  <c r="V72" i="89"/>
  <c r="V51" i="89"/>
  <c r="V50" i="89"/>
  <c r="V34" i="89"/>
  <c r="V30" i="89"/>
  <c r="V26" i="89"/>
  <c r="V68" i="89"/>
  <c r="V55" i="89"/>
  <c r="V25" i="89"/>
  <c r="V23" i="89"/>
  <c r="V21" i="89"/>
  <c r="V77" i="89"/>
  <c r="V42" i="89"/>
  <c r="V39" i="89"/>
  <c r="T23" i="89"/>
  <c r="V89" i="89"/>
  <c r="V81" i="89"/>
  <c r="V76" i="89"/>
  <c r="V66" i="89"/>
  <c r="V65" i="89"/>
  <c r="V61" i="89"/>
  <c r="V45" i="89"/>
  <c r="V36" i="89"/>
  <c r="V35" i="89"/>
  <c r="V31" i="89"/>
  <c r="V27" i="89"/>
  <c r="V73" i="89"/>
  <c r="V62" i="89"/>
  <c r="V18" i="89"/>
  <c r="V78" i="89"/>
  <c r="V46" i="89"/>
  <c r="V43" i="89"/>
  <c r="V32" i="89"/>
  <c r="V28" i="89"/>
  <c r="Z12" i="89"/>
  <c r="V67" i="89"/>
  <c r="V63" i="89"/>
  <c r="V49" i="89"/>
  <c r="V79" i="89"/>
  <c r="V59" i="89"/>
  <c r="V38" i="89"/>
  <c r="V20" i="89"/>
  <c r="V48" i="89"/>
  <c r="N60" i="89"/>
  <c r="L60" i="89"/>
  <c r="N62" i="89"/>
  <c r="V85" i="89"/>
  <c r="N19" i="92"/>
  <c r="L19" i="92"/>
  <c r="Z48" i="92"/>
  <c r="X48" i="92"/>
  <c r="T22" i="93"/>
  <c r="Z18" i="93"/>
  <c r="V18" i="93"/>
  <c r="X18" i="93"/>
  <c r="Z46" i="93"/>
  <c r="V46" i="93"/>
  <c r="X46" i="93"/>
  <c r="H28" i="83"/>
  <c r="J28" i="83" s="1"/>
  <c r="R20" i="84"/>
  <c r="R25" i="84"/>
  <c r="V35" i="84"/>
  <c r="V39" i="84"/>
  <c r="V43" i="84"/>
  <c r="J47" i="84"/>
  <c r="V51" i="84"/>
  <c r="J55" i="84"/>
  <c r="V59" i="84"/>
  <c r="J67" i="84"/>
  <c r="R68" i="84"/>
  <c r="V75" i="84"/>
  <c r="J79" i="84"/>
  <c r="R80" i="84"/>
  <c r="J83" i="84"/>
  <c r="R84" i="84"/>
  <c r="R85" i="84"/>
  <c r="V87" i="84"/>
  <c r="R98" i="84"/>
  <c r="V57" i="85"/>
  <c r="V61" i="85"/>
  <c r="V65" i="85"/>
  <c r="J69" i="85"/>
  <c r="J73" i="85"/>
  <c r="J79" i="85"/>
  <c r="V81" i="85"/>
  <c r="J89" i="85"/>
  <c r="V93" i="85"/>
  <c r="J101" i="85"/>
  <c r="J107" i="85"/>
  <c r="V109" i="85"/>
  <c r="J113" i="85"/>
  <c r="V121" i="85"/>
  <c r="J131" i="85"/>
  <c r="N16" i="86"/>
  <c r="X23" i="86"/>
  <c r="Z23" i="86" s="1"/>
  <c r="J28" i="86"/>
  <c r="V34" i="86"/>
  <c r="V36" i="86"/>
  <c r="J89" i="88"/>
  <c r="J67" i="88"/>
  <c r="J55" i="88"/>
  <c r="J47" i="88"/>
  <c r="J104" i="88"/>
  <c r="J90" i="88"/>
  <c r="J74" i="88"/>
  <c r="J56" i="88"/>
  <c r="J48" i="88"/>
  <c r="J91" i="88"/>
  <c r="J85" i="88"/>
  <c r="J92" i="88"/>
  <c r="J68" i="88"/>
  <c r="J58" i="88"/>
  <c r="J50" i="88"/>
  <c r="J93" i="88"/>
  <c r="J75" i="88"/>
  <c r="J59" i="88"/>
  <c r="J94" i="88"/>
  <c r="J86" i="88"/>
  <c r="J82" i="88"/>
  <c r="J76" i="88"/>
  <c r="J60" i="88"/>
  <c r="J52" i="88"/>
  <c r="J96" i="88"/>
  <c r="J70" i="88"/>
  <c r="J62" i="88"/>
  <c r="J44" i="88"/>
  <c r="J102" i="88"/>
  <c r="J88" i="88"/>
  <c r="J84" i="88"/>
  <c r="J80" i="88"/>
  <c r="J66" i="88"/>
  <c r="X13" i="88"/>
  <c r="Z13" i="88" s="1"/>
  <c r="J20" i="88"/>
  <c r="F29" i="88"/>
  <c r="F33" i="88"/>
  <c r="J63" i="88"/>
  <c r="L70" i="88"/>
  <c r="N70" i="88" s="1"/>
  <c r="N72" i="88"/>
  <c r="X12" i="89"/>
  <c r="F75" i="89"/>
  <c r="V18" i="83"/>
  <c r="J22" i="83"/>
  <c r="J24" i="83"/>
  <c r="J26" i="83"/>
  <c r="V20" i="84"/>
  <c r="V22" i="84"/>
  <c r="V24" i="84"/>
  <c r="J28" i="84"/>
  <c r="R29" i="84"/>
  <c r="J32" i="84"/>
  <c r="R33" i="84"/>
  <c r="J46" i="84"/>
  <c r="R49" i="84"/>
  <c r="R50" i="84"/>
  <c r="V52" i="84"/>
  <c r="R57" i="84"/>
  <c r="R58" i="84"/>
  <c r="V60" i="84"/>
  <c r="J66" i="84"/>
  <c r="V68" i="84"/>
  <c r="J72" i="84"/>
  <c r="R73" i="84"/>
  <c r="X75" i="84"/>
  <c r="Z75" i="84" s="1"/>
  <c r="V80" i="84"/>
  <c r="V84" i="84"/>
  <c r="X87" i="84"/>
  <c r="J92" i="84"/>
  <c r="V98" i="84"/>
  <c r="J38" i="85"/>
  <c r="J42" i="85"/>
  <c r="J46" i="85"/>
  <c r="J50" i="85"/>
  <c r="T53" i="85"/>
  <c r="V66" i="85"/>
  <c r="V70" i="85"/>
  <c r="V74" i="85"/>
  <c r="J78" i="85"/>
  <c r="V82" i="85"/>
  <c r="J88" i="85"/>
  <c r="V94" i="85"/>
  <c r="J100" i="85"/>
  <c r="V102" i="85"/>
  <c r="J106" i="85"/>
  <c r="V110" i="85"/>
  <c r="V114" i="85"/>
  <c r="J118" i="85"/>
  <c r="V122" i="85"/>
  <c r="J27" i="86"/>
  <c r="L12" i="88"/>
  <c r="J29" i="88"/>
  <c r="J33" i="88"/>
  <c r="F38" i="88"/>
  <c r="F42" i="88"/>
  <c r="J46" i="88"/>
  <c r="X66" i="88"/>
  <c r="X70" i="88"/>
  <c r="Z70" i="88" s="1"/>
  <c r="J72" i="88"/>
  <c r="J95" i="88"/>
  <c r="F23" i="89"/>
  <c r="R36" i="89"/>
  <c r="R58" i="89"/>
  <c r="Z62" i="89"/>
  <c r="V83" i="89"/>
  <c r="P12" i="93"/>
  <c r="X13" i="93"/>
  <c r="Z13" i="93" s="1"/>
  <c r="X12" i="84"/>
  <c r="Z12" i="84" s="1"/>
  <c r="V25" i="84"/>
  <c r="V29" i="84"/>
  <c r="V33" i="84"/>
  <c r="J37" i="84"/>
  <c r="R38" i="84"/>
  <c r="J41" i="84"/>
  <c r="R42" i="84"/>
  <c r="J45" i="84"/>
  <c r="V49" i="84"/>
  <c r="V57" i="84"/>
  <c r="J65" i="84"/>
  <c r="L66" i="84"/>
  <c r="N66" i="84" s="1"/>
  <c r="V73" i="84"/>
  <c r="V85" i="84"/>
  <c r="J91" i="84"/>
  <c r="V35" i="85"/>
  <c r="V39" i="85"/>
  <c r="V43" i="85"/>
  <c r="V47" i="85"/>
  <c r="V51" i="85"/>
  <c r="V53" i="85"/>
  <c r="V55" i="85"/>
  <c r="J59" i="85"/>
  <c r="J63" i="85"/>
  <c r="J77" i="85"/>
  <c r="X82" i="85"/>
  <c r="Z82" i="85" s="1"/>
  <c r="J87" i="85"/>
  <c r="V91" i="85"/>
  <c r="X94" i="85"/>
  <c r="Z94" i="85" s="1"/>
  <c r="J99" i="85"/>
  <c r="V103" i="85"/>
  <c r="J117" i="85"/>
  <c r="V119" i="85"/>
  <c r="J127" i="85"/>
  <c r="J26" i="86"/>
  <c r="N12" i="88"/>
  <c r="F19" i="88"/>
  <c r="J38" i="88"/>
  <c r="J42" i="88"/>
  <c r="J51" i="88"/>
  <c r="J65" i="88"/>
  <c r="Z66" i="88"/>
  <c r="L72" i="88"/>
  <c r="F74" i="88"/>
  <c r="J79" i="88"/>
  <c r="H91" i="89"/>
  <c r="F51" i="89"/>
  <c r="V69" i="89"/>
  <c r="J47" i="94"/>
  <c r="V30" i="83"/>
  <c r="J18" i="84"/>
  <c r="R19" i="84"/>
  <c r="V38" i="84"/>
  <c r="V42" i="84"/>
  <c r="R47" i="84"/>
  <c r="R48" i="84"/>
  <c r="V50" i="84"/>
  <c r="J54" i="84"/>
  <c r="R55" i="84"/>
  <c r="R56" i="84"/>
  <c r="J64" i="84"/>
  <c r="R67" i="84"/>
  <c r="J78" i="84"/>
  <c r="R79" i="84"/>
  <c r="J82" i="84"/>
  <c r="R83" i="84"/>
  <c r="R94" i="84"/>
  <c r="V56" i="85"/>
  <c r="V60" i="85"/>
  <c r="V64" i="85"/>
  <c r="J68" i="85"/>
  <c r="J72" i="85"/>
  <c r="J76" i="85"/>
  <c r="V80" i="85"/>
  <c r="J86" i="85"/>
  <c r="V92" i="85"/>
  <c r="J98" i="85"/>
  <c r="V108" i="85"/>
  <c r="J112" i="85"/>
  <c r="F28" i="88"/>
  <c r="F32" i="88"/>
  <c r="F45" i="88"/>
  <c r="Z56" i="88"/>
  <c r="N60" i="88"/>
  <c r="J69" i="88"/>
  <c r="F87" i="88"/>
  <c r="X18" i="89"/>
  <c r="Z18" i="89" s="1"/>
  <c r="J23" i="89"/>
  <c r="L26" i="89"/>
  <c r="N26" i="89" s="1"/>
  <c r="R43" i="89"/>
  <c r="V58" i="89"/>
  <c r="R73" i="89"/>
  <c r="J28" i="89"/>
  <c r="J32" i="89"/>
  <c r="J37" i="89"/>
  <c r="J43" i="89"/>
  <c r="J46" i="89"/>
  <c r="J53" i="89"/>
  <c r="J70" i="89"/>
  <c r="X85" i="89"/>
  <c r="J91" i="89"/>
  <c r="X12" i="92"/>
  <c r="Z14" i="92"/>
  <c r="V20" i="92"/>
  <c r="J24" i="92"/>
  <c r="V27" i="92"/>
  <c r="V30" i="92"/>
  <c r="V32" i="92"/>
  <c r="X41" i="92"/>
  <c r="Z41" i="92" s="1"/>
  <c r="L43" i="92"/>
  <c r="N43" i="92" s="1"/>
  <c r="F20" i="93"/>
  <c r="Z25" i="94"/>
  <c r="D93" i="95"/>
  <c r="J69" i="89"/>
  <c r="J73" i="89"/>
  <c r="J77" i="89"/>
  <c r="J82" i="89"/>
  <c r="V36" i="92"/>
  <c r="Z43" i="92"/>
  <c r="J76" i="92"/>
  <c r="V84" i="92"/>
  <c r="Z24" i="93"/>
  <c r="F30" i="93"/>
  <c r="L48" i="93"/>
  <c r="N48" i="93" s="1"/>
  <c r="L56" i="93"/>
  <c r="J26" i="89"/>
  <c r="J39" i="89"/>
  <c r="J42" i="89"/>
  <c r="J45" i="89"/>
  <c r="J56" i="89"/>
  <c r="J81" i="89"/>
  <c r="J16" i="92"/>
  <c r="Z19" i="92"/>
  <c r="J28" i="92"/>
  <c r="J31" i="92"/>
  <c r="R40" i="92"/>
  <c r="V48" i="92"/>
  <c r="R53" i="92"/>
  <c r="X60" i="92"/>
  <c r="Z60" i="92" s="1"/>
  <c r="J64" i="92"/>
  <c r="X72" i="92"/>
  <c r="Z72" i="92" s="1"/>
  <c r="Z91" i="92"/>
  <c r="N58" i="93"/>
  <c r="J58" i="93"/>
  <c r="N60" i="93"/>
  <c r="L47" i="94"/>
  <c r="N47" i="94" s="1"/>
  <c r="J30" i="89"/>
  <c r="J34" i="89"/>
  <c r="Z66" i="89"/>
  <c r="J72" i="89"/>
  <c r="J75" i="89"/>
  <c r="J35" i="92"/>
  <c r="V42" i="92"/>
  <c r="V47" i="92"/>
  <c r="V56" i="92"/>
  <c r="J58" i="92"/>
  <c r="V59" i="92"/>
  <c r="J70" i="92"/>
  <c r="V71" i="92"/>
  <c r="V76" i="92"/>
  <c r="F25" i="93"/>
  <c r="Z52" i="93"/>
  <c r="F74" i="93"/>
  <c r="N78" i="93"/>
  <c r="N80" i="93"/>
  <c r="Z36" i="94"/>
  <c r="N53" i="94"/>
  <c r="L53" i="94"/>
  <c r="J53" i="94"/>
  <c r="N80" i="94"/>
  <c r="L80" i="94"/>
  <c r="J80" i="89"/>
  <c r="J87" i="89"/>
  <c r="T16" i="92"/>
  <c r="N30" i="92"/>
  <c r="V50" i="92"/>
  <c r="V66" i="92"/>
  <c r="H85" i="93"/>
  <c r="J85" i="93" s="1"/>
  <c r="X62" i="93"/>
  <c r="F68" i="93"/>
  <c r="T83" i="94"/>
  <c r="Z47" i="94"/>
  <c r="N81" i="95"/>
  <c r="J38" i="89"/>
  <c r="J41" i="89"/>
  <c r="J49" i="89"/>
  <c r="J93" i="92"/>
  <c r="J84" i="92"/>
  <c r="J72" i="92"/>
  <c r="J66" i="92"/>
  <c r="J60" i="92"/>
  <c r="J48" i="92"/>
  <c r="J42" i="92"/>
  <c r="J95" i="92"/>
  <c r="J85" i="92"/>
  <c r="J77" i="92"/>
  <c r="J73" i="92"/>
  <c r="J61" i="92"/>
  <c r="J49" i="92"/>
  <c r="J43" i="92"/>
  <c r="J37" i="92"/>
  <c r="J33" i="92"/>
  <c r="J19" i="92"/>
  <c r="J97" i="92"/>
  <c r="J67" i="92"/>
  <c r="J51" i="92"/>
  <c r="J86" i="92"/>
  <c r="J78" i="92"/>
  <c r="J74" i="92"/>
  <c r="J62" i="92"/>
  <c r="J52" i="92"/>
  <c r="J38" i="92"/>
  <c r="J34" i="92"/>
  <c r="J102" i="92"/>
  <c r="J99" i="92"/>
  <c r="J53" i="92"/>
  <c r="J45" i="92"/>
  <c r="J29" i="92"/>
  <c r="J25" i="92"/>
  <c r="J21" i="92"/>
  <c r="J87" i="92"/>
  <c r="J79" i="92"/>
  <c r="J89" i="92"/>
  <c r="J81" i="92"/>
  <c r="J69" i="92"/>
  <c r="J65" i="92"/>
  <c r="J57" i="92"/>
  <c r="J92" i="92"/>
  <c r="J91" i="92"/>
  <c r="J83" i="92"/>
  <c r="J71" i="92"/>
  <c r="J59" i="92"/>
  <c r="J47" i="92"/>
  <c r="J41" i="92"/>
  <c r="J27" i="92"/>
  <c r="J23" i="92"/>
  <c r="L12" i="92"/>
  <c r="V16" i="92"/>
  <c r="V23" i="92"/>
  <c r="J30" i="92"/>
  <c r="J32" i="92"/>
  <c r="F38" i="93"/>
  <c r="Z62" i="93"/>
  <c r="V62" i="93"/>
  <c r="F65" i="93"/>
  <c r="D12" i="94"/>
  <c r="L13" i="94"/>
  <c r="N13" i="94" s="1"/>
  <c r="X51" i="94"/>
  <c r="Z51" i="94" s="1"/>
  <c r="Z53" i="94"/>
  <c r="Z67" i="95"/>
  <c r="X67" i="95"/>
  <c r="H102" i="96"/>
  <c r="Z56" i="89"/>
  <c r="N54" i="92"/>
  <c r="L54" i="92"/>
  <c r="N59" i="94"/>
  <c r="L59" i="94"/>
  <c r="J59" i="94"/>
  <c r="N25" i="95"/>
  <c r="L25" i="95"/>
  <c r="L53" i="95"/>
  <c r="N53" i="95" s="1"/>
  <c r="J68" i="89"/>
  <c r="J62" i="89"/>
  <c r="J52" i="89"/>
  <c r="J44" i="89"/>
  <c r="J40" i="89"/>
  <c r="J78" i="89"/>
  <c r="J60" i="89"/>
  <c r="J50" i="89"/>
  <c r="J54" i="89"/>
  <c r="J67" i="89"/>
  <c r="R97" i="92"/>
  <c r="R67" i="92"/>
  <c r="R52" i="92"/>
  <c r="R51" i="92"/>
  <c r="R102" i="92"/>
  <c r="R99" i="92"/>
  <c r="R86" i="92"/>
  <c r="R78" i="92"/>
  <c r="R74" i="92"/>
  <c r="R62" i="92"/>
  <c r="R38" i="92"/>
  <c r="R34" i="92"/>
  <c r="R68" i="92"/>
  <c r="R88" i="92"/>
  <c r="R87" i="92"/>
  <c r="R80" i="92"/>
  <c r="R79" i="92"/>
  <c r="R75" i="92"/>
  <c r="R64" i="92"/>
  <c r="R63" i="92"/>
  <c r="R56" i="92"/>
  <c r="R55" i="92"/>
  <c r="R39" i="92"/>
  <c r="R35" i="92"/>
  <c r="R31" i="92"/>
  <c r="R46" i="92"/>
  <c r="R26" i="92"/>
  <c r="R22" i="92"/>
  <c r="R92" i="92"/>
  <c r="R91" i="92"/>
  <c r="R95" i="92"/>
  <c r="R66" i="92"/>
  <c r="R43" i="92"/>
  <c r="R42" i="92"/>
  <c r="R19" i="92"/>
  <c r="R44" i="92"/>
  <c r="R28" i="92"/>
  <c r="R24" i="92"/>
  <c r="R20" i="92"/>
  <c r="P16" i="92"/>
  <c r="V14" i="92"/>
  <c r="R25" i="92"/>
  <c r="R30" i="92"/>
  <c r="J36" i="92"/>
  <c r="N41" i="92"/>
  <c r="V44" i="92"/>
  <c r="J54" i="92"/>
  <c r="R58" i="92"/>
  <c r="R61" i="92"/>
  <c r="R70" i="92"/>
  <c r="R73" i="92"/>
  <c r="R82" i="92"/>
  <c r="P12" i="94"/>
  <c r="X57" i="94"/>
  <c r="P12" i="95"/>
  <c r="X13" i="95"/>
  <c r="Z13" i="95" s="1"/>
  <c r="J47" i="89"/>
  <c r="J58" i="89"/>
  <c r="J63" i="89"/>
  <c r="J74" i="89"/>
  <c r="J83" i="89"/>
  <c r="V86" i="92"/>
  <c r="V78" i="92"/>
  <c r="V74" i="92"/>
  <c r="V62" i="92"/>
  <c r="V54" i="92"/>
  <c r="V38" i="92"/>
  <c r="V53" i="92"/>
  <c r="V45" i="92"/>
  <c r="V29" i="92"/>
  <c r="V25" i="92"/>
  <c r="V21" i="92"/>
  <c r="V88" i="92"/>
  <c r="V80" i="92"/>
  <c r="V68" i="92"/>
  <c r="V64" i="92"/>
  <c r="V87" i="92"/>
  <c r="V79" i="92"/>
  <c r="V75" i="92"/>
  <c r="V63" i="92"/>
  <c r="V55" i="92"/>
  <c r="V39" i="92"/>
  <c r="V35" i="92"/>
  <c r="V31" i="92"/>
  <c r="V82" i="92"/>
  <c r="V70" i="92"/>
  <c r="V58" i="92"/>
  <c r="V46" i="92"/>
  <c r="V26" i="92"/>
  <c r="V22" i="92"/>
  <c r="V91" i="92"/>
  <c r="V89" i="92"/>
  <c r="V81" i="92"/>
  <c r="V69" i="92"/>
  <c r="V65" i="92"/>
  <c r="V57" i="92"/>
  <c r="V41" i="92"/>
  <c r="V95" i="92"/>
  <c r="V93" i="92"/>
  <c r="V83" i="92"/>
  <c r="V85" i="92"/>
  <c r="V77" i="92"/>
  <c r="V73" i="92"/>
  <c r="V61" i="92"/>
  <c r="V49" i="92"/>
  <c r="V37" i="92"/>
  <c r="V33" i="92"/>
  <c r="V102" i="92"/>
  <c r="V99" i="92"/>
  <c r="V97" i="92"/>
  <c r="V67" i="92"/>
  <c r="V51" i="92"/>
  <c r="L18" i="92"/>
  <c r="N18" i="92" s="1"/>
  <c r="F44" i="93"/>
  <c r="F40" i="93"/>
  <c r="F36" i="93"/>
  <c r="F35" i="93"/>
  <c r="D22" i="93"/>
  <c r="F75" i="93"/>
  <c r="F63" i="93"/>
  <c r="F62" i="93"/>
  <c r="F31" i="93"/>
  <c r="F27" i="93"/>
  <c r="F83" i="93"/>
  <c r="F70" i="93"/>
  <c r="F54" i="93"/>
  <c r="F87" i="93"/>
  <c r="F45" i="93"/>
  <c r="F41" i="93"/>
  <c r="F37" i="93"/>
  <c r="F76" i="93"/>
  <c r="F72" i="93"/>
  <c r="F71" i="93"/>
  <c r="F64" i="93"/>
  <c r="F32" i="93"/>
  <c r="F28" i="93"/>
  <c r="L12" i="93"/>
  <c r="N12" i="93" s="1"/>
  <c r="F55" i="93"/>
  <c r="F47" i="93"/>
  <c r="F46" i="93"/>
  <c r="F19" i="93"/>
  <c r="F18" i="93"/>
  <c r="F77" i="93"/>
  <c r="F73" i="93"/>
  <c r="F57" i="93"/>
  <c r="F56" i="93"/>
  <c r="F49" i="93"/>
  <c r="F48" i="93"/>
  <c r="F33" i="93"/>
  <c r="F29" i="93"/>
  <c r="F79" i="93"/>
  <c r="F78" i="93"/>
  <c r="F59" i="93"/>
  <c r="F58" i="93"/>
  <c r="F51" i="93"/>
  <c r="F50" i="93"/>
  <c r="F43" i="93"/>
  <c r="F39" i="93"/>
  <c r="F81" i="93"/>
  <c r="F80" i="93"/>
  <c r="F69" i="93"/>
  <c r="F61" i="93"/>
  <c r="F60" i="93"/>
  <c r="F53" i="93"/>
  <c r="F52" i="93"/>
  <c r="F24" i="93"/>
  <c r="F22" i="93"/>
  <c r="N24" i="93"/>
  <c r="F42" i="93"/>
  <c r="F67" i="93"/>
  <c r="F32" i="92"/>
  <c r="F36" i="92"/>
  <c r="F40" i="92"/>
  <c r="F76" i="92"/>
  <c r="V28" i="93"/>
  <c r="V32" i="93"/>
  <c r="J36" i="93"/>
  <c r="J40" i="93"/>
  <c r="J44" i="93"/>
  <c r="V48" i="93"/>
  <c r="Z50" i="93"/>
  <c r="V56" i="93"/>
  <c r="Z58" i="93"/>
  <c r="J62" i="93"/>
  <c r="V64" i="93"/>
  <c r="V72" i="93"/>
  <c r="V76" i="93"/>
  <c r="V19" i="94"/>
  <c r="J23" i="94"/>
  <c r="J25" i="94"/>
  <c r="J27" i="94"/>
  <c r="J31" i="94"/>
  <c r="J35" i="94"/>
  <c r="V47" i="94"/>
  <c r="V53" i="94"/>
  <c r="V59" i="94"/>
  <c r="V63" i="94"/>
  <c r="V69" i="94"/>
  <c r="J85" i="94"/>
  <c r="V84" i="95"/>
  <c r="V82" i="95"/>
  <c r="V76" i="95"/>
  <c r="V72" i="95"/>
  <c r="V77" i="95"/>
  <c r="V73" i="95"/>
  <c r="V81" i="95"/>
  <c r="V68" i="95"/>
  <c r="V60" i="95"/>
  <c r="V78" i="95"/>
  <c r="V59" i="95"/>
  <c r="V51" i="95"/>
  <c r="V43" i="95"/>
  <c r="V39" i="95"/>
  <c r="V79" i="95"/>
  <c r="V62" i="95"/>
  <c r="V50" i="95"/>
  <c r="V52" i="95"/>
  <c r="V44" i="95"/>
  <c r="V40" i="95"/>
  <c r="V36" i="95"/>
  <c r="T23" i="95"/>
  <c r="V88" i="95"/>
  <c r="V63" i="95"/>
  <c r="V74" i="95"/>
  <c r="V54" i="95"/>
  <c r="V18" i="95"/>
  <c r="V65" i="95"/>
  <c r="V45" i="95"/>
  <c r="V41" i="95"/>
  <c r="V37" i="95"/>
  <c r="V67" i="95"/>
  <c r="V55" i="95"/>
  <c r="V47" i="95"/>
  <c r="V19" i="95"/>
  <c r="V69" i="95"/>
  <c r="V57" i="95"/>
  <c r="V49" i="95"/>
  <c r="V33" i="95"/>
  <c r="V29" i="95"/>
  <c r="F19" i="95"/>
  <c r="F21" i="95"/>
  <c r="J26" i="95"/>
  <c r="J28" i="95"/>
  <c r="J32" i="95"/>
  <c r="F37" i="95"/>
  <c r="F42" i="95"/>
  <c r="V56" i="95"/>
  <c r="V58" i="95"/>
  <c r="F62" i="95"/>
  <c r="V80" i="95"/>
  <c r="X48" i="96"/>
  <c r="Z48" i="96" s="1"/>
  <c r="V89" i="98"/>
  <c r="V77" i="98"/>
  <c r="V65" i="98"/>
  <c r="V45" i="98"/>
  <c r="V41" i="98"/>
  <c r="V37" i="98"/>
  <c r="V88" i="98"/>
  <c r="V72" i="98"/>
  <c r="V64" i="98"/>
  <c r="V32" i="98"/>
  <c r="V28" i="98"/>
  <c r="V73" i="98"/>
  <c r="V57" i="98"/>
  <c r="V49" i="98"/>
  <c r="V33" i="98"/>
  <c r="V29" i="98"/>
  <c r="V94" i="98"/>
  <c r="V92" i="98"/>
  <c r="V84" i="98"/>
  <c r="V80" i="98"/>
  <c r="V68" i="98"/>
  <c r="V56" i="98"/>
  <c r="V48" i="98"/>
  <c r="V74" i="98"/>
  <c r="V58" i="98"/>
  <c r="V50" i="98"/>
  <c r="V34" i="98"/>
  <c r="V30" i="98"/>
  <c r="V26" i="98"/>
  <c r="V87" i="98"/>
  <c r="V75" i="98"/>
  <c r="V63" i="98"/>
  <c r="V35" i="98"/>
  <c r="V31" i="98"/>
  <c r="V27" i="98"/>
  <c r="V86" i="98"/>
  <c r="V46" i="98"/>
  <c r="V42" i="98"/>
  <c r="V70" i="98"/>
  <c r="V62" i="98"/>
  <c r="V54" i="98"/>
  <c r="T23" i="98"/>
  <c r="V52" i="98"/>
  <c r="V47" i="98"/>
  <c r="V90" i="98"/>
  <c r="V82" i="98"/>
  <c r="V76" i="98"/>
  <c r="V60" i="98"/>
  <c r="V18" i="98"/>
  <c r="V78" i="98"/>
  <c r="V66" i="98"/>
  <c r="V43" i="98"/>
  <c r="V39" i="98"/>
  <c r="V25" i="98"/>
  <c r="V98" i="98"/>
  <c r="V91" i="98"/>
  <c r="V71" i="98"/>
  <c r="V61" i="98"/>
  <c r="V55" i="98"/>
  <c r="V53" i="98"/>
  <c r="V85" i="98"/>
  <c r="V51" i="98"/>
  <c r="V67" i="98"/>
  <c r="V44" i="98"/>
  <c r="V38" i="98"/>
  <c r="V83" i="98"/>
  <c r="V81" i="98"/>
  <c r="V59" i="98"/>
  <c r="V40" i="98"/>
  <c r="V20" i="98"/>
  <c r="V69" i="98"/>
  <c r="V21" i="98"/>
  <c r="V36" i="98"/>
  <c r="J22" i="93"/>
  <c r="J24" i="93"/>
  <c r="J26" i="93"/>
  <c r="J30" i="93"/>
  <c r="J34" i="93"/>
  <c r="J52" i="93"/>
  <c r="J60" i="93"/>
  <c r="J74" i="93"/>
  <c r="J80" i="93"/>
  <c r="V37" i="94"/>
  <c r="V41" i="94"/>
  <c r="V45" i="94"/>
  <c r="Z66" i="94"/>
  <c r="J76" i="94"/>
  <c r="N47" i="95"/>
  <c r="L51" i="95"/>
  <c r="N51" i="95" s="1"/>
  <c r="X35" i="96"/>
  <c r="Z35" i="96" s="1"/>
  <c r="J78" i="93"/>
  <c r="V31" i="94"/>
  <c r="V35" i="94"/>
  <c r="V51" i="94"/>
  <c r="V57" i="94"/>
  <c r="V65" i="94"/>
  <c r="V73" i="94"/>
  <c r="V77" i="94"/>
  <c r="Z62" i="95"/>
  <c r="N77" i="96"/>
  <c r="N57" i="98"/>
  <c r="L57" i="98"/>
  <c r="X84" i="92"/>
  <c r="Z84" i="92" s="1"/>
  <c r="J38" i="93"/>
  <c r="J42" i="93"/>
  <c r="J48" i="93"/>
  <c r="J56" i="93"/>
  <c r="J66" i="93"/>
  <c r="L67" i="93"/>
  <c r="N67" i="93" s="1"/>
  <c r="V21" i="94"/>
  <c r="V23" i="94"/>
  <c r="V25" i="94"/>
  <c r="X36" i="94"/>
  <c r="J75" i="94"/>
  <c r="V80" i="94"/>
  <c r="L86" i="95"/>
  <c r="Z47" i="95"/>
  <c r="F67" i="92"/>
  <c r="F97" i="92"/>
  <c r="J19" i="93"/>
  <c r="J47" i="93"/>
  <c r="V51" i="93"/>
  <c r="J55" i="93"/>
  <c r="V59" i="93"/>
  <c r="J65" i="93"/>
  <c r="V79" i="93"/>
  <c r="J74" i="94"/>
  <c r="J64" i="94"/>
  <c r="J56" i="94"/>
  <c r="J78" i="94"/>
  <c r="J50" i="94"/>
  <c r="J81" i="94"/>
  <c r="J80" i="94"/>
  <c r="J72" i="94"/>
  <c r="J68" i="94"/>
  <c r="J62" i="94"/>
  <c r="X13" i="94"/>
  <c r="Z13" i="94" s="1"/>
  <c r="V26" i="94"/>
  <c r="V30" i="94"/>
  <c r="V34" i="94"/>
  <c r="J38" i="94"/>
  <c r="J42" i="94"/>
  <c r="J46" i="94"/>
  <c r="J63" i="94"/>
  <c r="N23" i="95"/>
  <c r="F38" i="95"/>
  <c r="X49" i="95"/>
  <c r="Z49" i="95" s="1"/>
  <c r="V53" i="95"/>
  <c r="L56" i="95"/>
  <c r="H86" i="95"/>
  <c r="X91" i="96"/>
  <c r="F95" i="92"/>
  <c r="J18" i="93"/>
  <c r="J28" i="93"/>
  <c r="J32" i="93"/>
  <c r="J46" i="93"/>
  <c r="J64" i="93"/>
  <c r="J72" i="93"/>
  <c r="J76" i="93"/>
  <c r="V39" i="94"/>
  <c r="V43" i="94"/>
  <c r="V64" i="94"/>
  <c r="J88" i="96"/>
  <c r="J84" i="96"/>
  <c r="J68" i="96"/>
  <c r="J58" i="96"/>
  <c r="J50" i="96"/>
  <c r="J99" i="96"/>
  <c r="J90" i="96"/>
  <c r="J80" i="96"/>
  <c r="J74" i="96"/>
  <c r="J60" i="96"/>
  <c r="J52" i="96"/>
  <c r="J34" i="96"/>
  <c r="J30" i="96"/>
  <c r="J26" i="96"/>
  <c r="J24" i="96"/>
  <c r="J22" i="96"/>
  <c r="J92" i="96"/>
  <c r="J62" i="96"/>
  <c r="J44" i="96"/>
  <c r="J40" i="96"/>
  <c r="J36" i="96"/>
  <c r="J93" i="96"/>
  <c r="J75" i="96"/>
  <c r="J63" i="96"/>
  <c r="J102" i="96"/>
  <c r="J94" i="96"/>
  <c r="J86" i="96"/>
  <c r="J82" i="96"/>
  <c r="J70" i="96"/>
  <c r="J64" i="96"/>
  <c r="J54" i="96"/>
  <c r="J71" i="96"/>
  <c r="J65" i="96"/>
  <c r="J45" i="96"/>
  <c r="J41" i="96"/>
  <c r="J37" i="96"/>
  <c r="J97" i="96"/>
  <c r="J73" i="96"/>
  <c r="J57" i="96"/>
  <c r="J49" i="96"/>
  <c r="J33" i="96"/>
  <c r="J29" i="96"/>
  <c r="J67" i="96"/>
  <c r="J55" i="96"/>
  <c r="J96" i="96"/>
  <c r="J91" i="96"/>
  <c r="J48" i="96"/>
  <c r="J38" i="96"/>
  <c r="J78" i="96"/>
  <c r="J72" i="96"/>
  <c r="J51" i="96"/>
  <c r="J25" i="96"/>
  <c r="J76" i="96"/>
  <c r="J56" i="96"/>
  <c r="J43" i="96"/>
  <c r="J46" i="96"/>
  <c r="J100" i="96"/>
  <c r="J85" i="96"/>
  <c r="J81" i="96"/>
  <c r="J66" i="96"/>
  <c r="J61" i="96"/>
  <c r="J39" i="96"/>
  <c r="J31" i="96"/>
  <c r="J20" i="96"/>
  <c r="J17" i="96"/>
  <c r="J87" i="96"/>
  <c r="J83" i="96"/>
  <c r="N12" i="96"/>
  <c r="J95" i="96"/>
  <c r="J77" i="96"/>
  <c r="J104" i="96"/>
  <c r="J53" i="96"/>
  <c r="J35" i="96"/>
  <c r="J71" i="93"/>
  <c r="V77" i="93"/>
  <c r="J87" i="93"/>
  <c r="V20" i="94"/>
  <c r="J28" i="94"/>
  <c r="J32" i="94"/>
  <c r="V49" i="94"/>
  <c r="V55" i="94"/>
  <c r="V67" i="94"/>
  <c r="J69" i="94"/>
  <c r="J71" i="94"/>
  <c r="V72" i="94"/>
  <c r="V75" i="94"/>
  <c r="F93" i="95"/>
  <c r="F90" i="95"/>
  <c r="F82" i="95"/>
  <c r="F81" i="95"/>
  <c r="F70" i="95"/>
  <c r="F88" i="95"/>
  <c r="F84" i="95"/>
  <c r="F72" i="95"/>
  <c r="F64" i="95"/>
  <c r="F32" i="95"/>
  <c r="F28" i="95"/>
  <c r="L12" i="95"/>
  <c r="N12" i="95" s="1"/>
  <c r="F75" i="95"/>
  <c r="F55" i="95"/>
  <c r="F86" i="95"/>
  <c r="F78" i="95"/>
  <c r="F73" i="95"/>
  <c r="F57" i="95"/>
  <c r="F56" i="95"/>
  <c r="F33" i="95"/>
  <c r="F29" i="95"/>
  <c r="F68" i="95"/>
  <c r="F67" i="95"/>
  <c r="F48" i="95"/>
  <c r="F59" i="95"/>
  <c r="F58" i="95"/>
  <c r="F43" i="95"/>
  <c r="F39" i="95"/>
  <c r="F76" i="95"/>
  <c r="F69" i="95"/>
  <c r="F50" i="95"/>
  <c r="F49" i="95"/>
  <c r="F34" i="95"/>
  <c r="F30" i="95"/>
  <c r="F74" i="95"/>
  <c r="F52" i="95"/>
  <c r="F51" i="95"/>
  <c r="F44" i="95"/>
  <c r="F40" i="95"/>
  <c r="F80" i="95"/>
  <c r="F77" i="95"/>
  <c r="F54" i="95"/>
  <c r="F53" i="95"/>
  <c r="F25" i="95"/>
  <c r="F23" i="95"/>
  <c r="V35" i="95"/>
  <c r="X36" i="95"/>
  <c r="Z36" i="95" s="1"/>
  <c r="F45" i="95"/>
  <c r="Z79" i="95"/>
  <c r="F41" i="92"/>
  <c r="F42" i="92"/>
  <c r="F66" i="92"/>
  <c r="F91" i="92"/>
  <c r="V38" i="93"/>
  <c r="V42" i="93"/>
  <c r="V50" i="93"/>
  <c r="J54" i="93"/>
  <c r="V58" i="93"/>
  <c r="V66" i="93"/>
  <c r="J70" i="93"/>
  <c r="V29" i="94"/>
  <c r="V33" i="94"/>
  <c r="J37" i="94"/>
  <c r="J41" i="94"/>
  <c r="J45" i="94"/>
  <c r="J66" i="94"/>
  <c r="N74" i="94"/>
  <c r="J78" i="95"/>
  <c r="J74" i="95"/>
  <c r="J80" i="95"/>
  <c r="J71" i="95"/>
  <c r="J77" i="95"/>
  <c r="J73" i="95"/>
  <c r="J64" i="95"/>
  <c r="J75" i="95"/>
  <c r="J65" i="95"/>
  <c r="J55" i="95"/>
  <c r="J19" i="95"/>
  <c r="J86" i="95"/>
  <c r="J81" i="95"/>
  <c r="J66" i="95"/>
  <c r="J56" i="95"/>
  <c r="J68" i="95"/>
  <c r="J58" i="95"/>
  <c r="J48" i="95"/>
  <c r="J20" i="95"/>
  <c r="J69" i="95"/>
  <c r="J59" i="95"/>
  <c r="J49" i="95"/>
  <c r="J82" i="95"/>
  <c r="J79" i="95"/>
  <c r="J76" i="95"/>
  <c r="J60" i="95"/>
  <c r="J50" i="95"/>
  <c r="J34" i="95"/>
  <c r="J30" i="95"/>
  <c r="J70" i="95"/>
  <c r="J61" i="95"/>
  <c r="J51" i="95"/>
  <c r="J21" i="95"/>
  <c r="J63" i="95"/>
  <c r="J53" i="95"/>
  <c r="J35" i="95"/>
  <c r="J31" i="95"/>
  <c r="J27" i="95"/>
  <c r="J25" i="95"/>
  <c r="J23" i="95"/>
  <c r="J72" i="95"/>
  <c r="J45" i="95"/>
  <c r="J41" i="95"/>
  <c r="J37" i="95"/>
  <c r="V23" i="95"/>
  <c r="F26" i="95"/>
  <c r="J40" i="95"/>
  <c r="V48" i="95"/>
  <c r="J54" i="95"/>
  <c r="F60" i="95"/>
  <c r="X65" i="95"/>
  <c r="Z65" i="95" s="1"/>
  <c r="J67" i="95"/>
  <c r="F71" i="95"/>
  <c r="J18" i="96"/>
  <c r="J63" i="93"/>
  <c r="J75" i="93"/>
  <c r="J83" i="93"/>
  <c r="V76" i="94"/>
  <c r="V60" i="94"/>
  <c r="V48" i="94"/>
  <c r="V83" i="94"/>
  <c r="V81" i="94"/>
  <c r="V74" i="94"/>
  <c r="V62" i="94"/>
  <c r="V54" i="94"/>
  <c r="V70" i="94"/>
  <c r="V66" i="94"/>
  <c r="V58" i="94"/>
  <c r="H83" i="94"/>
  <c r="J83" i="94" s="1"/>
  <c r="V38" i="94"/>
  <c r="V42" i="94"/>
  <c r="V46" i="94"/>
  <c r="V52" i="94"/>
  <c r="J77" i="94"/>
  <c r="J27" i="96"/>
  <c r="J32" i="96"/>
  <c r="J69" i="96"/>
  <c r="V19" i="96"/>
  <c r="D22" i="96"/>
  <c r="X24" i="96"/>
  <c r="Z24" i="96" s="1"/>
  <c r="F27" i="96"/>
  <c r="V30" i="96"/>
  <c r="F32" i="96"/>
  <c r="F47" i="96"/>
  <c r="L50" i="96"/>
  <c r="N62" i="96"/>
  <c r="Z89" i="96"/>
  <c r="F104" i="96"/>
  <c r="F97" i="96"/>
  <c r="F96" i="96"/>
  <c r="F73" i="96"/>
  <c r="F57" i="96"/>
  <c r="F56" i="96"/>
  <c r="F49" i="96"/>
  <c r="F48" i="96"/>
  <c r="F79" i="96"/>
  <c r="F59" i="96"/>
  <c r="F58" i="96"/>
  <c r="F51" i="96"/>
  <c r="F50" i="96"/>
  <c r="F43" i="96"/>
  <c r="F39" i="96"/>
  <c r="F100" i="96"/>
  <c r="F99" i="96"/>
  <c r="F85" i="96"/>
  <c r="F81" i="96"/>
  <c r="F80" i="96"/>
  <c r="F69" i="96"/>
  <c r="F61" i="96"/>
  <c r="F60" i="96"/>
  <c r="F53" i="96"/>
  <c r="F52" i="96"/>
  <c r="F24" i="96"/>
  <c r="F22" i="96"/>
  <c r="F92" i="96"/>
  <c r="F91" i="96"/>
  <c r="F75" i="96"/>
  <c r="F63" i="96"/>
  <c r="F62" i="96"/>
  <c r="F94" i="96"/>
  <c r="F93" i="96"/>
  <c r="F86" i="96"/>
  <c r="F82" i="96"/>
  <c r="F70" i="96"/>
  <c r="F54" i="96"/>
  <c r="F18" i="96"/>
  <c r="F17" i="96"/>
  <c r="F78" i="96"/>
  <c r="F77" i="96"/>
  <c r="F42" i="96"/>
  <c r="F38" i="96"/>
  <c r="L12" i="96"/>
  <c r="F29" i="96"/>
  <c r="F34" i="96"/>
  <c r="V40" i="96"/>
  <c r="Z60" i="96"/>
  <c r="X60" i="96"/>
  <c r="F64" i="96"/>
  <c r="X80" i="96"/>
  <c r="Z80" i="96" s="1"/>
  <c r="F90" i="96"/>
  <c r="V91" i="96"/>
  <c r="Z96" i="96"/>
  <c r="V99" i="96"/>
  <c r="P57" i="99"/>
  <c r="F20" i="96"/>
  <c r="V27" i="96"/>
  <c r="F31" i="96"/>
  <c r="V35" i="96"/>
  <c r="V42" i="96"/>
  <c r="F46" i="96"/>
  <c r="V47" i="96"/>
  <c r="V62" i="96"/>
  <c r="X64" i="96"/>
  <c r="Z64" i="96" s="1"/>
  <c r="L66" i="96"/>
  <c r="N66" i="96" s="1"/>
  <c r="V90" i="96"/>
  <c r="P12" i="96"/>
  <c r="T22" i="96"/>
  <c r="F26" i="96"/>
  <c r="V34" i="96"/>
  <c r="Z50" i="96"/>
  <c r="N52" i="96"/>
  <c r="F68" i="96"/>
  <c r="V92" i="96"/>
  <c r="V64" i="96"/>
  <c r="V44" i="96"/>
  <c r="V94" i="96"/>
  <c r="V86" i="96"/>
  <c r="V82" i="96"/>
  <c r="V70" i="96"/>
  <c r="V66" i="96"/>
  <c r="V54" i="96"/>
  <c r="V46" i="96"/>
  <c r="V18" i="96"/>
  <c r="V96" i="96"/>
  <c r="V76" i="96"/>
  <c r="V72" i="96"/>
  <c r="V56" i="96"/>
  <c r="V48" i="96"/>
  <c r="V32" i="96"/>
  <c r="V28" i="96"/>
  <c r="V95" i="96"/>
  <c r="V87" i="96"/>
  <c r="V83" i="96"/>
  <c r="V67" i="96"/>
  <c r="V104" i="96"/>
  <c r="V78" i="96"/>
  <c r="V58" i="96"/>
  <c r="V97" i="96"/>
  <c r="V89" i="96"/>
  <c r="V73" i="96"/>
  <c r="V57" i="96"/>
  <c r="V49" i="96"/>
  <c r="V33" i="96"/>
  <c r="V29" i="96"/>
  <c r="V25" i="96"/>
  <c r="V100" i="96"/>
  <c r="V93" i="96"/>
  <c r="V85" i="96"/>
  <c r="V81" i="96"/>
  <c r="V69" i="96"/>
  <c r="V61" i="96"/>
  <c r="V53" i="96"/>
  <c r="V17" i="96"/>
  <c r="V22" i="96"/>
  <c r="V37" i="96"/>
  <c r="V50" i="96"/>
  <c r="V59" i="96"/>
  <c r="V77" i="96"/>
  <c r="V79" i="96"/>
  <c r="F89" i="96"/>
  <c r="Z26" i="98"/>
  <c r="X26" i="98"/>
  <c r="Z71" i="95"/>
  <c r="L81" i="95"/>
  <c r="F19" i="96"/>
  <c r="F25" i="96"/>
  <c r="F28" i="96"/>
  <c r="F33" i="96"/>
  <c r="F36" i="96"/>
  <c r="Z66" i="96"/>
  <c r="F74" i="96"/>
  <c r="X99" i="96"/>
  <c r="H23" i="98"/>
  <c r="N18" i="98"/>
  <c r="L24" i="101"/>
  <c r="N24" i="101"/>
  <c r="V20" i="96"/>
  <c r="V41" i="96"/>
  <c r="Z46" i="96"/>
  <c r="X52" i="96"/>
  <c r="Z52" i="96" s="1"/>
  <c r="V68" i="96"/>
  <c r="V74" i="96"/>
  <c r="F84" i="96"/>
  <c r="F88" i="96"/>
  <c r="N25" i="98"/>
  <c r="Z47" i="101"/>
  <c r="V47" i="101"/>
  <c r="L84" i="95"/>
  <c r="F35" i="96"/>
  <c r="V43" i="96"/>
  <c r="V52" i="96"/>
  <c r="F55" i="96"/>
  <c r="V63" i="96"/>
  <c r="V65" i="96"/>
  <c r="F67" i="96"/>
  <c r="N80" i="96"/>
  <c r="J25" i="98"/>
  <c r="Z51" i="98"/>
  <c r="V36" i="96"/>
  <c r="V45" i="96"/>
  <c r="Z56" i="96"/>
  <c r="L71" i="96"/>
  <c r="N71" i="96" s="1"/>
  <c r="L12" i="98"/>
  <c r="N12" i="98" s="1"/>
  <c r="F35" i="98"/>
  <c r="L53" i="98"/>
  <c r="N53" i="98" s="1"/>
  <c r="L61" i="98"/>
  <c r="N61" i="98" s="1"/>
  <c r="F64" i="98"/>
  <c r="X72" i="98"/>
  <c r="Z72" i="98" s="1"/>
  <c r="N79" i="98"/>
  <c r="Z12" i="99"/>
  <c r="R25" i="99"/>
  <c r="J27" i="99"/>
  <c r="Z30" i="100"/>
  <c r="Z79" i="98"/>
  <c r="Z89" i="98"/>
  <c r="F98" i="98"/>
  <c r="F46" i="99"/>
  <c r="F45" i="99"/>
  <c r="F37" i="99"/>
  <c r="F36" i="99"/>
  <c r="F41" i="99"/>
  <c r="F40" i="99"/>
  <c r="F33" i="99"/>
  <c r="F43" i="99"/>
  <c r="F42" i="99"/>
  <c r="F44" i="99"/>
  <c r="F29" i="99"/>
  <c r="F25" i="99"/>
  <c r="F30" i="99"/>
  <c r="F26" i="99"/>
  <c r="F38" i="99"/>
  <c r="F17" i="99"/>
  <c r="F16" i="99"/>
  <c r="F52" i="99"/>
  <c r="F27" i="99"/>
  <c r="F23" i="99"/>
  <c r="F22" i="99"/>
  <c r="F48" i="99"/>
  <c r="F28" i="99"/>
  <c r="F24" i="99"/>
  <c r="F21" i="99"/>
  <c r="F32" i="99"/>
  <c r="R46" i="99"/>
  <c r="R53" i="100"/>
  <c r="R41" i="100"/>
  <c r="R40" i="100"/>
  <c r="R36" i="100"/>
  <c r="R32" i="100"/>
  <c r="X12" i="100"/>
  <c r="R55" i="100"/>
  <c r="R27" i="100"/>
  <c r="R23" i="100"/>
  <c r="R60" i="100"/>
  <c r="R57" i="100"/>
  <c r="R20" i="100"/>
  <c r="R15" i="100"/>
  <c r="R30" i="100"/>
  <c r="R29" i="100"/>
  <c r="R25" i="100"/>
  <c r="R21" i="100"/>
  <c r="P17" i="100"/>
  <c r="R50" i="100"/>
  <c r="R37" i="100"/>
  <c r="R47" i="100"/>
  <c r="R24" i="100"/>
  <c r="R22" i="100"/>
  <c r="R44" i="100"/>
  <c r="R51" i="100"/>
  <c r="R38" i="100"/>
  <c r="R35" i="100"/>
  <c r="R19" i="100"/>
  <c r="R48" i="100"/>
  <c r="R45" i="100"/>
  <c r="R14" i="100"/>
  <c r="R42" i="100"/>
  <c r="R33" i="100"/>
  <c r="R46" i="100"/>
  <c r="R39" i="100"/>
  <c r="R34" i="100"/>
  <c r="R31" i="100"/>
  <c r="R26" i="100"/>
  <c r="X25" i="98"/>
  <c r="Z25" i="98" s="1"/>
  <c r="F32" i="98"/>
  <c r="F66" i="98"/>
  <c r="F78" i="98"/>
  <c r="F87" i="98"/>
  <c r="Z91" i="98"/>
  <c r="J21" i="99"/>
  <c r="V22" i="99"/>
  <c r="V27" i="99"/>
  <c r="V39" i="99"/>
  <c r="F60" i="98"/>
  <c r="F73" i="98"/>
  <c r="F90" i="98"/>
  <c r="X94" i="98"/>
  <c r="R52" i="99"/>
  <c r="R57" i="99"/>
  <c r="R54" i="99"/>
  <c r="R42" i="99"/>
  <c r="R41" i="99"/>
  <c r="R33" i="99"/>
  <c r="R45" i="99"/>
  <c r="R30" i="99"/>
  <c r="R26" i="99"/>
  <c r="R38" i="99"/>
  <c r="R31" i="99"/>
  <c r="R22" i="99"/>
  <c r="R17" i="99"/>
  <c r="R39" i="99"/>
  <c r="R35" i="99"/>
  <c r="R32" i="99"/>
  <c r="R48" i="99"/>
  <c r="R43" i="99"/>
  <c r="R40" i="99"/>
  <c r="R50" i="99"/>
  <c r="X12" i="99"/>
  <c r="J26" i="99"/>
  <c r="R29" i="99"/>
  <c r="L14" i="100"/>
  <c r="D23" i="98"/>
  <c r="F27" i="98"/>
  <c r="F52" i="98"/>
  <c r="F75" i="98"/>
  <c r="F31" i="99"/>
  <c r="N14" i="100"/>
  <c r="H17" i="100"/>
  <c r="P12" i="98"/>
  <c r="X13" i="98"/>
  <c r="Z13" i="98" s="1"/>
  <c r="X47" i="98"/>
  <c r="Z47" i="98" s="1"/>
  <c r="D19" i="99"/>
  <c r="R17" i="100"/>
  <c r="F64" i="101"/>
  <c r="F63" i="101"/>
  <c r="F56" i="101"/>
  <c r="F55" i="101"/>
  <c r="F44" i="101"/>
  <c r="F40" i="101"/>
  <c r="F36" i="101"/>
  <c r="F73" i="101"/>
  <c r="F48" i="101"/>
  <c r="F47" i="101"/>
  <c r="F32" i="101"/>
  <c r="F79" i="101"/>
  <c r="F61" i="101"/>
  <c r="F39" i="101"/>
  <c r="F66" i="101"/>
  <c r="F72" i="101"/>
  <c r="F62" i="101"/>
  <c r="F57" i="101"/>
  <c r="F43" i="101"/>
  <c r="F26" i="101"/>
  <c r="F24" i="101"/>
  <c r="F22" i="101"/>
  <c r="F82" i="101"/>
  <c r="D22" i="101"/>
  <c r="F75" i="101"/>
  <c r="F67" i="101"/>
  <c r="F59" i="101"/>
  <c r="F58" i="101"/>
  <c r="F53" i="101"/>
  <c r="F33" i="101"/>
  <c r="F30" i="101"/>
  <c r="F27" i="101"/>
  <c r="F18" i="101"/>
  <c r="F17" i="101"/>
  <c r="F54" i="101"/>
  <c r="F37" i="101"/>
  <c r="F77" i="101"/>
  <c r="F69" i="101"/>
  <c r="F68" i="101"/>
  <c r="F60" i="101"/>
  <c r="F50" i="101"/>
  <c r="F45" i="101"/>
  <c r="F38" i="101"/>
  <c r="F34" i="101"/>
  <c r="F28" i="101"/>
  <c r="L12" i="101"/>
  <c r="F70" i="101"/>
  <c r="F51" i="101"/>
  <c r="F46" i="101"/>
  <c r="F42" i="101"/>
  <c r="F20" i="101"/>
  <c r="F31" i="101"/>
  <c r="F29" i="101"/>
  <c r="F49" i="101"/>
  <c r="F35" i="101"/>
  <c r="F25" i="101"/>
  <c r="F19" i="101"/>
  <c r="F41" i="101"/>
  <c r="F52" i="101"/>
  <c r="F65" i="101"/>
  <c r="F59" i="98"/>
  <c r="F65" i="98"/>
  <c r="F19" i="99"/>
  <c r="F35" i="99"/>
  <c r="N20" i="100"/>
  <c r="L20" i="100"/>
  <c r="L26" i="98"/>
  <c r="N26" i="98" s="1"/>
  <c r="F31" i="98"/>
  <c r="F44" i="98"/>
  <c r="X63" i="98"/>
  <c r="Z63" i="98" s="1"/>
  <c r="N65" i="98"/>
  <c r="F67" i="98"/>
  <c r="F72" i="98"/>
  <c r="L79" i="98"/>
  <c r="J37" i="99"/>
  <c r="J31" i="99"/>
  <c r="J50" i="99"/>
  <c r="J48" i="99"/>
  <c r="J38" i="99"/>
  <c r="J32" i="99"/>
  <c r="J57" i="99"/>
  <c r="J54" i="99"/>
  <c r="J42" i="99"/>
  <c r="J44" i="99"/>
  <c r="J33" i="99"/>
  <c r="J29" i="99"/>
  <c r="J25" i="99"/>
  <c r="J41" i="99"/>
  <c r="N12" i="99"/>
  <c r="J45" i="99"/>
  <c r="J17" i="99"/>
  <c r="J46" i="99"/>
  <c r="J34" i="99"/>
  <c r="J22" i="99"/>
  <c r="J52" i="99"/>
  <c r="J39" i="99"/>
  <c r="H19" i="99"/>
  <c r="J36" i="99"/>
  <c r="R16" i="99"/>
  <c r="J19" i="99"/>
  <c r="J35" i="99"/>
  <c r="T60" i="100"/>
  <c r="R28" i="100"/>
  <c r="F74" i="98"/>
  <c r="F58" i="98"/>
  <c r="F57" i="98"/>
  <c r="F50" i="98"/>
  <c r="F49" i="98"/>
  <c r="F34" i="98"/>
  <c r="F30" i="98"/>
  <c r="F94" i="98"/>
  <c r="F85" i="98"/>
  <c r="F81" i="98"/>
  <c r="F69" i="98"/>
  <c r="F68" i="98"/>
  <c r="F21" i="98"/>
  <c r="F86" i="98"/>
  <c r="F82" i="98"/>
  <c r="F70" i="98"/>
  <c r="F62" i="98"/>
  <c r="F61" i="98"/>
  <c r="F54" i="98"/>
  <c r="F53" i="98"/>
  <c r="F25" i="98"/>
  <c r="F23" i="98"/>
  <c r="F77" i="98"/>
  <c r="F76" i="98"/>
  <c r="F45" i="98"/>
  <c r="F41" i="98"/>
  <c r="F37" i="98"/>
  <c r="F36" i="98"/>
  <c r="F83" i="98"/>
  <c r="F71" i="98"/>
  <c r="F55" i="98"/>
  <c r="F19" i="98"/>
  <c r="F18" i="98"/>
  <c r="F92" i="98"/>
  <c r="F91" i="98"/>
  <c r="F84" i="98"/>
  <c r="F80" i="98"/>
  <c r="F79" i="98"/>
  <c r="F56" i="98"/>
  <c r="F48" i="98"/>
  <c r="F47" i="98"/>
  <c r="F20" i="98"/>
  <c r="F26" i="98"/>
  <c r="F38" i="98"/>
  <c r="F40" i="98"/>
  <c r="F51" i="98"/>
  <c r="N72" i="98"/>
  <c r="L12" i="99"/>
  <c r="F33" i="98"/>
  <c r="N51" i="98"/>
  <c r="L72" i="98"/>
  <c r="V41" i="99"/>
  <c r="V33" i="99"/>
  <c r="V44" i="99"/>
  <c r="V36" i="99"/>
  <c r="V50" i="99"/>
  <c r="V48" i="99"/>
  <c r="V46" i="99"/>
  <c r="V57" i="99"/>
  <c r="V21" i="99"/>
  <c r="V19" i="99"/>
  <c r="V17" i="99"/>
  <c r="V42" i="99"/>
  <c r="V34" i="99"/>
  <c r="T19" i="99"/>
  <c r="X19" i="99" s="1"/>
  <c r="V52" i="99"/>
  <c r="V40" i="99"/>
  <c r="V35" i="99"/>
  <c r="V32" i="99"/>
  <c r="V43" i="99"/>
  <c r="V28" i="99"/>
  <c r="V24" i="99"/>
  <c r="V54" i="99"/>
  <c r="V37" i="99"/>
  <c r="V16" i="99"/>
  <c r="R19" i="99"/>
  <c r="V23" i="99"/>
  <c r="V31" i="99"/>
  <c r="V38" i="99"/>
  <c r="N19" i="100"/>
  <c r="L19" i="100"/>
  <c r="N55" i="101"/>
  <c r="L55" i="101"/>
  <c r="J39" i="98"/>
  <c r="J43" i="98"/>
  <c r="J49" i="98"/>
  <c r="J57" i="98"/>
  <c r="J67" i="98"/>
  <c r="L45" i="100"/>
  <c r="Z50" i="100"/>
  <c r="T75" i="101"/>
  <c r="X47" i="101"/>
  <c r="Z44" i="103"/>
  <c r="X44" i="103"/>
  <c r="J38" i="98"/>
  <c r="J42" i="98"/>
  <c r="J46" i="98"/>
  <c r="J66" i="98"/>
  <c r="J72" i="98"/>
  <c r="J78" i="98"/>
  <c r="J90" i="98"/>
  <c r="N34" i="101"/>
  <c r="Z62" i="102"/>
  <c r="F46" i="100"/>
  <c r="F45" i="100"/>
  <c r="F38" i="100"/>
  <c r="F34" i="100"/>
  <c r="F48" i="100"/>
  <c r="F47" i="100"/>
  <c r="F19" i="100"/>
  <c r="F17" i="100"/>
  <c r="F39" i="100"/>
  <c r="F35" i="100"/>
  <c r="F31" i="100"/>
  <c r="F30" i="100"/>
  <c r="D17" i="100"/>
  <c r="F55" i="100"/>
  <c r="F27" i="100"/>
  <c r="F23" i="100"/>
  <c r="F37" i="100"/>
  <c r="F33" i="100"/>
  <c r="F51" i="100"/>
  <c r="J28" i="98"/>
  <c r="J32" i="98"/>
  <c r="J64" i="98"/>
  <c r="J88" i="98"/>
  <c r="F32" i="100"/>
  <c r="F40" i="100"/>
  <c r="F44" i="100"/>
  <c r="J50" i="101"/>
  <c r="X53" i="101"/>
  <c r="J79" i="101"/>
  <c r="J37" i="98"/>
  <c r="J41" i="98"/>
  <c r="J45" i="98"/>
  <c r="J63" i="98"/>
  <c r="J77" i="98"/>
  <c r="J87" i="98"/>
  <c r="L12" i="100"/>
  <c r="Z20" i="100"/>
  <c r="F22" i="100"/>
  <c r="F29" i="100"/>
  <c r="Z24" i="101"/>
  <c r="L49" i="102"/>
  <c r="H97" i="102"/>
  <c r="N49" i="102"/>
  <c r="F50" i="100"/>
  <c r="J45" i="101"/>
  <c r="J31" i="101"/>
  <c r="J27" i="101"/>
  <c r="J75" i="101"/>
  <c r="J59" i="101"/>
  <c r="J49" i="101"/>
  <c r="J72" i="101"/>
  <c r="J66" i="101"/>
  <c r="J52" i="101"/>
  <c r="J47" i="101"/>
  <c r="J32" i="101"/>
  <c r="J29" i="101"/>
  <c r="J24" i="101"/>
  <c r="J22" i="101"/>
  <c r="J82" i="101"/>
  <c r="J73" i="101"/>
  <c r="J62" i="101"/>
  <c r="J57" i="101"/>
  <c r="J58" i="101"/>
  <c r="J53" i="101"/>
  <c r="J36" i="101"/>
  <c r="J67" i="101"/>
  <c r="J63" i="101"/>
  <c r="J48" i="101"/>
  <c r="J17" i="101"/>
  <c r="J40" i="101"/>
  <c r="J33" i="101"/>
  <c r="J30" i="101"/>
  <c r="J18" i="101"/>
  <c r="J68" i="101"/>
  <c r="J54" i="101"/>
  <c r="J37" i="101"/>
  <c r="J77" i="101"/>
  <c r="J69" i="101"/>
  <c r="J64" i="101"/>
  <c r="J44" i="101"/>
  <c r="J55" i="101"/>
  <c r="J65" i="101"/>
  <c r="J51" i="101"/>
  <c r="J35" i="101"/>
  <c r="J39" i="101"/>
  <c r="J25" i="101"/>
  <c r="J41" i="101"/>
  <c r="J60" i="101"/>
  <c r="J87" i="104"/>
  <c r="J79" i="104"/>
  <c r="J75" i="104"/>
  <c r="J63" i="104"/>
  <c r="J51" i="104"/>
  <c r="J70" i="104"/>
  <c r="J65" i="104"/>
  <c r="J71" i="104"/>
  <c r="J90" i="104"/>
  <c r="J66" i="104"/>
  <c r="J56" i="104"/>
  <c r="J81" i="104"/>
  <c r="J77" i="104"/>
  <c r="J57" i="104"/>
  <c r="J94" i="104"/>
  <c r="J82" i="104"/>
  <c r="J72" i="104"/>
  <c r="J58" i="104"/>
  <c r="J85" i="104"/>
  <c r="J80" i="104"/>
  <c r="J78" i="104"/>
  <c r="J62" i="104"/>
  <c r="J52" i="104"/>
  <c r="J46" i="104"/>
  <c r="J42" i="104"/>
  <c r="J38" i="104"/>
  <c r="J88" i="104"/>
  <c r="J68" i="104"/>
  <c r="J59" i="104"/>
  <c r="J20" i="104"/>
  <c r="J83" i="104"/>
  <c r="J47" i="104"/>
  <c r="J43" i="104"/>
  <c r="J39" i="104"/>
  <c r="J86" i="104"/>
  <c r="J53" i="104"/>
  <c r="J48" i="104"/>
  <c r="J60" i="104"/>
  <c r="J21" i="104"/>
  <c r="J84" i="104"/>
  <c r="J69" i="104"/>
  <c r="J54" i="104"/>
  <c r="J35" i="104"/>
  <c r="J31" i="104"/>
  <c r="J27" i="104"/>
  <c r="J25" i="104"/>
  <c r="J23" i="104"/>
  <c r="J50" i="104"/>
  <c r="H23" i="104"/>
  <c r="J37" i="104"/>
  <c r="J19" i="104"/>
  <c r="J36" i="104"/>
  <c r="J67" i="104"/>
  <c r="J41" i="104"/>
  <c r="J34" i="104"/>
  <c r="J74" i="104"/>
  <c r="J45" i="104"/>
  <c r="J18" i="104"/>
  <c r="J76" i="104"/>
  <c r="J64" i="104"/>
  <c r="J32" i="104"/>
  <c r="J30" i="104"/>
  <c r="J28" i="104"/>
  <c r="J73" i="104"/>
  <c r="J26" i="104"/>
  <c r="J61" i="104"/>
  <c r="J49" i="104"/>
  <c r="J29" i="104"/>
  <c r="J55" i="104"/>
  <c r="J44" i="104"/>
  <c r="J33" i="104"/>
  <c r="J40" i="104"/>
  <c r="J26" i="98"/>
  <c r="J40" i="98"/>
  <c r="J44" i="98"/>
  <c r="J52" i="98"/>
  <c r="J60" i="98"/>
  <c r="J98" i="98"/>
  <c r="F15" i="100"/>
  <c r="F26" i="100"/>
  <c r="F43" i="100"/>
  <c r="N50" i="100"/>
  <c r="F53" i="100"/>
  <c r="F57" i="100"/>
  <c r="N12" i="101"/>
  <c r="J19" i="101"/>
  <c r="H22" i="101"/>
  <c r="J43" i="101"/>
  <c r="J21" i="98"/>
  <c r="J51" i="98"/>
  <c r="J59" i="98"/>
  <c r="J69" i="98"/>
  <c r="J81" i="98"/>
  <c r="F21" i="100"/>
  <c r="F28" i="100"/>
  <c r="R49" i="101"/>
  <c r="R48" i="101"/>
  <c r="R32" i="101"/>
  <c r="R28" i="101"/>
  <c r="R61" i="101"/>
  <c r="R60" i="101"/>
  <c r="R53" i="101"/>
  <c r="R52" i="101"/>
  <c r="R67" i="101"/>
  <c r="R68" i="101"/>
  <c r="R59" i="101"/>
  <c r="R54" i="101"/>
  <c r="R37" i="101"/>
  <c r="R33" i="101"/>
  <c r="R27" i="101"/>
  <c r="R69" i="101"/>
  <c r="R64" i="101"/>
  <c r="R55" i="101"/>
  <c r="R44" i="101"/>
  <c r="R34" i="101"/>
  <c r="R77" i="101"/>
  <c r="R45" i="101"/>
  <c r="R41" i="101"/>
  <c r="R19" i="101"/>
  <c r="R50" i="101"/>
  <c r="R38" i="101"/>
  <c r="R31" i="101"/>
  <c r="X12" i="101"/>
  <c r="Z12" i="101" s="1"/>
  <c r="R65" i="101"/>
  <c r="R51" i="101"/>
  <c r="R35" i="101"/>
  <c r="R70" i="101"/>
  <c r="R56" i="101"/>
  <c r="R73" i="101"/>
  <c r="R66" i="101"/>
  <c r="R47" i="101"/>
  <c r="R29" i="101"/>
  <c r="P22" i="101"/>
  <c r="R63" i="101"/>
  <c r="R36" i="101"/>
  <c r="R17" i="101"/>
  <c r="N25" i="101"/>
  <c r="R39" i="101"/>
  <c r="L47" i="101"/>
  <c r="L48" i="99"/>
  <c r="F36" i="100"/>
  <c r="P12" i="102"/>
  <c r="X14" i="102"/>
  <c r="J24" i="100"/>
  <c r="J28" i="100"/>
  <c r="J44" i="100"/>
  <c r="V48" i="100"/>
  <c r="V50" i="100"/>
  <c r="V68" i="101"/>
  <c r="J24" i="102"/>
  <c r="J42" i="102"/>
  <c r="J50" i="102"/>
  <c r="L53" i="102"/>
  <c r="N53" i="102" s="1"/>
  <c r="L82" i="102"/>
  <c r="J84" i="102"/>
  <c r="Z85" i="102"/>
  <c r="V30" i="100"/>
  <c r="V34" i="100"/>
  <c r="V38" i="100"/>
  <c r="J42" i="100"/>
  <c r="V46" i="100"/>
  <c r="V17" i="101"/>
  <c r="V26" i="101"/>
  <c r="V32" i="101"/>
  <c r="V52" i="101"/>
  <c r="V53" i="101"/>
  <c r="V57" i="101"/>
  <c r="J28" i="102"/>
  <c r="J39" i="102"/>
  <c r="J76" i="102"/>
  <c r="N82" i="102"/>
  <c r="N46" i="103"/>
  <c r="Z58" i="103"/>
  <c r="F87" i="104"/>
  <c r="F86" i="104"/>
  <c r="F79" i="104"/>
  <c r="F75" i="104"/>
  <c r="F70" i="104"/>
  <c r="F88" i="104"/>
  <c r="F80" i="104"/>
  <c r="F76" i="104"/>
  <c r="F71" i="104"/>
  <c r="F55" i="104"/>
  <c r="F54" i="104"/>
  <c r="F66" i="104"/>
  <c r="F90" i="104"/>
  <c r="F81" i="104"/>
  <c r="F77" i="104"/>
  <c r="F57" i="104"/>
  <c r="F56" i="104"/>
  <c r="F65" i="104"/>
  <c r="F74" i="104"/>
  <c r="F62" i="104"/>
  <c r="F52" i="104"/>
  <c r="F33" i="104"/>
  <c r="F29" i="104"/>
  <c r="F59" i="104"/>
  <c r="F20" i="104"/>
  <c r="F83" i="104"/>
  <c r="F72" i="104"/>
  <c r="F68" i="104"/>
  <c r="F47" i="104"/>
  <c r="F43" i="104"/>
  <c r="F39" i="104"/>
  <c r="F63" i="104"/>
  <c r="F53" i="104"/>
  <c r="F34" i="104"/>
  <c r="F30" i="104"/>
  <c r="F60" i="104"/>
  <c r="F49" i="104"/>
  <c r="F44" i="104"/>
  <c r="F40" i="104"/>
  <c r="F94" i="104"/>
  <c r="F73" i="104"/>
  <c r="F69" i="104"/>
  <c r="F64" i="104"/>
  <c r="F35" i="104"/>
  <c r="F31" i="104"/>
  <c r="F27" i="104"/>
  <c r="F26" i="104"/>
  <c r="F82" i="104"/>
  <c r="F67" i="104"/>
  <c r="F58" i="104"/>
  <c r="F51" i="104"/>
  <c r="F36" i="104"/>
  <c r="F32" i="104"/>
  <c r="F28" i="104"/>
  <c r="L12" i="104"/>
  <c r="N12" i="104" s="1"/>
  <c r="F61" i="104"/>
  <c r="D23" i="104"/>
  <c r="F41" i="104"/>
  <c r="F45" i="104"/>
  <c r="F85" i="104"/>
  <c r="F50" i="104"/>
  <c r="F37" i="104"/>
  <c r="F25" i="104"/>
  <c r="F18" i="104"/>
  <c r="F19" i="104"/>
  <c r="F78" i="104"/>
  <c r="F21" i="104"/>
  <c r="F23" i="104"/>
  <c r="V24" i="102"/>
  <c r="T93" i="102"/>
  <c r="V93" i="102" s="1"/>
  <c r="V59" i="101"/>
  <c r="V51" i="101"/>
  <c r="V67" i="101"/>
  <c r="V63" i="101"/>
  <c r="V55" i="101"/>
  <c r="V43" i="101"/>
  <c r="V39" i="101"/>
  <c r="V35" i="101"/>
  <c r="V20" i="101"/>
  <c r="V22" i="101"/>
  <c r="V24" i="101"/>
  <c r="Z25" i="101"/>
  <c r="V42" i="101"/>
  <c r="V46" i="101"/>
  <c r="V56" i="101"/>
  <c r="Z61" i="101"/>
  <c r="V70" i="101"/>
  <c r="V72" i="101"/>
  <c r="J88" i="102"/>
  <c r="N50" i="103"/>
  <c r="L50" i="103"/>
  <c r="V14" i="100"/>
  <c r="J22" i="100"/>
  <c r="J26" i="100"/>
  <c r="V42" i="100"/>
  <c r="J50" i="100"/>
  <c r="J51" i="100"/>
  <c r="V25" i="101"/>
  <c r="V28" i="101"/>
  <c r="V60" i="101"/>
  <c r="V61" i="101"/>
  <c r="V65" i="101"/>
  <c r="X72" i="101"/>
  <c r="N27" i="102"/>
  <c r="J36" i="102"/>
  <c r="N60" i="102"/>
  <c r="J63" i="102"/>
  <c r="V23" i="100"/>
  <c r="V27" i="100"/>
  <c r="J31" i="100"/>
  <c r="J35" i="100"/>
  <c r="J39" i="100"/>
  <c r="V43" i="100"/>
  <c r="V55" i="100"/>
  <c r="V57" i="100"/>
  <c r="V31" i="101"/>
  <c r="X34" i="101"/>
  <c r="Z34" i="101" s="1"/>
  <c r="V38" i="101"/>
  <c r="V50" i="101"/>
  <c r="L68" i="101"/>
  <c r="N68" i="101" s="1"/>
  <c r="D12" i="102"/>
  <c r="J21" i="102"/>
  <c r="J27" i="102"/>
  <c r="J43" i="102"/>
  <c r="N51" i="102"/>
  <c r="J54" i="102"/>
  <c r="X55" i="102"/>
  <c r="L91" i="102"/>
  <c r="D90" i="102"/>
  <c r="L90" i="102" s="1"/>
  <c r="D63" i="103"/>
  <c r="L16" i="103"/>
  <c r="J48" i="100"/>
  <c r="V19" i="101"/>
  <c r="V41" i="101"/>
  <c r="Z45" i="101"/>
  <c r="V77" i="101"/>
  <c r="J93" i="102"/>
  <c r="J81" i="102"/>
  <c r="J77" i="102"/>
  <c r="J71" i="102"/>
  <c r="J97" i="102"/>
  <c r="J73" i="102"/>
  <c r="J80" i="102"/>
  <c r="J56" i="102"/>
  <c r="J38" i="102"/>
  <c r="J20" i="102"/>
  <c r="J95" i="102"/>
  <c r="J85" i="102"/>
  <c r="J78" i="102"/>
  <c r="J75" i="102"/>
  <c r="J66" i="102"/>
  <c r="J34" i="102"/>
  <c r="J30" i="102"/>
  <c r="J90" i="102"/>
  <c r="J72" i="102"/>
  <c r="J57" i="102"/>
  <c r="J58" i="102"/>
  <c r="J48" i="102"/>
  <c r="J44" i="102"/>
  <c r="J40" i="102"/>
  <c r="J67" i="102"/>
  <c r="J59" i="102"/>
  <c r="J49" i="102"/>
  <c r="J35" i="102"/>
  <c r="J31" i="102"/>
  <c r="J91" i="102"/>
  <c r="J86" i="102"/>
  <c r="J82" i="102"/>
  <c r="J79" i="102"/>
  <c r="J74" i="102"/>
  <c r="J65" i="102"/>
  <c r="J55" i="102"/>
  <c r="J37" i="102"/>
  <c r="J33" i="102"/>
  <c r="J29" i="102"/>
  <c r="J19" i="102"/>
  <c r="J51" i="102"/>
  <c r="X60" i="102"/>
  <c r="Z60" i="102" s="1"/>
  <c r="N68" i="102"/>
  <c r="J70" i="102"/>
  <c r="J83" i="102"/>
  <c r="Z18" i="103"/>
  <c r="Z50" i="103"/>
  <c r="V44" i="101"/>
  <c r="V45" i="101"/>
  <c r="V64" i="101"/>
  <c r="V69" i="101"/>
  <c r="J26" i="102"/>
  <c r="X38" i="102"/>
  <c r="Z38" i="102" s="1"/>
  <c r="Z55" i="102"/>
  <c r="V55" i="102"/>
  <c r="J62" i="102"/>
  <c r="J68" i="102"/>
  <c r="Z71" i="102"/>
  <c r="N16" i="103"/>
  <c r="H63" i="103"/>
  <c r="F42" i="104"/>
  <c r="F84" i="104"/>
  <c r="V18" i="101"/>
  <c r="V30" i="101"/>
  <c r="V40" i="101"/>
  <c r="V48" i="101"/>
  <c r="J87" i="102"/>
  <c r="N19" i="103"/>
  <c r="Z51" i="102"/>
  <c r="V57" i="102"/>
  <c r="V78" i="102"/>
  <c r="Z82" i="102"/>
  <c r="L61" i="103"/>
  <c r="Z37" i="104"/>
  <c r="N82" i="104"/>
  <c r="N40" i="103"/>
  <c r="N54" i="103"/>
  <c r="P12" i="104"/>
  <c r="P12" i="105"/>
  <c r="L60" i="104"/>
  <c r="N60" i="104" s="1"/>
  <c r="Z87" i="102"/>
  <c r="P63" i="103"/>
  <c r="V95" i="102"/>
  <c r="V83" i="102"/>
  <c r="V85" i="102"/>
  <c r="V73" i="102"/>
  <c r="V28" i="102"/>
  <c r="V32" i="102"/>
  <c r="V36" i="102"/>
  <c r="V52" i="102"/>
  <c r="V64" i="102"/>
  <c r="V87" i="102"/>
  <c r="L19" i="103"/>
  <c r="F33" i="103"/>
  <c r="F36" i="103"/>
  <c r="Z40" i="103"/>
  <c r="N42" i="103"/>
  <c r="X26" i="104"/>
  <c r="Z26" i="104" s="1"/>
  <c r="V61" i="102"/>
  <c r="V69" i="102"/>
  <c r="V79" i="102"/>
  <c r="V86" i="102"/>
  <c r="F70" i="103"/>
  <c r="F67" i="103"/>
  <c r="F55" i="103"/>
  <c r="F54" i="103"/>
  <c r="F47" i="103"/>
  <c r="F46" i="103"/>
  <c r="F57" i="103"/>
  <c r="F56" i="103"/>
  <c r="F49" i="103"/>
  <c r="F48" i="103"/>
  <c r="F25" i="103"/>
  <c r="F21" i="103"/>
  <c r="F59" i="103"/>
  <c r="F58" i="103"/>
  <c r="F51" i="103"/>
  <c r="F50" i="103"/>
  <c r="F39" i="103"/>
  <c r="F35" i="103"/>
  <c r="F31" i="103"/>
  <c r="F26" i="103"/>
  <c r="F22" i="103"/>
  <c r="F65" i="103"/>
  <c r="F43" i="103"/>
  <c r="F42" i="103"/>
  <c r="F27" i="103"/>
  <c r="F23" i="103"/>
  <c r="X16" i="103"/>
  <c r="F19" i="103"/>
  <c r="F24" i="103"/>
  <c r="F30" i="103"/>
  <c r="Z46" i="103"/>
  <c r="N25" i="104"/>
  <c r="V26" i="102"/>
  <c r="V76" i="102"/>
  <c r="V91" i="102"/>
  <c r="F29" i="103"/>
  <c r="X48" i="103"/>
  <c r="Z54" i="103"/>
  <c r="X56" i="103"/>
  <c r="Z56" i="103" s="1"/>
  <c r="T65" i="105"/>
  <c r="V23" i="105"/>
  <c r="V40" i="102"/>
  <c r="V44" i="102"/>
  <c r="V48" i="102"/>
  <c r="V60" i="102"/>
  <c r="V68" i="102"/>
  <c r="N71" i="102"/>
  <c r="V72" i="102"/>
  <c r="N18" i="103"/>
  <c r="F28" i="103"/>
  <c r="F32" i="103"/>
  <c r="F38" i="103"/>
  <c r="F41" i="103"/>
  <c r="L58" i="103"/>
  <c r="N58" i="103" s="1"/>
  <c r="Z25" i="104"/>
  <c r="V30" i="103"/>
  <c r="V34" i="103"/>
  <c r="V38" i="103"/>
  <c r="J44" i="103"/>
  <c r="R47" i="103"/>
  <c r="R48" i="103"/>
  <c r="V50" i="103"/>
  <c r="R55" i="103"/>
  <c r="R56" i="103"/>
  <c r="V58" i="103"/>
  <c r="V39" i="104"/>
  <c r="V43" i="104"/>
  <c r="V47" i="104"/>
  <c r="V48" i="104"/>
  <c r="V59" i="104"/>
  <c r="V70" i="104"/>
  <c r="J39" i="105"/>
  <c r="Z52" i="105"/>
  <c r="N18" i="106"/>
  <c r="F71" i="106"/>
  <c r="L75" i="108"/>
  <c r="N75" i="108" s="1"/>
  <c r="J75" i="108"/>
  <c r="T16" i="103"/>
  <c r="R19" i="103"/>
  <c r="V37" i="103"/>
  <c r="J41" i="103"/>
  <c r="V45" i="103"/>
  <c r="V53" i="103"/>
  <c r="J61" i="103"/>
  <c r="J63" i="103"/>
  <c r="R67" i="103"/>
  <c r="R70" i="103"/>
  <c r="V71" i="104"/>
  <c r="V55" i="104"/>
  <c r="V82" i="104"/>
  <c r="V66" i="104"/>
  <c r="V81" i="104"/>
  <c r="V77" i="104"/>
  <c r="V73" i="104"/>
  <c r="V57" i="104"/>
  <c r="V83" i="104"/>
  <c r="V67" i="104"/>
  <c r="V86" i="104"/>
  <c r="V78" i="104"/>
  <c r="V74" i="104"/>
  <c r="V62" i="104"/>
  <c r="V85" i="104"/>
  <c r="V69" i="104"/>
  <c r="V61" i="104"/>
  <c r="V64" i="104"/>
  <c r="V52" i="104"/>
  <c r="V38" i="104"/>
  <c r="V42" i="104"/>
  <c r="V46" i="104"/>
  <c r="Z52" i="104"/>
  <c r="V65" i="104"/>
  <c r="N84" i="104"/>
  <c r="J55" i="105"/>
  <c r="J59" i="105"/>
  <c r="Z60" i="105"/>
  <c r="X60" i="105"/>
  <c r="P12" i="106"/>
  <c r="V14" i="103"/>
  <c r="V16" i="103"/>
  <c r="V18" i="103"/>
  <c r="J22" i="103"/>
  <c r="R23" i="103"/>
  <c r="J26" i="103"/>
  <c r="R27" i="103"/>
  <c r="J40" i="103"/>
  <c r="R43" i="103"/>
  <c r="R44" i="103"/>
  <c r="V46" i="103"/>
  <c r="V54" i="103"/>
  <c r="R65" i="103"/>
  <c r="V19" i="104"/>
  <c r="V51" i="104"/>
  <c r="N73" i="104"/>
  <c r="X13" i="106"/>
  <c r="V32" i="103"/>
  <c r="V36" i="103"/>
  <c r="R41" i="103"/>
  <c r="R42" i="103"/>
  <c r="V44" i="103"/>
  <c r="J50" i="103"/>
  <c r="J58" i="103"/>
  <c r="V37" i="104"/>
  <c r="V41" i="104"/>
  <c r="V45" i="104"/>
  <c r="N48" i="104"/>
  <c r="V75" i="104"/>
  <c r="J49" i="105"/>
  <c r="J54" i="105"/>
  <c r="J44" i="105"/>
  <c r="J40" i="105"/>
  <c r="J36" i="105"/>
  <c r="J67" i="105"/>
  <c r="J38" i="105"/>
  <c r="J60" i="105"/>
  <c r="J51" i="105"/>
  <c r="J45" i="105"/>
  <c r="J30" i="105"/>
  <c r="J57" i="105"/>
  <c r="J42" i="105"/>
  <c r="J34" i="105"/>
  <c r="J21" i="105"/>
  <c r="J31" i="105"/>
  <c r="J27" i="105"/>
  <c r="J25" i="105"/>
  <c r="J53" i="105"/>
  <c r="J47" i="105"/>
  <c r="J43" i="105"/>
  <c r="H23" i="105"/>
  <c r="J23" i="105" s="1"/>
  <c r="J63" i="105"/>
  <c r="J48" i="105"/>
  <c r="J58" i="105"/>
  <c r="J32" i="105"/>
  <c r="J28" i="105"/>
  <c r="J18" i="105"/>
  <c r="J50" i="105"/>
  <c r="J41" i="105"/>
  <c r="J29" i="105"/>
  <c r="L18" i="105"/>
  <c r="N18" i="105" s="1"/>
  <c r="J33" i="105"/>
  <c r="V91" i="106"/>
  <c r="X73" i="104"/>
  <c r="Z73" i="104" s="1"/>
  <c r="D97" i="106"/>
  <c r="F93" i="106"/>
  <c r="R31" i="103"/>
  <c r="R35" i="103"/>
  <c r="R39" i="103"/>
  <c r="R40" i="103"/>
  <c r="J48" i="103"/>
  <c r="R51" i="103"/>
  <c r="V31" i="104"/>
  <c r="V35" i="104"/>
  <c r="V49" i="104"/>
  <c r="V50" i="104"/>
  <c r="L52" i="104"/>
  <c r="N52" i="104" s="1"/>
  <c r="N68" i="104"/>
  <c r="V84" i="104"/>
  <c r="V90" i="104"/>
  <c r="L15" i="105"/>
  <c r="D12" i="105"/>
  <c r="J46" i="105"/>
  <c r="L54" i="105"/>
  <c r="F73" i="106"/>
  <c r="F57" i="106"/>
  <c r="F56" i="106"/>
  <c r="F33" i="106"/>
  <c r="F29" i="106"/>
  <c r="F68" i="106"/>
  <c r="F95" i="106"/>
  <c r="F83" i="106"/>
  <c r="F79" i="106"/>
  <c r="F59" i="106"/>
  <c r="F58" i="106"/>
  <c r="F85" i="106"/>
  <c r="F84" i="106"/>
  <c r="F69" i="106"/>
  <c r="F61" i="106"/>
  <c r="F60" i="106"/>
  <c r="F80" i="106"/>
  <c r="F76" i="106"/>
  <c r="F75" i="106"/>
  <c r="F44" i="106"/>
  <c r="F40" i="106"/>
  <c r="F97" i="106"/>
  <c r="F87" i="106"/>
  <c r="F86" i="106"/>
  <c r="F89" i="106"/>
  <c r="F88" i="106"/>
  <c r="F63" i="106"/>
  <c r="F52" i="106"/>
  <c r="F26" i="106"/>
  <c r="F25" i="106"/>
  <c r="F74" i="106"/>
  <c r="F66" i="106"/>
  <c r="F48" i="106"/>
  <c r="F42" i="106"/>
  <c r="F27" i="106"/>
  <c r="F91" i="106"/>
  <c r="F53" i="106"/>
  <c r="F45" i="106"/>
  <c r="F36" i="106"/>
  <c r="F30" i="106"/>
  <c r="F20" i="106"/>
  <c r="F72" i="106"/>
  <c r="F49" i="106"/>
  <c r="F81" i="106"/>
  <c r="F77" i="106"/>
  <c r="F43" i="106"/>
  <c r="F67" i="106"/>
  <c r="F64" i="106"/>
  <c r="F37" i="106"/>
  <c r="F28" i="106"/>
  <c r="F70" i="106"/>
  <c r="F54" i="106"/>
  <c r="F34" i="106"/>
  <c r="F31" i="106"/>
  <c r="F21" i="106"/>
  <c r="L12" i="106"/>
  <c r="F50" i="106"/>
  <c r="F46" i="106"/>
  <c r="F38" i="106"/>
  <c r="F78" i="106"/>
  <c r="F47" i="106"/>
  <c r="F39" i="106"/>
  <c r="F35" i="106"/>
  <c r="F32" i="106"/>
  <c r="F23" i="106"/>
  <c r="F19" i="106"/>
  <c r="H23" i="106"/>
  <c r="J23" i="106" s="1"/>
  <c r="F41" i="106"/>
  <c r="T99" i="104"/>
  <c r="V40" i="104"/>
  <c r="V44" i="104"/>
  <c r="Z54" i="104"/>
  <c r="Z64" i="104"/>
  <c r="X25" i="105"/>
  <c r="Z25" i="105" s="1"/>
  <c r="J52" i="105"/>
  <c r="X48" i="106"/>
  <c r="Z48" i="106" s="1"/>
  <c r="N54" i="105"/>
  <c r="V95" i="106"/>
  <c r="V88" i="106"/>
  <c r="V80" i="106"/>
  <c r="V76" i="106"/>
  <c r="V64" i="106"/>
  <c r="V52" i="106"/>
  <c r="V44" i="106"/>
  <c r="V40" i="106"/>
  <c r="T23" i="106"/>
  <c r="V87" i="106"/>
  <c r="V71" i="106"/>
  <c r="V63" i="106"/>
  <c r="V51" i="106"/>
  <c r="V66" i="106"/>
  <c r="V72" i="106"/>
  <c r="V67" i="106"/>
  <c r="V55" i="106"/>
  <c r="V19" i="106"/>
  <c r="V79" i="106"/>
  <c r="V69" i="106"/>
  <c r="V58" i="106"/>
  <c r="V86" i="106"/>
  <c r="V75" i="106"/>
  <c r="V50" i="106"/>
  <c r="V49" i="106"/>
  <c r="V43" i="106"/>
  <c r="V81" i="106"/>
  <c r="V70" i="106"/>
  <c r="V28" i="106"/>
  <c r="V18" i="106"/>
  <c r="V84" i="106"/>
  <c r="V77" i="106"/>
  <c r="V61" i="106"/>
  <c r="V46" i="106"/>
  <c r="V38" i="106"/>
  <c r="V34" i="106"/>
  <c r="V31" i="106"/>
  <c r="V21" i="106"/>
  <c r="V73" i="106"/>
  <c r="V62" i="106"/>
  <c r="V56" i="106"/>
  <c r="V41" i="106"/>
  <c r="V23" i="106"/>
  <c r="V82" i="106"/>
  <c r="V29" i="106"/>
  <c r="V26" i="106"/>
  <c r="V25" i="106"/>
  <c r="V89" i="106"/>
  <c r="V78" i="106"/>
  <c r="V68" i="106"/>
  <c r="V65" i="106"/>
  <c r="V59" i="106"/>
  <c r="V47" i="106"/>
  <c r="V39" i="106"/>
  <c r="V35" i="106"/>
  <c r="V32" i="106"/>
  <c r="V48" i="106"/>
  <c r="V83" i="106"/>
  <c r="V74" i="106"/>
  <c r="V54" i="106"/>
  <c r="V53" i="106"/>
  <c r="V45" i="106"/>
  <c r="V37" i="106"/>
  <c r="V36" i="106"/>
  <c r="V33" i="106"/>
  <c r="V30" i="106"/>
  <c r="V20" i="106"/>
  <c r="L58" i="104"/>
  <c r="N58" i="104" s="1"/>
  <c r="L82" i="104"/>
  <c r="V96" i="104"/>
  <c r="X46" i="105"/>
  <c r="Z46" i="105" s="1"/>
  <c r="V85" i="106"/>
  <c r="J52" i="106"/>
  <c r="D12" i="108"/>
  <c r="Z48" i="108"/>
  <c r="V20" i="105"/>
  <c r="V33" i="105"/>
  <c r="V41" i="105"/>
  <c r="V59" i="105"/>
  <c r="V60" i="105"/>
  <c r="J68" i="106"/>
  <c r="J58" i="106"/>
  <c r="J20" i="106"/>
  <c r="J95" i="106"/>
  <c r="J83" i="106"/>
  <c r="J79" i="106"/>
  <c r="J59" i="106"/>
  <c r="J47" i="106"/>
  <c r="J43" i="106"/>
  <c r="J39" i="106"/>
  <c r="J84" i="106"/>
  <c r="J74" i="106"/>
  <c r="J60" i="106"/>
  <c r="J86" i="106"/>
  <c r="J80" i="106"/>
  <c r="J76" i="106"/>
  <c r="J70" i="106"/>
  <c r="J62" i="106"/>
  <c r="J87" i="106"/>
  <c r="J71" i="106"/>
  <c r="J63" i="106"/>
  <c r="J51" i="106"/>
  <c r="J35" i="106"/>
  <c r="J31" i="106"/>
  <c r="J27" i="106"/>
  <c r="J25" i="106"/>
  <c r="J88" i="106"/>
  <c r="J89" i="106"/>
  <c r="J81" i="106"/>
  <c r="J77" i="106"/>
  <c r="J18" i="106"/>
  <c r="J41" i="106"/>
  <c r="J55" i="106"/>
  <c r="Z66" i="106"/>
  <c r="X66" i="106"/>
  <c r="L84" i="106"/>
  <c r="N84" i="106" s="1"/>
  <c r="V29" i="105"/>
  <c r="V44" i="105"/>
  <c r="J38" i="106"/>
  <c r="J46" i="106"/>
  <c r="X18" i="108"/>
  <c r="Z18" i="108" s="1"/>
  <c r="N25" i="108"/>
  <c r="L25" i="108"/>
  <c r="Z37" i="108"/>
  <c r="N59" i="108"/>
  <c r="L59" i="108"/>
  <c r="J59" i="108"/>
  <c r="V65" i="105"/>
  <c r="V63" i="105"/>
  <c r="V61" i="105"/>
  <c r="V53" i="105"/>
  <c r="V48" i="105"/>
  <c r="V32" i="105"/>
  <c r="V37" i="105"/>
  <c r="V49" i="105"/>
  <c r="V50" i="105"/>
  <c r="V55" i="105"/>
  <c r="N12" i="106"/>
  <c r="J21" i="106"/>
  <c r="J34" i="106"/>
  <c r="J50" i="106"/>
  <c r="Z56" i="106"/>
  <c r="J61" i="106"/>
  <c r="N70" i="106"/>
  <c r="N75" i="106"/>
  <c r="X84" i="106"/>
  <c r="V37" i="108"/>
  <c r="J28" i="106"/>
  <c r="J54" i="106"/>
  <c r="N64" i="106"/>
  <c r="J67" i="106"/>
  <c r="J75" i="106"/>
  <c r="N86" i="106"/>
  <c r="L84" i="108"/>
  <c r="Z84" i="106"/>
  <c r="N84" i="108"/>
  <c r="V43" i="105"/>
  <c r="V54" i="105"/>
  <c r="Z18" i="106"/>
  <c r="J33" i="106"/>
  <c r="L37" i="106"/>
  <c r="N37" i="106" s="1"/>
  <c r="J40" i="106"/>
  <c r="J49" i="106"/>
  <c r="J69" i="106"/>
  <c r="J72" i="106"/>
  <c r="Z65" i="108"/>
  <c r="V36" i="105"/>
  <c r="V47" i="105"/>
  <c r="L50" i="105"/>
  <c r="J30" i="106"/>
  <c r="J36" i="106"/>
  <c r="J45" i="106"/>
  <c r="L52" i="106"/>
  <c r="N52" i="106" s="1"/>
  <c r="J53" i="106"/>
  <c r="J57" i="106"/>
  <c r="N60" i="106"/>
  <c r="L60" i="106"/>
  <c r="Z75" i="106"/>
  <c r="Z86" i="106"/>
  <c r="V27" i="105"/>
  <c r="V31" i="105"/>
  <c r="N56" i="105"/>
  <c r="X18" i="106"/>
  <c r="J42" i="106"/>
  <c r="N48" i="106"/>
  <c r="L48" i="106"/>
  <c r="Z58" i="106"/>
  <c r="J85" i="106"/>
  <c r="J91" i="106"/>
  <c r="Z71" i="108"/>
  <c r="Z37" i="106"/>
  <c r="Z54" i="106"/>
  <c r="X54" i="106"/>
  <c r="V18" i="108"/>
  <c r="V29" i="108"/>
  <c r="V36" i="108"/>
  <c r="V42" i="108"/>
  <c r="V61" i="108"/>
  <c r="V70" i="108"/>
  <c r="V71" i="108"/>
  <c r="V73" i="108"/>
  <c r="F18" i="109"/>
  <c r="P12" i="108"/>
  <c r="V31" i="108"/>
  <c r="V47" i="108"/>
  <c r="V57" i="108"/>
  <c r="F14" i="109"/>
  <c r="Z20" i="110"/>
  <c r="V83" i="108"/>
  <c r="V67" i="108"/>
  <c r="V55" i="108"/>
  <c r="V19" i="108"/>
  <c r="V86" i="108"/>
  <c r="V78" i="108"/>
  <c r="V66" i="108"/>
  <c r="V54" i="108"/>
  <c r="V46" i="108"/>
  <c r="V85" i="108"/>
  <c r="V68" i="108"/>
  <c r="V56" i="108"/>
  <c r="V48" i="108"/>
  <c r="V20" i="108"/>
  <c r="V74" i="108"/>
  <c r="V58" i="108"/>
  <c r="V50" i="108"/>
  <c r="V34" i="108"/>
  <c r="V30" i="108"/>
  <c r="V26" i="108"/>
  <c r="V90" i="108"/>
  <c r="V88" i="108"/>
  <c r="V80" i="108"/>
  <c r="V76" i="108"/>
  <c r="V60" i="108"/>
  <c r="V44" i="108"/>
  <c r="V40" i="108"/>
  <c r="T23" i="108"/>
  <c r="H92" i="108"/>
  <c r="J92" i="108" s="1"/>
  <c r="N82" i="108"/>
  <c r="Z49" i="110"/>
  <c r="Z26" i="108"/>
  <c r="V33" i="108"/>
  <c r="V39" i="108"/>
  <c r="V53" i="108"/>
  <c r="X63" i="108"/>
  <c r="Z63" i="108" s="1"/>
  <c r="V69" i="110"/>
  <c r="V61" i="110"/>
  <c r="V53" i="110"/>
  <c r="V41" i="110"/>
  <c r="V68" i="110"/>
  <c r="V60" i="110"/>
  <c r="V72" i="110"/>
  <c r="V70" i="110"/>
  <c r="V62" i="110"/>
  <c r="V54" i="110"/>
  <c r="V42" i="110"/>
  <c r="V73" i="110"/>
  <c r="V64" i="110"/>
  <c r="V56" i="110"/>
  <c r="V77" i="110"/>
  <c r="V65" i="110"/>
  <c r="V49" i="110"/>
  <c r="V67" i="110"/>
  <c r="V59" i="110"/>
  <c r="V51" i="110"/>
  <c r="V39" i="110"/>
  <c r="V35" i="110"/>
  <c r="V66" i="110"/>
  <c r="V57" i="110"/>
  <c r="V30" i="110"/>
  <c r="V29" i="110"/>
  <c r="V55" i="110"/>
  <c r="V34" i="110"/>
  <c r="V26" i="110"/>
  <c r="V23" i="110"/>
  <c r="V15" i="110"/>
  <c r="V52" i="110"/>
  <c r="V20" i="110"/>
  <c r="V17" i="110"/>
  <c r="V46" i="110"/>
  <c r="V43" i="110"/>
  <c r="V38" i="110"/>
  <c r="V31" i="110"/>
  <c r="V19" i="110"/>
  <c r="T17" i="110"/>
  <c r="V50" i="110"/>
  <c r="V27" i="110"/>
  <c r="V47" i="110"/>
  <c r="V24" i="110"/>
  <c r="V58" i="110"/>
  <c r="V32" i="110"/>
  <c r="V21" i="110"/>
  <c r="V44" i="110"/>
  <c r="V36" i="110"/>
  <c r="V28" i="110"/>
  <c r="V48" i="110"/>
  <c r="V33" i="110"/>
  <c r="V25" i="110"/>
  <c r="V63" i="110"/>
  <c r="V45" i="110"/>
  <c r="V40" i="110"/>
  <c r="V22" i="110"/>
  <c r="V37" i="110"/>
  <c r="X26" i="108"/>
  <c r="Z50" i="108"/>
  <c r="V52" i="108"/>
  <c r="V69" i="108"/>
  <c r="V94" i="108"/>
  <c r="F41" i="109"/>
  <c r="F42" i="109"/>
  <c r="F40" i="109"/>
  <c r="F35" i="109"/>
  <c r="F31" i="109"/>
  <c r="F43" i="109"/>
  <c r="F26" i="109"/>
  <c r="F22" i="109"/>
  <c r="F44" i="109"/>
  <c r="F46" i="109"/>
  <c r="F27" i="109"/>
  <c r="F23" i="109"/>
  <c r="F37" i="109"/>
  <c r="F33" i="109"/>
  <c r="F29" i="109"/>
  <c r="F28" i="109"/>
  <c r="F24" i="109"/>
  <c r="F20" i="109"/>
  <c r="F19" i="109"/>
  <c r="F50" i="109"/>
  <c r="F38" i="109"/>
  <c r="F34" i="109"/>
  <c r="F30" i="109"/>
  <c r="D16" i="109"/>
  <c r="F53" i="109"/>
  <c r="T50" i="109"/>
  <c r="Z40" i="109"/>
  <c r="Z45" i="110"/>
  <c r="V49" i="108"/>
  <c r="V59" i="108"/>
  <c r="V63" i="108"/>
  <c r="Z82" i="108"/>
  <c r="V87" i="108"/>
  <c r="R67" i="110"/>
  <c r="R66" i="110"/>
  <c r="R51" i="110"/>
  <c r="R50" i="110"/>
  <c r="R26" i="110"/>
  <c r="R22" i="110"/>
  <c r="X12" i="110"/>
  <c r="Z12" i="110" s="1"/>
  <c r="R69" i="110"/>
  <c r="R68" i="110"/>
  <c r="R70" i="110"/>
  <c r="R63" i="110"/>
  <c r="R62" i="110"/>
  <c r="R73" i="110"/>
  <c r="R72" i="110"/>
  <c r="R64" i="110"/>
  <c r="R57" i="110"/>
  <c r="R56" i="110"/>
  <c r="R58" i="110"/>
  <c r="R47" i="110"/>
  <c r="R77" i="110"/>
  <c r="R65" i="110"/>
  <c r="R49" i="110"/>
  <c r="R48" i="110"/>
  <c r="R45" i="110"/>
  <c r="R37" i="110"/>
  <c r="R61" i="110"/>
  <c r="R59" i="110"/>
  <c r="R29" i="110"/>
  <c r="R34" i="110"/>
  <c r="R30" i="110"/>
  <c r="R23" i="110"/>
  <c r="R55" i="110"/>
  <c r="R52" i="110"/>
  <c r="R42" i="110"/>
  <c r="R15" i="110"/>
  <c r="R46" i="110"/>
  <c r="R38" i="110"/>
  <c r="R31" i="110"/>
  <c r="R20" i="110"/>
  <c r="R43" i="110"/>
  <c r="R35" i="110"/>
  <c r="R27" i="110"/>
  <c r="R19" i="110"/>
  <c r="P17" i="110"/>
  <c r="R53" i="110"/>
  <c r="R24" i="110"/>
  <c r="R39" i="110"/>
  <c r="R32" i="110"/>
  <c r="R21" i="110"/>
  <c r="R60" i="110"/>
  <c r="R44" i="110"/>
  <c r="R36" i="110"/>
  <c r="R28" i="110"/>
  <c r="R33" i="110"/>
  <c r="R25" i="110"/>
  <c r="R54" i="110"/>
  <c r="R41" i="110"/>
  <c r="R40" i="110"/>
  <c r="N19" i="110"/>
  <c r="V23" i="108"/>
  <c r="V38" i="108"/>
  <c r="N48" i="108"/>
  <c r="V62" i="108"/>
  <c r="V79" i="108"/>
  <c r="V82" i="108"/>
  <c r="L12" i="109"/>
  <c r="F16" i="109"/>
  <c r="L28" i="109"/>
  <c r="N28" i="109" s="1"/>
  <c r="F32" i="109"/>
  <c r="N18" i="108"/>
  <c r="V32" i="108"/>
  <c r="V43" i="108"/>
  <c r="J48" i="108"/>
  <c r="X82" i="108"/>
  <c r="N86" i="108"/>
  <c r="F21" i="109"/>
  <c r="F36" i="109"/>
  <c r="D40" i="109"/>
  <c r="L40" i="109" s="1"/>
  <c r="N40" i="109" s="1"/>
  <c r="Z19" i="110"/>
  <c r="X71" i="108"/>
  <c r="V81" i="108"/>
  <c r="V84" i="108"/>
  <c r="P46" i="109"/>
  <c r="X16" i="109"/>
  <c r="F25" i="109"/>
  <c r="R46" i="109"/>
  <c r="F58" i="110"/>
  <c r="F57" i="110"/>
  <c r="F46" i="110"/>
  <c r="F45" i="110"/>
  <c r="F38" i="110"/>
  <c r="F34" i="110"/>
  <c r="F77" i="110"/>
  <c r="F65" i="110"/>
  <c r="F59" i="110"/>
  <c r="F66" i="110"/>
  <c r="F68" i="110"/>
  <c r="F67" i="110"/>
  <c r="F60" i="110"/>
  <c r="F52" i="110"/>
  <c r="F51" i="110"/>
  <c r="F70" i="110"/>
  <c r="F69" i="110"/>
  <c r="F62" i="110"/>
  <c r="F61" i="110"/>
  <c r="F54" i="110"/>
  <c r="F53" i="110"/>
  <c r="F73" i="110"/>
  <c r="F64" i="110"/>
  <c r="F63" i="110"/>
  <c r="F56" i="110"/>
  <c r="F55" i="110"/>
  <c r="F44" i="110"/>
  <c r="F43" i="110"/>
  <c r="F72" i="110"/>
  <c r="F32" i="110"/>
  <c r="F39" i="110"/>
  <c r="R22" i="109"/>
  <c r="R26" i="109"/>
  <c r="R44" i="109"/>
  <c r="J77" i="110"/>
  <c r="J65" i="110"/>
  <c r="J47" i="110"/>
  <c r="J29" i="110"/>
  <c r="J25" i="110"/>
  <c r="J21" i="110"/>
  <c r="J19" i="110"/>
  <c r="J17" i="110"/>
  <c r="J15" i="110"/>
  <c r="J66" i="110"/>
  <c r="J50" i="110"/>
  <c r="J67" i="110"/>
  <c r="J68" i="110"/>
  <c r="J60" i="110"/>
  <c r="J52" i="110"/>
  <c r="J69" i="110"/>
  <c r="J61" i="110"/>
  <c r="J53" i="110"/>
  <c r="J70" i="110"/>
  <c r="J63" i="110"/>
  <c r="J55" i="110"/>
  <c r="J73" i="110"/>
  <c r="J72" i="110"/>
  <c r="J64" i="110"/>
  <c r="J57" i="110"/>
  <c r="J45" i="110"/>
  <c r="D17" i="110"/>
  <c r="F17" i="110" s="1"/>
  <c r="F19" i="110"/>
  <c r="F20" i="110"/>
  <c r="F21" i="110"/>
  <c r="F24" i="110"/>
  <c r="J32" i="110"/>
  <c r="J39" i="110"/>
  <c r="Z41" i="110"/>
  <c r="F47" i="110"/>
  <c r="X49" i="110"/>
  <c r="J51" i="110"/>
  <c r="J56" i="110"/>
  <c r="R31" i="109"/>
  <c r="R35" i="109"/>
  <c r="R43" i="109"/>
  <c r="L12" i="110"/>
  <c r="J24" i="110"/>
  <c r="F27" i="110"/>
  <c r="F35" i="110"/>
  <c r="X41" i="110"/>
  <c r="J43" i="110"/>
  <c r="N47" i="110"/>
  <c r="J58" i="110"/>
  <c r="J62" i="110"/>
  <c r="N72" i="110"/>
  <c r="H16" i="109"/>
  <c r="V31" i="109"/>
  <c r="V35" i="109"/>
  <c r="R42" i="109"/>
  <c r="V43" i="109"/>
  <c r="J50" i="109"/>
  <c r="N12" i="110"/>
  <c r="F15" i="110"/>
  <c r="H17" i="110"/>
  <c r="J20" i="110"/>
  <c r="J27" i="110"/>
  <c r="L30" i="110"/>
  <c r="N30" i="110" s="1"/>
  <c r="F31" i="110"/>
  <c r="J35" i="110"/>
  <c r="J56" i="108"/>
  <c r="J68" i="108"/>
  <c r="J86" i="108"/>
  <c r="J14" i="109"/>
  <c r="J16" i="109"/>
  <c r="J18" i="109"/>
  <c r="J20" i="109"/>
  <c r="R21" i="109"/>
  <c r="J24" i="109"/>
  <c r="R25" i="109"/>
  <c r="R40" i="109"/>
  <c r="R41" i="109"/>
  <c r="V42" i="109"/>
  <c r="F30" i="110"/>
  <c r="J31" i="110"/>
  <c r="J38" i="110"/>
  <c r="F42" i="110"/>
  <c r="J46" i="110"/>
  <c r="F50" i="110"/>
  <c r="Z51" i="110"/>
  <c r="F23" i="110"/>
  <c r="J42" i="110"/>
  <c r="N55" i="110"/>
  <c r="J38" i="108"/>
  <c r="J42" i="108"/>
  <c r="J46" i="108"/>
  <c r="J54" i="108"/>
  <c r="J66" i="108"/>
  <c r="J78" i="108"/>
  <c r="J84" i="108"/>
  <c r="J28" i="109"/>
  <c r="V30" i="109"/>
  <c r="V34" i="109"/>
  <c r="V38" i="109"/>
  <c r="V40" i="109"/>
  <c r="J48" i="109"/>
  <c r="R53" i="109"/>
  <c r="J23" i="110"/>
  <c r="F26" i="110"/>
  <c r="J30" i="110"/>
  <c r="J34" i="110"/>
  <c r="F41" i="110"/>
  <c r="L55" i="110"/>
  <c r="J26" i="110"/>
  <c r="F29" i="110"/>
  <c r="F37" i="110"/>
  <c r="Z43" i="110"/>
  <c r="F49" i="110"/>
  <c r="X53" i="110"/>
  <c r="Z53" i="110" s="1"/>
  <c r="N57" i="110"/>
  <c r="L61" i="110"/>
  <c r="N67" i="110"/>
  <c r="J28" i="108"/>
  <c r="J32" i="108"/>
  <c r="J36" i="108"/>
  <c r="J52" i="108"/>
  <c r="J64" i="108"/>
  <c r="J72" i="108"/>
  <c r="J82" i="108"/>
  <c r="J94" i="108"/>
  <c r="R14" i="109"/>
  <c r="R16" i="109"/>
  <c r="R18" i="109"/>
  <c r="V20" i="109"/>
  <c r="V24" i="109"/>
  <c r="R29" i="109"/>
  <c r="J32" i="109"/>
  <c r="R33" i="109"/>
  <c r="J36" i="109"/>
  <c r="R37" i="109"/>
  <c r="J46" i="109"/>
  <c r="V50" i="109"/>
  <c r="J37" i="110"/>
  <c r="F40" i="110"/>
  <c r="J41" i="110"/>
  <c r="N49" i="110"/>
  <c r="J59" i="110"/>
  <c r="R19" i="109"/>
  <c r="V29" i="109"/>
  <c r="V33" i="109"/>
  <c r="V37" i="109"/>
  <c r="J44" i="109"/>
  <c r="V48" i="109"/>
  <c r="F22" i="110"/>
  <c r="F33" i="110"/>
  <c r="J40" i="110"/>
  <c r="J49" i="110"/>
  <c r="J54" i="110"/>
  <c r="Z55" i="110"/>
  <c r="J62" i="108"/>
  <c r="J70" i="108"/>
  <c r="J90" i="108"/>
  <c r="V14" i="109"/>
  <c r="V16" i="109"/>
  <c r="V18" i="109"/>
  <c r="R23" i="109"/>
  <c r="R27" i="109"/>
  <c r="R28" i="109"/>
  <c r="J22" i="110"/>
  <c r="F25" i="110"/>
  <c r="F28" i="110"/>
  <c r="J33" i="110"/>
  <c r="F36" i="110"/>
  <c r="X45" i="110"/>
  <c r="F48" i="110"/>
  <c r="J23" i="108"/>
  <c r="J25" i="108"/>
  <c r="J27" i="108"/>
  <c r="J31" i="108"/>
  <c r="J35" i="108"/>
  <c r="J51" i="108"/>
  <c r="X12" i="109"/>
  <c r="V19" i="109"/>
  <c r="V23" i="109"/>
  <c r="J31" i="109"/>
  <c r="R32" i="109"/>
  <c r="J35" i="109"/>
  <c r="R36" i="109"/>
  <c r="J28" i="110"/>
  <c r="J36" i="110"/>
  <c r="J44" i="110"/>
  <c r="J48" i="110"/>
  <c r="L51" i="110"/>
  <c r="N51" i="110" s="1"/>
  <c r="P26" i="65" l="1"/>
  <c r="Z16" i="57"/>
  <c r="T78" i="57"/>
  <c r="D100" i="106"/>
  <c r="R72" i="102"/>
  <c r="R78" i="102"/>
  <c r="R87" i="102"/>
  <c r="R86" i="102"/>
  <c r="R95" i="102"/>
  <c r="R90" i="102"/>
  <c r="R58" i="102"/>
  <c r="R57" i="102"/>
  <c r="R21" i="102"/>
  <c r="R81" i="102"/>
  <c r="R68" i="102"/>
  <c r="R67" i="102"/>
  <c r="R60" i="102"/>
  <c r="R59" i="102"/>
  <c r="R35" i="102"/>
  <c r="R31" i="102"/>
  <c r="R91" i="102"/>
  <c r="R82" i="102"/>
  <c r="R76" i="102"/>
  <c r="R51" i="102"/>
  <c r="R50" i="102"/>
  <c r="R27" i="102"/>
  <c r="R79" i="102"/>
  <c r="R69" i="102"/>
  <c r="R62" i="102"/>
  <c r="R61" i="102"/>
  <c r="R45" i="102"/>
  <c r="R41" i="102"/>
  <c r="R26" i="102"/>
  <c r="R73" i="102"/>
  <c r="R53" i="102"/>
  <c r="R52" i="102"/>
  <c r="R36" i="102"/>
  <c r="R32" i="102"/>
  <c r="R28" i="102"/>
  <c r="R83" i="102"/>
  <c r="R85" i="102"/>
  <c r="R75" i="102"/>
  <c r="R66" i="102"/>
  <c r="R34" i="102"/>
  <c r="R30" i="102"/>
  <c r="R77" i="102"/>
  <c r="R70" i="102"/>
  <c r="R33" i="102"/>
  <c r="R54" i="102"/>
  <c r="R43" i="102"/>
  <c r="R38" i="102"/>
  <c r="R29" i="102"/>
  <c r="R63" i="102"/>
  <c r="R48" i="102"/>
  <c r="R88" i="102"/>
  <c r="R71" i="102"/>
  <c r="R64" i="102"/>
  <c r="R55" i="102"/>
  <c r="R46" i="102"/>
  <c r="R22" i="102"/>
  <c r="R19" i="102"/>
  <c r="R49" i="102"/>
  <c r="R44" i="102"/>
  <c r="R39" i="102"/>
  <c r="R74" i="102"/>
  <c r="R80" i="102"/>
  <c r="R56" i="102"/>
  <c r="R47" i="102"/>
  <c r="R37" i="102"/>
  <c r="R20" i="102"/>
  <c r="R40" i="102"/>
  <c r="R65" i="102"/>
  <c r="P24" i="102"/>
  <c r="R24" i="102" s="1"/>
  <c r="R42" i="102"/>
  <c r="R84" i="102"/>
  <c r="X12" i="102"/>
  <c r="Z12" i="102" s="1"/>
  <c r="D50" i="99"/>
  <c r="L19" i="99"/>
  <c r="Z16" i="92"/>
  <c r="T95" i="92"/>
  <c r="H99" i="92"/>
  <c r="P74" i="79"/>
  <c r="X27" i="79"/>
  <c r="R27" i="79"/>
  <c r="H83" i="81"/>
  <c r="J22" i="81"/>
  <c r="X53" i="85"/>
  <c r="P129" i="85"/>
  <c r="N16" i="72"/>
  <c r="H22" i="72"/>
  <c r="D90" i="76"/>
  <c r="L30" i="76"/>
  <c r="H89" i="73"/>
  <c r="F62" i="70"/>
  <c r="F61" i="70"/>
  <c r="F69" i="70"/>
  <c r="F68" i="70"/>
  <c r="F53" i="70"/>
  <c r="F52" i="70"/>
  <c r="F24" i="70"/>
  <c r="F77" i="70"/>
  <c r="F44" i="70"/>
  <c r="F40" i="70"/>
  <c r="F36" i="70"/>
  <c r="F35" i="70"/>
  <c r="D22" i="70"/>
  <c r="F22" i="70" s="1"/>
  <c r="F81" i="70"/>
  <c r="F63" i="70"/>
  <c r="F31" i="70"/>
  <c r="F27" i="70"/>
  <c r="F70" i="70"/>
  <c r="F54" i="70"/>
  <c r="F18" i="70"/>
  <c r="F17" i="70"/>
  <c r="F65" i="70"/>
  <c r="F64" i="70"/>
  <c r="F45" i="70"/>
  <c r="F41" i="70"/>
  <c r="F37" i="70"/>
  <c r="F56" i="70"/>
  <c r="F55" i="70"/>
  <c r="F32" i="70"/>
  <c r="F28" i="70"/>
  <c r="F71" i="70"/>
  <c r="F47" i="70"/>
  <c r="F46" i="70"/>
  <c r="F19" i="70"/>
  <c r="F66" i="70"/>
  <c r="F58" i="70"/>
  <c r="F57" i="70"/>
  <c r="F42" i="70"/>
  <c r="F38" i="70"/>
  <c r="L12" i="70"/>
  <c r="N12" i="70" s="1"/>
  <c r="F73" i="70"/>
  <c r="F72" i="70"/>
  <c r="F49" i="70"/>
  <c r="F48" i="70"/>
  <c r="F33" i="70"/>
  <c r="F29" i="70"/>
  <c r="F60" i="70"/>
  <c r="F59" i="70"/>
  <c r="F20" i="70"/>
  <c r="F51" i="70"/>
  <c r="F67" i="70"/>
  <c r="F34" i="70"/>
  <c r="F75" i="70"/>
  <c r="F26" i="70"/>
  <c r="F50" i="70"/>
  <c r="F74" i="70"/>
  <c r="F39" i="70"/>
  <c r="F25" i="70"/>
  <c r="F43" i="70"/>
  <c r="F30" i="70"/>
  <c r="R104" i="51"/>
  <c r="R96" i="51"/>
  <c r="R85" i="51"/>
  <c r="R84" i="51"/>
  <c r="R68" i="51"/>
  <c r="R64" i="51"/>
  <c r="R60" i="51"/>
  <c r="P56" i="51"/>
  <c r="R108" i="51"/>
  <c r="R87" i="51"/>
  <c r="R86" i="51"/>
  <c r="R78" i="51"/>
  <c r="R74" i="51"/>
  <c r="R109" i="51"/>
  <c r="R98" i="51"/>
  <c r="R97" i="51"/>
  <c r="R70" i="51"/>
  <c r="R69" i="51"/>
  <c r="R65" i="51"/>
  <c r="R61" i="51"/>
  <c r="R110" i="51"/>
  <c r="R89" i="51"/>
  <c r="R88" i="51"/>
  <c r="R52" i="51"/>
  <c r="R48" i="51"/>
  <c r="R44" i="51"/>
  <c r="X12" i="51"/>
  <c r="Z12" i="51" s="1"/>
  <c r="R99" i="51"/>
  <c r="R79" i="51"/>
  <c r="R75" i="51"/>
  <c r="R71" i="51"/>
  <c r="R40" i="51"/>
  <c r="R91" i="51"/>
  <c r="R90" i="51"/>
  <c r="R66" i="51"/>
  <c r="R62" i="51"/>
  <c r="R53" i="51"/>
  <c r="R49" i="51"/>
  <c r="R45" i="51"/>
  <c r="R41" i="51"/>
  <c r="R77" i="51"/>
  <c r="R73" i="51"/>
  <c r="R58" i="51"/>
  <c r="R56" i="51"/>
  <c r="R103" i="51"/>
  <c r="R94" i="51"/>
  <c r="R80" i="51"/>
  <c r="R114" i="51"/>
  <c r="R83" i="51"/>
  <c r="R76" i="51"/>
  <c r="R106" i="51"/>
  <c r="R101" i="51"/>
  <c r="R72" i="51"/>
  <c r="R54" i="51"/>
  <c r="R42" i="51"/>
  <c r="R95" i="51"/>
  <c r="R92" i="51"/>
  <c r="R81" i="51"/>
  <c r="R47" i="51"/>
  <c r="R107" i="51"/>
  <c r="R93" i="51"/>
  <c r="R59" i="51"/>
  <c r="R50" i="51"/>
  <c r="R82" i="51"/>
  <c r="R100" i="51"/>
  <c r="R51" i="51"/>
  <c r="R67" i="51"/>
  <c r="R43" i="51"/>
  <c r="R63" i="51"/>
  <c r="R46" i="51"/>
  <c r="R102" i="51"/>
  <c r="N81" i="56"/>
  <c r="H85" i="56"/>
  <c r="X31" i="36"/>
  <c r="Z31" i="36" s="1"/>
  <c r="P139" i="36"/>
  <c r="H299" i="18"/>
  <c r="F270" i="12"/>
  <c r="L18" i="53"/>
  <c r="D27" i="53"/>
  <c r="D27" i="47"/>
  <c r="L18" i="47"/>
  <c r="T27" i="37"/>
  <c r="Z18" i="37"/>
  <c r="H27" i="37"/>
  <c r="N18" i="37"/>
  <c r="L18" i="37"/>
  <c r="D27" i="37"/>
  <c r="H27" i="32"/>
  <c r="N18" i="32"/>
  <c r="Z18" i="29"/>
  <c r="T27" i="29"/>
  <c r="T27" i="16"/>
  <c r="Z18" i="16"/>
  <c r="L18" i="23"/>
  <c r="D27" i="23"/>
  <c r="L18" i="17"/>
  <c r="D27" i="17"/>
  <c r="X18" i="14"/>
  <c r="P27" i="14"/>
  <c r="X18" i="7"/>
  <c r="P27" i="7"/>
  <c r="L18" i="5"/>
  <c r="D27" i="5"/>
  <c r="X30" i="42"/>
  <c r="Z30" i="42" s="1"/>
  <c r="P132" i="42"/>
  <c r="R30" i="42"/>
  <c r="R102" i="33"/>
  <c r="R69" i="33"/>
  <c r="R68" i="33"/>
  <c r="R60" i="33"/>
  <c r="R56" i="33"/>
  <c r="R41" i="33"/>
  <c r="R103" i="33"/>
  <c r="R92" i="33"/>
  <c r="R91" i="33"/>
  <c r="R87" i="33"/>
  <c r="R80" i="33"/>
  <c r="R79" i="33"/>
  <c r="R52" i="33"/>
  <c r="R51" i="33"/>
  <c r="R47" i="33"/>
  <c r="R43" i="33"/>
  <c r="P39" i="33"/>
  <c r="R39" i="33" s="1"/>
  <c r="R104" i="33"/>
  <c r="R71" i="33"/>
  <c r="R70" i="33"/>
  <c r="R34" i="33"/>
  <c r="X12" i="33"/>
  <c r="Z12" i="33" s="1"/>
  <c r="R105" i="33"/>
  <c r="R93" i="33"/>
  <c r="R81" i="33"/>
  <c r="R61" i="33"/>
  <c r="R57" i="33"/>
  <c r="R53" i="33"/>
  <c r="R88" i="33"/>
  <c r="R73" i="33"/>
  <c r="R72" i="33"/>
  <c r="R48" i="33"/>
  <c r="R44" i="33"/>
  <c r="R35" i="33"/>
  <c r="R95" i="33"/>
  <c r="R94" i="33"/>
  <c r="R83" i="33"/>
  <c r="R82" i="33"/>
  <c r="R74" i="33"/>
  <c r="R63" i="33"/>
  <c r="R62" i="33"/>
  <c r="R58" i="33"/>
  <c r="R54" i="33"/>
  <c r="R31" i="33"/>
  <c r="R109" i="33"/>
  <c r="R89" i="33"/>
  <c r="R49" i="33"/>
  <c r="R45" i="33"/>
  <c r="R96" i="33"/>
  <c r="R84" i="33"/>
  <c r="R65" i="33"/>
  <c r="R64" i="33"/>
  <c r="R36" i="33"/>
  <c r="R32" i="33"/>
  <c r="R101" i="33"/>
  <c r="R86" i="33"/>
  <c r="R85" i="33"/>
  <c r="R78" i="33"/>
  <c r="R77" i="33"/>
  <c r="R42" i="33"/>
  <c r="R37" i="33"/>
  <c r="R33" i="33"/>
  <c r="R67" i="33"/>
  <c r="R55" i="33"/>
  <c r="R59" i="33"/>
  <c r="R75" i="33"/>
  <c r="R46" i="33"/>
  <c r="R99" i="33"/>
  <c r="R50" i="33"/>
  <c r="R90" i="33"/>
  <c r="R76" i="33"/>
  <c r="R66" i="33"/>
  <c r="R100" i="33"/>
  <c r="R98" i="33"/>
  <c r="D139" i="36"/>
  <c r="L31" i="36"/>
  <c r="P127" i="27"/>
  <c r="X61" i="27"/>
  <c r="H127" i="27"/>
  <c r="F289" i="18"/>
  <c r="F270" i="18"/>
  <c r="F269" i="18"/>
  <c r="F254" i="18"/>
  <c r="F253" i="18"/>
  <c r="F242" i="18"/>
  <c r="F241" i="18"/>
  <c r="F222" i="18"/>
  <c r="F194" i="18"/>
  <c r="F190" i="18"/>
  <c r="L12" i="18"/>
  <c r="N12" i="18" s="1"/>
  <c r="F290" i="18"/>
  <c r="F277" i="18"/>
  <c r="F265" i="18"/>
  <c r="F249" i="18"/>
  <c r="F248" i="18"/>
  <c r="F217" i="18"/>
  <c r="F209" i="18"/>
  <c r="F208" i="18"/>
  <c r="F181" i="18"/>
  <c r="F177" i="18"/>
  <c r="F173" i="18"/>
  <c r="F169" i="18"/>
  <c r="F165" i="18"/>
  <c r="F161" i="18"/>
  <c r="F157" i="18"/>
  <c r="F153" i="18"/>
  <c r="F149" i="18"/>
  <c r="F145" i="18"/>
  <c r="F141" i="18"/>
  <c r="F137" i="18"/>
  <c r="F133" i="18"/>
  <c r="F129" i="18"/>
  <c r="F125" i="18"/>
  <c r="F291" i="18"/>
  <c r="F260" i="18"/>
  <c r="F244" i="18"/>
  <c r="F243" i="18"/>
  <c r="F232" i="18"/>
  <c r="F224" i="18"/>
  <c r="F223" i="18"/>
  <c r="F292" i="18"/>
  <c r="F279" i="18"/>
  <c r="F278" i="18"/>
  <c r="F271" i="18"/>
  <c r="F255" i="18"/>
  <c r="F211" i="18"/>
  <c r="F210" i="18"/>
  <c r="F293" i="18"/>
  <c r="F266" i="18"/>
  <c r="F262" i="18"/>
  <c r="F261" i="18"/>
  <c r="F250" i="18"/>
  <c r="F234" i="18"/>
  <c r="F233" i="18"/>
  <c r="F218" i="18"/>
  <c r="F185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130" i="18"/>
  <c r="F126" i="18"/>
  <c r="F282" i="18"/>
  <c r="F273" i="18"/>
  <c r="F272" i="18"/>
  <c r="F245" i="18"/>
  <c r="F225" i="18"/>
  <c r="F205" i="18"/>
  <c r="F201" i="18"/>
  <c r="D183" i="18"/>
  <c r="F183" i="18" s="1"/>
  <c r="F283" i="18"/>
  <c r="F281" i="18"/>
  <c r="F256" i="18"/>
  <c r="F236" i="18"/>
  <c r="F235" i="18"/>
  <c r="F212" i="18"/>
  <c r="F196" i="18"/>
  <c r="F192" i="18"/>
  <c r="F188" i="18"/>
  <c r="F297" i="18"/>
  <c r="F284" i="18"/>
  <c r="F275" i="18"/>
  <c r="F274" i="18"/>
  <c r="F267" i="18"/>
  <c r="F263" i="18"/>
  <c r="F251" i="18"/>
  <c r="F227" i="18"/>
  <c r="F226" i="18"/>
  <c r="F219" i="18"/>
  <c r="F179" i="18"/>
  <c r="F175" i="18"/>
  <c r="F171" i="18"/>
  <c r="F167" i="18"/>
  <c r="F163" i="18"/>
  <c r="F159" i="18"/>
  <c r="F155" i="18"/>
  <c r="F151" i="18"/>
  <c r="F147" i="18"/>
  <c r="F143" i="18"/>
  <c r="F139" i="18"/>
  <c r="F135" i="18"/>
  <c r="F131" i="18"/>
  <c r="F127" i="18"/>
  <c r="F285" i="18"/>
  <c r="F246" i="18"/>
  <c r="F238" i="18"/>
  <c r="F237" i="18"/>
  <c r="F214" i="18"/>
  <c r="F213" i="18"/>
  <c r="F206" i="18"/>
  <c r="F202" i="18"/>
  <c r="F198" i="18"/>
  <c r="F197" i="18"/>
  <c r="F286" i="18"/>
  <c r="F257" i="18"/>
  <c r="F229" i="18"/>
  <c r="F228" i="18"/>
  <c r="F221" i="18"/>
  <c r="F220" i="18"/>
  <c r="F193" i="18"/>
  <c r="F189" i="18"/>
  <c r="F287" i="18"/>
  <c r="F276" i="18"/>
  <c r="F268" i="18"/>
  <c r="F264" i="18"/>
  <c r="F252" i="18"/>
  <c r="F240" i="18"/>
  <c r="F239" i="18"/>
  <c r="F216" i="18"/>
  <c r="F215" i="18"/>
  <c r="F180" i="18"/>
  <c r="F176" i="18"/>
  <c r="F172" i="18"/>
  <c r="F168" i="18"/>
  <c r="F164" i="18"/>
  <c r="F160" i="18"/>
  <c r="F156" i="18"/>
  <c r="F152" i="18"/>
  <c r="F148" i="18"/>
  <c r="F144" i="18"/>
  <c r="F140" i="18"/>
  <c r="F136" i="18"/>
  <c r="F132" i="18"/>
  <c r="F128" i="18"/>
  <c r="F124" i="18"/>
  <c r="F123" i="18"/>
  <c r="F288" i="18"/>
  <c r="F259" i="18"/>
  <c r="F258" i="18"/>
  <c r="F247" i="18"/>
  <c r="F231" i="18"/>
  <c r="F230" i="18"/>
  <c r="F207" i="18"/>
  <c r="F203" i="18"/>
  <c r="F199" i="18"/>
  <c r="F187" i="18"/>
  <c r="F200" i="18"/>
  <c r="F191" i="18"/>
  <c r="F186" i="18"/>
  <c r="F195" i="18"/>
  <c r="F204" i="18"/>
  <c r="T27" i="113"/>
  <c r="Z18" i="113"/>
  <c r="T27" i="111"/>
  <c r="Z18" i="111"/>
  <c r="L18" i="52"/>
  <c r="D27" i="52"/>
  <c r="T27" i="50"/>
  <c r="Z18" i="50"/>
  <c r="P27" i="46"/>
  <c r="X18" i="46"/>
  <c r="X18" i="47"/>
  <c r="P27" i="47"/>
  <c r="H27" i="40"/>
  <c r="N18" i="40"/>
  <c r="L18" i="34"/>
  <c r="D27" i="34"/>
  <c r="T27" i="31"/>
  <c r="Z18" i="31"/>
  <c r="L18" i="50"/>
  <c r="D27" i="50"/>
  <c r="T27" i="35"/>
  <c r="Z18" i="35"/>
  <c r="H27" i="28"/>
  <c r="N18" i="28"/>
  <c r="X18" i="20"/>
  <c r="P27" i="20"/>
  <c r="H27" i="19"/>
  <c r="N18" i="19"/>
  <c r="L18" i="14"/>
  <c r="D27" i="14"/>
  <c r="D27" i="10"/>
  <c r="L18" i="10"/>
  <c r="L18" i="7"/>
  <c r="D27" i="7"/>
  <c r="H27" i="10"/>
  <c r="N18" i="10"/>
  <c r="T27" i="7"/>
  <c r="Z18" i="7"/>
  <c r="R75" i="95"/>
  <c r="R84" i="95"/>
  <c r="R88" i="95"/>
  <c r="R79" i="95"/>
  <c r="R78" i="95"/>
  <c r="R74" i="95"/>
  <c r="R58" i="95"/>
  <c r="R57" i="95"/>
  <c r="R73" i="95"/>
  <c r="R69" i="95"/>
  <c r="R68" i="95"/>
  <c r="R49" i="95"/>
  <c r="R48" i="95"/>
  <c r="R20" i="95"/>
  <c r="R60" i="95"/>
  <c r="R59" i="95"/>
  <c r="R82" i="95"/>
  <c r="R70" i="95"/>
  <c r="R62" i="95"/>
  <c r="R61" i="95"/>
  <c r="R26" i="95"/>
  <c r="R21" i="95"/>
  <c r="R71" i="95"/>
  <c r="R53" i="95"/>
  <c r="R52" i="95"/>
  <c r="R63" i="95"/>
  <c r="R36" i="95"/>
  <c r="R35" i="95"/>
  <c r="R31" i="95"/>
  <c r="R27" i="95"/>
  <c r="P23" i="95"/>
  <c r="R54" i="95"/>
  <c r="R80" i="95"/>
  <c r="R65" i="95"/>
  <c r="R64" i="95"/>
  <c r="R32" i="95"/>
  <c r="R28" i="95"/>
  <c r="X12" i="95"/>
  <c r="Z12" i="95" s="1"/>
  <c r="R81" i="95"/>
  <c r="R67" i="95"/>
  <c r="R66" i="95"/>
  <c r="R47" i="95"/>
  <c r="R46" i="95"/>
  <c r="R42" i="95"/>
  <c r="R38" i="95"/>
  <c r="R43" i="95"/>
  <c r="R56" i="95"/>
  <c r="R50" i="95"/>
  <c r="R33" i="95"/>
  <c r="R29" i="95"/>
  <c r="R23" i="95"/>
  <c r="R72" i="95"/>
  <c r="R41" i="95"/>
  <c r="R18" i="95"/>
  <c r="R77" i="95"/>
  <c r="R39" i="95"/>
  <c r="R55" i="95"/>
  <c r="R25" i="95"/>
  <c r="R19" i="95"/>
  <c r="R45" i="95"/>
  <c r="R51" i="95"/>
  <c r="R37" i="95"/>
  <c r="R44" i="95"/>
  <c r="R76" i="95"/>
  <c r="R40" i="95"/>
  <c r="R30" i="95"/>
  <c r="R34" i="95"/>
  <c r="P50" i="109"/>
  <c r="X46" i="109"/>
  <c r="Z46" i="109" s="1"/>
  <c r="T75" i="110"/>
  <c r="T100" i="88"/>
  <c r="V22" i="88"/>
  <c r="H103" i="84"/>
  <c r="L22" i="83"/>
  <c r="N22" i="83" s="1"/>
  <c r="D28" i="83"/>
  <c r="F102" i="77"/>
  <c r="F101" i="77"/>
  <c r="F94" i="77"/>
  <c r="F93" i="77"/>
  <c r="F82" i="77"/>
  <c r="F81" i="77"/>
  <c r="F54" i="77"/>
  <c r="F50" i="77"/>
  <c r="F46" i="77"/>
  <c r="F77" i="77"/>
  <c r="F73" i="77"/>
  <c r="F104" i="77"/>
  <c r="F103" i="77"/>
  <c r="F96" i="77"/>
  <c r="F95" i="77"/>
  <c r="F84" i="77"/>
  <c r="F83" i="77"/>
  <c r="F68" i="77"/>
  <c r="F64" i="77"/>
  <c r="F60" i="77"/>
  <c r="F59" i="77"/>
  <c r="F58" i="77"/>
  <c r="F56" i="77"/>
  <c r="F107" i="77"/>
  <c r="F86" i="77"/>
  <c r="F85" i="77"/>
  <c r="F78" i="77"/>
  <c r="F74" i="77"/>
  <c r="F108" i="77"/>
  <c r="F106" i="77"/>
  <c r="F97" i="77"/>
  <c r="F69" i="77"/>
  <c r="F65" i="77"/>
  <c r="F61" i="77"/>
  <c r="F109" i="77"/>
  <c r="F88" i="77"/>
  <c r="F87" i="77"/>
  <c r="F52" i="77"/>
  <c r="F48" i="77"/>
  <c r="F67" i="77"/>
  <c r="F63" i="77"/>
  <c r="F91" i="77"/>
  <c r="F89" i="77"/>
  <c r="F75" i="77"/>
  <c r="F62" i="77"/>
  <c r="F49" i="77"/>
  <c r="F98" i="77"/>
  <c r="F70" i="77"/>
  <c r="F44" i="77"/>
  <c r="L12" i="77"/>
  <c r="N12" i="77" s="1"/>
  <c r="F79" i="77"/>
  <c r="F72" i="77"/>
  <c r="F66" i="77"/>
  <c r="F47" i="77"/>
  <c r="F114" i="77"/>
  <c r="F100" i="77"/>
  <c r="F92" i="77"/>
  <c r="F41" i="77"/>
  <c r="F40" i="77"/>
  <c r="F90" i="77"/>
  <c r="F76" i="77"/>
  <c r="D56" i="77"/>
  <c r="F45" i="77"/>
  <c r="F110" i="77"/>
  <c r="F80" i="77"/>
  <c r="F51" i="77"/>
  <c r="F43" i="77"/>
  <c r="F71" i="77"/>
  <c r="F53" i="77"/>
  <c r="F99" i="77"/>
  <c r="F42" i="77"/>
  <c r="T112" i="77"/>
  <c r="H121" i="75"/>
  <c r="R85" i="81"/>
  <c r="R46" i="81"/>
  <c r="R45" i="81"/>
  <c r="R41" i="81"/>
  <c r="R37" i="81"/>
  <c r="R65" i="81"/>
  <c r="R64" i="81"/>
  <c r="R57" i="81"/>
  <c r="R56" i="81"/>
  <c r="R32" i="81"/>
  <c r="R28" i="81"/>
  <c r="R76" i="81"/>
  <c r="R75" i="81"/>
  <c r="R71" i="81"/>
  <c r="R48" i="81"/>
  <c r="R47" i="81"/>
  <c r="R19" i="81"/>
  <c r="R66" i="81"/>
  <c r="R59" i="81"/>
  <c r="R58" i="81"/>
  <c r="R42" i="81"/>
  <c r="R38" i="81"/>
  <c r="X12" i="81"/>
  <c r="Z12" i="81" s="1"/>
  <c r="R78" i="81"/>
  <c r="R77" i="81"/>
  <c r="R50" i="81"/>
  <c r="R49" i="81"/>
  <c r="R33" i="81"/>
  <c r="R29" i="81"/>
  <c r="R72" i="81"/>
  <c r="R61" i="81"/>
  <c r="R60" i="81"/>
  <c r="R25" i="81"/>
  <c r="R20" i="81"/>
  <c r="R79" i="81"/>
  <c r="R67" i="81"/>
  <c r="R52" i="81"/>
  <c r="R51" i="81"/>
  <c r="R43" i="81"/>
  <c r="R39" i="81"/>
  <c r="R24" i="81"/>
  <c r="R22" i="81"/>
  <c r="R69" i="81"/>
  <c r="R68" i="81"/>
  <c r="R44" i="81"/>
  <c r="R40" i="81"/>
  <c r="R36" i="81"/>
  <c r="R17" i="81"/>
  <c r="R81" i="81"/>
  <c r="R74" i="81"/>
  <c r="R70" i="81"/>
  <c r="R55" i="81"/>
  <c r="R54" i="81"/>
  <c r="R18" i="81"/>
  <c r="R73" i="81"/>
  <c r="R63" i="81"/>
  <c r="R30" i="81"/>
  <c r="R34" i="81"/>
  <c r="R53" i="81"/>
  <c r="R35" i="81"/>
  <c r="R62" i="81"/>
  <c r="R27" i="81"/>
  <c r="P22" i="81"/>
  <c r="R31" i="81"/>
  <c r="R26" i="81"/>
  <c r="R108" i="77"/>
  <c r="R87" i="77"/>
  <c r="R86" i="77"/>
  <c r="R78" i="77"/>
  <c r="R74" i="77"/>
  <c r="R109" i="77"/>
  <c r="R98" i="77"/>
  <c r="R97" i="77"/>
  <c r="R70" i="77"/>
  <c r="R69" i="77"/>
  <c r="R65" i="77"/>
  <c r="R61" i="77"/>
  <c r="R110" i="77"/>
  <c r="R89" i="77"/>
  <c r="R88" i="77"/>
  <c r="R99" i="77"/>
  <c r="R79" i="77"/>
  <c r="R75" i="77"/>
  <c r="R71" i="77"/>
  <c r="R91" i="77"/>
  <c r="R90" i="77"/>
  <c r="R66" i="77"/>
  <c r="R62" i="77"/>
  <c r="R53" i="77"/>
  <c r="R49" i="77"/>
  <c r="R45" i="77"/>
  <c r="R114" i="77"/>
  <c r="R101" i="77"/>
  <c r="R100" i="77"/>
  <c r="R93" i="77"/>
  <c r="R92" i="77"/>
  <c r="R81" i="77"/>
  <c r="R80" i="77"/>
  <c r="R76" i="77"/>
  <c r="R72" i="77"/>
  <c r="R77" i="77"/>
  <c r="R73" i="77"/>
  <c r="R107" i="77"/>
  <c r="R106" i="77"/>
  <c r="R51" i="77"/>
  <c r="R47" i="77"/>
  <c r="R96" i="77"/>
  <c r="R68" i="77"/>
  <c r="R64" i="77"/>
  <c r="R52" i="77"/>
  <c r="R104" i="77"/>
  <c r="R94" i="77"/>
  <c r="R59" i="77"/>
  <c r="R41" i="77"/>
  <c r="R102" i="77"/>
  <c r="R50" i="77"/>
  <c r="R95" i="77"/>
  <c r="R63" i="77"/>
  <c r="P56" i="77"/>
  <c r="R42" i="77"/>
  <c r="R84" i="77"/>
  <c r="R67" i="77"/>
  <c r="R48" i="77"/>
  <c r="R103" i="77"/>
  <c r="R82" i="77"/>
  <c r="R43" i="77"/>
  <c r="R58" i="77"/>
  <c r="R85" i="77"/>
  <c r="R83" i="77"/>
  <c r="R54" i="77"/>
  <c r="X12" i="77"/>
  <c r="Z12" i="77" s="1"/>
  <c r="R40" i="77"/>
  <c r="R46" i="77"/>
  <c r="R44" i="77"/>
  <c r="R60" i="77"/>
  <c r="T102" i="74"/>
  <c r="T92" i="73"/>
  <c r="L16" i="61"/>
  <c r="D62" i="61"/>
  <c r="F72" i="48"/>
  <c r="X25" i="45"/>
  <c r="P102" i="45"/>
  <c r="R25" i="45"/>
  <c r="F96" i="33"/>
  <c r="F95" i="33"/>
  <c r="F84" i="33"/>
  <c r="F83" i="33"/>
  <c r="F64" i="33"/>
  <c r="F63" i="33"/>
  <c r="F36" i="33"/>
  <c r="F32" i="33"/>
  <c r="F31" i="33"/>
  <c r="F75" i="33"/>
  <c r="F59" i="33"/>
  <c r="F55" i="33"/>
  <c r="F99" i="33"/>
  <c r="F90" i="33"/>
  <c r="F66" i="33"/>
  <c r="F65" i="33"/>
  <c r="F50" i="33"/>
  <c r="F46" i="33"/>
  <c r="F100" i="33"/>
  <c r="F98" i="33"/>
  <c r="F85" i="33"/>
  <c r="F77" i="33"/>
  <c r="F76" i="33"/>
  <c r="F37" i="33"/>
  <c r="F33" i="33"/>
  <c r="F101" i="33"/>
  <c r="F68" i="33"/>
  <c r="F67" i="33"/>
  <c r="F60" i="33"/>
  <c r="F56" i="33"/>
  <c r="F102" i="33"/>
  <c r="F91" i="33"/>
  <c r="F87" i="33"/>
  <c r="F86" i="33"/>
  <c r="F79" i="33"/>
  <c r="F78" i="33"/>
  <c r="F51" i="33"/>
  <c r="F47" i="33"/>
  <c r="F43" i="33"/>
  <c r="F42" i="33"/>
  <c r="F103" i="33"/>
  <c r="F70" i="33"/>
  <c r="F69" i="33"/>
  <c r="F41" i="33"/>
  <c r="F34" i="33"/>
  <c r="L12" i="33"/>
  <c r="N12" i="33" s="1"/>
  <c r="F104" i="33"/>
  <c r="F93" i="33"/>
  <c r="F92" i="33"/>
  <c r="F81" i="33"/>
  <c r="F80" i="33"/>
  <c r="F61" i="33"/>
  <c r="F57" i="33"/>
  <c r="F53" i="33"/>
  <c r="F52" i="33"/>
  <c r="D39" i="33"/>
  <c r="F105" i="33"/>
  <c r="F88" i="33"/>
  <c r="F72" i="33"/>
  <c r="F71" i="33"/>
  <c r="F48" i="33"/>
  <c r="F44" i="33"/>
  <c r="F109" i="33"/>
  <c r="F89" i="33"/>
  <c r="F49" i="33"/>
  <c r="F45" i="33"/>
  <c r="F62" i="33"/>
  <c r="F73" i="33"/>
  <c r="F54" i="33"/>
  <c r="F35" i="33"/>
  <c r="F82" i="33"/>
  <c r="F74" i="33"/>
  <c r="F58" i="33"/>
  <c r="F94" i="33"/>
  <c r="J61" i="27"/>
  <c r="T281" i="12"/>
  <c r="H320" i="3"/>
  <c r="N196" i="3"/>
  <c r="D281" i="12"/>
  <c r="L164" i="12"/>
  <c r="F256" i="15"/>
  <c r="R274" i="12"/>
  <c r="R264" i="12"/>
  <c r="R256" i="12"/>
  <c r="R252" i="12"/>
  <c r="R236" i="12"/>
  <c r="R212" i="12"/>
  <c r="R189" i="12"/>
  <c r="R188" i="12"/>
  <c r="R184" i="12"/>
  <c r="R180" i="12"/>
  <c r="R109" i="12"/>
  <c r="R275" i="12"/>
  <c r="R248" i="12"/>
  <c r="R247" i="12"/>
  <c r="R231" i="12"/>
  <c r="R224" i="12"/>
  <c r="R223" i="12"/>
  <c r="R204" i="12"/>
  <c r="R203" i="12"/>
  <c r="R175" i="12"/>
  <c r="R171" i="12"/>
  <c r="R276" i="12"/>
  <c r="R242" i="12"/>
  <c r="R198" i="12"/>
  <c r="R191" i="12"/>
  <c r="R190" i="12"/>
  <c r="R167" i="12"/>
  <c r="R162" i="12"/>
  <c r="R158" i="12"/>
  <c r="R154" i="12"/>
  <c r="R150" i="12"/>
  <c r="R146" i="12"/>
  <c r="R142" i="12"/>
  <c r="R138" i="12"/>
  <c r="R134" i="12"/>
  <c r="R130" i="12"/>
  <c r="R126" i="12"/>
  <c r="R122" i="12"/>
  <c r="R118" i="12"/>
  <c r="R114" i="12"/>
  <c r="R277" i="12"/>
  <c r="R265" i="12"/>
  <c r="R258" i="12"/>
  <c r="R257" i="12"/>
  <c r="R253" i="12"/>
  <c r="R249" i="12"/>
  <c r="R238" i="12"/>
  <c r="R237" i="12"/>
  <c r="R226" i="12"/>
  <c r="R225" i="12"/>
  <c r="R214" i="12"/>
  <c r="R213" i="12"/>
  <c r="R205" i="12"/>
  <c r="R185" i="12"/>
  <c r="R181" i="12"/>
  <c r="R166" i="12"/>
  <c r="R164" i="12"/>
  <c r="R278" i="12"/>
  <c r="R233" i="12"/>
  <c r="R232" i="12"/>
  <c r="R192" i="12"/>
  <c r="R176" i="12"/>
  <c r="R172" i="12"/>
  <c r="R168" i="12"/>
  <c r="P164" i="12"/>
  <c r="R279" i="12"/>
  <c r="R259" i="12"/>
  <c r="R243" i="12"/>
  <c r="R239" i="12"/>
  <c r="R228" i="12"/>
  <c r="R227" i="12"/>
  <c r="R216" i="12"/>
  <c r="R215" i="12"/>
  <c r="R199" i="12"/>
  <c r="R159" i="12"/>
  <c r="R155" i="12"/>
  <c r="R151" i="12"/>
  <c r="R147" i="12"/>
  <c r="R143" i="12"/>
  <c r="R139" i="12"/>
  <c r="R135" i="12"/>
  <c r="R131" i="12"/>
  <c r="R127" i="12"/>
  <c r="R123" i="12"/>
  <c r="R119" i="12"/>
  <c r="R115" i="12"/>
  <c r="R111" i="12"/>
  <c r="R267" i="12"/>
  <c r="R266" i="12"/>
  <c r="R254" i="12"/>
  <c r="R250" i="12"/>
  <c r="R234" i="12"/>
  <c r="R207" i="12"/>
  <c r="R206" i="12"/>
  <c r="R186" i="12"/>
  <c r="R182" i="12"/>
  <c r="R229" i="12"/>
  <c r="R218" i="12"/>
  <c r="R217" i="12"/>
  <c r="R194" i="12"/>
  <c r="R193" i="12"/>
  <c r="R178" i="12"/>
  <c r="R177" i="12"/>
  <c r="R173" i="12"/>
  <c r="R169" i="12"/>
  <c r="R268" i="12"/>
  <c r="R261" i="12"/>
  <c r="R260" i="12"/>
  <c r="R245" i="12"/>
  <c r="R244" i="12"/>
  <c r="R240" i="12"/>
  <c r="R209" i="12"/>
  <c r="R208" i="12"/>
  <c r="R201" i="12"/>
  <c r="R200" i="12"/>
  <c r="R160" i="12"/>
  <c r="R156" i="12"/>
  <c r="R152" i="12"/>
  <c r="R148" i="12"/>
  <c r="R144" i="12"/>
  <c r="R140" i="12"/>
  <c r="R136" i="12"/>
  <c r="R132" i="12"/>
  <c r="R128" i="12"/>
  <c r="R124" i="12"/>
  <c r="R120" i="12"/>
  <c r="R116" i="12"/>
  <c r="R112" i="12"/>
  <c r="R283" i="12"/>
  <c r="R271" i="12"/>
  <c r="R270" i="12"/>
  <c r="R255" i="12"/>
  <c r="R251" i="12"/>
  <c r="R235" i="12"/>
  <c r="R220" i="12"/>
  <c r="R219" i="12"/>
  <c r="R196" i="12"/>
  <c r="R195" i="12"/>
  <c r="R187" i="12"/>
  <c r="R183" i="12"/>
  <c r="R179" i="12"/>
  <c r="R272" i="12"/>
  <c r="R263" i="12"/>
  <c r="R262" i="12"/>
  <c r="R246" i="12"/>
  <c r="R230" i="12"/>
  <c r="R211" i="12"/>
  <c r="R210" i="12"/>
  <c r="R202" i="12"/>
  <c r="R174" i="12"/>
  <c r="R170" i="12"/>
  <c r="R273" i="12"/>
  <c r="R241" i="12"/>
  <c r="R222" i="12"/>
  <c r="R221" i="12"/>
  <c r="R197" i="12"/>
  <c r="R161" i="12"/>
  <c r="R157" i="12"/>
  <c r="R153" i="12"/>
  <c r="R149" i="12"/>
  <c r="R145" i="12"/>
  <c r="R141" i="12"/>
  <c r="R137" i="12"/>
  <c r="R133" i="12"/>
  <c r="R129" i="12"/>
  <c r="R125" i="12"/>
  <c r="R121" i="12"/>
  <c r="R117" i="12"/>
  <c r="R113" i="12"/>
  <c r="R110" i="12"/>
  <c r="X12" i="12"/>
  <c r="Z12" i="12" s="1"/>
  <c r="X18" i="112"/>
  <c r="P27" i="112"/>
  <c r="X18" i="111"/>
  <c r="P27" i="111"/>
  <c r="X18" i="43"/>
  <c r="P27" i="43"/>
  <c r="H27" i="34"/>
  <c r="N18" i="34"/>
  <c r="L18" i="25"/>
  <c r="D27" i="25"/>
  <c r="X18" i="26"/>
  <c r="P27" i="26"/>
  <c r="T27" i="5"/>
  <c r="Z18" i="5"/>
  <c r="D75" i="110"/>
  <c r="L17" i="110"/>
  <c r="T63" i="103"/>
  <c r="Z16" i="103"/>
  <c r="X63" i="103"/>
  <c r="P67" i="103"/>
  <c r="D92" i="104"/>
  <c r="L23" i="104"/>
  <c r="H92" i="104"/>
  <c r="N23" i="104"/>
  <c r="R87" i="98"/>
  <c r="R86" i="98"/>
  <c r="R82" i="98"/>
  <c r="R70" i="98"/>
  <c r="R63" i="98"/>
  <c r="R62" i="98"/>
  <c r="R54" i="98"/>
  <c r="R77" i="98"/>
  <c r="R45" i="98"/>
  <c r="R41" i="98"/>
  <c r="R37" i="98"/>
  <c r="R18" i="98"/>
  <c r="R91" i="98"/>
  <c r="R90" i="98"/>
  <c r="R79" i="98"/>
  <c r="R78" i="98"/>
  <c r="R66" i="98"/>
  <c r="R47" i="98"/>
  <c r="R46" i="98"/>
  <c r="R42" i="98"/>
  <c r="R38" i="98"/>
  <c r="R73" i="98"/>
  <c r="R33" i="98"/>
  <c r="R29" i="98"/>
  <c r="R94" i="98"/>
  <c r="R68" i="98"/>
  <c r="R67" i="98"/>
  <c r="R43" i="98"/>
  <c r="R39" i="98"/>
  <c r="R98" i="98"/>
  <c r="R61" i="98"/>
  <c r="R60" i="98"/>
  <c r="R53" i="98"/>
  <c r="R52" i="98"/>
  <c r="R44" i="98"/>
  <c r="R40" i="98"/>
  <c r="R25" i="98"/>
  <c r="R92" i="98"/>
  <c r="R56" i="98"/>
  <c r="R49" i="98"/>
  <c r="R84" i="98"/>
  <c r="R75" i="98"/>
  <c r="R34" i="98"/>
  <c r="R27" i="98"/>
  <c r="P23" i="98"/>
  <c r="R80" i="98"/>
  <c r="R57" i="98"/>
  <c r="R32" i="98"/>
  <c r="R20" i="98"/>
  <c r="R76" i="98"/>
  <c r="R50" i="98"/>
  <c r="R30" i="98"/>
  <c r="R88" i="98"/>
  <c r="R71" i="98"/>
  <c r="R55" i="98"/>
  <c r="R28" i="98"/>
  <c r="R83" i="98"/>
  <c r="R81" i="98"/>
  <c r="R65" i="98"/>
  <c r="R36" i="98"/>
  <c r="R31" i="98"/>
  <c r="R19" i="98"/>
  <c r="R89" i="98"/>
  <c r="R74" i="98"/>
  <c r="R72" i="98"/>
  <c r="R58" i="98"/>
  <c r="R51" i="98"/>
  <c r="X12" i="98"/>
  <c r="Z12" i="98" s="1"/>
  <c r="R85" i="98"/>
  <c r="R59" i="98"/>
  <c r="R26" i="98"/>
  <c r="R69" i="98"/>
  <c r="R35" i="98"/>
  <c r="R48" i="98"/>
  <c r="R21" i="98"/>
  <c r="R64" i="98"/>
  <c r="L23" i="98"/>
  <c r="D96" i="98"/>
  <c r="R66" i="94"/>
  <c r="R65" i="94"/>
  <c r="R78" i="94"/>
  <c r="R85" i="94"/>
  <c r="R74" i="94"/>
  <c r="R73" i="94"/>
  <c r="R69" i="94"/>
  <c r="R75" i="94"/>
  <c r="R58" i="94"/>
  <c r="R19" i="94"/>
  <c r="R63" i="94"/>
  <c r="R59" i="94"/>
  <c r="R53" i="94"/>
  <c r="R52" i="94"/>
  <c r="R47" i="94"/>
  <c r="R46" i="94"/>
  <c r="R42" i="94"/>
  <c r="R38" i="94"/>
  <c r="R33" i="94"/>
  <c r="R29" i="94"/>
  <c r="R72" i="94"/>
  <c r="R67" i="94"/>
  <c r="R60" i="94"/>
  <c r="R54" i="94"/>
  <c r="R48" i="94"/>
  <c r="R20" i="94"/>
  <c r="R64" i="94"/>
  <c r="R55" i="94"/>
  <c r="R49" i="94"/>
  <c r="R43" i="94"/>
  <c r="R39" i="94"/>
  <c r="R70" i="94"/>
  <c r="R34" i="94"/>
  <c r="R30" i="94"/>
  <c r="R80" i="94"/>
  <c r="R68" i="94"/>
  <c r="R61" i="94"/>
  <c r="R56" i="94"/>
  <c r="R50" i="94"/>
  <c r="R44" i="94"/>
  <c r="R40" i="94"/>
  <c r="R25" i="94"/>
  <c r="R81" i="94"/>
  <c r="R77" i="94"/>
  <c r="R57" i="94"/>
  <c r="R51" i="94"/>
  <c r="R71" i="94"/>
  <c r="R62" i="94"/>
  <c r="R32" i="94"/>
  <c r="R28" i="94"/>
  <c r="X12" i="94"/>
  <c r="Z12" i="94" s="1"/>
  <c r="R37" i="94"/>
  <c r="R31" i="94"/>
  <c r="R41" i="94"/>
  <c r="R35" i="94"/>
  <c r="R26" i="94"/>
  <c r="R45" i="94"/>
  <c r="P23" i="94"/>
  <c r="R76" i="94"/>
  <c r="R27" i="94"/>
  <c r="R18" i="94"/>
  <c r="R21" i="94"/>
  <c r="R36" i="94"/>
  <c r="H106" i="96"/>
  <c r="F24" i="86"/>
  <c r="F23" i="86"/>
  <c r="F22" i="86"/>
  <c r="F26" i="86"/>
  <c r="F25" i="86"/>
  <c r="D20" i="86"/>
  <c r="F20" i="86" s="1"/>
  <c r="F28" i="86"/>
  <c r="F27" i="86"/>
  <c r="L12" i="86"/>
  <c r="N12" i="86" s="1"/>
  <c r="F30" i="86"/>
  <c r="F17" i="86"/>
  <c r="F16" i="86"/>
  <c r="F34" i="86"/>
  <c r="F18" i="86"/>
  <c r="T74" i="79"/>
  <c r="Z27" i="79"/>
  <c r="V27" i="79"/>
  <c r="F125" i="85"/>
  <c r="F124" i="85"/>
  <c r="F105" i="85"/>
  <c r="F97" i="85"/>
  <c r="F96" i="85"/>
  <c r="F85" i="85"/>
  <c r="F84" i="85"/>
  <c r="F49" i="85"/>
  <c r="F45" i="85"/>
  <c r="F41" i="85"/>
  <c r="F37" i="85"/>
  <c r="F116" i="85"/>
  <c r="F112" i="85"/>
  <c r="F76" i="85"/>
  <c r="F72" i="85"/>
  <c r="F68" i="85"/>
  <c r="F99" i="85"/>
  <c r="F98" i="85"/>
  <c r="F87" i="85"/>
  <c r="F86" i="85"/>
  <c r="F63" i="85"/>
  <c r="F59" i="85"/>
  <c r="F127" i="85"/>
  <c r="F118" i="85"/>
  <c r="F117" i="85"/>
  <c r="F106" i="85"/>
  <c r="F78" i="85"/>
  <c r="F77" i="85"/>
  <c r="F50" i="85"/>
  <c r="F46" i="85"/>
  <c r="F42" i="85"/>
  <c r="F38" i="85"/>
  <c r="F131" i="85"/>
  <c r="F113" i="85"/>
  <c r="F101" i="85"/>
  <c r="F100" i="85"/>
  <c r="F89" i="85"/>
  <c r="F88" i="85"/>
  <c r="F73" i="85"/>
  <c r="F69" i="85"/>
  <c r="F108" i="85"/>
  <c r="F107" i="85"/>
  <c r="F80" i="85"/>
  <c r="F79" i="85"/>
  <c r="F64" i="85"/>
  <c r="F60" i="85"/>
  <c r="F119" i="85"/>
  <c r="F91" i="85"/>
  <c r="F90" i="85"/>
  <c r="F51" i="85"/>
  <c r="F47" i="85"/>
  <c r="F43" i="85"/>
  <c r="F39" i="85"/>
  <c r="F114" i="85"/>
  <c r="F102" i="85"/>
  <c r="F74" i="85"/>
  <c r="F70" i="85"/>
  <c r="L12" i="85"/>
  <c r="N12" i="85" s="1"/>
  <c r="F121" i="85"/>
  <c r="F120" i="85"/>
  <c r="F109" i="85"/>
  <c r="F93" i="85"/>
  <c r="F92" i="85"/>
  <c r="F81" i="85"/>
  <c r="F65" i="85"/>
  <c r="F61" i="85"/>
  <c r="F57" i="85"/>
  <c r="F56" i="85"/>
  <c r="F104" i="85"/>
  <c r="F103" i="85"/>
  <c r="F55" i="85"/>
  <c r="F48" i="85"/>
  <c r="F44" i="85"/>
  <c r="F40" i="85"/>
  <c r="F36" i="85"/>
  <c r="F35" i="85"/>
  <c r="F123" i="85"/>
  <c r="F111" i="85"/>
  <c r="F83" i="85"/>
  <c r="F58" i="85"/>
  <c r="F67" i="85"/>
  <c r="F95" i="85"/>
  <c r="F122" i="85"/>
  <c r="F110" i="85"/>
  <c r="F82" i="85"/>
  <c r="F62" i="85"/>
  <c r="F115" i="85"/>
  <c r="F94" i="85"/>
  <c r="F75" i="85"/>
  <c r="D53" i="85"/>
  <c r="F53" i="85" s="1"/>
  <c r="F71" i="85"/>
  <c r="F66" i="85"/>
  <c r="X67" i="79"/>
  <c r="Z67" i="79" s="1"/>
  <c r="R67" i="79"/>
  <c r="L27" i="79"/>
  <c r="D74" i="79"/>
  <c r="H90" i="76"/>
  <c r="N30" i="76"/>
  <c r="T81" i="80"/>
  <c r="L22" i="81"/>
  <c r="N22" i="81" s="1"/>
  <c r="D83" i="81"/>
  <c r="H98" i="74"/>
  <c r="L16" i="68"/>
  <c r="D65" i="68"/>
  <c r="F118" i="75"/>
  <c r="F116" i="75"/>
  <c r="F107" i="75"/>
  <c r="F103" i="75"/>
  <c r="F102" i="75"/>
  <c r="F63" i="75"/>
  <c r="F59" i="75"/>
  <c r="F119" i="75"/>
  <c r="F109" i="75"/>
  <c r="F108" i="75"/>
  <c r="F97" i="75"/>
  <c r="F73" i="75"/>
  <c r="F69" i="75"/>
  <c r="F104" i="75"/>
  <c r="F88" i="75"/>
  <c r="F87" i="75"/>
  <c r="F80" i="75"/>
  <c r="F79" i="75"/>
  <c r="F64" i="75"/>
  <c r="F60" i="75"/>
  <c r="F123" i="75"/>
  <c r="F111" i="75"/>
  <c r="F110" i="75"/>
  <c r="F51" i="75"/>
  <c r="F47" i="75"/>
  <c r="F43" i="75"/>
  <c r="F39" i="75"/>
  <c r="F98" i="75"/>
  <c r="F90" i="75"/>
  <c r="F89" i="75"/>
  <c r="F74" i="75"/>
  <c r="F70" i="75"/>
  <c r="L12" i="75"/>
  <c r="N12" i="75" s="1"/>
  <c r="F113" i="75"/>
  <c r="F112" i="75"/>
  <c r="F105" i="75"/>
  <c r="F81" i="75"/>
  <c r="F65" i="75"/>
  <c r="F61" i="75"/>
  <c r="F57" i="75"/>
  <c r="F56" i="75"/>
  <c r="F100" i="75"/>
  <c r="F99" i="75"/>
  <c r="F92" i="75"/>
  <c r="F91" i="75"/>
  <c r="F55" i="75"/>
  <c r="F53" i="75"/>
  <c r="F48" i="75"/>
  <c r="F44" i="75"/>
  <c r="F40" i="75"/>
  <c r="F36" i="75"/>
  <c r="F35" i="75"/>
  <c r="F114" i="75"/>
  <c r="F106" i="75"/>
  <c r="F94" i="75"/>
  <c r="F93" i="75"/>
  <c r="F62" i="75"/>
  <c r="F58" i="75"/>
  <c r="F83" i="75"/>
  <c r="F96" i="75"/>
  <c r="F76" i="75"/>
  <c r="F45" i="75"/>
  <c r="F72" i="75"/>
  <c r="F68" i="75"/>
  <c r="F41" i="75"/>
  <c r="F117" i="75"/>
  <c r="F66" i="75"/>
  <c r="D53" i="75"/>
  <c r="F50" i="75"/>
  <c r="F77" i="75"/>
  <c r="F37" i="75"/>
  <c r="F84" i="75"/>
  <c r="F46" i="75"/>
  <c r="F101" i="75"/>
  <c r="F86" i="75"/>
  <c r="F82" i="75"/>
  <c r="F75" i="75"/>
  <c r="F95" i="75"/>
  <c r="F71" i="75"/>
  <c r="F42" i="75"/>
  <c r="F67" i="75"/>
  <c r="F78" i="75"/>
  <c r="F38" i="75"/>
  <c r="F85" i="75"/>
  <c r="F49" i="75"/>
  <c r="D108" i="64"/>
  <c r="L16" i="64"/>
  <c r="N16" i="60"/>
  <c r="H61" i="60"/>
  <c r="T112" i="64"/>
  <c r="P33" i="55"/>
  <c r="X16" i="55"/>
  <c r="L25" i="45"/>
  <c r="N25" i="45" s="1"/>
  <c r="D102" i="45"/>
  <c r="T144" i="39"/>
  <c r="F25" i="45"/>
  <c r="R126" i="42"/>
  <c r="H163" i="30"/>
  <c r="T138" i="24"/>
  <c r="V77" i="24"/>
  <c r="H267" i="15"/>
  <c r="H22" i="6"/>
  <c r="N16" i="6"/>
  <c r="D320" i="3"/>
  <c r="L196" i="3"/>
  <c r="X18" i="113"/>
  <c r="P27" i="113"/>
  <c r="P27" i="53"/>
  <c r="X18" i="53"/>
  <c r="L18" i="44"/>
  <c r="D27" i="44"/>
  <c r="H27" i="41"/>
  <c r="N18" i="41"/>
  <c r="L18" i="28"/>
  <c r="D27" i="28"/>
  <c r="T27" i="26"/>
  <c r="Z18" i="26"/>
  <c r="X18" i="22"/>
  <c r="P27" i="22"/>
  <c r="D27" i="19"/>
  <c r="L18" i="19"/>
  <c r="H27" i="23"/>
  <c r="N18" i="23"/>
  <c r="T27" i="14"/>
  <c r="Z18" i="14"/>
  <c r="H27" i="7"/>
  <c r="N18" i="7"/>
  <c r="T27" i="4"/>
  <c r="Z18" i="4"/>
  <c r="T96" i="98"/>
  <c r="R76" i="76"/>
  <c r="R33" i="76"/>
  <c r="X12" i="76"/>
  <c r="Z12" i="76" s="1"/>
  <c r="R60" i="76"/>
  <c r="R59" i="76"/>
  <c r="R51" i="76"/>
  <c r="R47" i="76"/>
  <c r="R32" i="76"/>
  <c r="R30" i="76"/>
  <c r="R28" i="76"/>
  <c r="R83" i="76"/>
  <c r="R82" i="76"/>
  <c r="R71" i="76"/>
  <c r="R70" i="76"/>
  <c r="R43" i="76"/>
  <c r="R42" i="76"/>
  <c r="R38" i="76"/>
  <c r="R34" i="76"/>
  <c r="P30" i="76"/>
  <c r="R77" i="76"/>
  <c r="R62" i="76"/>
  <c r="R61" i="76"/>
  <c r="R84" i="76"/>
  <c r="R72" i="76"/>
  <c r="R52" i="76"/>
  <c r="R48" i="76"/>
  <c r="R44" i="76"/>
  <c r="R87" i="76"/>
  <c r="R86" i="76"/>
  <c r="R64" i="76"/>
  <c r="R63" i="76"/>
  <c r="R39" i="76"/>
  <c r="R35" i="76"/>
  <c r="R88" i="76"/>
  <c r="R78" i="76"/>
  <c r="R74" i="76"/>
  <c r="R73" i="76"/>
  <c r="R66" i="76"/>
  <c r="R65" i="76"/>
  <c r="R54" i="76"/>
  <c r="R53" i="76"/>
  <c r="R49" i="76"/>
  <c r="R45" i="76"/>
  <c r="R80" i="76"/>
  <c r="R79" i="76"/>
  <c r="R75" i="76"/>
  <c r="R68" i="76"/>
  <c r="R67" i="76"/>
  <c r="R56" i="76"/>
  <c r="R55" i="76"/>
  <c r="R92" i="76"/>
  <c r="R50" i="76"/>
  <c r="R46" i="76"/>
  <c r="R58" i="76"/>
  <c r="R37" i="76"/>
  <c r="R41" i="76"/>
  <c r="R36" i="76"/>
  <c r="R57" i="76"/>
  <c r="R69" i="76"/>
  <c r="R40" i="76"/>
  <c r="R81" i="76"/>
  <c r="V99" i="104"/>
  <c r="H67" i="103"/>
  <c r="H100" i="102"/>
  <c r="Z19" i="99"/>
  <c r="T50" i="99"/>
  <c r="H96" i="98"/>
  <c r="N23" i="98"/>
  <c r="J23" i="98"/>
  <c r="T102" i="96"/>
  <c r="D102" i="96"/>
  <c r="L22" i="96"/>
  <c r="N22" i="96" s="1"/>
  <c r="X16" i="92"/>
  <c r="P95" i="92"/>
  <c r="T87" i="94"/>
  <c r="T129" i="85"/>
  <c r="Z53" i="85"/>
  <c r="P96" i="84"/>
  <c r="X22" i="84"/>
  <c r="Z22" i="84" s="1"/>
  <c r="D100" i="88"/>
  <c r="L22" i="88"/>
  <c r="N22" i="88" s="1"/>
  <c r="D87" i="89"/>
  <c r="L23" i="89"/>
  <c r="N23" i="89" s="1"/>
  <c r="T90" i="76"/>
  <c r="V30" i="76"/>
  <c r="T127" i="71"/>
  <c r="V61" i="71"/>
  <c r="Z16" i="72"/>
  <c r="T22" i="72"/>
  <c r="F129" i="71"/>
  <c r="F103" i="71"/>
  <c r="F102" i="71"/>
  <c r="F71" i="71"/>
  <c r="F67" i="71"/>
  <c r="F118" i="71"/>
  <c r="F117" i="71"/>
  <c r="F110" i="71"/>
  <c r="F94" i="71"/>
  <c r="F93" i="71"/>
  <c r="F58" i="71"/>
  <c r="F54" i="71"/>
  <c r="F50" i="71"/>
  <c r="F46" i="71"/>
  <c r="F85" i="71"/>
  <c r="F81" i="71"/>
  <c r="F77" i="71"/>
  <c r="F104" i="71"/>
  <c r="F96" i="71"/>
  <c r="F95" i="71"/>
  <c r="F72" i="71"/>
  <c r="F68" i="71"/>
  <c r="L12" i="71"/>
  <c r="N12" i="71" s="1"/>
  <c r="F119" i="71"/>
  <c r="F111" i="71"/>
  <c r="F87" i="71"/>
  <c r="F86" i="71"/>
  <c r="F59" i="71"/>
  <c r="F55" i="71"/>
  <c r="F51" i="71"/>
  <c r="F47" i="71"/>
  <c r="F43" i="71"/>
  <c r="F42" i="71"/>
  <c r="F82" i="71"/>
  <c r="F78" i="71"/>
  <c r="F122" i="71"/>
  <c r="F113" i="71"/>
  <c r="F112" i="71"/>
  <c r="F105" i="71"/>
  <c r="F97" i="71"/>
  <c r="F89" i="71"/>
  <c r="F88" i="71"/>
  <c r="F73" i="71"/>
  <c r="F69" i="71"/>
  <c r="F65" i="71"/>
  <c r="F64" i="71"/>
  <c r="F123" i="71"/>
  <c r="F121" i="71"/>
  <c r="F63" i="71"/>
  <c r="F56" i="71"/>
  <c r="F52" i="71"/>
  <c r="F48" i="71"/>
  <c r="F44" i="71"/>
  <c r="F124" i="71"/>
  <c r="F107" i="71"/>
  <c r="F106" i="71"/>
  <c r="F99" i="71"/>
  <c r="F98" i="71"/>
  <c r="F83" i="71"/>
  <c r="F79" i="71"/>
  <c r="D61" i="71"/>
  <c r="F125" i="71"/>
  <c r="F114" i="71"/>
  <c r="F90" i="71"/>
  <c r="F74" i="71"/>
  <c r="F70" i="71"/>
  <c r="F66" i="71"/>
  <c r="F109" i="71"/>
  <c r="F108" i="71"/>
  <c r="F101" i="71"/>
  <c r="F100" i="71"/>
  <c r="F57" i="71"/>
  <c r="F53" i="71"/>
  <c r="F49" i="71"/>
  <c r="F45" i="71"/>
  <c r="F92" i="71"/>
  <c r="F115" i="71"/>
  <c r="F91" i="71"/>
  <c r="F76" i="71"/>
  <c r="F84" i="71"/>
  <c r="F116" i="71"/>
  <c r="F80" i="71"/>
  <c r="F75" i="71"/>
  <c r="X16" i="72"/>
  <c r="F96" i="74"/>
  <c r="F100" i="74"/>
  <c r="F79" i="74"/>
  <c r="F78" i="74"/>
  <c r="F51" i="74"/>
  <c r="F47" i="74"/>
  <c r="F43" i="74"/>
  <c r="F39" i="74"/>
  <c r="F90" i="74"/>
  <c r="F89" i="74"/>
  <c r="F74" i="74"/>
  <c r="F70" i="74"/>
  <c r="F81" i="74"/>
  <c r="F80" i="74"/>
  <c r="F65" i="74"/>
  <c r="F61" i="74"/>
  <c r="F92" i="74"/>
  <c r="F91" i="74"/>
  <c r="F52" i="74"/>
  <c r="F48" i="74"/>
  <c r="F44" i="74"/>
  <c r="F40" i="74"/>
  <c r="F75" i="74"/>
  <c r="F71" i="74"/>
  <c r="F82" i="74"/>
  <c r="F66" i="74"/>
  <c r="F62" i="74"/>
  <c r="F58" i="74"/>
  <c r="F57" i="74"/>
  <c r="F93" i="74"/>
  <c r="F56" i="74"/>
  <c r="F49" i="74"/>
  <c r="F45" i="74"/>
  <c r="F41" i="74"/>
  <c r="F37" i="74"/>
  <c r="F36" i="74"/>
  <c r="F84" i="74"/>
  <c r="F83" i="74"/>
  <c r="F76" i="74"/>
  <c r="F72" i="74"/>
  <c r="F68" i="74"/>
  <c r="F67" i="74"/>
  <c r="D54" i="74"/>
  <c r="F63" i="74"/>
  <c r="F59" i="74"/>
  <c r="F86" i="74"/>
  <c r="F85" i="74"/>
  <c r="F50" i="74"/>
  <c r="F46" i="74"/>
  <c r="F42" i="74"/>
  <c r="F38" i="74"/>
  <c r="F94" i="74"/>
  <c r="F77" i="74"/>
  <c r="F73" i="74"/>
  <c r="F69" i="74"/>
  <c r="F64" i="74"/>
  <c r="F88" i="74"/>
  <c r="F60" i="74"/>
  <c r="F87" i="74"/>
  <c r="L12" i="74"/>
  <c r="N12" i="74" s="1"/>
  <c r="T22" i="65"/>
  <c r="Z16" i="65"/>
  <c r="R126" i="69"/>
  <c r="R82" i="69"/>
  <c r="R81" i="69"/>
  <c r="R77" i="69"/>
  <c r="R73" i="69"/>
  <c r="P69" i="69"/>
  <c r="R109" i="69"/>
  <c r="R108" i="69"/>
  <c r="R64" i="69"/>
  <c r="R60" i="69"/>
  <c r="R56" i="69"/>
  <c r="R52" i="69"/>
  <c r="R48" i="69"/>
  <c r="X12" i="69"/>
  <c r="Z12" i="69" s="1"/>
  <c r="R116" i="69"/>
  <c r="R115" i="69"/>
  <c r="R100" i="69"/>
  <c r="R99" i="69"/>
  <c r="R91" i="69"/>
  <c r="R87" i="69"/>
  <c r="R83" i="69"/>
  <c r="R110" i="69"/>
  <c r="R78" i="69"/>
  <c r="R74" i="69"/>
  <c r="R118" i="69"/>
  <c r="R117" i="69"/>
  <c r="R102" i="69"/>
  <c r="R101" i="69"/>
  <c r="R65" i="69"/>
  <c r="R61" i="69"/>
  <c r="R57" i="69"/>
  <c r="R53" i="69"/>
  <c r="R49" i="69"/>
  <c r="R93" i="69"/>
  <c r="R92" i="69"/>
  <c r="R88" i="69"/>
  <c r="R84" i="69"/>
  <c r="R119" i="69"/>
  <c r="R112" i="69"/>
  <c r="R111" i="69"/>
  <c r="R104" i="69"/>
  <c r="R103" i="69"/>
  <c r="R79" i="69"/>
  <c r="R75" i="69"/>
  <c r="R121" i="69"/>
  <c r="R95" i="69"/>
  <c r="R94" i="69"/>
  <c r="R66" i="69"/>
  <c r="R62" i="69"/>
  <c r="R58" i="69"/>
  <c r="R54" i="69"/>
  <c r="R50" i="69"/>
  <c r="R122" i="69"/>
  <c r="R113" i="69"/>
  <c r="R106" i="69"/>
  <c r="R105" i="69"/>
  <c r="R89" i="69"/>
  <c r="R85" i="69"/>
  <c r="R46" i="69"/>
  <c r="R97" i="69"/>
  <c r="R96" i="69"/>
  <c r="R80" i="69"/>
  <c r="R76" i="69"/>
  <c r="R107" i="69"/>
  <c r="R47" i="69"/>
  <c r="R51" i="69"/>
  <c r="R98" i="69"/>
  <c r="R69" i="69"/>
  <c r="R55" i="69"/>
  <c r="R86" i="69"/>
  <c r="R72" i="69"/>
  <c r="R59" i="69"/>
  <c r="R63" i="69"/>
  <c r="R90" i="69"/>
  <c r="R67" i="69"/>
  <c r="R114" i="69"/>
  <c r="R71" i="69"/>
  <c r="P61" i="60"/>
  <c r="X16" i="60"/>
  <c r="P85" i="56"/>
  <c r="X81" i="56"/>
  <c r="N16" i="55"/>
  <c r="H33" i="55"/>
  <c r="T136" i="42"/>
  <c r="R137" i="30"/>
  <c r="R126" i="30"/>
  <c r="R125" i="30"/>
  <c r="R77" i="30"/>
  <c r="R73" i="30"/>
  <c r="R145" i="30"/>
  <c r="R144" i="30"/>
  <c r="R133" i="30"/>
  <c r="R132" i="30"/>
  <c r="R120" i="30"/>
  <c r="R109" i="30"/>
  <c r="R108" i="30"/>
  <c r="R100" i="30"/>
  <c r="R64" i="30"/>
  <c r="R60" i="30"/>
  <c r="R127" i="30"/>
  <c r="R92" i="30"/>
  <c r="R91" i="30"/>
  <c r="R87" i="30"/>
  <c r="R83" i="30"/>
  <c r="R158" i="30"/>
  <c r="R122" i="30"/>
  <c r="R121" i="30"/>
  <c r="R102" i="30"/>
  <c r="R101" i="30"/>
  <c r="R94" i="30"/>
  <c r="R93" i="30"/>
  <c r="R128" i="30"/>
  <c r="R113" i="30"/>
  <c r="R112" i="30"/>
  <c r="R88" i="30"/>
  <c r="R84" i="30"/>
  <c r="R148" i="30"/>
  <c r="R147" i="30"/>
  <c r="R140" i="30"/>
  <c r="R139" i="30"/>
  <c r="R135" i="30"/>
  <c r="R123" i="30"/>
  <c r="R104" i="30"/>
  <c r="R103" i="30"/>
  <c r="R95" i="30"/>
  <c r="R79" i="30"/>
  <c r="R75" i="30"/>
  <c r="R115" i="30"/>
  <c r="R114" i="30"/>
  <c r="R71" i="30"/>
  <c r="R66" i="30"/>
  <c r="R62" i="30"/>
  <c r="R58" i="30"/>
  <c r="R54" i="30"/>
  <c r="R50" i="30"/>
  <c r="R46" i="30"/>
  <c r="X12" i="30"/>
  <c r="Z12" i="30" s="1"/>
  <c r="R149" i="30"/>
  <c r="R141" i="30"/>
  <c r="R130" i="30"/>
  <c r="R129" i="30"/>
  <c r="R106" i="30"/>
  <c r="R105" i="30"/>
  <c r="R89" i="30"/>
  <c r="R85" i="30"/>
  <c r="R70" i="30"/>
  <c r="R154" i="30"/>
  <c r="R143" i="30"/>
  <c r="R142" i="30"/>
  <c r="R119" i="30"/>
  <c r="R118" i="30"/>
  <c r="R99" i="30"/>
  <c r="R98" i="30"/>
  <c r="R90" i="30"/>
  <c r="R86" i="30"/>
  <c r="R82" i="30"/>
  <c r="R43" i="30"/>
  <c r="R151" i="30"/>
  <c r="R116" i="30"/>
  <c r="R107" i="30"/>
  <c r="P68" i="30"/>
  <c r="R52" i="30"/>
  <c r="R44" i="30"/>
  <c r="R146" i="30"/>
  <c r="R97" i="30"/>
  <c r="R65" i="30"/>
  <c r="R134" i="30"/>
  <c r="R81" i="30"/>
  <c r="R55" i="30"/>
  <c r="R47" i="30"/>
  <c r="R153" i="30"/>
  <c r="R136" i="30"/>
  <c r="R110" i="30"/>
  <c r="R63" i="30"/>
  <c r="R138" i="30"/>
  <c r="R117" i="30"/>
  <c r="R72" i="30"/>
  <c r="R53" i="30"/>
  <c r="R45" i="30"/>
  <c r="R61" i="30"/>
  <c r="R56" i="30"/>
  <c r="R48" i="30"/>
  <c r="R152" i="30"/>
  <c r="R74" i="30"/>
  <c r="R111" i="30"/>
  <c r="R96" i="30"/>
  <c r="R76" i="30"/>
  <c r="R59" i="30"/>
  <c r="R51" i="30"/>
  <c r="R78" i="30"/>
  <c r="R124" i="30"/>
  <c r="R57" i="30"/>
  <c r="R49" i="30"/>
  <c r="R131" i="30"/>
  <c r="R80" i="30"/>
  <c r="R133" i="36"/>
  <c r="F129" i="27"/>
  <c r="F103" i="27"/>
  <c r="F102" i="27"/>
  <c r="F122" i="27"/>
  <c r="F113" i="27"/>
  <c r="F112" i="27"/>
  <c r="F105" i="27"/>
  <c r="F97" i="27"/>
  <c r="F89" i="27"/>
  <c r="F88" i="27"/>
  <c r="F123" i="27"/>
  <c r="F121" i="27"/>
  <c r="F116" i="27"/>
  <c r="F115" i="27"/>
  <c r="F92" i="27"/>
  <c r="F91" i="27"/>
  <c r="F84" i="27"/>
  <c r="F80" i="27"/>
  <c r="F76" i="27"/>
  <c r="F75" i="27"/>
  <c r="F94" i="27"/>
  <c r="F73" i="27"/>
  <c r="F69" i="27"/>
  <c r="F65" i="27"/>
  <c r="F64" i="27"/>
  <c r="F124" i="27"/>
  <c r="F98" i="27"/>
  <c r="F81" i="27"/>
  <c r="F110" i="27"/>
  <c r="F95" i="27"/>
  <c r="F125" i="27"/>
  <c r="F106" i="27"/>
  <c r="F90" i="27"/>
  <c r="F85" i="27"/>
  <c r="F74" i="27"/>
  <c r="F57" i="27"/>
  <c r="F53" i="27"/>
  <c r="F49" i="27"/>
  <c r="F45" i="27"/>
  <c r="F117" i="27"/>
  <c r="F99" i="27"/>
  <c r="F82" i="27"/>
  <c r="F96" i="27"/>
  <c r="F86" i="27"/>
  <c r="F79" i="27"/>
  <c r="F71" i="27"/>
  <c r="F67" i="27"/>
  <c r="F118" i="27"/>
  <c r="F114" i="27"/>
  <c r="F107" i="27"/>
  <c r="F104" i="27"/>
  <c r="F100" i="27"/>
  <c r="F87" i="27"/>
  <c r="F111" i="27"/>
  <c r="F83" i="27"/>
  <c r="F108" i="27"/>
  <c r="F101" i="27"/>
  <c r="F72" i="27"/>
  <c r="F68" i="27"/>
  <c r="L12" i="27"/>
  <c r="N12" i="27" s="1"/>
  <c r="F119" i="27"/>
  <c r="F109" i="27"/>
  <c r="F93" i="27"/>
  <c r="F77" i="27"/>
  <c r="F58" i="27"/>
  <c r="F51" i="27"/>
  <c r="F46" i="27"/>
  <c r="F56" i="27"/>
  <c r="F44" i="27"/>
  <c r="F63" i="27"/>
  <c r="F66" i="27"/>
  <c r="F59" i="27"/>
  <c r="F54" i="27"/>
  <c r="F47" i="27"/>
  <c r="F52" i="27"/>
  <c r="F42" i="27"/>
  <c r="F78" i="27"/>
  <c r="F70" i="27"/>
  <c r="F55" i="27"/>
  <c r="F50" i="27"/>
  <c r="F43" i="27"/>
  <c r="F61" i="27"/>
  <c r="F48" i="27"/>
  <c r="D61" i="27"/>
  <c r="H142" i="24"/>
  <c r="L77" i="24"/>
  <c r="N77" i="24" s="1"/>
  <c r="D138" i="24"/>
  <c r="R260" i="15"/>
  <c r="R250" i="15"/>
  <c r="R242" i="15"/>
  <c r="R264" i="15"/>
  <c r="R234" i="15"/>
  <c r="R269" i="15"/>
  <c r="R258" i="15"/>
  <c r="R249" i="15"/>
  <c r="R248" i="15"/>
  <c r="R261" i="15"/>
  <c r="R257" i="15"/>
  <c r="R226" i="15"/>
  <c r="R203" i="15"/>
  <c r="R202" i="15"/>
  <c r="R195" i="15"/>
  <c r="R194" i="15"/>
  <c r="R154" i="15"/>
  <c r="R150" i="15"/>
  <c r="R146" i="15"/>
  <c r="R142" i="15"/>
  <c r="R138" i="15"/>
  <c r="R134" i="15"/>
  <c r="R130" i="15"/>
  <c r="R126" i="15"/>
  <c r="R122" i="15"/>
  <c r="R118" i="15"/>
  <c r="R114" i="15"/>
  <c r="R110" i="15"/>
  <c r="R106" i="15"/>
  <c r="R252" i="15"/>
  <c r="R221" i="15"/>
  <c r="R214" i="15"/>
  <c r="R213" i="15"/>
  <c r="R190" i="15"/>
  <c r="R189" i="15"/>
  <c r="R181" i="15"/>
  <c r="R177" i="15"/>
  <c r="R173" i="15"/>
  <c r="R265" i="15"/>
  <c r="R233" i="15"/>
  <c r="R232" i="15"/>
  <c r="R205" i="15"/>
  <c r="R204" i="15"/>
  <c r="R196" i="15"/>
  <c r="R168" i="15"/>
  <c r="R164" i="15"/>
  <c r="R253" i="15"/>
  <c r="R246" i="15"/>
  <c r="R237" i="15"/>
  <c r="R228" i="15"/>
  <c r="R227" i="15"/>
  <c r="R216" i="15"/>
  <c r="R215" i="15"/>
  <c r="R191" i="15"/>
  <c r="R155" i="15"/>
  <c r="R151" i="15"/>
  <c r="R147" i="15"/>
  <c r="R143" i="15"/>
  <c r="R139" i="15"/>
  <c r="R135" i="15"/>
  <c r="R131" i="15"/>
  <c r="R127" i="15"/>
  <c r="R123" i="15"/>
  <c r="R119" i="15"/>
  <c r="R115" i="15"/>
  <c r="R111" i="15"/>
  <c r="R107" i="15"/>
  <c r="R262" i="15"/>
  <c r="R259" i="15"/>
  <c r="R240" i="15"/>
  <c r="R223" i="15"/>
  <c r="R222" i="15"/>
  <c r="R206" i="15"/>
  <c r="R183" i="15"/>
  <c r="R182" i="15"/>
  <c r="R178" i="15"/>
  <c r="R174" i="15"/>
  <c r="R247" i="15"/>
  <c r="R229" i="15"/>
  <c r="R218" i="15"/>
  <c r="R217" i="15"/>
  <c r="R198" i="15"/>
  <c r="R197" i="15"/>
  <c r="R169" i="15"/>
  <c r="R165" i="15"/>
  <c r="R243" i="15"/>
  <c r="R224" i="15"/>
  <c r="R192" i="15"/>
  <c r="R185" i="15"/>
  <c r="R184" i="15"/>
  <c r="R161" i="15"/>
  <c r="R156" i="15"/>
  <c r="R152" i="15"/>
  <c r="R148" i="15"/>
  <c r="R144" i="15"/>
  <c r="R140" i="15"/>
  <c r="R136" i="15"/>
  <c r="R132" i="15"/>
  <c r="R128" i="15"/>
  <c r="R124" i="15"/>
  <c r="R120" i="15"/>
  <c r="R116" i="15"/>
  <c r="R112" i="15"/>
  <c r="R108" i="15"/>
  <c r="R263" i="15"/>
  <c r="R254" i="15"/>
  <c r="R244" i="15"/>
  <c r="R238" i="15"/>
  <c r="R219" i="15"/>
  <c r="R208" i="15"/>
  <c r="R207" i="15"/>
  <c r="R199" i="15"/>
  <c r="R179" i="15"/>
  <c r="R175" i="15"/>
  <c r="R160" i="15"/>
  <c r="R251" i="15"/>
  <c r="R230" i="15"/>
  <c r="R186" i="15"/>
  <c r="R170" i="15"/>
  <c r="R166" i="15"/>
  <c r="R162" i="15"/>
  <c r="P158" i="15"/>
  <c r="X12" i="15"/>
  <c r="Z12" i="15" s="1"/>
  <c r="R241" i="15"/>
  <c r="R235" i="15"/>
  <c r="R225" i="15"/>
  <c r="R210" i="15"/>
  <c r="R209" i="15"/>
  <c r="R193" i="15"/>
  <c r="R153" i="15"/>
  <c r="R149" i="15"/>
  <c r="R145" i="15"/>
  <c r="R141" i="15"/>
  <c r="R137" i="15"/>
  <c r="R133" i="15"/>
  <c r="R129" i="15"/>
  <c r="R125" i="15"/>
  <c r="R121" i="15"/>
  <c r="R117" i="15"/>
  <c r="R113" i="15"/>
  <c r="R109" i="15"/>
  <c r="R245" i="15"/>
  <c r="R220" i="15"/>
  <c r="R201" i="15"/>
  <c r="R200" i="15"/>
  <c r="R180" i="15"/>
  <c r="R176" i="15"/>
  <c r="R105" i="15"/>
  <c r="R256" i="15"/>
  <c r="R239" i="15"/>
  <c r="R236" i="15"/>
  <c r="R231" i="15"/>
  <c r="R212" i="15"/>
  <c r="R211" i="15"/>
  <c r="R188" i="15"/>
  <c r="R187" i="15"/>
  <c r="R172" i="15"/>
  <c r="R171" i="15"/>
  <c r="R167" i="15"/>
  <c r="R163" i="15"/>
  <c r="H27" i="52"/>
  <c r="N18" i="52"/>
  <c r="T27" i="53"/>
  <c r="Z18" i="53"/>
  <c r="X18" i="52"/>
  <c r="P27" i="52"/>
  <c r="L18" i="40"/>
  <c r="D27" i="40"/>
  <c r="T27" i="38"/>
  <c r="Z18" i="38"/>
  <c r="X18" i="32"/>
  <c r="P27" i="32"/>
  <c r="H27" i="35"/>
  <c r="N18" i="35"/>
  <c r="X18" i="34"/>
  <c r="P27" i="34"/>
  <c r="N18" i="17"/>
  <c r="H27" i="17"/>
  <c r="L18" i="13"/>
  <c r="D27" i="13"/>
  <c r="D27" i="16"/>
  <c r="L18" i="16"/>
  <c r="R100" i="96"/>
  <c r="R85" i="96"/>
  <c r="R81" i="96"/>
  <c r="R69" i="96"/>
  <c r="R62" i="96"/>
  <c r="R61" i="96"/>
  <c r="R53" i="96"/>
  <c r="R75" i="96"/>
  <c r="R64" i="96"/>
  <c r="R63" i="96"/>
  <c r="R31" i="96"/>
  <c r="R27" i="96"/>
  <c r="R66" i="96"/>
  <c r="R65" i="96"/>
  <c r="R46" i="96"/>
  <c r="R45" i="96"/>
  <c r="R41" i="96"/>
  <c r="R37" i="96"/>
  <c r="R77" i="96"/>
  <c r="R76" i="96"/>
  <c r="R72" i="96"/>
  <c r="R96" i="96"/>
  <c r="R95" i="96"/>
  <c r="R87" i="96"/>
  <c r="R83" i="96"/>
  <c r="R67" i="96"/>
  <c r="R56" i="96"/>
  <c r="R55" i="96"/>
  <c r="R104" i="96"/>
  <c r="R78" i="96"/>
  <c r="R42" i="96"/>
  <c r="R38" i="96"/>
  <c r="X12" i="96"/>
  <c r="Z12" i="96" s="1"/>
  <c r="R91" i="96"/>
  <c r="R90" i="96"/>
  <c r="R74" i="96"/>
  <c r="R35" i="96"/>
  <c r="R34" i="96"/>
  <c r="R30" i="96"/>
  <c r="R26" i="96"/>
  <c r="P22" i="96"/>
  <c r="R89" i="96"/>
  <c r="R28" i="96"/>
  <c r="R19" i="96"/>
  <c r="R94" i="96"/>
  <c r="R36" i="96"/>
  <c r="R33" i="96"/>
  <c r="R43" i="96"/>
  <c r="R97" i="96"/>
  <c r="R92" i="96"/>
  <c r="R54" i="96"/>
  <c r="R39" i="96"/>
  <c r="R79" i="96"/>
  <c r="R59" i="96"/>
  <c r="R29" i="96"/>
  <c r="R73" i="96"/>
  <c r="R57" i="96"/>
  <c r="R50" i="96"/>
  <c r="R44" i="96"/>
  <c r="R32" i="96"/>
  <c r="R22" i="96"/>
  <c r="R48" i="96"/>
  <c r="R99" i="96"/>
  <c r="R88" i="96"/>
  <c r="R86" i="96"/>
  <c r="R84" i="96"/>
  <c r="R82" i="96"/>
  <c r="R58" i="96"/>
  <c r="R51" i="96"/>
  <c r="R25" i="96"/>
  <c r="R80" i="96"/>
  <c r="R60" i="96"/>
  <c r="R52" i="96"/>
  <c r="R24" i="96"/>
  <c r="R68" i="96"/>
  <c r="R17" i="96"/>
  <c r="R93" i="96"/>
  <c r="R70" i="96"/>
  <c r="R71" i="96"/>
  <c r="R20" i="96"/>
  <c r="R18" i="96"/>
  <c r="R47" i="96"/>
  <c r="R49" i="96"/>
  <c r="R40" i="96"/>
  <c r="V23" i="98"/>
  <c r="H94" i="89"/>
  <c r="N27" i="79"/>
  <c r="H74" i="79"/>
  <c r="R79" i="80"/>
  <c r="R64" i="80"/>
  <c r="R57" i="80"/>
  <c r="R56" i="80"/>
  <c r="R45" i="80"/>
  <c r="R44" i="80"/>
  <c r="R40" i="80"/>
  <c r="R36" i="80"/>
  <c r="R17" i="80"/>
  <c r="R71" i="80"/>
  <c r="R31" i="80"/>
  <c r="R27" i="80"/>
  <c r="R59" i="80"/>
  <c r="R58" i="80"/>
  <c r="R47" i="80"/>
  <c r="R46" i="80"/>
  <c r="R18" i="80"/>
  <c r="R83" i="80"/>
  <c r="R66" i="80"/>
  <c r="R65" i="80"/>
  <c r="R41" i="80"/>
  <c r="R37" i="80"/>
  <c r="R72" i="80"/>
  <c r="R60" i="80"/>
  <c r="R49" i="80"/>
  <c r="R48" i="80"/>
  <c r="R32" i="80"/>
  <c r="R28" i="80"/>
  <c r="R67" i="80"/>
  <c r="R19" i="80"/>
  <c r="R51" i="80"/>
  <c r="R50" i="80"/>
  <c r="R42" i="80"/>
  <c r="R38" i="80"/>
  <c r="X12" i="80"/>
  <c r="Z12" i="80" s="1"/>
  <c r="R76" i="80"/>
  <c r="R75" i="80"/>
  <c r="R43" i="80"/>
  <c r="R39" i="80"/>
  <c r="R35" i="80"/>
  <c r="R24" i="80"/>
  <c r="R22" i="80"/>
  <c r="R77" i="80"/>
  <c r="R70" i="80"/>
  <c r="R69" i="80"/>
  <c r="R61" i="80"/>
  <c r="R55" i="80"/>
  <c r="R53" i="80"/>
  <c r="R74" i="80"/>
  <c r="R25" i="80"/>
  <c r="P22" i="80"/>
  <c r="R29" i="80"/>
  <c r="R33" i="80"/>
  <c r="R62" i="80"/>
  <c r="R68" i="80"/>
  <c r="R73" i="80"/>
  <c r="R26" i="80"/>
  <c r="R52" i="80"/>
  <c r="R34" i="80"/>
  <c r="R63" i="80"/>
  <c r="R30" i="80"/>
  <c r="R20" i="80"/>
  <c r="R54" i="80"/>
  <c r="T121" i="75"/>
  <c r="H131" i="71"/>
  <c r="P26" i="72"/>
  <c r="X22" i="72"/>
  <c r="H83" i="70"/>
  <c r="T128" i="69"/>
  <c r="P69" i="68"/>
  <c r="T61" i="60"/>
  <c r="Z16" i="60"/>
  <c r="T74" i="59"/>
  <c r="V17" i="59"/>
  <c r="T76" i="58"/>
  <c r="Z16" i="58"/>
  <c r="H22" i="54"/>
  <c r="N16" i="54"/>
  <c r="H148" i="39"/>
  <c r="N164" i="12"/>
  <c r="H281" i="12"/>
  <c r="P109" i="9"/>
  <c r="H27" i="112"/>
  <c r="N18" i="112"/>
  <c r="H27" i="47"/>
  <c r="N18" i="47"/>
  <c r="H27" i="31"/>
  <c r="N18" i="31"/>
  <c r="P27" i="28"/>
  <c r="X18" i="28"/>
  <c r="L18" i="22"/>
  <c r="D27" i="22"/>
  <c r="H27" i="20"/>
  <c r="N18" i="20"/>
  <c r="L18" i="20"/>
  <c r="D27" i="20"/>
  <c r="H27" i="14"/>
  <c r="N18" i="14"/>
  <c r="L18" i="11"/>
  <c r="D27" i="11"/>
  <c r="H27" i="5"/>
  <c r="N18" i="5"/>
  <c r="T79" i="101"/>
  <c r="V75" i="101"/>
  <c r="H124" i="69"/>
  <c r="T92" i="108"/>
  <c r="F72" i="105"/>
  <c r="F69" i="105"/>
  <c r="F58" i="105"/>
  <c r="F61" i="105"/>
  <c r="F60" i="105"/>
  <c r="F53" i="105"/>
  <c r="F52" i="105"/>
  <c r="F59" i="105"/>
  <c r="F50" i="105"/>
  <c r="F33" i="105"/>
  <c r="F20" i="105"/>
  <c r="F67" i="105"/>
  <c r="F56" i="105"/>
  <c r="F38" i="105"/>
  <c r="F51" i="105"/>
  <c r="F45" i="105"/>
  <c r="F30" i="105"/>
  <c r="F39" i="105"/>
  <c r="F46" i="105"/>
  <c r="F36" i="105"/>
  <c r="F35" i="105"/>
  <c r="F31" i="105"/>
  <c r="F27" i="105"/>
  <c r="F26" i="105"/>
  <c r="F47" i="105"/>
  <c r="F43" i="105"/>
  <c r="F25" i="105"/>
  <c r="F23" i="105"/>
  <c r="F40" i="105"/>
  <c r="D23" i="105"/>
  <c r="F65" i="105"/>
  <c r="F55" i="105"/>
  <c r="F44" i="105"/>
  <c r="F63" i="105"/>
  <c r="F54" i="105"/>
  <c r="F48" i="105"/>
  <c r="F29" i="105"/>
  <c r="F42" i="105"/>
  <c r="F18" i="105"/>
  <c r="L12" i="105"/>
  <c r="N12" i="105" s="1"/>
  <c r="F21" i="105"/>
  <c r="F57" i="105"/>
  <c r="F19" i="105"/>
  <c r="F32" i="105"/>
  <c r="F41" i="105"/>
  <c r="F37" i="105"/>
  <c r="F28" i="105"/>
  <c r="F49" i="105"/>
  <c r="F34" i="105"/>
  <c r="H87" i="94"/>
  <c r="P87" i="89"/>
  <c r="X23" i="89"/>
  <c r="T100" i="84"/>
  <c r="V96" i="84"/>
  <c r="R30" i="83"/>
  <c r="R17" i="83"/>
  <c r="R18" i="83"/>
  <c r="R19" i="83"/>
  <c r="X12" i="83"/>
  <c r="Z12" i="83" s="1"/>
  <c r="R20" i="83"/>
  <c r="P22" i="83"/>
  <c r="R26" i="83"/>
  <c r="R24" i="83"/>
  <c r="L22" i="80"/>
  <c r="N22" i="80" s="1"/>
  <c r="D81" i="80"/>
  <c r="H36" i="86"/>
  <c r="T79" i="70"/>
  <c r="Z16" i="68"/>
  <c r="T65" i="68"/>
  <c r="X65" i="68" s="1"/>
  <c r="L16" i="60"/>
  <c r="D61" i="60"/>
  <c r="X16" i="68"/>
  <c r="D83" i="58"/>
  <c r="D78" i="57"/>
  <c r="L16" i="57"/>
  <c r="T40" i="55"/>
  <c r="Z26" i="54"/>
  <c r="T31" i="54"/>
  <c r="H139" i="36"/>
  <c r="N31" i="36"/>
  <c r="J31" i="36"/>
  <c r="T107" i="33"/>
  <c r="V39" i="33"/>
  <c r="T156" i="30"/>
  <c r="R61" i="27"/>
  <c r="H125" i="21"/>
  <c r="J158" i="15"/>
  <c r="D22" i="6"/>
  <c r="L16" i="6"/>
  <c r="Z16" i="6"/>
  <c r="T22" i="6"/>
  <c r="T102" i="9"/>
  <c r="Z17" i="9"/>
  <c r="X16" i="6"/>
  <c r="P22" i="6"/>
  <c r="F196" i="3"/>
  <c r="H27" i="111"/>
  <c r="N18" i="111"/>
  <c r="L18" i="111"/>
  <c r="D27" i="111"/>
  <c r="L18" i="113"/>
  <c r="D27" i="113"/>
  <c r="H27" i="44"/>
  <c r="N18" i="44"/>
  <c r="H27" i="49"/>
  <c r="N18" i="49"/>
  <c r="X18" i="37"/>
  <c r="P27" i="37"/>
  <c r="X18" i="19"/>
  <c r="P27" i="19"/>
  <c r="H27" i="26"/>
  <c r="N18" i="26"/>
  <c r="T27" i="17"/>
  <c r="Z18" i="17"/>
  <c r="H27" i="11"/>
  <c r="N18" i="11"/>
  <c r="H27" i="16"/>
  <c r="N18" i="16"/>
  <c r="L18" i="8"/>
  <c r="D27" i="8"/>
  <c r="X18" i="5"/>
  <c r="P27" i="5"/>
  <c r="D27" i="4"/>
  <c r="L18" i="4"/>
  <c r="T97" i="102"/>
  <c r="H32" i="83"/>
  <c r="H96" i="108"/>
  <c r="H93" i="106"/>
  <c r="R67" i="105"/>
  <c r="R57" i="105"/>
  <c r="R46" i="105"/>
  <c r="R45" i="105"/>
  <c r="R41" i="105"/>
  <c r="R37" i="105"/>
  <c r="R61" i="105"/>
  <c r="R39" i="105"/>
  <c r="R25" i="105"/>
  <c r="R31" i="105"/>
  <c r="R27" i="105"/>
  <c r="P23" i="105"/>
  <c r="R53" i="105"/>
  <c r="R48" i="105"/>
  <c r="R47" i="105"/>
  <c r="R36" i="105"/>
  <c r="R58" i="105"/>
  <c r="R54" i="105"/>
  <c r="R40" i="105"/>
  <c r="R32" i="105"/>
  <c r="R28" i="105"/>
  <c r="X12" i="105"/>
  <c r="Z12" i="105" s="1"/>
  <c r="R19" i="105"/>
  <c r="R55" i="105"/>
  <c r="R49" i="105"/>
  <c r="R50" i="105"/>
  <c r="R44" i="105"/>
  <c r="R29" i="105"/>
  <c r="R51" i="105"/>
  <c r="R30" i="105"/>
  <c r="R52" i="105"/>
  <c r="R33" i="105"/>
  <c r="R21" i="105"/>
  <c r="R38" i="105"/>
  <c r="R59" i="105"/>
  <c r="R43" i="105"/>
  <c r="R26" i="105"/>
  <c r="R34" i="105"/>
  <c r="R35" i="105"/>
  <c r="R56" i="105"/>
  <c r="R60" i="105"/>
  <c r="R63" i="105"/>
  <c r="R42" i="105"/>
  <c r="R18" i="105"/>
  <c r="R20" i="105"/>
  <c r="N86" i="95"/>
  <c r="H90" i="95"/>
  <c r="T86" i="95"/>
  <c r="D85" i="93"/>
  <c r="L22" i="93"/>
  <c r="N22" i="93" s="1"/>
  <c r="N16" i="65"/>
  <c r="H22" i="65"/>
  <c r="F126" i="69"/>
  <c r="F122" i="69"/>
  <c r="F113" i="69"/>
  <c r="F112" i="69"/>
  <c r="F105" i="69"/>
  <c r="F104" i="69"/>
  <c r="F89" i="69"/>
  <c r="F85" i="69"/>
  <c r="F121" i="69"/>
  <c r="F96" i="69"/>
  <c r="F95" i="69"/>
  <c r="F80" i="69"/>
  <c r="F76" i="69"/>
  <c r="F107" i="69"/>
  <c r="F106" i="69"/>
  <c r="F67" i="69"/>
  <c r="F63" i="69"/>
  <c r="F59" i="69"/>
  <c r="F55" i="69"/>
  <c r="F51" i="69"/>
  <c r="F47" i="69"/>
  <c r="F46" i="69"/>
  <c r="F114" i="69"/>
  <c r="F98" i="69"/>
  <c r="F97" i="69"/>
  <c r="F90" i="69"/>
  <c r="F86" i="69"/>
  <c r="F81" i="69"/>
  <c r="F77" i="69"/>
  <c r="F73" i="69"/>
  <c r="F72" i="69"/>
  <c r="F108" i="69"/>
  <c r="F71" i="69"/>
  <c r="F64" i="69"/>
  <c r="F60" i="69"/>
  <c r="F56" i="69"/>
  <c r="F52" i="69"/>
  <c r="F48" i="69"/>
  <c r="L12" i="69"/>
  <c r="N12" i="69" s="1"/>
  <c r="F115" i="69"/>
  <c r="F99" i="69"/>
  <c r="F91" i="69"/>
  <c r="F87" i="69"/>
  <c r="F83" i="69"/>
  <c r="F82" i="69"/>
  <c r="D69" i="69"/>
  <c r="F110" i="69"/>
  <c r="F109" i="69"/>
  <c r="F78" i="69"/>
  <c r="F74" i="69"/>
  <c r="F117" i="69"/>
  <c r="F116" i="69"/>
  <c r="F101" i="69"/>
  <c r="F100" i="69"/>
  <c r="F65" i="69"/>
  <c r="F61" i="69"/>
  <c r="F57" i="69"/>
  <c r="F53" i="69"/>
  <c r="F49" i="69"/>
  <c r="F92" i="69"/>
  <c r="F88" i="69"/>
  <c r="F84" i="69"/>
  <c r="F119" i="69"/>
  <c r="F118" i="69"/>
  <c r="F111" i="69"/>
  <c r="F103" i="69"/>
  <c r="F102" i="69"/>
  <c r="F54" i="69"/>
  <c r="F93" i="69"/>
  <c r="F58" i="69"/>
  <c r="F62" i="69"/>
  <c r="F75" i="69"/>
  <c r="F66" i="69"/>
  <c r="F94" i="69"/>
  <c r="F79" i="69"/>
  <c r="F50" i="69"/>
  <c r="N16" i="61"/>
  <c r="H62" i="61"/>
  <c r="P108" i="64"/>
  <c r="X16" i="64"/>
  <c r="N17" i="59"/>
  <c r="H74" i="59"/>
  <c r="T116" i="51"/>
  <c r="F31" i="36"/>
  <c r="R140" i="24"/>
  <c r="R130" i="24"/>
  <c r="R129" i="24"/>
  <c r="R122" i="24"/>
  <c r="R121" i="24"/>
  <c r="R114" i="24"/>
  <c r="R113" i="24"/>
  <c r="R97" i="24"/>
  <c r="R93" i="24"/>
  <c r="R132" i="24"/>
  <c r="R131" i="24"/>
  <c r="R124" i="24"/>
  <c r="R123" i="24"/>
  <c r="R116" i="24"/>
  <c r="R115" i="24"/>
  <c r="R80" i="24"/>
  <c r="R98" i="24"/>
  <c r="R81" i="24"/>
  <c r="R73" i="24"/>
  <c r="R62" i="24"/>
  <c r="R117" i="24"/>
  <c r="R112" i="24"/>
  <c r="R107" i="24"/>
  <c r="R95" i="24"/>
  <c r="R66" i="24"/>
  <c r="R55" i="24"/>
  <c r="R51" i="24"/>
  <c r="R136" i="24"/>
  <c r="R108" i="24"/>
  <c r="R102" i="24"/>
  <c r="R92" i="24"/>
  <c r="R88" i="24"/>
  <c r="R70" i="24"/>
  <c r="R59" i="24"/>
  <c r="R127" i="24"/>
  <c r="R103" i="24"/>
  <c r="R85" i="24"/>
  <c r="R82" i="24"/>
  <c r="R74" i="24"/>
  <c r="R63" i="24"/>
  <c r="R52" i="24"/>
  <c r="R119" i="24"/>
  <c r="R118" i="24"/>
  <c r="R67" i="24"/>
  <c r="R56" i="24"/>
  <c r="R128" i="24"/>
  <c r="R104" i="24"/>
  <c r="R99" i="24"/>
  <c r="R96" i="24"/>
  <c r="R71" i="24"/>
  <c r="R60" i="24"/>
  <c r="X12" i="24"/>
  <c r="Z12" i="24" s="1"/>
  <c r="R109" i="24"/>
  <c r="R105" i="24"/>
  <c r="R90" i="24"/>
  <c r="R89" i="24"/>
  <c r="R86" i="24"/>
  <c r="R75" i="24"/>
  <c r="R64" i="24"/>
  <c r="R133" i="24"/>
  <c r="R120" i="24"/>
  <c r="R83" i="24"/>
  <c r="R77" i="24"/>
  <c r="R68" i="24"/>
  <c r="R53" i="24"/>
  <c r="R125" i="24"/>
  <c r="R110" i="24"/>
  <c r="R106" i="24"/>
  <c r="R79" i="24"/>
  <c r="P77" i="24"/>
  <c r="R72" i="24"/>
  <c r="R57" i="24"/>
  <c r="R100" i="24"/>
  <c r="R94" i="24"/>
  <c r="R61" i="24"/>
  <c r="R101" i="24"/>
  <c r="R91" i="24"/>
  <c r="R87" i="24"/>
  <c r="R65" i="24"/>
  <c r="R54" i="24"/>
  <c r="R135" i="24"/>
  <c r="R126" i="24"/>
  <c r="R111" i="24"/>
  <c r="R84" i="24"/>
  <c r="R69" i="24"/>
  <c r="R58" i="24"/>
  <c r="R282" i="18"/>
  <c r="R281" i="18"/>
  <c r="R266" i="18"/>
  <c r="R262" i="18"/>
  <c r="R250" i="18"/>
  <c r="R235" i="18"/>
  <c r="R234" i="18"/>
  <c r="R218" i="18"/>
  <c r="R178" i="18"/>
  <c r="R174" i="18"/>
  <c r="R170" i="18"/>
  <c r="R166" i="18"/>
  <c r="R162" i="18"/>
  <c r="R158" i="18"/>
  <c r="R154" i="18"/>
  <c r="R150" i="18"/>
  <c r="R146" i="18"/>
  <c r="R142" i="18"/>
  <c r="R138" i="18"/>
  <c r="R134" i="18"/>
  <c r="R130" i="18"/>
  <c r="R126" i="18"/>
  <c r="R283" i="18"/>
  <c r="R274" i="18"/>
  <c r="R273" i="18"/>
  <c r="R245" i="18"/>
  <c r="R226" i="18"/>
  <c r="R225" i="18"/>
  <c r="R205" i="18"/>
  <c r="R201" i="18"/>
  <c r="R284" i="18"/>
  <c r="R256" i="18"/>
  <c r="R237" i="18"/>
  <c r="R236" i="18"/>
  <c r="R213" i="18"/>
  <c r="R212" i="18"/>
  <c r="R297" i="18"/>
  <c r="R285" i="18"/>
  <c r="R275" i="18"/>
  <c r="R267" i="18"/>
  <c r="R263" i="18"/>
  <c r="R251" i="18"/>
  <c r="R228" i="18"/>
  <c r="R227" i="18"/>
  <c r="R220" i="18"/>
  <c r="R219" i="18"/>
  <c r="R286" i="18"/>
  <c r="R246" i="18"/>
  <c r="R239" i="18"/>
  <c r="R238" i="18"/>
  <c r="R215" i="18"/>
  <c r="R214" i="18"/>
  <c r="R206" i="18"/>
  <c r="R202" i="18"/>
  <c r="R198" i="18"/>
  <c r="R123" i="18"/>
  <c r="R287" i="18"/>
  <c r="R258" i="18"/>
  <c r="R257" i="18"/>
  <c r="R230" i="18"/>
  <c r="R229" i="18"/>
  <c r="R221" i="18"/>
  <c r="R193" i="18"/>
  <c r="R189" i="18"/>
  <c r="R288" i="18"/>
  <c r="R276" i="18"/>
  <c r="R269" i="18"/>
  <c r="R268" i="18"/>
  <c r="R264" i="18"/>
  <c r="R253" i="18"/>
  <c r="R252" i="18"/>
  <c r="R241" i="18"/>
  <c r="R240" i="18"/>
  <c r="R216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128" i="18"/>
  <c r="R124" i="18"/>
  <c r="R289" i="18"/>
  <c r="R259" i="18"/>
  <c r="R248" i="18"/>
  <c r="R247" i="18"/>
  <c r="R231" i="18"/>
  <c r="R208" i="18"/>
  <c r="R207" i="18"/>
  <c r="R203" i="18"/>
  <c r="R199" i="18"/>
  <c r="R290" i="18"/>
  <c r="R270" i="18"/>
  <c r="R254" i="18"/>
  <c r="R243" i="18"/>
  <c r="R242" i="18"/>
  <c r="R223" i="18"/>
  <c r="R222" i="18"/>
  <c r="R194" i="18"/>
  <c r="R190" i="18"/>
  <c r="R291" i="18"/>
  <c r="R278" i="18"/>
  <c r="R277" i="18"/>
  <c r="R265" i="18"/>
  <c r="R249" i="18"/>
  <c r="R217" i="18"/>
  <c r="R210" i="18"/>
  <c r="R209" i="18"/>
  <c r="R186" i="18"/>
  <c r="R181" i="18"/>
  <c r="R177" i="18"/>
  <c r="R173" i="18"/>
  <c r="R169" i="18"/>
  <c r="R165" i="18"/>
  <c r="R161" i="18"/>
  <c r="R157" i="18"/>
  <c r="R153" i="18"/>
  <c r="R149" i="18"/>
  <c r="R145" i="18"/>
  <c r="R141" i="18"/>
  <c r="R137" i="18"/>
  <c r="R133" i="18"/>
  <c r="R129" i="18"/>
  <c r="R125" i="18"/>
  <c r="R292" i="18"/>
  <c r="R261" i="18"/>
  <c r="R260" i="18"/>
  <c r="R244" i="18"/>
  <c r="R233" i="18"/>
  <c r="R232" i="18"/>
  <c r="R224" i="18"/>
  <c r="R204" i="18"/>
  <c r="R200" i="18"/>
  <c r="R185" i="18"/>
  <c r="R293" i="18"/>
  <c r="R279" i="18"/>
  <c r="R272" i="18"/>
  <c r="R271" i="18"/>
  <c r="R255" i="18"/>
  <c r="R211" i="18"/>
  <c r="R195" i="18"/>
  <c r="R191" i="18"/>
  <c r="R187" i="18"/>
  <c r="P183" i="18"/>
  <c r="R183" i="18" s="1"/>
  <c r="R192" i="18"/>
  <c r="R179" i="18"/>
  <c r="R131" i="18"/>
  <c r="R175" i="18"/>
  <c r="R127" i="18"/>
  <c r="R196" i="18"/>
  <c r="R171" i="18"/>
  <c r="R167" i="18"/>
  <c r="R163" i="18"/>
  <c r="R159" i="18"/>
  <c r="R155" i="18"/>
  <c r="R197" i="18"/>
  <c r="R151" i="18"/>
  <c r="R188" i="18"/>
  <c r="R147" i="18"/>
  <c r="R143" i="18"/>
  <c r="R139" i="18"/>
  <c r="X12" i="18"/>
  <c r="Z12" i="18" s="1"/>
  <c r="R135" i="18"/>
  <c r="T267" i="15"/>
  <c r="T320" i="3"/>
  <c r="L18" i="112"/>
  <c r="D27" i="112"/>
  <c r="H27" i="113"/>
  <c r="N18" i="113"/>
  <c r="Z18" i="46"/>
  <c r="T27" i="46"/>
  <c r="D27" i="46"/>
  <c r="L18" i="46"/>
  <c r="H27" i="38"/>
  <c r="N18" i="38"/>
  <c r="L18" i="35"/>
  <c r="D27" i="35"/>
  <c r="H27" i="22"/>
  <c r="N18" i="22"/>
  <c r="P27" i="13"/>
  <c r="X18" i="13"/>
  <c r="P74" i="59"/>
  <c r="X17" i="59"/>
  <c r="Z17" i="59" s="1"/>
  <c r="T53" i="109"/>
  <c r="T93" i="106"/>
  <c r="R88" i="104"/>
  <c r="R80" i="104"/>
  <c r="R76" i="104"/>
  <c r="R90" i="104"/>
  <c r="R71" i="104"/>
  <c r="R66" i="104"/>
  <c r="R94" i="104"/>
  <c r="R73" i="104"/>
  <c r="R72" i="104"/>
  <c r="R84" i="104"/>
  <c r="R83" i="104"/>
  <c r="R68" i="104"/>
  <c r="R67" i="104"/>
  <c r="R60" i="104"/>
  <c r="R59" i="104"/>
  <c r="R78" i="104"/>
  <c r="R74" i="104"/>
  <c r="R86" i="104"/>
  <c r="R85" i="104"/>
  <c r="R69" i="104"/>
  <c r="R62" i="104"/>
  <c r="R61" i="104"/>
  <c r="R50" i="104"/>
  <c r="R49" i="104"/>
  <c r="R70" i="104"/>
  <c r="R47" i="104"/>
  <c r="R43" i="104"/>
  <c r="R39" i="104"/>
  <c r="R63" i="104"/>
  <c r="R53" i="104"/>
  <c r="R26" i="104"/>
  <c r="R21" i="104"/>
  <c r="R81" i="104"/>
  <c r="R64" i="104"/>
  <c r="R57" i="104"/>
  <c r="R54" i="104"/>
  <c r="R44" i="104"/>
  <c r="R40" i="104"/>
  <c r="R25" i="104"/>
  <c r="R23" i="104"/>
  <c r="R77" i="104"/>
  <c r="R79" i="104"/>
  <c r="R87" i="104"/>
  <c r="R37" i="104"/>
  <c r="R36" i="104"/>
  <c r="R32" i="104"/>
  <c r="R28" i="104"/>
  <c r="X12" i="104"/>
  <c r="Z12" i="104" s="1"/>
  <c r="R82" i="104"/>
  <c r="R58" i="104"/>
  <c r="R55" i="104"/>
  <c r="R51" i="104"/>
  <c r="R19" i="104"/>
  <c r="R56" i="104"/>
  <c r="R20" i="104"/>
  <c r="R45" i="104"/>
  <c r="R52" i="104"/>
  <c r="R30" i="104"/>
  <c r="R48" i="104"/>
  <c r="R35" i="104"/>
  <c r="R42" i="104"/>
  <c r="R38" i="104"/>
  <c r="R46" i="104"/>
  <c r="R33" i="104"/>
  <c r="R75" i="104"/>
  <c r="R41" i="104"/>
  <c r="R18" i="104"/>
  <c r="R27" i="104"/>
  <c r="R29" i="104"/>
  <c r="R31" i="104"/>
  <c r="R65" i="104"/>
  <c r="P23" i="104"/>
  <c r="R34" i="104"/>
  <c r="F88" i="102"/>
  <c r="F87" i="102"/>
  <c r="F80" i="102"/>
  <c r="F76" i="102"/>
  <c r="F91" i="102"/>
  <c r="F78" i="102"/>
  <c r="F65" i="102"/>
  <c r="F64" i="102"/>
  <c r="F37" i="102"/>
  <c r="F33" i="102"/>
  <c r="F29" i="102"/>
  <c r="F84" i="102"/>
  <c r="F47" i="102"/>
  <c r="F43" i="102"/>
  <c r="F39" i="102"/>
  <c r="F38" i="102"/>
  <c r="F95" i="102"/>
  <c r="F75" i="102"/>
  <c r="F66" i="102"/>
  <c r="F34" i="102"/>
  <c r="F30" i="102"/>
  <c r="F85" i="102"/>
  <c r="F81" i="102"/>
  <c r="F72" i="102"/>
  <c r="F57" i="102"/>
  <c r="F21" i="102"/>
  <c r="F90" i="102"/>
  <c r="F48" i="102"/>
  <c r="F44" i="102"/>
  <c r="F40" i="102"/>
  <c r="F70" i="102"/>
  <c r="F54" i="102"/>
  <c r="F53" i="102"/>
  <c r="F46" i="102"/>
  <c r="F42" i="102"/>
  <c r="D24" i="102"/>
  <c r="F67" i="102"/>
  <c r="F56" i="102"/>
  <c r="F50" i="102"/>
  <c r="F20" i="102"/>
  <c r="F35" i="102"/>
  <c r="F59" i="102"/>
  <c r="F45" i="102"/>
  <c r="L12" i="102"/>
  <c r="N12" i="102" s="1"/>
  <c r="F79" i="102"/>
  <c r="F77" i="102"/>
  <c r="F83" i="102"/>
  <c r="F68" i="102"/>
  <c r="F62" i="102"/>
  <c r="F31" i="102"/>
  <c r="F26" i="102"/>
  <c r="F73" i="102"/>
  <c r="F51" i="102"/>
  <c r="F71" i="102"/>
  <c r="F63" i="102"/>
  <c r="F60" i="102"/>
  <c r="F36" i="102"/>
  <c r="F27" i="102"/>
  <c r="F41" i="102"/>
  <c r="F69" i="102"/>
  <c r="F52" i="102"/>
  <c r="F49" i="102"/>
  <c r="F32" i="102"/>
  <c r="F22" i="102"/>
  <c r="F74" i="102"/>
  <c r="F61" i="102"/>
  <c r="F55" i="102"/>
  <c r="F19" i="102"/>
  <c r="F82" i="102"/>
  <c r="F58" i="102"/>
  <c r="F28" i="102"/>
  <c r="F86" i="102"/>
  <c r="H50" i="99"/>
  <c r="N19" i="99"/>
  <c r="H89" i="93"/>
  <c r="R76" i="93"/>
  <c r="R72" i="93"/>
  <c r="R65" i="93"/>
  <c r="R64" i="93"/>
  <c r="R32" i="93"/>
  <c r="R28" i="93"/>
  <c r="X12" i="93"/>
  <c r="Z12" i="93" s="1"/>
  <c r="R56" i="93"/>
  <c r="R55" i="93"/>
  <c r="R48" i="93"/>
  <c r="R47" i="93"/>
  <c r="R19" i="93"/>
  <c r="R67" i="93"/>
  <c r="R66" i="93"/>
  <c r="R42" i="93"/>
  <c r="R38" i="93"/>
  <c r="R78" i="93"/>
  <c r="R77" i="93"/>
  <c r="R73" i="93"/>
  <c r="R58" i="93"/>
  <c r="R57" i="93"/>
  <c r="R50" i="93"/>
  <c r="R49" i="93"/>
  <c r="R33" i="93"/>
  <c r="R29" i="93"/>
  <c r="R68" i="93"/>
  <c r="R25" i="93"/>
  <c r="R20" i="93"/>
  <c r="R80" i="93"/>
  <c r="R79" i="93"/>
  <c r="R60" i="93"/>
  <c r="R59" i="93"/>
  <c r="R52" i="93"/>
  <c r="R51" i="93"/>
  <c r="R43" i="93"/>
  <c r="R39" i="93"/>
  <c r="R24" i="93"/>
  <c r="R22" i="93"/>
  <c r="R81" i="93"/>
  <c r="R69" i="93"/>
  <c r="R62" i="93"/>
  <c r="R61" i="93"/>
  <c r="R53" i="93"/>
  <c r="R75" i="93"/>
  <c r="R63" i="93"/>
  <c r="R31" i="93"/>
  <c r="R27" i="93"/>
  <c r="R87" i="93"/>
  <c r="R46" i="93"/>
  <c r="R45" i="93"/>
  <c r="R41" i="93"/>
  <c r="R37" i="93"/>
  <c r="R18" i="93"/>
  <c r="R40" i="93"/>
  <c r="R83" i="93"/>
  <c r="R74" i="93"/>
  <c r="P22" i="93"/>
  <c r="R70" i="93"/>
  <c r="R36" i="93"/>
  <c r="R54" i="93"/>
  <c r="R34" i="93"/>
  <c r="R30" i="93"/>
  <c r="R44" i="93"/>
  <c r="R35" i="93"/>
  <c r="R71" i="93"/>
  <c r="R26" i="93"/>
  <c r="H129" i="85"/>
  <c r="L95" i="92"/>
  <c r="N95" i="92" s="1"/>
  <c r="D99" i="92"/>
  <c r="T39" i="86"/>
  <c r="R70" i="70"/>
  <c r="R55" i="70"/>
  <c r="R54" i="70"/>
  <c r="R65" i="70"/>
  <c r="R46" i="70"/>
  <c r="R45" i="70"/>
  <c r="R41" i="70"/>
  <c r="R37" i="70"/>
  <c r="R57" i="70"/>
  <c r="R56" i="70"/>
  <c r="R32" i="70"/>
  <c r="R28" i="70"/>
  <c r="R72" i="70"/>
  <c r="R71" i="70"/>
  <c r="R48" i="70"/>
  <c r="R47" i="70"/>
  <c r="R19" i="70"/>
  <c r="R66" i="70"/>
  <c r="R59" i="70"/>
  <c r="R58" i="70"/>
  <c r="R42" i="70"/>
  <c r="R38" i="70"/>
  <c r="X12" i="70"/>
  <c r="Z12" i="70" s="1"/>
  <c r="R74" i="70"/>
  <c r="R73" i="70"/>
  <c r="R50" i="70"/>
  <c r="R49" i="70"/>
  <c r="R33" i="70"/>
  <c r="R29" i="70"/>
  <c r="R61" i="70"/>
  <c r="R60" i="70"/>
  <c r="R25" i="70"/>
  <c r="R20" i="70"/>
  <c r="R75" i="70"/>
  <c r="R68" i="70"/>
  <c r="R67" i="70"/>
  <c r="R52" i="70"/>
  <c r="R51" i="70"/>
  <c r="R43" i="70"/>
  <c r="R39" i="70"/>
  <c r="R24" i="70"/>
  <c r="R22" i="70"/>
  <c r="R77" i="70"/>
  <c r="R62" i="70"/>
  <c r="R35" i="70"/>
  <c r="R34" i="70"/>
  <c r="R30" i="70"/>
  <c r="R26" i="70"/>
  <c r="P22" i="70"/>
  <c r="R69" i="70"/>
  <c r="R53" i="70"/>
  <c r="R44" i="70"/>
  <c r="R40" i="70"/>
  <c r="R36" i="70"/>
  <c r="R17" i="70"/>
  <c r="R64" i="70"/>
  <c r="R81" i="70"/>
  <c r="R31" i="70"/>
  <c r="R18" i="70"/>
  <c r="R63" i="70"/>
  <c r="R27" i="70"/>
  <c r="N16" i="57"/>
  <c r="H78" i="57"/>
  <c r="D74" i="59"/>
  <c r="L17" i="59"/>
  <c r="P22" i="54"/>
  <c r="X16" i="54"/>
  <c r="D75" i="48"/>
  <c r="H132" i="42"/>
  <c r="F114" i="51"/>
  <c r="F100" i="51"/>
  <c r="F92" i="51"/>
  <c r="F91" i="51"/>
  <c r="F80" i="51"/>
  <c r="F76" i="51"/>
  <c r="F72" i="51"/>
  <c r="F102" i="51"/>
  <c r="F101" i="51"/>
  <c r="F94" i="51"/>
  <c r="F93" i="51"/>
  <c r="F82" i="51"/>
  <c r="F81" i="51"/>
  <c r="F54" i="51"/>
  <c r="F50" i="51"/>
  <c r="F46" i="51"/>
  <c r="F42" i="51"/>
  <c r="F77" i="51"/>
  <c r="F73" i="51"/>
  <c r="F104" i="51"/>
  <c r="F103" i="51"/>
  <c r="F96" i="51"/>
  <c r="F95" i="51"/>
  <c r="F84" i="51"/>
  <c r="F83" i="51"/>
  <c r="F68" i="51"/>
  <c r="F64" i="51"/>
  <c r="F60" i="51"/>
  <c r="F59" i="51"/>
  <c r="F58" i="51"/>
  <c r="F51" i="51"/>
  <c r="F47" i="51"/>
  <c r="F43" i="51"/>
  <c r="F107" i="51"/>
  <c r="F86" i="51"/>
  <c r="F85" i="51"/>
  <c r="F78" i="51"/>
  <c r="F74" i="51"/>
  <c r="D56" i="51"/>
  <c r="F56" i="51" s="1"/>
  <c r="F108" i="51"/>
  <c r="F106" i="51"/>
  <c r="F97" i="51"/>
  <c r="F69" i="51"/>
  <c r="F65" i="51"/>
  <c r="F61" i="51"/>
  <c r="F53" i="51"/>
  <c r="F49" i="51"/>
  <c r="F45" i="51"/>
  <c r="F41" i="51"/>
  <c r="F40" i="51"/>
  <c r="F110" i="51"/>
  <c r="F98" i="51"/>
  <c r="F89" i="51"/>
  <c r="F87" i="51"/>
  <c r="F44" i="51"/>
  <c r="F70" i="51"/>
  <c r="F62" i="51"/>
  <c r="F66" i="51"/>
  <c r="F99" i="51"/>
  <c r="F79" i="51"/>
  <c r="F63" i="51"/>
  <c r="F48" i="51"/>
  <c r="F52" i="51"/>
  <c r="F88" i="51"/>
  <c r="F67" i="51"/>
  <c r="F90" i="51"/>
  <c r="F71" i="51"/>
  <c r="F109" i="51"/>
  <c r="L12" i="51"/>
  <c r="N12" i="51" s="1"/>
  <c r="F75" i="51"/>
  <c r="R121" i="27"/>
  <c r="P118" i="21"/>
  <c r="X30" i="21"/>
  <c r="T27" i="49"/>
  <c r="Z18" i="49"/>
  <c r="L18" i="43"/>
  <c r="D27" i="43"/>
  <c r="P27" i="44"/>
  <c r="X18" i="44"/>
  <c r="Z18" i="47"/>
  <c r="T27" i="47"/>
  <c r="T27" i="41"/>
  <c r="Z18" i="41"/>
  <c r="T27" i="40"/>
  <c r="Z18" i="40"/>
  <c r="N18" i="29"/>
  <c r="H27" i="29"/>
  <c r="X18" i="31"/>
  <c r="P27" i="31"/>
  <c r="D27" i="31"/>
  <c r="L18" i="31"/>
  <c r="T27" i="20"/>
  <c r="Z18" i="20"/>
  <c r="T27" i="22"/>
  <c r="Z18" i="22"/>
  <c r="X18" i="17"/>
  <c r="P27" i="17"/>
  <c r="H27" i="13"/>
  <c r="N18" i="13"/>
  <c r="T27" i="11"/>
  <c r="Z18" i="11"/>
  <c r="T27" i="10"/>
  <c r="Z18" i="10"/>
  <c r="N18" i="4"/>
  <c r="H27" i="4"/>
  <c r="T27" i="8"/>
  <c r="Z18" i="8"/>
  <c r="L23" i="106"/>
  <c r="N23" i="106" s="1"/>
  <c r="H53" i="100"/>
  <c r="N17" i="100"/>
  <c r="P53" i="100"/>
  <c r="X17" i="100"/>
  <c r="F85" i="94"/>
  <c r="F73" i="94"/>
  <c r="F69" i="94"/>
  <c r="F70" i="94"/>
  <c r="F71" i="94"/>
  <c r="F67" i="94"/>
  <c r="F66" i="94"/>
  <c r="F80" i="94"/>
  <c r="F35" i="94"/>
  <c r="F31" i="94"/>
  <c r="F27" i="94"/>
  <c r="F26" i="94"/>
  <c r="F81" i="94"/>
  <c r="F25" i="94"/>
  <c r="F23" i="94"/>
  <c r="F77" i="94"/>
  <c r="F74" i="94"/>
  <c r="F62" i="94"/>
  <c r="F57" i="94"/>
  <c r="F51" i="94"/>
  <c r="F45" i="94"/>
  <c r="F41" i="94"/>
  <c r="F37" i="94"/>
  <c r="F36" i="94"/>
  <c r="D23" i="94"/>
  <c r="F32" i="94"/>
  <c r="F28" i="94"/>
  <c r="L12" i="94"/>
  <c r="N12" i="94" s="1"/>
  <c r="F78" i="94"/>
  <c r="F58" i="94"/>
  <c r="F52" i="94"/>
  <c r="F19" i="94"/>
  <c r="F18" i="94"/>
  <c r="F46" i="94"/>
  <c r="F42" i="94"/>
  <c r="F38" i="94"/>
  <c r="F64" i="94"/>
  <c r="F60" i="94"/>
  <c r="F59" i="94"/>
  <c r="F54" i="94"/>
  <c r="F53" i="94"/>
  <c r="F48" i="94"/>
  <c r="F47" i="94"/>
  <c r="F20" i="94"/>
  <c r="F34" i="94"/>
  <c r="F30" i="94"/>
  <c r="F65" i="94"/>
  <c r="F61" i="94"/>
  <c r="F44" i="94"/>
  <c r="F40" i="94"/>
  <c r="F50" i="94"/>
  <c r="F63" i="94"/>
  <c r="F29" i="94"/>
  <c r="F21" i="94"/>
  <c r="F75" i="94"/>
  <c r="F39" i="94"/>
  <c r="F33" i="94"/>
  <c r="F68" i="94"/>
  <c r="F55" i="94"/>
  <c r="F76" i="94"/>
  <c r="F56" i="94"/>
  <c r="F72" i="94"/>
  <c r="F43" i="94"/>
  <c r="F49" i="94"/>
  <c r="V22" i="93"/>
  <c r="T85" i="93"/>
  <c r="F22" i="88"/>
  <c r="P32" i="86"/>
  <c r="X20" i="86"/>
  <c r="Z20" i="86" s="1"/>
  <c r="T83" i="81"/>
  <c r="H88" i="80"/>
  <c r="J85" i="80"/>
  <c r="H119" i="77"/>
  <c r="F22" i="81"/>
  <c r="R119" i="71"/>
  <c r="R112" i="71"/>
  <c r="R111" i="71"/>
  <c r="R88" i="71"/>
  <c r="R87" i="71"/>
  <c r="R64" i="71"/>
  <c r="R59" i="71"/>
  <c r="R55" i="71"/>
  <c r="R51" i="71"/>
  <c r="R47" i="71"/>
  <c r="R43" i="71"/>
  <c r="R122" i="71"/>
  <c r="R121" i="71"/>
  <c r="R82" i="71"/>
  <c r="R78" i="71"/>
  <c r="R63" i="71"/>
  <c r="R61" i="71"/>
  <c r="R123" i="71"/>
  <c r="R113" i="71"/>
  <c r="R106" i="71"/>
  <c r="R105" i="71"/>
  <c r="R98" i="71"/>
  <c r="R97" i="71"/>
  <c r="R89" i="71"/>
  <c r="R73" i="71"/>
  <c r="R69" i="71"/>
  <c r="R65" i="71"/>
  <c r="P61" i="71"/>
  <c r="R124" i="71"/>
  <c r="R56" i="71"/>
  <c r="R52" i="71"/>
  <c r="R48" i="71"/>
  <c r="R44" i="71"/>
  <c r="R125" i="71"/>
  <c r="R108" i="71"/>
  <c r="R107" i="71"/>
  <c r="R100" i="71"/>
  <c r="R99" i="71"/>
  <c r="R83" i="71"/>
  <c r="R79" i="71"/>
  <c r="R115" i="71"/>
  <c r="R114" i="71"/>
  <c r="R91" i="71"/>
  <c r="R90" i="71"/>
  <c r="R75" i="71"/>
  <c r="R74" i="71"/>
  <c r="R70" i="71"/>
  <c r="R66" i="71"/>
  <c r="R109" i="71"/>
  <c r="R102" i="71"/>
  <c r="R101" i="71"/>
  <c r="R57" i="71"/>
  <c r="R53" i="71"/>
  <c r="R49" i="71"/>
  <c r="R45" i="71"/>
  <c r="R117" i="71"/>
  <c r="R116" i="71"/>
  <c r="R93" i="71"/>
  <c r="R92" i="71"/>
  <c r="R84" i="71"/>
  <c r="R80" i="71"/>
  <c r="R76" i="71"/>
  <c r="R129" i="71"/>
  <c r="R103" i="71"/>
  <c r="R71" i="71"/>
  <c r="R67" i="71"/>
  <c r="R118" i="71"/>
  <c r="R110" i="71"/>
  <c r="R95" i="71"/>
  <c r="R94" i="71"/>
  <c r="R58" i="71"/>
  <c r="R54" i="71"/>
  <c r="R50" i="71"/>
  <c r="R46" i="71"/>
  <c r="R86" i="71"/>
  <c r="R85" i="71"/>
  <c r="R81" i="71"/>
  <c r="R77" i="71"/>
  <c r="R42" i="71"/>
  <c r="R104" i="71"/>
  <c r="X12" i="71"/>
  <c r="Z12" i="71" s="1"/>
  <c r="R68" i="71"/>
  <c r="R96" i="71"/>
  <c r="R72" i="71"/>
  <c r="J69" i="69"/>
  <c r="F76" i="73"/>
  <c r="F36" i="73"/>
  <c r="F32" i="73"/>
  <c r="F71" i="73"/>
  <c r="F70" i="73"/>
  <c r="F63" i="73"/>
  <c r="F62" i="73"/>
  <c r="F51" i="73"/>
  <c r="F50" i="73"/>
  <c r="F23" i="73"/>
  <c r="F46" i="73"/>
  <c r="F42" i="73"/>
  <c r="F77" i="73"/>
  <c r="F73" i="73"/>
  <c r="F72" i="73"/>
  <c r="F65" i="73"/>
  <c r="F64" i="73"/>
  <c r="F53" i="73"/>
  <c r="F52" i="73"/>
  <c r="F37" i="73"/>
  <c r="F33" i="73"/>
  <c r="F24" i="73"/>
  <c r="F79" i="73"/>
  <c r="F78" i="73"/>
  <c r="F67" i="73"/>
  <c r="F66" i="73"/>
  <c r="F55" i="73"/>
  <c r="F54" i="73"/>
  <c r="F47" i="73"/>
  <c r="F43" i="73"/>
  <c r="F74" i="73"/>
  <c r="F38" i="73"/>
  <c r="F34" i="73"/>
  <c r="F30" i="73"/>
  <c r="F29" i="73"/>
  <c r="L12" i="73"/>
  <c r="N12" i="73" s="1"/>
  <c r="F81" i="73"/>
  <c r="F80" i="73"/>
  <c r="F57" i="73"/>
  <c r="F56" i="73"/>
  <c r="F28" i="73"/>
  <c r="F68" i="73"/>
  <c r="F48" i="73"/>
  <c r="F44" i="73"/>
  <c r="F40" i="73"/>
  <c r="F39" i="73"/>
  <c r="D26" i="73"/>
  <c r="F75" i="73"/>
  <c r="F59" i="73"/>
  <c r="F58" i="73"/>
  <c r="F35" i="73"/>
  <c r="F31" i="73"/>
  <c r="F83" i="73"/>
  <c r="F22" i="73"/>
  <c r="F21" i="73"/>
  <c r="F41" i="73"/>
  <c r="F60" i="73"/>
  <c r="F87" i="73"/>
  <c r="F45" i="73"/>
  <c r="F61" i="73"/>
  <c r="F69" i="73"/>
  <c r="F49" i="73"/>
  <c r="L16" i="65"/>
  <c r="D22" i="65"/>
  <c r="P76" i="58"/>
  <c r="X16" i="58"/>
  <c r="H65" i="68"/>
  <c r="N16" i="68"/>
  <c r="H76" i="58"/>
  <c r="N16" i="58"/>
  <c r="V112" i="51"/>
  <c r="D33" i="55"/>
  <c r="L16" i="55"/>
  <c r="D22" i="54"/>
  <c r="L16" i="54"/>
  <c r="N17" i="48"/>
  <c r="J17" i="48"/>
  <c r="H75" i="48"/>
  <c r="H106" i="45"/>
  <c r="T102" i="45"/>
  <c r="Z25" i="45"/>
  <c r="F113" i="39"/>
  <c r="F112" i="39"/>
  <c r="F97" i="39"/>
  <c r="F96" i="39"/>
  <c r="F85" i="39"/>
  <c r="F69" i="39"/>
  <c r="F68" i="39"/>
  <c r="F33" i="39"/>
  <c r="F32" i="39"/>
  <c r="F136" i="39"/>
  <c r="F135" i="39"/>
  <c r="F128" i="39"/>
  <c r="F108" i="39"/>
  <c r="F76" i="39"/>
  <c r="F75" i="39"/>
  <c r="F60" i="39"/>
  <c r="F56" i="39"/>
  <c r="F52" i="39"/>
  <c r="F51" i="39"/>
  <c r="L12" i="39"/>
  <c r="N12" i="39" s="1"/>
  <c r="F123" i="39"/>
  <c r="F119" i="39"/>
  <c r="F103" i="39"/>
  <c r="F87" i="39"/>
  <c r="F86" i="39"/>
  <c r="F47" i="39"/>
  <c r="F43" i="39"/>
  <c r="F139" i="39"/>
  <c r="F130" i="39"/>
  <c r="F129" i="39"/>
  <c r="F114" i="39"/>
  <c r="F98" i="39"/>
  <c r="F78" i="39"/>
  <c r="F77" i="39"/>
  <c r="F70" i="39"/>
  <c r="F34" i="39"/>
  <c r="F140" i="39"/>
  <c r="F138" i="39"/>
  <c r="F109" i="39"/>
  <c r="F89" i="39"/>
  <c r="F88" i="39"/>
  <c r="F61" i="39"/>
  <c r="F57" i="39"/>
  <c r="F53" i="39"/>
  <c r="F141" i="39"/>
  <c r="F132" i="39"/>
  <c r="F131" i="39"/>
  <c r="F124" i="39"/>
  <c r="F120" i="39"/>
  <c r="F116" i="39"/>
  <c r="F115" i="39"/>
  <c r="F104" i="39"/>
  <c r="F80" i="39"/>
  <c r="F79" i="39"/>
  <c r="F48" i="39"/>
  <c r="F44" i="39"/>
  <c r="F142" i="39"/>
  <c r="F99" i="39"/>
  <c r="F91" i="39"/>
  <c r="F90" i="39"/>
  <c r="F71" i="39"/>
  <c r="F63" i="39"/>
  <c r="F62" i="39"/>
  <c r="F35" i="39"/>
  <c r="F146" i="39"/>
  <c r="F100" i="39"/>
  <c r="F127" i="39"/>
  <c r="F126" i="39"/>
  <c r="F111" i="39"/>
  <c r="F107" i="39"/>
  <c r="F95" i="39"/>
  <c r="F94" i="39"/>
  <c r="F67" i="39"/>
  <c r="F66" i="39"/>
  <c r="F59" i="39"/>
  <c r="F55" i="39"/>
  <c r="D37" i="39"/>
  <c r="F134" i="39"/>
  <c r="F122" i="39"/>
  <c r="F118" i="39"/>
  <c r="F102" i="39"/>
  <c r="F101" i="39"/>
  <c r="F74" i="39"/>
  <c r="F73" i="39"/>
  <c r="F50" i="39"/>
  <c r="F46" i="39"/>
  <c r="F42" i="39"/>
  <c r="F82" i="39"/>
  <c r="F125" i="39"/>
  <c r="F117" i="39"/>
  <c r="F106" i="39"/>
  <c r="F54" i="39"/>
  <c r="F45" i="39"/>
  <c r="F37" i="39"/>
  <c r="F58" i="39"/>
  <c r="F40" i="39"/>
  <c r="F133" i="39"/>
  <c r="F64" i="39"/>
  <c r="F93" i="39"/>
  <c r="F83" i="39"/>
  <c r="F110" i="39"/>
  <c r="F72" i="39"/>
  <c r="F49" i="39"/>
  <c r="F81" i="39"/>
  <c r="F121" i="39"/>
  <c r="F105" i="39"/>
  <c r="F92" i="39"/>
  <c r="F65" i="39"/>
  <c r="F41" i="39"/>
  <c r="F84" i="39"/>
  <c r="F39" i="39"/>
  <c r="T127" i="27"/>
  <c r="V61" i="27"/>
  <c r="Z61" i="27"/>
  <c r="T118" i="21"/>
  <c r="Z30" i="21"/>
  <c r="V183" i="18"/>
  <c r="T295" i="18"/>
  <c r="F149" i="30"/>
  <c r="F148" i="30"/>
  <c r="F141" i="30"/>
  <c r="F140" i="30"/>
  <c r="F129" i="30"/>
  <c r="F105" i="30"/>
  <c r="F104" i="30"/>
  <c r="F89" i="30"/>
  <c r="F85" i="30"/>
  <c r="F136" i="30"/>
  <c r="F124" i="30"/>
  <c r="F116" i="30"/>
  <c r="F115" i="30"/>
  <c r="F96" i="30"/>
  <c r="F80" i="30"/>
  <c r="F76" i="30"/>
  <c r="F72" i="30"/>
  <c r="F71" i="30"/>
  <c r="F152" i="30"/>
  <c r="F131" i="30"/>
  <c r="F130" i="30"/>
  <c r="F107" i="30"/>
  <c r="F106" i="30"/>
  <c r="F153" i="30"/>
  <c r="F154" i="30"/>
  <c r="F137" i="30"/>
  <c r="F125" i="30"/>
  <c r="F77" i="30"/>
  <c r="F73" i="30"/>
  <c r="F144" i="30"/>
  <c r="F143" i="30"/>
  <c r="F132" i="30"/>
  <c r="F120" i="30"/>
  <c r="F119" i="30"/>
  <c r="F108" i="30"/>
  <c r="F100" i="30"/>
  <c r="F99" i="30"/>
  <c r="F64" i="30"/>
  <c r="F60" i="30"/>
  <c r="F56" i="30"/>
  <c r="F52" i="30"/>
  <c r="F48" i="30"/>
  <c r="F44" i="30"/>
  <c r="F43" i="30"/>
  <c r="F127" i="30"/>
  <c r="F126" i="30"/>
  <c r="F91" i="30"/>
  <c r="F87" i="30"/>
  <c r="F83" i="30"/>
  <c r="F158" i="30"/>
  <c r="F146" i="30"/>
  <c r="F145" i="30"/>
  <c r="F138" i="30"/>
  <c r="F134" i="30"/>
  <c r="F133" i="30"/>
  <c r="F110" i="30"/>
  <c r="F109" i="30"/>
  <c r="F78" i="30"/>
  <c r="F74" i="30"/>
  <c r="F121" i="30"/>
  <c r="F101" i="30"/>
  <c r="F93" i="30"/>
  <c r="F92" i="30"/>
  <c r="F65" i="30"/>
  <c r="F61" i="30"/>
  <c r="F57" i="30"/>
  <c r="F53" i="30"/>
  <c r="F49" i="30"/>
  <c r="F45" i="30"/>
  <c r="F114" i="30"/>
  <c r="F113" i="30"/>
  <c r="F66" i="30"/>
  <c r="F62" i="30"/>
  <c r="F58" i="30"/>
  <c r="F54" i="30"/>
  <c r="F50" i="30"/>
  <c r="F46" i="30"/>
  <c r="L12" i="30"/>
  <c r="N12" i="30" s="1"/>
  <c r="F122" i="30"/>
  <c r="F59" i="30"/>
  <c r="F51" i="30"/>
  <c r="F139" i="30"/>
  <c r="F128" i="30"/>
  <c r="F118" i="30"/>
  <c r="F151" i="30"/>
  <c r="F103" i="30"/>
  <c r="D68" i="30"/>
  <c r="F97" i="30"/>
  <c r="F75" i="30"/>
  <c r="F142" i="30"/>
  <c r="F112" i="30"/>
  <c r="F95" i="30"/>
  <c r="F81" i="30"/>
  <c r="F79" i="30"/>
  <c r="F55" i="30"/>
  <c r="F47" i="30"/>
  <c r="F123" i="30"/>
  <c r="F63" i="30"/>
  <c r="F117" i="30"/>
  <c r="F102" i="30"/>
  <c r="F147" i="30"/>
  <c r="F135" i="30"/>
  <c r="F111" i="30"/>
  <c r="F90" i="30"/>
  <c r="F86" i="30"/>
  <c r="F84" i="30"/>
  <c r="F82" i="30"/>
  <c r="F94" i="30"/>
  <c r="F98" i="30"/>
  <c r="F70" i="30"/>
  <c r="F88" i="30"/>
  <c r="P320" i="3"/>
  <c r="X196" i="3"/>
  <c r="Z196" i="3" s="1"/>
  <c r="H27" i="43"/>
  <c r="N18" i="43"/>
  <c r="Z18" i="44"/>
  <c r="T27" i="44"/>
  <c r="H27" i="46"/>
  <c r="N18" i="46"/>
  <c r="X18" i="40"/>
  <c r="P27" i="40"/>
  <c r="L18" i="38"/>
  <c r="D27" i="38"/>
  <c r="T27" i="34"/>
  <c r="Z18" i="34"/>
  <c r="D27" i="32"/>
  <c r="L18" i="32"/>
  <c r="D27" i="29"/>
  <c r="L18" i="29"/>
  <c r="H27" i="25"/>
  <c r="N18" i="25"/>
  <c r="X18" i="10"/>
  <c r="P27" i="10"/>
  <c r="H27" i="8"/>
  <c r="N18" i="8"/>
  <c r="P75" i="110"/>
  <c r="X17" i="110"/>
  <c r="Z17" i="110" s="1"/>
  <c r="R17" i="110"/>
  <c r="L16" i="109"/>
  <c r="D46" i="109"/>
  <c r="F88" i="108"/>
  <c r="F80" i="108"/>
  <c r="F76" i="108"/>
  <c r="F75" i="108"/>
  <c r="F60" i="108"/>
  <c r="F59" i="108"/>
  <c r="F44" i="108"/>
  <c r="F40" i="108"/>
  <c r="F51" i="108"/>
  <c r="F50" i="108"/>
  <c r="F90" i="108"/>
  <c r="F81" i="108"/>
  <c r="F77" i="108"/>
  <c r="F45" i="108"/>
  <c r="F41" i="108"/>
  <c r="D23" i="108"/>
  <c r="F83" i="108"/>
  <c r="F82" i="108"/>
  <c r="F19" i="108"/>
  <c r="F18" i="108"/>
  <c r="F85" i="108"/>
  <c r="F84" i="108"/>
  <c r="F73" i="108"/>
  <c r="F33" i="108"/>
  <c r="F29" i="108"/>
  <c r="F78" i="108"/>
  <c r="F67" i="108"/>
  <c r="F64" i="108"/>
  <c r="F70" i="108"/>
  <c r="F86" i="108"/>
  <c r="F68" i="108"/>
  <c r="F54" i="108"/>
  <c r="F34" i="108"/>
  <c r="F57" i="108"/>
  <c r="F48" i="108"/>
  <c r="F27" i="108"/>
  <c r="F21" i="108"/>
  <c r="F65" i="108"/>
  <c r="F58" i="108"/>
  <c r="F43" i="108"/>
  <c r="F79" i="108"/>
  <c r="F74" i="108"/>
  <c r="F72" i="108"/>
  <c r="F62" i="108"/>
  <c r="F38" i="108"/>
  <c r="F30" i="108"/>
  <c r="F94" i="108"/>
  <c r="F87" i="108"/>
  <c r="F66" i="108"/>
  <c r="F55" i="108"/>
  <c r="F52" i="108"/>
  <c r="F49" i="108"/>
  <c r="F46" i="108"/>
  <c r="F28" i="108"/>
  <c r="F35" i="108"/>
  <c r="F23" i="108"/>
  <c r="F69" i="108"/>
  <c r="F56" i="108"/>
  <c r="L12" i="108"/>
  <c r="N12" i="108" s="1"/>
  <c r="F20" i="108"/>
  <c r="F26" i="108"/>
  <c r="F42" i="108"/>
  <c r="F32" i="108"/>
  <c r="F36" i="108"/>
  <c r="F71" i="108"/>
  <c r="F63" i="108"/>
  <c r="F61" i="108"/>
  <c r="F25" i="108"/>
  <c r="F39" i="108"/>
  <c r="F37" i="108"/>
  <c r="F31" i="108"/>
  <c r="F47" i="108"/>
  <c r="F53" i="108"/>
  <c r="T69" i="105"/>
  <c r="P75" i="101"/>
  <c r="X22" i="101"/>
  <c r="Z22" i="101" s="1"/>
  <c r="R22" i="101"/>
  <c r="D53" i="100"/>
  <c r="L17" i="100"/>
  <c r="F71" i="84"/>
  <c r="F70" i="84"/>
  <c r="F63" i="84"/>
  <c r="F62" i="84"/>
  <c r="F31" i="84"/>
  <c r="F27" i="84"/>
  <c r="F90" i="84"/>
  <c r="F89" i="84"/>
  <c r="F82" i="84"/>
  <c r="F78" i="84"/>
  <c r="F77" i="84"/>
  <c r="F54" i="84"/>
  <c r="F18" i="84"/>
  <c r="F17" i="84"/>
  <c r="F65" i="84"/>
  <c r="F64" i="84"/>
  <c r="F45" i="84"/>
  <c r="F41" i="84"/>
  <c r="F37" i="84"/>
  <c r="F92" i="84"/>
  <c r="F91" i="84"/>
  <c r="F72" i="84"/>
  <c r="F32" i="84"/>
  <c r="F28" i="84"/>
  <c r="F83" i="84"/>
  <c r="F79" i="84"/>
  <c r="F67" i="84"/>
  <c r="F66" i="84"/>
  <c r="F55" i="84"/>
  <c r="F47" i="84"/>
  <c r="F46" i="84"/>
  <c r="F19" i="84"/>
  <c r="F42" i="84"/>
  <c r="F38" i="84"/>
  <c r="L12" i="84"/>
  <c r="N12" i="84" s="1"/>
  <c r="F94" i="84"/>
  <c r="F73" i="84"/>
  <c r="F57" i="84"/>
  <c r="F56" i="84"/>
  <c r="F49" i="84"/>
  <c r="F48" i="84"/>
  <c r="F33" i="84"/>
  <c r="F29" i="84"/>
  <c r="F98" i="84"/>
  <c r="F84" i="84"/>
  <c r="F80" i="84"/>
  <c r="F68" i="84"/>
  <c r="F20" i="84"/>
  <c r="F59" i="84"/>
  <c r="F58" i="84"/>
  <c r="F51" i="84"/>
  <c r="F50" i="84"/>
  <c r="F43" i="84"/>
  <c r="F39" i="84"/>
  <c r="F86" i="84"/>
  <c r="F85" i="84"/>
  <c r="F74" i="84"/>
  <c r="F34" i="84"/>
  <c r="F30" i="84"/>
  <c r="F26" i="84"/>
  <c r="F25" i="84"/>
  <c r="F69" i="84"/>
  <c r="F36" i="84"/>
  <c r="F40" i="84"/>
  <c r="F75" i="84"/>
  <c r="F60" i="84"/>
  <c r="F53" i="84"/>
  <c r="F24" i="84"/>
  <c r="F88" i="84"/>
  <c r="F44" i="84"/>
  <c r="F35" i="84"/>
  <c r="F81" i="84"/>
  <c r="F76" i="84"/>
  <c r="D22" i="84"/>
  <c r="F22" i="84" s="1"/>
  <c r="F61" i="84"/>
  <c r="F52" i="84"/>
  <c r="F87" i="84"/>
  <c r="F27" i="79"/>
  <c r="J53" i="75"/>
  <c r="R123" i="75"/>
  <c r="R112" i="75"/>
  <c r="R111" i="75"/>
  <c r="R56" i="75"/>
  <c r="R51" i="75"/>
  <c r="R47" i="75"/>
  <c r="R43" i="75"/>
  <c r="R39" i="75"/>
  <c r="R113" i="75"/>
  <c r="R105" i="75"/>
  <c r="R82" i="75"/>
  <c r="R81" i="75"/>
  <c r="R66" i="75"/>
  <c r="R65" i="75"/>
  <c r="R61" i="75"/>
  <c r="R57" i="75"/>
  <c r="P53" i="75"/>
  <c r="R100" i="75"/>
  <c r="R93" i="75"/>
  <c r="R92" i="75"/>
  <c r="R48" i="75"/>
  <c r="R44" i="75"/>
  <c r="R40" i="75"/>
  <c r="R36" i="75"/>
  <c r="R84" i="75"/>
  <c r="R83" i="75"/>
  <c r="R75" i="75"/>
  <c r="R71" i="75"/>
  <c r="R67" i="75"/>
  <c r="R114" i="75"/>
  <c r="R106" i="75"/>
  <c r="R95" i="75"/>
  <c r="R94" i="75"/>
  <c r="R62" i="75"/>
  <c r="R58" i="75"/>
  <c r="R117" i="75"/>
  <c r="R116" i="75"/>
  <c r="R102" i="75"/>
  <c r="R101" i="75"/>
  <c r="R85" i="75"/>
  <c r="R118" i="75"/>
  <c r="R96" i="75"/>
  <c r="R77" i="75"/>
  <c r="R76" i="75"/>
  <c r="R72" i="75"/>
  <c r="R68" i="75"/>
  <c r="R87" i="75"/>
  <c r="R86" i="75"/>
  <c r="R79" i="75"/>
  <c r="R78" i="75"/>
  <c r="R50" i="75"/>
  <c r="R46" i="75"/>
  <c r="R42" i="75"/>
  <c r="R38" i="75"/>
  <c r="R110" i="75"/>
  <c r="R109" i="75"/>
  <c r="R104" i="75"/>
  <c r="R70" i="75"/>
  <c r="R41" i="75"/>
  <c r="X12" i="75"/>
  <c r="Z12" i="75" s="1"/>
  <c r="R90" i="75"/>
  <c r="R53" i="75"/>
  <c r="R37" i="75"/>
  <c r="R35" i="75"/>
  <c r="R119" i="75"/>
  <c r="R97" i="75"/>
  <c r="R60" i="75"/>
  <c r="R103" i="75"/>
  <c r="R99" i="75"/>
  <c r="R88" i="75"/>
  <c r="R73" i="75"/>
  <c r="R64" i="75"/>
  <c r="R107" i="75"/>
  <c r="R69" i="75"/>
  <c r="R91" i="75"/>
  <c r="R89" i="75"/>
  <c r="R80" i="75"/>
  <c r="R59" i="75"/>
  <c r="R63" i="75"/>
  <c r="R55" i="75"/>
  <c r="R49" i="75"/>
  <c r="R45" i="75"/>
  <c r="R108" i="75"/>
  <c r="R98" i="75"/>
  <c r="R74" i="75"/>
  <c r="L16" i="72"/>
  <c r="D22" i="72"/>
  <c r="P85" i="73"/>
  <c r="X26" i="73"/>
  <c r="Z26" i="73" s="1"/>
  <c r="P62" i="61"/>
  <c r="X16" i="61"/>
  <c r="P78" i="57"/>
  <c r="X16" i="57"/>
  <c r="P75" i="48"/>
  <c r="X17" i="48"/>
  <c r="Z17" i="48" s="1"/>
  <c r="F98" i="42"/>
  <c r="F78" i="42"/>
  <c r="F77" i="42"/>
  <c r="F62" i="42"/>
  <c r="F61" i="42"/>
  <c r="F26" i="42"/>
  <c r="F25" i="42"/>
  <c r="F121" i="42"/>
  <c r="F113" i="42"/>
  <c r="F109" i="42"/>
  <c r="F105" i="42"/>
  <c r="F93" i="42"/>
  <c r="F69" i="42"/>
  <c r="F68" i="42"/>
  <c r="F53" i="42"/>
  <c r="F49" i="42"/>
  <c r="F45" i="42"/>
  <c r="F44" i="42"/>
  <c r="F134" i="42"/>
  <c r="F88" i="42"/>
  <c r="F80" i="42"/>
  <c r="F79" i="42"/>
  <c r="F115" i="42"/>
  <c r="F114" i="42"/>
  <c r="F122" i="42"/>
  <c r="F110" i="42"/>
  <c r="F106" i="42"/>
  <c r="F82" i="42"/>
  <c r="F81" i="42"/>
  <c r="F54" i="42"/>
  <c r="F50" i="42"/>
  <c r="F46" i="42"/>
  <c r="F101" i="42"/>
  <c r="F100" i="42"/>
  <c r="F89" i="42"/>
  <c r="F73" i="42"/>
  <c r="F72" i="42"/>
  <c r="F41" i="42"/>
  <c r="F37" i="42"/>
  <c r="F124" i="42"/>
  <c r="F123" i="42"/>
  <c r="F116" i="42"/>
  <c r="F96" i="42"/>
  <c r="F84" i="42"/>
  <c r="F83" i="42"/>
  <c r="F64" i="42"/>
  <c r="F56" i="42"/>
  <c r="F55" i="42"/>
  <c r="F128" i="42"/>
  <c r="F126" i="42"/>
  <c r="F97" i="42"/>
  <c r="F66" i="42"/>
  <c r="F59" i="42"/>
  <c r="F130" i="42"/>
  <c r="F90" i="42"/>
  <c r="F35" i="42"/>
  <c r="F103" i="42"/>
  <c r="F86" i="42"/>
  <c r="F70" i="42"/>
  <c r="F57" i="42"/>
  <c r="F52" i="42"/>
  <c r="F38" i="42"/>
  <c r="D30" i="42"/>
  <c r="F30" i="42" s="1"/>
  <c r="F107" i="42"/>
  <c r="F67" i="42"/>
  <c r="F119" i="42"/>
  <c r="F95" i="42"/>
  <c r="F48" i="42"/>
  <c r="F36" i="42"/>
  <c r="F32" i="42"/>
  <c r="F117" i="42"/>
  <c r="F111" i="42"/>
  <c r="F91" i="42"/>
  <c r="F76" i="42"/>
  <c r="F60" i="42"/>
  <c r="F43" i="42"/>
  <c r="F27" i="42"/>
  <c r="F99" i="42"/>
  <c r="F71" i="42"/>
  <c r="F65" i="42"/>
  <c r="F63" i="42"/>
  <c r="F33" i="42"/>
  <c r="F129" i="42"/>
  <c r="F127" i="42"/>
  <c r="F120" i="42"/>
  <c r="F108" i="42"/>
  <c r="F102" i="42"/>
  <c r="F85" i="42"/>
  <c r="F118" i="42"/>
  <c r="F112" i="42"/>
  <c r="F94" i="42"/>
  <c r="F92" i="42"/>
  <c r="F75" i="42"/>
  <c r="F47" i="42"/>
  <c r="F42" i="42"/>
  <c r="F40" i="42"/>
  <c r="F104" i="42"/>
  <c r="F51" i="42"/>
  <c r="F34" i="42"/>
  <c r="F39" i="42"/>
  <c r="L12" i="42"/>
  <c r="N12" i="42" s="1"/>
  <c r="F58" i="42"/>
  <c r="F28" i="42"/>
  <c r="F87" i="42"/>
  <c r="F74" i="42"/>
  <c r="R141" i="39"/>
  <c r="R109" i="39"/>
  <c r="R90" i="39"/>
  <c r="R89" i="39"/>
  <c r="R62" i="39"/>
  <c r="R61" i="39"/>
  <c r="R57" i="39"/>
  <c r="R53" i="39"/>
  <c r="R142" i="39"/>
  <c r="R132" i="39"/>
  <c r="R124" i="39"/>
  <c r="R120" i="39"/>
  <c r="R116" i="39"/>
  <c r="R105" i="39"/>
  <c r="R104" i="39"/>
  <c r="R81" i="39"/>
  <c r="R80" i="39"/>
  <c r="R48" i="39"/>
  <c r="R44" i="39"/>
  <c r="R99" i="39"/>
  <c r="R92" i="39"/>
  <c r="R91" i="39"/>
  <c r="R71" i="39"/>
  <c r="R64" i="39"/>
  <c r="R63" i="39"/>
  <c r="R40" i="39"/>
  <c r="R35" i="39"/>
  <c r="R110" i="39"/>
  <c r="R106" i="39"/>
  <c r="R83" i="39"/>
  <c r="R82" i="39"/>
  <c r="R58" i="39"/>
  <c r="R54" i="39"/>
  <c r="R39" i="39"/>
  <c r="R133" i="39"/>
  <c r="R126" i="39"/>
  <c r="R125" i="39"/>
  <c r="R121" i="39"/>
  <c r="R117" i="39"/>
  <c r="R94" i="39"/>
  <c r="R93" i="39"/>
  <c r="R66" i="39"/>
  <c r="R65" i="39"/>
  <c r="R49" i="39"/>
  <c r="R45" i="39"/>
  <c r="R41" i="39"/>
  <c r="P37" i="39"/>
  <c r="R146" i="39"/>
  <c r="R101" i="39"/>
  <c r="R100" i="39"/>
  <c r="R84" i="39"/>
  <c r="R73" i="39"/>
  <c r="R72" i="39"/>
  <c r="R127" i="39"/>
  <c r="R112" i="39"/>
  <c r="R111" i="39"/>
  <c r="R107" i="39"/>
  <c r="R96" i="39"/>
  <c r="R95" i="39"/>
  <c r="R68" i="39"/>
  <c r="R67" i="39"/>
  <c r="R59" i="39"/>
  <c r="R55" i="39"/>
  <c r="R32" i="39"/>
  <c r="R136" i="39"/>
  <c r="R129" i="39"/>
  <c r="R128" i="39"/>
  <c r="R108" i="39"/>
  <c r="R139" i="39"/>
  <c r="R138" i="39"/>
  <c r="R123" i="39"/>
  <c r="R119" i="39"/>
  <c r="R103" i="39"/>
  <c r="R88" i="39"/>
  <c r="R87" i="39"/>
  <c r="R47" i="39"/>
  <c r="R43" i="39"/>
  <c r="R140" i="39"/>
  <c r="R131" i="39"/>
  <c r="R130" i="39"/>
  <c r="R115" i="39"/>
  <c r="R114" i="39"/>
  <c r="R98" i="39"/>
  <c r="R79" i="39"/>
  <c r="R78" i="39"/>
  <c r="R70" i="39"/>
  <c r="R34" i="39"/>
  <c r="R97" i="39"/>
  <c r="R56" i="39"/>
  <c r="R122" i="39"/>
  <c r="R76" i="39"/>
  <c r="R60" i="39"/>
  <c r="R85" i="39"/>
  <c r="R74" i="39"/>
  <c r="R51" i="39"/>
  <c r="R42" i="39"/>
  <c r="R33" i="39"/>
  <c r="X12" i="39"/>
  <c r="Z12" i="39" s="1"/>
  <c r="R77" i="39"/>
  <c r="R75" i="39"/>
  <c r="R134" i="39"/>
  <c r="R118" i="39"/>
  <c r="R69" i="39"/>
  <c r="R46" i="39"/>
  <c r="R86" i="39"/>
  <c r="R113" i="39"/>
  <c r="R50" i="39"/>
  <c r="R102" i="39"/>
  <c r="R135" i="39"/>
  <c r="R52" i="39"/>
  <c r="V31" i="36"/>
  <c r="T139" i="36"/>
  <c r="F108" i="21"/>
  <c r="F107" i="21"/>
  <c r="F92" i="21"/>
  <c r="F28" i="21"/>
  <c r="F103" i="21"/>
  <c r="F99" i="21"/>
  <c r="F87" i="21"/>
  <c r="F86" i="21"/>
  <c r="F79" i="21"/>
  <c r="F78" i="21"/>
  <c r="F67" i="21"/>
  <c r="F66" i="21"/>
  <c r="F59" i="21"/>
  <c r="F58" i="21"/>
  <c r="F51" i="21"/>
  <c r="F47" i="21"/>
  <c r="F110" i="21"/>
  <c r="F109" i="21"/>
  <c r="F42" i="21"/>
  <c r="F38" i="21"/>
  <c r="F34" i="21"/>
  <c r="F33" i="21"/>
  <c r="F93" i="21"/>
  <c r="F81" i="21"/>
  <c r="F80" i="21"/>
  <c r="F69" i="21"/>
  <c r="F68" i="21"/>
  <c r="F61" i="21"/>
  <c r="F60" i="21"/>
  <c r="F32" i="21"/>
  <c r="F112" i="21"/>
  <c r="F111" i="21"/>
  <c r="F104" i="21"/>
  <c r="F100" i="21"/>
  <c r="F88" i="21"/>
  <c r="F52" i="21"/>
  <c r="F48" i="21"/>
  <c r="F44" i="21"/>
  <c r="F43" i="21"/>
  <c r="D30" i="21"/>
  <c r="F83" i="21"/>
  <c r="F82" i="21"/>
  <c r="F71" i="21"/>
  <c r="F70" i="21"/>
  <c r="F39" i="21"/>
  <c r="F35" i="21"/>
  <c r="F114" i="21"/>
  <c r="F113" i="21"/>
  <c r="F94" i="21"/>
  <c r="F90" i="21"/>
  <c r="F89" i="21"/>
  <c r="F62" i="21"/>
  <c r="F26" i="21"/>
  <c r="F25" i="21"/>
  <c r="L12" i="21"/>
  <c r="N12" i="21" s="1"/>
  <c r="F105" i="21"/>
  <c r="F101" i="21"/>
  <c r="F73" i="21"/>
  <c r="F72" i="21"/>
  <c r="F53" i="21"/>
  <c r="F49" i="21"/>
  <c r="F45" i="21"/>
  <c r="F96" i="21"/>
  <c r="F95" i="21"/>
  <c r="F84" i="21"/>
  <c r="F40" i="21"/>
  <c r="F36" i="21"/>
  <c r="F116" i="21"/>
  <c r="F91" i="21"/>
  <c r="F75" i="21"/>
  <c r="F74" i="21"/>
  <c r="F63" i="21"/>
  <c r="F55" i="21"/>
  <c r="F54" i="21"/>
  <c r="F27" i="21"/>
  <c r="F120" i="21"/>
  <c r="F106" i="21"/>
  <c r="F102" i="21"/>
  <c r="F98" i="21"/>
  <c r="F97" i="21"/>
  <c r="F50" i="21"/>
  <c r="F46" i="21"/>
  <c r="F85" i="21"/>
  <c r="F77" i="21"/>
  <c r="F76" i="21"/>
  <c r="F65" i="21"/>
  <c r="F64" i="21"/>
  <c r="F57" i="21"/>
  <c r="F56" i="21"/>
  <c r="F41" i="21"/>
  <c r="F37" i="21"/>
  <c r="L158" i="15"/>
  <c r="N158" i="15" s="1"/>
  <c r="D267" i="15"/>
  <c r="H102" i="9"/>
  <c r="N17" i="9"/>
  <c r="D102" i="9"/>
  <c r="L17" i="9"/>
  <c r="D27" i="49"/>
  <c r="L18" i="49"/>
  <c r="H27" i="50"/>
  <c r="N18" i="50"/>
  <c r="T27" i="43"/>
  <c r="Z18" i="43"/>
  <c r="X18" i="41"/>
  <c r="P27" i="41"/>
  <c r="P27" i="38"/>
  <c r="X18" i="38"/>
  <c r="X18" i="35"/>
  <c r="P27" i="35"/>
  <c r="L18" i="26"/>
  <c r="D27" i="26"/>
  <c r="T27" i="25"/>
  <c r="Z18" i="25"/>
  <c r="P27" i="25"/>
  <c r="X18" i="25"/>
  <c r="T27" i="19"/>
  <c r="Z18" i="19"/>
  <c r="T27" i="23"/>
  <c r="Z18" i="23"/>
  <c r="T27" i="13"/>
  <c r="Z18" i="13"/>
  <c r="X18" i="8"/>
  <c r="P27" i="8"/>
  <c r="N16" i="109"/>
  <c r="H46" i="109"/>
  <c r="H108" i="64"/>
  <c r="N16" i="64"/>
  <c r="H75" i="110"/>
  <c r="N17" i="110"/>
  <c r="R94" i="108"/>
  <c r="R72" i="108"/>
  <c r="R65" i="108"/>
  <c r="R64" i="108"/>
  <c r="R53" i="108"/>
  <c r="R52" i="108"/>
  <c r="R37" i="108"/>
  <c r="R36" i="108"/>
  <c r="R32" i="108"/>
  <c r="R28" i="108"/>
  <c r="X12" i="108"/>
  <c r="Z12" i="108" s="1"/>
  <c r="R84" i="108"/>
  <c r="R83" i="108"/>
  <c r="R86" i="108"/>
  <c r="R85" i="108"/>
  <c r="R73" i="108"/>
  <c r="R33" i="108"/>
  <c r="R29" i="108"/>
  <c r="R87" i="108"/>
  <c r="R79" i="108"/>
  <c r="R48" i="108"/>
  <c r="R47" i="108"/>
  <c r="R43" i="108"/>
  <c r="R39" i="108"/>
  <c r="R69" i="108"/>
  <c r="R50" i="108"/>
  <c r="R49" i="108"/>
  <c r="R26" i="108"/>
  <c r="R21" i="108"/>
  <c r="R88" i="108"/>
  <c r="R68" i="108"/>
  <c r="R81" i="108"/>
  <c r="R58" i="108"/>
  <c r="R55" i="108"/>
  <c r="R90" i="108"/>
  <c r="R74" i="108"/>
  <c r="R62" i="108"/>
  <c r="R38" i="108"/>
  <c r="R30" i="108"/>
  <c r="R19" i="108"/>
  <c r="R77" i="108"/>
  <c r="R66" i="108"/>
  <c r="R63" i="108"/>
  <c r="R59" i="108"/>
  <c r="R41" i="108"/>
  <c r="R35" i="108"/>
  <c r="R75" i="108"/>
  <c r="R44" i="108"/>
  <c r="R25" i="108"/>
  <c r="R80" i="108"/>
  <c r="R67" i="108"/>
  <c r="R56" i="108"/>
  <c r="R20" i="108"/>
  <c r="R60" i="108"/>
  <c r="R31" i="108"/>
  <c r="R70" i="108"/>
  <c r="R54" i="108"/>
  <c r="R82" i="108"/>
  <c r="R42" i="108"/>
  <c r="R40" i="108"/>
  <c r="R78" i="108"/>
  <c r="R71" i="108"/>
  <c r="R46" i="108"/>
  <c r="R61" i="108"/>
  <c r="R34" i="108"/>
  <c r="R57" i="108"/>
  <c r="R27" i="108"/>
  <c r="R51" i="108"/>
  <c r="R45" i="108"/>
  <c r="R18" i="108"/>
  <c r="R76" i="108"/>
  <c r="P23" i="108"/>
  <c r="H65" i="105"/>
  <c r="R86" i="106"/>
  <c r="R85" i="106"/>
  <c r="R70" i="106"/>
  <c r="R69" i="106"/>
  <c r="R62" i="106"/>
  <c r="R61" i="106"/>
  <c r="R50" i="106"/>
  <c r="R49" i="106"/>
  <c r="R26" i="106"/>
  <c r="R21" i="106"/>
  <c r="R80" i="106"/>
  <c r="R76" i="106"/>
  <c r="R44" i="106"/>
  <c r="R40" i="106"/>
  <c r="R88" i="106"/>
  <c r="R87" i="106"/>
  <c r="R71" i="106"/>
  <c r="R64" i="106"/>
  <c r="R63" i="106"/>
  <c r="R89" i="106"/>
  <c r="R81" i="106"/>
  <c r="R77" i="106"/>
  <c r="R66" i="106"/>
  <c r="R65" i="106"/>
  <c r="R91" i="106"/>
  <c r="R72" i="106"/>
  <c r="R37" i="106"/>
  <c r="R36" i="106"/>
  <c r="R32" i="106"/>
  <c r="R28" i="106"/>
  <c r="X12" i="106"/>
  <c r="Z12" i="106" s="1"/>
  <c r="R82" i="106"/>
  <c r="R78" i="106"/>
  <c r="R83" i="106"/>
  <c r="R74" i="106"/>
  <c r="R60" i="106"/>
  <c r="R53" i="106"/>
  <c r="R45" i="106"/>
  <c r="R33" i="106"/>
  <c r="R30" i="106"/>
  <c r="R79" i="106"/>
  <c r="R54" i="106"/>
  <c r="R67" i="106"/>
  <c r="R58" i="106"/>
  <c r="R43" i="106"/>
  <c r="R95" i="106"/>
  <c r="R75" i="106"/>
  <c r="R46" i="106"/>
  <c r="R38" i="106"/>
  <c r="R34" i="106"/>
  <c r="R31" i="106"/>
  <c r="R18" i="106"/>
  <c r="R84" i="106"/>
  <c r="R55" i="106"/>
  <c r="R73" i="106"/>
  <c r="R51" i="106"/>
  <c r="R41" i="106"/>
  <c r="R23" i="106"/>
  <c r="R56" i="106"/>
  <c r="R29" i="106"/>
  <c r="P23" i="106"/>
  <c r="R19" i="106"/>
  <c r="R68" i="106"/>
  <c r="R59" i="106"/>
  <c r="R52" i="106"/>
  <c r="R47" i="106"/>
  <c r="R39" i="106"/>
  <c r="R35" i="106"/>
  <c r="R25" i="106"/>
  <c r="R57" i="106"/>
  <c r="R27" i="106"/>
  <c r="R20" i="106"/>
  <c r="R48" i="106"/>
  <c r="R42" i="106"/>
  <c r="D67" i="103"/>
  <c r="L63" i="103"/>
  <c r="N63" i="103" s="1"/>
  <c r="H75" i="101"/>
  <c r="N22" i="101"/>
  <c r="D75" i="101"/>
  <c r="L22" i="101"/>
  <c r="Z23" i="89"/>
  <c r="T87" i="89"/>
  <c r="J53" i="85"/>
  <c r="T32" i="83"/>
  <c r="H107" i="88"/>
  <c r="P100" i="88"/>
  <c r="X22" i="88"/>
  <c r="Z22" i="88" s="1"/>
  <c r="R93" i="74"/>
  <c r="R75" i="74"/>
  <c r="R71" i="74"/>
  <c r="R56" i="74"/>
  <c r="R54" i="74"/>
  <c r="R36" i="74"/>
  <c r="R83" i="74"/>
  <c r="R82" i="74"/>
  <c r="R67" i="74"/>
  <c r="R66" i="74"/>
  <c r="R62" i="74"/>
  <c r="R58" i="74"/>
  <c r="P54" i="74"/>
  <c r="R49" i="74"/>
  <c r="R45" i="74"/>
  <c r="R41" i="74"/>
  <c r="R37" i="74"/>
  <c r="R85" i="74"/>
  <c r="R84" i="74"/>
  <c r="R76" i="74"/>
  <c r="R72" i="74"/>
  <c r="R68" i="74"/>
  <c r="R63" i="74"/>
  <c r="R59" i="74"/>
  <c r="R87" i="74"/>
  <c r="R86" i="74"/>
  <c r="R50" i="74"/>
  <c r="R46" i="74"/>
  <c r="R42" i="74"/>
  <c r="R38" i="74"/>
  <c r="R78" i="74"/>
  <c r="R77" i="74"/>
  <c r="R73" i="74"/>
  <c r="R69" i="74"/>
  <c r="R94" i="74"/>
  <c r="R89" i="74"/>
  <c r="R88" i="74"/>
  <c r="R64" i="74"/>
  <c r="R60" i="74"/>
  <c r="X12" i="74"/>
  <c r="Z12" i="74" s="1"/>
  <c r="R80" i="74"/>
  <c r="R79" i="74"/>
  <c r="R51" i="74"/>
  <c r="R47" i="74"/>
  <c r="R43" i="74"/>
  <c r="R39" i="74"/>
  <c r="R100" i="74"/>
  <c r="R91" i="74"/>
  <c r="R90" i="74"/>
  <c r="R74" i="74"/>
  <c r="R70" i="74"/>
  <c r="R96" i="74"/>
  <c r="R81" i="74"/>
  <c r="R65" i="74"/>
  <c r="R61" i="74"/>
  <c r="R92" i="74"/>
  <c r="R40" i="74"/>
  <c r="R44" i="74"/>
  <c r="R48" i="74"/>
  <c r="R57" i="74"/>
  <c r="R52" i="74"/>
  <c r="T62" i="61"/>
  <c r="Z16" i="61"/>
  <c r="T81" i="56"/>
  <c r="Z16" i="56"/>
  <c r="H112" i="51"/>
  <c r="D85" i="56"/>
  <c r="L81" i="56"/>
  <c r="J39" i="33"/>
  <c r="H107" i="33"/>
  <c r="F77" i="24"/>
  <c r="F305" i="3"/>
  <c r="T27" i="112"/>
  <c r="Z18" i="112"/>
  <c r="X18" i="50"/>
  <c r="P27" i="50"/>
  <c r="X18" i="49"/>
  <c r="P27" i="49"/>
  <c r="T27" i="52"/>
  <c r="Z18" i="52"/>
  <c r="H27" i="53"/>
  <c r="N18" i="53"/>
  <c r="L18" i="41"/>
  <c r="D27" i="41"/>
  <c r="T27" i="32"/>
  <c r="Z18" i="32"/>
  <c r="X18" i="29"/>
  <c r="P27" i="29"/>
  <c r="T27" i="28"/>
  <c r="Z18" i="28"/>
  <c r="X18" i="23"/>
  <c r="P27" i="23"/>
  <c r="X18" i="11"/>
  <c r="P27" i="11"/>
  <c r="P27" i="16"/>
  <c r="X18" i="16"/>
  <c r="X18" i="4"/>
  <c r="P27" i="4"/>
  <c r="H111" i="33" l="1"/>
  <c r="J107" i="33"/>
  <c r="H79" i="48"/>
  <c r="J75" i="48"/>
  <c r="J88" i="80"/>
  <c r="N27" i="5"/>
  <c r="H31" i="5"/>
  <c r="Z27" i="28"/>
  <c r="T31" i="28"/>
  <c r="T324" i="3"/>
  <c r="V320" i="3"/>
  <c r="Z27" i="32"/>
  <c r="T31" i="32"/>
  <c r="Z27" i="112"/>
  <c r="T31" i="112"/>
  <c r="H79" i="101"/>
  <c r="X23" i="108"/>
  <c r="Z23" i="108" s="1"/>
  <c r="P92" i="108"/>
  <c r="P31" i="8"/>
  <c r="X27" i="8"/>
  <c r="D31" i="26"/>
  <c r="L27" i="26"/>
  <c r="L30" i="21"/>
  <c r="N30" i="21" s="1"/>
  <c r="D118" i="21"/>
  <c r="T106" i="45"/>
  <c r="V102" i="45"/>
  <c r="H80" i="58"/>
  <c r="L76" i="58"/>
  <c r="N76" i="58" s="1"/>
  <c r="T89" i="93"/>
  <c r="V85" i="93"/>
  <c r="X27" i="31"/>
  <c r="P31" i="31"/>
  <c r="L27" i="43"/>
  <c r="D31" i="43"/>
  <c r="V116" i="51"/>
  <c r="T119" i="51"/>
  <c r="H99" i="108"/>
  <c r="J96" i="108"/>
  <c r="H31" i="16"/>
  <c r="N27" i="16"/>
  <c r="H31" i="49"/>
  <c r="N27" i="49"/>
  <c r="L78" i="57"/>
  <c r="D82" i="57"/>
  <c r="D31" i="22"/>
  <c r="L27" i="22"/>
  <c r="H285" i="12"/>
  <c r="J281" i="12"/>
  <c r="P29" i="72"/>
  <c r="X27" i="32"/>
  <c r="P31" i="32"/>
  <c r="D127" i="27"/>
  <c r="L61" i="27"/>
  <c r="N61" i="27" s="1"/>
  <c r="T94" i="76"/>
  <c r="V90" i="76"/>
  <c r="T90" i="94"/>
  <c r="V87" i="94"/>
  <c r="J100" i="102"/>
  <c r="D112" i="64"/>
  <c r="L108" i="64"/>
  <c r="X27" i="111"/>
  <c r="P31" i="111"/>
  <c r="D285" i="12"/>
  <c r="L281" i="12"/>
  <c r="N281" i="12" s="1"/>
  <c r="F281" i="12"/>
  <c r="T104" i="88"/>
  <c r="V100" i="88"/>
  <c r="L27" i="7"/>
  <c r="D31" i="7"/>
  <c r="P143" i="36"/>
  <c r="X139" i="36"/>
  <c r="R139" i="36"/>
  <c r="T122" i="21"/>
  <c r="V118" i="21"/>
  <c r="H109" i="45"/>
  <c r="J106" i="45"/>
  <c r="L27" i="46"/>
  <c r="D31" i="46"/>
  <c r="H90" i="94"/>
  <c r="J87" i="94"/>
  <c r="T82" i="101"/>
  <c r="V79" i="101"/>
  <c r="H37" i="55"/>
  <c r="D98" i="74"/>
  <c r="L54" i="74"/>
  <c r="N54" i="74" s="1"/>
  <c r="F54" i="74"/>
  <c r="D127" i="71"/>
  <c r="L61" i="71"/>
  <c r="N61" i="71" s="1"/>
  <c r="F61" i="71"/>
  <c r="P99" i="92"/>
  <c r="X95" i="92"/>
  <c r="Z27" i="4"/>
  <c r="T31" i="4"/>
  <c r="T31" i="26"/>
  <c r="Z27" i="26"/>
  <c r="L320" i="3"/>
  <c r="N320" i="3" s="1"/>
  <c r="D324" i="3"/>
  <c r="F320" i="3"/>
  <c r="X23" i="98"/>
  <c r="Z23" i="98" s="1"/>
  <c r="P96" i="98"/>
  <c r="D79" i="110"/>
  <c r="L75" i="110"/>
  <c r="N75" i="110" s="1"/>
  <c r="F75" i="110"/>
  <c r="L39" i="33"/>
  <c r="N39" i="33" s="1"/>
  <c r="D107" i="33"/>
  <c r="F39" i="33"/>
  <c r="P106" i="45"/>
  <c r="X102" i="45"/>
  <c r="Z102" i="45" s="1"/>
  <c r="R102" i="45"/>
  <c r="T116" i="77"/>
  <c r="V112" i="77"/>
  <c r="Z27" i="35"/>
  <c r="T31" i="35"/>
  <c r="P31" i="46"/>
  <c r="X27" i="46"/>
  <c r="L27" i="17"/>
  <c r="D31" i="17"/>
  <c r="H92" i="73"/>
  <c r="J89" i="73"/>
  <c r="X74" i="79"/>
  <c r="P78" i="79"/>
  <c r="R74" i="79"/>
  <c r="P31" i="16"/>
  <c r="X27" i="16"/>
  <c r="D70" i="103"/>
  <c r="L67" i="103"/>
  <c r="X27" i="35"/>
  <c r="P31" i="35"/>
  <c r="X85" i="73"/>
  <c r="Z85" i="73" s="1"/>
  <c r="P89" i="73"/>
  <c r="R85" i="73"/>
  <c r="P121" i="75"/>
  <c r="X53" i="75"/>
  <c r="Z53" i="75" s="1"/>
  <c r="P79" i="101"/>
  <c r="X75" i="101"/>
  <c r="Z75" i="101" s="1"/>
  <c r="R75" i="101"/>
  <c r="L27" i="38"/>
  <c r="D31" i="38"/>
  <c r="X53" i="100"/>
  <c r="Z53" i="100" s="1"/>
  <c r="P57" i="100"/>
  <c r="N27" i="29"/>
  <c r="H31" i="29"/>
  <c r="V39" i="86"/>
  <c r="T31" i="46"/>
  <c r="Z27" i="46"/>
  <c r="N27" i="11"/>
  <c r="H31" i="11"/>
  <c r="N27" i="44"/>
  <c r="H31" i="44"/>
  <c r="Z22" i="6"/>
  <c r="T26" i="6"/>
  <c r="T111" i="33"/>
  <c r="V107" i="33"/>
  <c r="H39" i="86"/>
  <c r="J36" i="86"/>
  <c r="H151" i="39"/>
  <c r="J148" i="39"/>
  <c r="T65" i="60"/>
  <c r="H134" i="71"/>
  <c r="J131" i="71"/>
  <c r="X158" i="15"/>
  <c r="Z158" i="15" s="1"/>
  <c r="P267" i="15"/>
  <c r="P156" i="30"/>
  <c r="X68" i="30"/>
  <c r="Z68" i="30" s="1"/>
  <c r="D31" i="28"/>
  <c r="L27" i="28"/>
  <c r="T148" i="39"/>
  <c r="V144" i="39"/>
  <c r="H94" i="76"/>
  <c r="J90" i="76"/>
  <c r="P83" i="94"/>
  <c r="X23" i="94"/>
  <c r="Z23" i="94" s="1"/>
  <c r="H96" i="104"/>
  <c r="J92" i="104"/>
  <c r="X27" i="112"/>
  <c r="P31" i="112"/>
  <c r="H324" i="3"/>
  <c r="J320" i="3"/>
  <c r="L27" i="50"/>
  <c r="D31" i="50"/>
  <c r="H31" i="37"/>
  <c r="N27" i="37"/>
  <c r="N85" i="56"/>
  <c r="H88" i="56"/>
  <c r="Z27" i="34"/>
  <c r="T31" i="34"/>
  <c r="J119" i="77"/>
  <c r="H54" i="99"/>
  <c r="N50" i="99"/>
  <c r="X37" i="39"/>
  <c r="Z37" i="39" s="1"/>
  <c r="P144" i="39"/>
  <c r="Z27" i="49"/>
  <c r="T31" i="49"/>
  <c r="D78" i="59"/>
  <c r="L74" i="59"/>
  <c r="T31" i="38"/>
  <c r="Z27" i="38"/>
  <c r="N27" i="7"/>
  <c r="H31" i="7"/>
  <c r="H26" i="6"/>
  <c r="N22" i="6"/>
  <c r="Z27" i="50"/>
  <c r="T31" i="50"/>
  <c r="D94" i="76"/>
  <c r="L90" i="76"/>
  <c r="N90" i="76" s="1"/>
  <c r="F90" i="76"/>
  <c r="H31" i="53"/>
  <c r="N27" i="53"/>
  <c r="R37" i="39"/>
  <c r="T72" i="105"/>
  <c r="V69" i="105"/>
  <c r="D92" i="108"/>
  <c r="L23" i="108"/>
  <c r="N23" i="108" s="1"/>
  <c r="P31" i="10"/>
  <c r="X27" i="10"/>
  <c r="X27" i="40"/>
  <c r="P31" i="40"/>
  <c r="T131" i="27"/>
  <c r="V127" i="27"/>
  <c r="L37" i="39"/>
  <c r="N37" i="39" s="1"/>
  <c r="D144" i="39"/>
  <c r="H69" i="68"/>
  <c r="H57" i="100"/>
  <c r="P31" i="17"/>
  <c r="X27" i="17"/>
  <c r="L99" i="92"/>
  <c r="D102" i="92"/>
  <c r="D93" i="102"/>
  <c r="L24" i="102"/>
  <c r="N24" i="102" s="1"/>
  <c r="H78" i="59"/>
  <c r="N74" i="59"/>
  <c r="D124" i="69"/>
  <c r="L69" i="69"/>
  <c r="N69" i="69" s="1"/>
  <c r="T90" i="95"/>
  <c r="V86" i="95"/>
  <c r="Z27" i="17"/>
  <c r="T31" i="17"/>
  <c r="L81" i="80"/>
  <c r="N81" i="80" s="1"/>
  <c r="D85" i="80"/>
  <c r="F81" i="80"/>
  <c r="L27" i="11"/>
  <c r="D31" i="11"/>
  <c r="J94" i="89"/>
  <c r="L27" i="13"/>
  <c r="D31" i="13"/>
  <c r="D31" i="40"/>
  <c r="L27" i="40"/>
  <c r="P88" i="56"/>
  <c r="D91" i="89"/>
  <c r="L87" i="89"/>
  <c r="N87" i="89" s="1"/>
  <c r="F87" i="89"/>
  <c r="D106" i="96"/>
  <c r="L102" i="96"/>
  <c r="N102" i="96" s="1"/>
  <c r="F102" i="96"/>
  <c r="H271" i="15"/>
  <c r="J267" i="15"/>
  <c r="D96" i="104"/>
  <c r="L92" i="104"/>
  <c r="N92" i="104" s="1"/>
  <c r="F92" i="104"/>
  <c r="P31" i="26"/>
  <c r="X27" i="26"/>
  <c r="T285" i="12"/>
  <c r="V281" i="12"/>
  <c r="X22" i="81"/>
  <c r="Z22" i="81" s="1"/>
  <c r="P83" i="81"/>
  <c r="L28" i="83"/>
  <c r="N28" i="83" s="1"/>
  <c r="D32" i="83"/>
  <c r="F28" i="83"/>
  <c r="L27" i="14"/>
  <c r="D31" i="14"/>
  <c r="L27" i="52"/>
  <c r="D31" i="52"/>
  <c r="T31" i="37"/>
  <c r="Z27" i="37"/>
  <c r="N22" i="72"/>
  <c r="H26" i="72"/>
  <c r="F100" i="106"/>
  <c r="D31" i="49"/>
  <c r="L27" i="49"/>
  <c r="X22" i="54"/>
  <c r="P26" i="54"/>
  <c r="X27" i="11"/>
  <c r="P31" i="11"/>
  <c r="D156" i="30"/>
  <c r="L68" i="30"/>
  <c r="N68" i="30" s="1"/>
  <c r="N27" i="13"/>
  <c r="H31" i="13"/>
  <c r="D112" i="51"/>
  <c r="L56" i="51"/>
  <c r="N56" i="51" s="1"/>
  <c r="X27" i="28"/>
  <c r="P31" i="28"/>
  <c r="T125" i="75"/>
  <c r="V121" i="75"/>
  <c r="X30" i="76"/>
  <c r="Z30" i="76" s="1"/>
  <c r="P90" i="76"/>
  <c r="D78" i="79"/>
  <c r="L74" i="79"/>
  <c r="F74" i="79"/>
  <c r="L96" i="98"/>
  <c r="D100" i="98"/>
  <c r="F96" i="98"/>
  <c r="Z27" i="5"/>
  <c r="T31" i="5"/>
  <c r="D31" i="10"/>
  <c r="L27" i="10"/>
  <c r="D31" i="23"/>
  <c r="L27" i="23"/>
  <c r="X27" i="23"/>
  <c r="P31" i="23"/>
  <c r="P98" i="74"/>
  <c r="X54" i="74"/>
  <c r="Z54" i="74" s="1"/>
  <c r="P93" i="106"/>
  <c r="X23" i="106"/>
  <c r="Z23" i="106" s="1"/>
  <c r="H79" i="110"/>
  <c r="J75" i="110"/>
  <c r="Z27" i="23"/>
  <c r="T31" i="23"/>
  <c r="P31" i="38"/>
  <c r="X27" i="38"/>
  <c r="H106" i="9"/>
  <c r="L26" i="73"/>
  <c r="N26" i="73" s="1"/>
  <c r="D85" i="73"/>
  <c r="T87" i="81"/>
  <c r="V83" i="81"/>
  <c r="Z27" i="40"/>
  <c r="T31" i="40"/>
  <c r="X118" i="21"/>
  <c r="Z118" i="21" s="1"/>
  <c r="P122" i="21"/>
  <c r="R118" i="21"/>
  <c r="P31" i="13"/>
  <c r="X27" i="13"/>
  <c r="N27" i="113"/>
  <c r="H31" i="113"/>
  <c r="F69" i="69"/>
  <c r="L27" i="111"/>
  <c r="D31" i="111"/>
  <c r="D26" i="6"/>
  <c r="L22" i="6"/>
  <c r="H143" i="36"/>
  <c r="J139" i="36"/>
  <c r="N27" i="31"/>
  <c r="H31" i="31"/>
  <c r="H26" i="54"/>
  <c r="N22" i="54"/>
  <c r="P81" i="80"/>
  <c r="X22" i="80"/>
  <c r="Z22" i="80" s="1"/>
  <c r="X22" i="96"/>
  <c r="Z22" i="96" s="1"/>
  <c r="P102" i="96"/>
  <c r="R68" i="30"/>
  <c r="T26" i="72"/>
  <c r="X26" i="72" s="1"/>
  <c r="Z22" i="72"/>
  <c r="Z27" i="14"/>
  <c r="T31" i="14"/>
  <c r="H31" i="41"/>
  <c r="N27" i="41"/>
  <c r="L65" i="68"/>
  <c r="N65" i="68" s="1"/>
  <c r="D69" i="68"/>
  <c r="P70" i="103"/>
  <c r="X164" i="12"/>
  <c r="Z164" i="12" s="1"/>
  <c r="P281" i="12"/>
  <c r="Z27" i="31"/>
  <c r="T31" i="31"/>
  <c r="H131" i="27"/>
  <c r="J127" i="27"/>
  <c r="P136" i="42"/>
  <c r="X132" i="42"/>
  <c r="Z132" i="42" s="1"/>
  <c r="R132" i="42"/>
  <c r="Z27" i="52"/>
  <c r="T31" i="52"/>
  <c r="L267" i="15"/>
  <c r="N267" i="15" s="1"/>
  <c r="D271" i="15"/>
  <c r="F267" i="15"/>
  <c r="F68" i="30"/>
  <c r="P80" i="58"/>
  <c r="X76" i="58"/>
  <c r="H82" i="57"/>
  <c r="N78" i="57"/>
  <c r="X22" i="93"/>
  <c r="Z22" i="93" s="1"/>
  <c r="P85" i="93"/>
  <c r="D31" i="112"/>
  <c r="L27" i="112"/>
  <c r="N90" i="95"/>
  <c r="H93" i="95"/>
  <c r="L90" i="95"/>
  <c r="J90" i="95"/>
  <c r="D31" i="4"/>
  <c r="L27" i="4"/>
  <c r="H31" i="26"/>
  <c r="N27" i="26"/>
  <c r="D65" i="60"/>
  <c r="L61" i="60"/>
  <c r="T96" i="108"/>
  <c r="V92" i="108"/>
  <c r="P72" i="68"/>
  <c r="N27" i="17"/>
  <c r="H31" i="17"/>
  <c r="X27" i="52"/>
  <c r="P31" i="52"/>
  <c r="X61" i="60"/>
  <c r="Z61" i="60" s="1"/>
  <c r="P65" i="60"/>
  <c r="T26" i="65"/>
  <c r="Z22" i="65"/>
  <c r="D104" i="88"/>
  <c r="L100" i="88"/>
  <c r="N100" i="88" s="1"/>
  <c r="F100" i="88"/>
  <c r="T106" i="96"/>
  <c r="V102" i="96"/>
  <c r="L27" i="44"/>
  <c r="D31" i="44"/>
  <c r="P37" i="55"/>
  <c r="X33" i="55"/>
  <c r="Z33" i="55" s="1"/>
  <c r="D121" i="75"/>
  <c r="L53" i="75"/>
  <c r="N53" i="75" s="1"/>
  <c r="R23" i="94"/>
  <c r="L27" i="25"/>
  <c r="D31" i="25"/>
  <c r="D66" i="61"/>
  <c r="L62" i="61"/>
  <c r="N62" i="61" s="1"/>
  <c r="P112" i="77"/>
  <c r="X56" i="77"/>
  <c r="Z56" i="77" s="1"/>
  <c r="J103" i="84"/>
  <c r="L27" i="34"/>
  <c r="D31" i="34"/>
  <c r="T31" i="16"/>
  <c r="Z27" i="16"/>
  <c r="D31" i="47"/>
  <c r="L27" i="47"/>
  <c r="P133" i="85"/>
  <c r="X129" i="85"/>
  <c r="R129" i="85"/>
  <c r="N99" i="92"/>
  <c r="H102" i="92"/>
  <c r="T66" i="61"/>
  <c r="D96" i="84"/>
  <c r="L22" i="84"/>
  <c r="N22" i="84" s="1"/>
  <c r="D89" i="93"/>
  <c r="L85" i="93"/>
  <c r="N85" i="93" s="1"/>
  <c r="F85" i="93"/>
  <c r="D31" i="113"/>
  <c r="L27" i="113"/>
  <c r="D31" i="16"/>
  <c r="L27" i="16"/>
  <c r="L102" i="45"/>
  <c r="N102" i="45" s="1"/>
  <c r="D106" i="45"/>
  <c r="F102" i="45"/>
  <c r="X27" i="41"/>
  <c r="P31" i="41"/>
  <c r="X75" i="48"/>
  <c r="Z75" i="48" s="1"/>
  <c r="P79" i="48"/>
  <c r="R75" i="48"/>
  <c r="X27" i="49"/>
  <c r="P31" i="49"/>
  <c r="D88" i="56"/>
  <c r="L88" i="56" s="1"/>
  <c r="L85" i="56"/>
  <c r="H112" i="64"/>
  <c r="N108" i="64"/>
  <c r="Z27" i="19"/>
  <c r="T31" i="19"/>
  <c r="T143" i="36"/>
  <c r="Z139" i="36"/>
  <c r="V139" i="36"/>
  <c r="H31" i="25"/>
  <c r="N27" i="25"/>
  <c r="H31" i="46"/>
  <c r="N27" i="46"/>
  <c r="D26" i="54"/>
  <c r="L22" i="54"/>
  <c r="P127" i="71"/>
  <c r="X61" i="71"/>
  <c r="Z61" i="71" s="1"/>
  <c r="Z27" i="8"/>
  <c r="T31" i="8"/>
  <c r="Z27" i="22"/>
  <c r="T31" i="22"/>
  <c r="Z27" i="41"/>
  <c r="T31" i="41"/>
  <c r="H133" i="85"/>
  <c r="J129" i="85"/>
  <c r="P92" i="104"/>
  <c r="X23" i="104"/>
  <c r="Z23" i="104" s="1"/>
  <c r="H31" i="22"/>
  <c r="N27" i="22"/>
  <c r="P295" i="18"/>
  <c r="X183" i="18"/>
  <c r="Z183" i="18" s="1"/>
  <c r="P112" i="64"/>
  <c r="X108" i="64"/>
  <c r="Z108" i="64" s="1"/>
  <c r="P65" i="105"/>
  <c r="X23" i="105"/>
  <c r="Z23" i="105" s="1"/>
  <c r="X27" i="5"/>
  <c r="P31" i="5"/>
  <c r="X27" i="19"/>
  <c r="P31" i="19"/>
  <c r="N27" i="14"/>
  <c r="H31" i="14"/>
  <c r="N27" i="47"/>
  <c r="H31" i="47"/>
  <c r="T80" i="58"/>
  <c r="Z76" i="58"/>
  <c r="H31" i="23"/>
  <c r="N27" i="23"/>
  <c r="T142" i="24"/>
  <c r="V138" i="24"/>
  <c r="T115" i="64"/>
  <c r="H109" i="96"/>
  <c r="J106" i="96"/>
  <c r="Z75" i="110"/>
  <c r="T79" i="110"/>
  <c r="V75" i="110"/>
  <c r="N27" i="19"/>
  <c r="H31" i="19"/>
  <c r="Z27" i="111"/>
  <c r="T31" i="111"/>
  <c r="X127" i="27"/>
  <c r="Z127" i="27" s="1"/>
  <c r="P131" i="27"/>
  <c r="R127" i="27"/>
  <c r="L27" i="5"/>
  <c r="D31" i="5"/>
  <c r="Z27" i="29"/>
  <c r="T31" i="29"/>
  <c r="D31" i="53"/>
  <c r="L27" i="53"/>
  <c r="H66" i="61"/>
  <c r="N22" i="65"/>
  <c r="H26" i="65"/>
  <c r="N27" i="111"/>
  <c r="H31" i="111"/>
  <c r="J125" i="21"/>
  <c r="T69" i="68"/>
  <c r="Z65" i="68"/>
  <c r="X22" i="83"/>
  <c r="Z22" i="83" s="1"/>
  <c r="P28" i="83"/>
  <c r="H128" i="69"/>
  <c r="J124" i="69"/>
  <c r="L27" i="20"/>
  <c r="D31" i="20"/>
  <c r="T131" i="69"/>
  <c r="V128" i="69"/>
  <c r="X27" i="34"/>
  <c r="P31" i="34"/>
  <c r="L138" i="24"/>
  <c r="N138" i="24" s="1"/>
  <c r="D142" i="24"/>
  <c r="F138" i="24"/>
  <c r="P124" i="69"/>
  <c r="X69" i="69"/>
  <c r="Z69" i="69" s="1"/>
  <c r="P100" i="84"/>
  <c r="X96" i="84"/>
  <c r="Z96" i="84" s="1"/>
  <c r="R96" i="84"/>
  <c r="H102" i="74"/>
  <c r="J98" i="74"/>
  <c r="T67" i="103"/>
  <c r="Z63" i="103"/>
  <c r="V92" i="73"/>
  <c r="X27" i="20"/>
  <c r="P31" i="20"/>
  <c r="L183" i="18"/>
  <c r="N183" i="18" s="1"/>
  <c r="D295" i="18"/>
  <c r="T99" i="92"/>
  <c r="Z95" i="92"/>
  <c r="T82" i="57"/>
  <c r="Z78" i="57"/>
  <c r="X75" i="110"/>
  <c r="P79" i="110"/>
  <c r="R75" i="110"/>
  <c r="H35" i="83"/>
  <c r="J32" i="83"/>
  <c r="T91" i="89"/>
  <c r="V87" i="89"/>
  <c r="H70" i="103"/>
  <c r="N67" i="103"/>
  <c r="X78" i="57"/>
  <c r="P82" i="57"/>
  <c r="T31" i="44"/>
  <c r="Z27" i="44"/>
  <c r="X27" i="29"/>
  <c r="P31" i="29"/>
  <c r="X27" i="50"/>
  <c r="P31" i="50"/>
  <c r="H116" i="51"/>
  <c r="J112" i="51"/>
  <c r="X100" i="88"/>
  <c r="Z100" i="88" s="1"/>
  <c r="P104" i="88"/>
  <c r="R100" i="88"/>
  <c r="P31" i="25"/>
  <c r="X27" i="25"/>
  <c r="T31" i="43"/>
  <c r="Z27" i="43"/>
  <c r="L46" i="109"/>
  <c r="N46" i="109" s="1"/>
  <c r="D50" i="109"/>
  <c r="L27" i="29"/>
  <c r="D31" i="29"/>
  <c r="T299" i="18"/>
  <c r="V295" i="18"/>
  <c r="L33" i="55"/>
  <c r="N33" i="55" s="1"/>
  <c r="D37" i="55"/>
  <c r="Z27" i="20"/>
  <c r="T31" i="20"/>
  <c r="D31" i="8"/>
  <c r="L27" i="8"/>
  <c r="P31" i="37"/>
  <c r="X27" i="37"/>
  <c r="R22" i="83"/>
  <c r="T103" i="84"/>
  <c r="V100" i="84"/>
  <c r="H31" i="112"/>
  <c r="N27" i="112"/>
  <c r="Z27" i="53"/>
  <c r="T31" i="53"/>
  <c r="R158" i="15"/>
  <c r="T131" i="71"/>
  <c r="V127" i="71"/>
  <c r="H100" i="98"/>
  <c r="N96" i="98"/>
  <c r="J96" i="98"/>
  <c r="D31" i="19"/>
  <c r="L27" i="19"/>
  <c r="P31" i="53"/>
  <c r="X27" i="53"/>
  <c r="J163" i="30"/>
  <c r="H65" i="60"/>
  <c r="N61" i="60"/>
  <c r="L83" i="81"/>
  <c r="D87" i="81"/>
  <c r="F83" i="81"/>
  <c r="D129" i="85"/>
  <c r="L53" i="85"/>
  <c r="N53" i="85" s="1"/>
  <c r="T78" i="79"/>
  <c r="Z74" i="79"/>
  <c r="V74" i="79"/>
  <c r="D32" i="86"/>
  <c r="L20" i="86"/>
  <c r="N20" i="86" s="1"/>
  <c r="H31" i="34"/>
  <c r="N27" i="34"/>
  <c r="X50" i="109"/>
  <c r="Z50" i="109" s="1"/>
  <c r="P53" i="109"/>
  <c r="X53" i="109" s="1"/>
  <c r="Z53" i="109" s="1"/>
  <c r="Z27" i="7"/>
  <c r="T31" i="7"/>
  <c r="H31" i="40"/>
  <c r="N27" i="40"/>
  <c r="Z27" i="113"/>
  <c r="T31" i="113"/>
  <c r="D143" i="36"/>
  <c r="L139" i="36"/>
  <c r="N139" i="36" s="1"/>
  <c r="F139" i="36"/>
  <c r="X27" i="7"/>
  <c r="P31" i="7"/>
  <c r="D79" i="70"/>
  <c r="L22" i="70"/>
  <c r="N22" i="70" s="1"/>
  <c r="T35" i="83"/>
  <c r="V32" i="83"/>
  <c r="P324" i="3"/>
  <c r="X320" i="3"/>
  <c r="Z320" i="3" s="1"/>
  <c r="R320" i="3"/>
  <c r="Z27" i="11"/>
  <c r="T31" i="11"/>
  <c r="D106" i="9"/>
  <c r="L102" i="9"/>
  <c r="N102" i="9" s="1"/>
  <c r="P36" i="86"/>
  <c r="X32" i="86"/>
  <c r="Z32" i="86" s="1"/>
  <c r="R32" i="86"/>
  <c r="H31" i="4"/>
  <c r="N27" i="4"/>
  <c r="T31" i="47"/>
  <c r="Z27" i="47"/>
  <c r="D79" i="101"/>
  <c r="L75" i="101"/>
  <c r="N75" i="101" s="1"/>
  <c r="H69" i="105"/>
  <c r="J65" i="105"/>
  <c r="R23" i="108"/>
  <c r="H50" i="109"/>
  <c r="F30" i="21"/>
  <c r="D132" i="42"/>
  <c r="L30" i="42"/>
  <c r="N30" i="42" s="1"/>
  <c r="P66" i="61"/>
  <c r="X62" i="61"/>
  <c r="Z62" i="61" s="1"/>
  <c r="D83" i="94"/>
  <c r="L23" i="94"/>
  <c r="N23" i="94" s="1"/>
  <c r="H136" i="42"/>
  <c r="J132" i="42"/>
  <c r="X22" i="70"/>
  <c r="Z22" i="70" s="1"/>
  <c r="P79" i="70"/>
  <c r="H92" i="93"/>
  <c r="J89" i="93"/>
  <c r="F24" i="102"/>
  <c r="T271" i="15"/>
  <c r="V267" i="15"/>
  <c r="R23" i="105"/>
  <c r="H97" i="106"/>
  <c r="L93" i="106"/>
  <c r="N93" i="106" s="1"/>
  <c r="J93" i="106"/>
  <c r="X22" i="6"/>
  <c r="P26" i="6"/>
  <c r="T160" i="30"/>
  <c r="V156" i="30"/>
  <c r="T83" i="70"/>
  <c r="V79" i="70"/>
  <c r="T78" i="59"/>
  <c r="V74" i="59"/>
  <c r="H86" i="70"/>
  <c r="J83" i="70"/>
  <c r="T133" i="85"/>
  <c r="Z129" i="85"/>
  <c r="V129" i="85"/>
  <c r="T54" i="99"/>
  <c r="Z50" i="99"/>
  <c r="X50" i="99"/>
  <c r="X27" i="22"/>
  <c r="P31" i="22"/>
  <c r="X27" i="113"/>
  <c r="P31" i="113"/>
  <c r="R23" i="98"/>
  <c r="P31" i="43"/>
  <c r="X27" i="43"/>
  <c r="T105" i="74"/>
  <c r="V102" i="74"/>
  <c r="R56" i="77"/>
  <c r="P31" i="47"/>
  <c r="X27" i="47"/>
  <c r="P107" i="33"/>
  <c r="X39" i="33"/>
  <c r="Z39" i="33" s="1"/>
  <c r="N27" i="32"/>
  <c r="H31" i="32"/>
  <c r="H302" i="18"/>
  <c r="J299" i="18"/>
  <c r="P112" i="51"/>
  <c r="X56" i="51"/>
  <c r="Z56" i="51" s="1"/>
  <c r="N83" i="81"/>
  <c r="H87" i="81"/>
  <c r="J83" i="81"/>
  <c r="X22" i="65"/>
  <c r="D31" i="41"/>
  <c r="L27" i="41"/>
  <c r="T106" i="9"/>
  <c r="V102" i="9"/>
  <c r="X102" i="9"/>
  <c r="Z102" i="9" s="1"/>
  <c r="Z27" i="13"/>
  <c r="T31" i="13"/>
  <c r="L22" i="72"/>
  <c r="D26" i="72"/>
  <c r="N27" i="8"/>
  <c r="H31" i="8"/>
  <c r="X74" i="59"/>
  <c r="Z74" i="59" s="1"/>
  <c r="P78" i="59"/>
  <c r="T100" i="102"/>
  <c r="V97" i="102"/>
  <c r="X24" i="102"/>
  <c r="Z24" i="102" s="1"/>
  <c r="P93" i="102"/>
  <c r="D31" i="35"/>
  <c r="L27" i="35"/>
  <c r="X27" i="4"/>
  <c r="P31" i="4"/>
  <c r="Z81" i="56"/>
  <c r="T85" i="56"/>
  <c r="J107" i="88"/>
  <c r="T31" i="25"/>
  <c r="Z27" i="25"/>
  <c r="H31" i="50"/>
  <c r="N27" i="50"/>
  <c r="L53" i="100"/>
  <c r="N53" i="100" s="1"/>
  <c r="D57" i="100"/>
  <c r="L27" i="32"/>
  <c r="D31" i="32"/>
  <c r="N27" i="43"/>
  <c r="H31" i="43"/>
  <c r="D26" i="65"/>
  <c r="L22" i="65"/>
  <c r="F26" i="73"/>
  <c r="Z27" i="10"/>
  <c r="T31" i="10"/>
  <c r="D31" i="31"/>
  <c r="L27" i="31"/>
  <c r="P31" i="44"/>
  <c r="X27" i="44"/>
  <c r="L75" i="48"/>
  <c r="N75" i="48" s="1"/>
  <c r="D79" i="48"/>
  <c r="F75" i="48"/>
  <c r="T97" i="106"/>
  <c r="V93" i="106"/>
  <c r="N27" i="38"/>
  <c r="H31" i="38"/>
  <c r="X77" i="24"/>
  <c r="Z77" i="24" s="1"/>
  <c r="P138" i="24"/>
  <c r="X87" i="89"/>
  <c r="Z87" i="89" s="1"/>
  <c r="P91" i="89"/>
  <c r="R87" i="89"/>
  <c r="D65" i="105"/>
  <c r="L23" i="105"/>
  <c r="N23" i="105" s="1"/>
  <c r="N27" i="20"/>
  <c r="H31" i="20"/>
  <c r="H78" i="79"/>
  <c r="N74" i="79"/>
  <c r="H31" i="35"/>
  <c r="N27" i="35"/>
  <c r="H31" i="52"/>
  <c r="N27" i="52"/>
  <c r="H145" i="24"/>
  <c r="J142" i="24"/>
  <c r="T139" i="42"/>
  <c r="V136" i="42"/>
  <c r="T100" i="98"/>
  <c r="V96" i="98"/>
  <c r="T85" i="80"/>
  <c r="V81" i="80"/>
  <c r="H125" i="75"/>
  <c r="J121" i="75"/>
  <c r="L56" i="77"/>
  <c r="N56" i="77" s="1"/>
  <c r="D112" i="77"/>
  <c r="P86" i="95"/>
  <c r="X23" i="95"/>
  <c r="Z23" i="95" s="1"/>
  <c r="N27" i="10"/>
  <c r="H31" i="10"/>
  <c r="N27" i="28"/>
  <c r="H31" i="28"/>
  <c r="X27" i="14"/>
  <c r="P31" i="14"/>
  <c r="D31" i="37"/>
  <c r="L27" i="37"/>
  <c r="L50" i="99"/>
  <c r="D54" i="99"/>
  <c r="F50" i="99"/>
  <c r="X26" i="65"/>
  <c r="P29" i="65"/>
  <c r="J145" i="24" l="1"/>
  <c r="D116" i="77"/>
  <c r="L112" i="77"/>
  <c r="N112" i="77" s="1"/>
  <c r="F112" i="77"/>
  <c r="P97" i="102"/>
  <c r="X93" i="102"/>
  <c r="Z93" i="102" s="1"/>
  <c r="R93" i="102"/>
  <c r="Z85" i="56"/>
  <c r="T88" i="56"/>
  <c r="L31" i="32"/>
  <c r="D36" i="32"/>
  <c r="X31" i="4"/>
  <c r="P36" i="4"/>
  <c r="T109" i="9"/>
  <c r="V106" i="9"/>
  <c r="X106" i="9"/>
  <c r="Z106" i="9" s="1"/>
  <c r="N31" i="32"/>
  <c r="H36" i="32"/>
  <c r="N36" i="32" s="1"/>
  <c r="J86" i="70"/>
  <c r="T163" i="30"/>
  <c r="V160" i="30"/>
  <c r="T274" i="15"/>
  <c r="V271" i="15"/>
  <c r="D82" i="101"/>
  <c r="L79" i="101"/>
  <c r="Z31" i="11"/>
  <c r="T36" i="11"/>
  <c r="Z36" i="11" s="1"/>
  <c r="L37" i="55"/>
  <c r="D40" i="55"/>
  <c r="P36" i="25"/>
  <c r="X31" i="25"/>
  <c r="T94" i="89"/>
  <c r="V91" i="89"/>
  <c r="X100" i="84"/>
  <c r="Z100" i="84" s="1"/>
  <c r="P103" i="84"/>
  <c r="R100" i="84"/>
  <c r="N31" i="111"/>
  <c r="H36" i="111"/>
  <c r="N36" i="111" s="1"/>
  <c r="Z31" i="29"/>
  <c r="T36" i="29"/>
  <c r="Z36" i="29" s="1"/>
  <c r="T82" i="110"/>
  <c r="V79" i="110"/>
  <c r="X31" i="5"/>
  <c r="P36" i="5"/>
  <c r="X31" i="41"/>
  <c r="P36" i="41"/>
  <c r="L31" i="25"/>
  <c r="D36" i="25"/>
  <c r="X72" i="68"/>
  <c r="N93" i="95"/>
  <c r="J93" i="95"/>
  <c r="L93" i="95"/>
  <c r="H134" i="27"/>
  <c r="J131" i="27"/>
  <c r="L26" i="6"/>
  <c r="D31" i="6"/>
  <c r="D81" i="79"/>
  <c r="L78" i="79"/>
  <c r="N78" i="79" s="1"/>
  <c r="F78" i="79"/>
  <c r="N26" i="72"/>
  <c r="H29" i="72"/>
  <c r="N29" i="72" s="1"/>
  <c r="T134" i="27"/>
  <c r="V131" i="27"/>
  <c r="H36" i="53"/>
  <c r="N36" i="53" s="1"/>
  <c r="N31" i="53"/>
  <c r="N88" i="56"/>
  <c r="J92" i="73"/>
  <c r="L324" i="3"/>
  <c r="N324" i="3" s="1"/>
  <c r="D329" i="3"/>
  <c r="F324" i="3"/>
  <c r="T125" i="21"/>
  <c r="V122" i="21"/>
  <c r="X31" i="111"/>
  <c r="P36" i="111"/>
  <c r="X31" i="113"/>
  <c r="P36" i="113"/>
  <c r="T134" i="71"/>
  <c r="V131" i="71"/>
  <c r="H99" i="104"/>
  <c r="J96" i="104"/>
  <c r="L57" i="100"/>
  <c r="D60" i="100"/>
  <c r="N26" i="65"/>
  <c r="H29" i="65"/>
  <c r="N29" i="65" s="1"/>
  <c r="L31" i="5"/>
  <c r="D36" i="5"/>
  <c r="H115" i="64"/>
  <c r="L89" i="93"/>
  <c r="N89" i="93" s="1"/>
  <c r="D92" i="93"/>
  <c r="F89" i="93"/>
  <c r="L104" i="88"/>
  <c r="N104" i="88" s="1"/>
  <c r="D107" i="88"/>
  <c r="F104" i="88"/>
  <c r="D274" i="15"/>
  <c r="L271" i="15"/>
  <c r="F271" i="15"/>
  <c r="Z31" i="31"/>
  <c r="T36" i="31"/>
  <c r="Z36" i="31" s="1"/>
  <c r="Z31" i="23"/>
  <c r="T36" i="23"/>
  <c r="Z36" i="23" s="1"/>
  <c r="D36" i="23"/>
  <c r="L31" i="23"/>
  <c r="X31" i="11"/>
  <c r="P36" i="11"/>
  <c r="T288" i="12"/>
  <c r="V285" i="12"/>
  <c r="L106" i="96"/>
  <c r="N106" i="96" s="1"/>
  <c r="D109" i="96"/>
  <c r="F106" i="96"/>
  <c r="H60" i="100"/>
  <c r="N57" i="100"/>
  <c r="Z31" i="49"/>
  <c r="T36" i="49"/>
  <c r="Z36" i="49" s="1"/>
  <c r="X106" i="45"/>
  <c r="Z106" i="45" s="1"/>
  <c r="P109" i="45"/>
  <c r="R106" i="45"/>
  <c r="L82" i="57"/>
  <c r="N82" i="57" s="1"/>
  <c r="D85" i="57"/>
  <c r="L31" i="43"/>
  <c r="D36" i="43"/>
  <c r="T109" i="45"/>
  <c r="V106" i="45"/>
  <c r="N31" i="5"/>
  <c r="H36" i="5"/>
  <c r="N36" i="5" s="1"/>
  <c r="P36" i="38"/>
  <c r="X31" i="38"/>
  <c r="N31" i="11"/>
  <c r="H36" i="11"/>
  <c r="N36" i="11" s="1"/>
  <c r="H36" i="34"/>
  <c r="N36" i="34" s="1"/>
  <c r="N31" i="34"/>
  <c r="H36" i="52"/>
  <c r="N36" i="52" s="1"/>
  <c r="N31" i="52"/>
  <c r="N31" i="8"/>
  <c r="H36" i="8"/>
  <c r="N36" i="8" s="1"/>
  <c r="X31" i="22"/>
  <c r="P36" i="22"/>
  <c r="J92" i="93"/>
  <c r="P36" i="37"/>
  <c r="X31" i="37"/>
  <c r="T36" i="44"/>
  <c r="Z36" i="44" s="1"/>
  <c r="Z31" i="44"/>
  <c r="J109" i="96"/>
  <c r="P69" i="105"/>
  <c r="X65" i="105"/>
  <c r="Z65" i="105" s="1"/>
  <c r="R65" i="105"/>
  <c r="L26" i="54"/>
  <c r="D31" i="54"/>
  <c r="T36" i="16"/>
  <c r="Z36" i="16" s="1"/>
  <c r="Z31" i="16"/>
  <c r="T99" i="108"/>
  <c r="V96" i="108"/>
  <c r="P85" i="80"/>
  <c r="X81" i="80"/>
  <c r="Z81" i="80" s="1"/>
  <c r="R81" i="80"/>
  <c r="Z31" i="40"/>
  <c r="T36" i="40"/>
  <c r="Z36" i="40" s="1"/>
  <c r="T36" i="37"/>
  <c r="Z36" i="37" s="1"/>
  <c r="Z31" i="37"/>
  <c r="T93" i="95"/>
  <c r="V90" i="95"/>
  <c r="L94" i="76"/>
  <c r="D97" i="76"/>
  <c r="F94" i="76"/>
  <c r="H36" i="37"/>
  <c r="N36" i="37" s="1"/>
  <c r="N31" i="37"/>
  <c r="P87" i="94"/>
  <c r="X83" i="94"/>
  <c r="Z83" i="94" s="1"/>
  <c r="R83" i="94"/>
  <c r="P160" i="30"/>
  <c r="X156" i="30"/>
  <c r="Z156" i="30" s="1"/>
  <c r="R156" i="30"/>
  <c r="J39" i="86"/>
  <c r="L31" i="38"/>
  <c r="D36" i="38"/>
  <c r="T36" i="26"/>
  <c r="Z36" i="26" s="1"/>
  <c r="Z31" i="26"/>
  <c r="N37" i="55"/>
  <c r="H40" i="55"/>
  <c r="P146" i="36"/>
  <c r="X143" i="36"/>
  <c r="R143" i="36"/>
  <c r="L112" i="64"/>
  <c r="N112" i="64" s="1"/>
  <c r="D115" i="64"/>
  <c r="L115" i="64" s="1"/>
  <c r="L127" i="27"/>
  <c r="N127" i="27" s="1"/>
  <c r="D131" i="27"/>
  <c r="F127" i="27"/>
  <c r="Z31" i="112"/>
  <c r="T36" i="112"/>
  <c r="Z36" i="112" s="1"/>
  <c r="N31" i="28"/>
  <c r="H36" i="28"/>
  <c r="N36" i="28" s="1"/>
  <c r="X78" i="59"/>
  <c r="P81" i="59"/>
  <c r="L156" i="30"/>
  <c r="N156" i="30" s="1"/>
  <c r="D160" i="30"/>
  <c r="F156" i="30"/>
  <c r="L31" i="17"/>
  <c r="D36" i="17"/>
  <c r="H68" i="60"/>
  <c r="P128" i="69"/>
  <c r="X124" i="69"/>
  <c r="Z124" i="69" s="1"/>
  <c r="R124" i="69"/>
  <c r="D36" i="35"/>
  <c r="L31" i="35"/>
  <c r="X107" i="33"/>
  <c r="Z107" i="33" s="1"/>
  <c r="P111" i="33"/>
  <c r="R107" i="33"/>
  <c r="P107" i="88"/>
  <c r="X104" i="88"/>
  <c r="R104" i="88"/>
  <c r="D36" i="31"/>
  <c r="L31" i="31"/>
  <c r="H36" i="4"/>
  <c r="N36" i="4" s="1"/>
  <c r="N31" i="4"/>
  <c r="X324" i="3"/>
  <c r="P329" i="3"/>
  <c r="R324" i="3"/>
  <c r="D36" i="86"/>
  <c r="L32" i="86"/>
  <c r="N32" i="86" s="1"/>
  <c r="F32" i="86"/>
  <c r="Z31" i="53"/>
  <c r="T36" i="53"/>
  <c r="Z36" i="53" s="1"/>
  <c r="T302" i="18"/>
  <c r="V299" i="18"/>
  <c r="P85" i="57"/>
  <c r="X82" i="57"/>
  <c r="D145" i="24"/>
  <c r="L142" i="24"/>
  <c r="N142" i="24" s="1"/>
  <c r="F142" i="24"/>
  <c r="H69" i="61"/>
  <c r="T83" i="58"/>
  <c r="L96" i="84"/>
  <c r="N96" i="84" s="1"/>
  <c r="D100" i="84"/>
  <c r="F96" i="84"/>
  <c r="L31" i="34"/>
  <c r="D36" i="34"/>
  <c r="L121" i="75"/>
  <c r="N121" i="75" s="1"/>
  <c r="D125" i="75"/>
  <c r="F121" i="75"/>
  <c r="Z26" i="65"/>
  <c r="T29" i="65"/>
  <c r="Z29" i="65" s="1"/>
  <c r="H36" i="41"/>
  <c r="N36" i="41" s="1"/>
  <c r="N31" i="41"/>
  <c r="N31" i="113"/>
  <c r="H36" i="113"/>
  <c r="N36" i="113" s="1"/>
  <c r="D36" i="10"/>
  <c r="L31" i="10"/>
  <c r="X26" i="54"/>
  <c r="P31" i="54"/>
  <c r="X31" i="54" s="1"/>
  <c r="Z31" i="54" s="1"/>
  <c r="L31" i="52"/>
  <c r="D36" i="52"/>
  <c r="L31" i="11"/>
  <c r="D36" i="11"/>
  <c r="P36" i="10"/>
  <c r="X31" i="10"/>
  <c r="Z31" i="50"/>
  <c r="T36" i="50"/>
  <c r="Z36" i="50" s="1"/>
  <c r="X144" i="39"/>
  <c r="Z144" i="39" s="1"/>
  <c r="P148" i="39"/>
  <c r="R144" i="39"/>
  <c r="D36" i="50"/>
  <c r="L31" i="50"/>
  <c r="X267" i="15"/>
  <c r="Z267" i="15" s="1"/>
  <c r="P271" i="15"/>
  <c r="R267" i="15"/>
  <c r="L70" i="103"/>
  <c r="P36" i="46"/>
  <c r="X31" i="46"/>
  <c r="D111" i="33"/>
  <c r="L107" i="33"/>
  <c r="N107" i="33" s="1"/>
  <c r="F107" i="33"/>
  <c r="Z31" i="4"/>
  <c r="T36" i="4"/>
  <c r="Z36" i="4" s="1"/>
  <c r="L31" i="46"/>
  <c r="D36" i="46"/>
  <c r="L31" i="7"/>
  <c r="D36" i="7"/>
  <c r="X31" i="32"/>
  <c r="P36" i="32"/>
  <c r="X31" i="31"/>
  <c r="P36" i="31"/>
  <c r="P31" i="6"/>
  <c r="X26" i="6"/>
  <c r="L78" i="59"/>
  <c r="D81" i="59"/>
  <c r="L81" i="59" s="1"/>
  <c r="X31" i="35"/>
  <c r="P36" i="35"/>
  <c r="H82" i="101"/>
  <c r="N79" i="101"/>
  <c r="P36" i="44"/>
  <c r="X31" i="44"/>
  <c r="D36" i="41"/>
  <c r="L31" i="41"/>
  <c r="Z31" i="47"/>
  <c r="T36" i="47"/>
  <c r="Z36" i="47" s="1"/>
  <c r="L143" i="36"/>
  <c r="D146" i="36"/>
  <c r="F143" i="36"/>
  <c r="J35" i="83"/>
  <c r="N31" i="10"/>
  <c r="H36" i="10"/>
  <c r="N36" i="10" s="1"/>
  <c r="X138" i="24"/>
  <c r="Z138" i="24" s="1"/>
  <c r="P142" i="24"/>
  <c r="R138" i="24"/>
  <c r="Z78" i="59"/>
  <c r="T81" i="59"/>
  <c r="V78" i="59"/>
  <c r="D136" i="42"/>
  <c r="L132" i="42"/>
  <c r="N132" i="42" s="1"/>
  <c r="F132" i="42"/>
  <c r="Z31" i="113"/>
  <c r="T36" i="113"/>
  <c r="Z36" i="113" s="1"/>
  <c r="T88" i="80"/>
  <c r="V85" i="80"/>
  <c r="H36" i="35"/>
  <c r="N36" i="35" s="1"/>
  <c r="N31" i="35"/>
  <c r="N31" i="38"/>
  <c r="H36" i="38"/>
  <c r="N36" i="38" s="1"/>
  <c r="Z31" i="10"/>
  <c r="T36" i="10"/>
  <c r="Z36" i="10" s="1"/>
  <c r="H36" i="50"/>
  <c r="N36" i="50" s="1"/>
  <c r="N31" i="50"/>
  <c r="L26" i="72"/>
  <c r="D29" i="72"/>
  <c r="L29" i="72" s="1"/>
  <c r="H90" i="81"/>
  <c r="J87" i="81"/>
  <c r="X31" i="47"/>
  <c r="P36" i="47"/>
  <c r="P83" i="70"/>
  <c r="X79" i="70"/>
  <c r="Z79" i="70" s="1"/>
  <c r="R79" i="70"/>
  <c r="H53" i="109"/>
  <c r="D36" i="8"/>
  <c r="L31" i="8"/>
  <c r="L31" i="29"/>
  <c r="D36" i="29"/>
  <c r="X79" i="110"/>
  <c r="Z79" i="110" s="1"/>
  <c r="P82" i="110"/>
  <c r="R79" i="110"/>
  <c r="H131" i="69"/>
  <c r="J128" i="69"/>
  <c r="X131" i="27"/>
  <c r="Z131" i="27" s="1"/>
  <c r="P134" i="27"/>
  <c r="R131" i="27"/>
  <c r="N31" i="47"/>
  <c r="H36" i="47"/>
  <c r="N36" i="47" s="1"/>
  <c r="P115" i="64"/>
  <c r="X115" i="64" s="1"/>
  <c r="Z115" i="64" s="1"/>
  <c r="X112" i="64"/>
  <c r="Z112" i="64" s="1"/>
  <c r="H136" i="85"/>
  <c r="J133" i="85"/>
  <c r="N31" i="46"/>
  <c r="H36" i="46"/>
  <c r="N36" i="46" s="1"/>
  <c r="X65" i="60"/>
  <c r="P68" i="60"/>
  <c r="D68" i="60"/>
  <c r="L68" i="60" s="1"/>
  <c r="L65" i="60"/>
  <c r="N65" i="60" s="1"/>
  <c r="D36" i="112"/>
  <c r="L31" i="112"/>
  <c r="Z31" i="14"/>
  <c r="T36" i="14"/>
  <c r="Z36" i="14" s="1"/>
  <c r="N26" i="54"/>
  <c r="H31" i="54"/>
  <c r="Z31" i="5"/>
  <c r="T36" i="5"/>
  <c r="Z36" i="5" s="1"/>
  <c r="T128" i="75"/>
  <c r="V125" i="75"/>
  <c r="X31" i="26"/>
  <c r="P36" i="26"/>
  <c r="L91" i="89"/>
  <c r="N91" i="89" s="1"/>
  <c r="D94" i="89"/>
  <c r="F91" i="89"/>
  <c r="L124" i="69"/>
  <c r="N124" i="69" s="1"/>
  <c r="D128" i="69"/>
  <c r="F124" i="69"/>
  <c r="Z31" i="35"/>
  <c r="T36" i="35"/>
  <c r="Z36" i="35" s="1"/>
  <c r="H36" i="49"/>
  <c r="N36" i="49" s="1"/>
  <c r="N31" i="49"/>
  <c r="D122" i="21"/>
  <c r="L118" i="21"/>
  <c r="N118" i="21" s="1"/>
  <c r="F118" i="21"/>
  <c r="Z31" i="32"/>
  <c r="T36" i="32"/>
  <c r="Z36" i="32" s="1"/>
  <c r="D36" i="22"/>
  <c r="L31" i="22"/>
  <c r="P90" i="95"/>
  <c r="X86" i="95"/>
  <c r="Z86" i="95" s="1"/>
  <c r="R86" i="95"/>
  <c r="H100" i="106"/>
  <c r="J97" i="106"/>
  <c r="L97" i="106"/>
  <c r="N97" i="106" s="1"/>
  <c r="H36" i="40"/>
  <c r="N36" i="40" s="1"/>
  <c r="N31" i="40"/>
  <c r="P36" i="53"/>
  <c r="X31" i="53"/>
  <c r="Z31" i="20"/>
  <c r="T36" i="20"/>
  <c r="Z36" i="20" s="1"/>
  <c r="T70" i="103"/>
  <c r="X31" i="34"/>
  <c r="P36" i="34"/>
  <c r="P32" i="83"/>
  <c r="X28" i="83"/>
  <c r="Z28" i="83" s="1"/>
  <c r="R28" i="83"/>
  <c r="Z31" i="41"/>
  <c r="T36" i="41"/>
  <c r="Z36" i="41" s="1"/>
  <c r="D109" i="45"/>
  <c r="L106" i="45"/>
  <c r="N106" i="45" s="1"/>
  <c r="F106" i="45"/>
  <c r="T69" i="61"/>
  <c r="X37" i="55"/>
  <c r="Z37" i="55" s="1"/>
  <c r="P40" i="55"/>
  <c r="X40" i="55" s="1"/>
  <c r="Z40" i="55" s="1"/>
  <c r="P89" i="93"/>
  <c r="X85" i="93"/>
  <c r="Z85" i="93" s="1"/>
  <c r="R85" i="93"/>
  <c r="T36" i="52"/>
  <c r="Z36" i="52" s="1"/>
  <c r="Z31" i="52"/>
  <c r="N31" i="31"/>
  <c r="H36" i="31"/>
  <c r="N36" i="31" s="1"/>
  <c r="H82" i="110"/>
  <c r="J79" i="110"/>
  <c r="X31" i="28"/>
  <c r="P36" i="28"/>
  <c r="L31" i="14"/>
  <c r="D36" i="14"/>
  <c r="X88" i="56"/>
  <c r="H72" i="68"/>
  <c r="L92" i="108"/>
  <c r="N92" i="108" s="1"/>
  <c r="D96" i="108"/>
  <c r="F92" i="108"/>
  <c r="N94" i="76"/>
  <c r="H97" i="76"/>
  <c r="J94" i="76"/>
  <c r="T36" i="46"/>
  <c r="Z36" i="46" s="1"/>
  <c r="Z31" i="46"/>
  <c r="P36" i="16"/>
  <c r="X31" i="16"/>
  <c r="L31" i="20"/>
  <c r="D36" i="20"/>
  <c r="L31" i="111"/>
  <c r="D36" i="111"/>
  <c r="D57" i="99"/>
  <c r="L54" i="99"/>
  <c r="F54" i="99"/>
  <c r="T86" i="70"/>
  <c r="V83" i="70"/>
  <c r="X36" i="86"/>
  <c r="Z36" i="86" s="1"/>
  <c r="P39" i="86"/>
  <c r="R36" i="86"/>
  <c r="V35" i="83"/>
  <c r="Z31" i="7"/>
  <c r="T36" i="7"/>
  <c r="Z36" i="7" s="1"/>
  <c r="T81" i="79"/>
  <c r="V78" i="79"/>
  <c r="H36" i="112"/>
  <c r="N36" i="112" s="1"/>
  <c r="N31" i="112"/>
  <c r="D53" i="109"/>
  <c r="L53" i="109" s="1"/>
  <c r="L50" i="109"/>
  <c r="N50" i="109" s="1"/>
  <c r="H119" i="51"/>
  <c r="J116" i="51"/>
  <c r="N70" i="103"/>
  <c r="Z31" i="111"/>
  <c r="T36" i="111"/>
  <c r="Z36" i="111" s="1"/>
  <c r="N31" i="14"/>
  <c r="H36" i="14"/>
  <c r="N36" i="14" s="1"/>
  <c r="P299" i="18"/>
  <c r="X295" i="18"/>
  <c r="Z295" i="18" s="1"/>
  <c r="R295" i="18"/>
  <c r="N31" i="25"/>
  <c r="H36" i="25"/>
  <c r="N36" i="25" s="1"/>
  <c r="X31" i="49"/>
  <c r="P36" i="49"/>
  <c r="L31" i="44"/>
  <c r="D36" i="44"/>
  <c r="X31" i="52"/>
  <c r="P36" i="52"/>
  <c r="H36" i="26"/>
  <c r="N36" i="26" s="1"/>
  <c r="N31" i="26"/>
  <c r="X281" i="12"/>
  <c r="Z281" i="12" s="1"/>
  <c r="P285" i="12"/>
  <c r="R281" i="12"/>
  <c r="P36" i="13"/>
  <c r="X31" i="13"/>
  <c r="T90" i="81"/>
  <c r="V87" i="81"/>
  <c r="D36" i="49"/>
  <c r="L31" i="49"/>
  <c r="X85" i="56"/>
  <c r="D88" i="80"/>
  <c r="L85" i="80"/>
  <c r="N85" i="80" s="1"/>
  <c r="F85" i="80"/>
  <c r="H81" i="59"/>
  <c r="N78" i="59"/>
  <c r="H31" i="6"/>
  <c r="N26" i="6"/>
  <c r="H57" i="99"/>
  <c r="N57" i="99" s="1"/>
  <c r="N54" i="99"/>
  <c r="H329" i="3"/>
  <c r="J324" i="3"/>
  <c r="T114" i="33"/>
  <c r="V111" i="33"/>
  <c r="X79" i="101"/>
  <c r="Z79" i="101" s="1"/>
  <c r="P82" i="101"/>
  <c r="R79" i="101"/>
  <c r="P102" i="92"/>
  <c r="X99" i="92"/>
  <c r="V82" i="101"/>
  <c r="Z104" i="88"/>
  <c r="T107" i="88"/>
  <c r="V104" i="88"/>
  <c r="H36" i="16"/>
  <c r="N36" i="16" s="1"/>
  <c r="N31" i="16"/>
  <c r="T92" i="93"/>
  <c r="V89" i="93"/>
  <c r="H82" i="48"/>
  <c r="J79" i="48"/>
  <c r="X91" i="89"/>
  <c r="Z91" i="89" s="1"/>
  <c r="P94" i="89"/>
  <c r="R91" i="89"/>
  <c r="X66" i="61"/>
  <c r="Z66" i="61" s="1"/>
  <c r="P69" i="61"/>
  <c r="X69" i="61" s="1"/>
  <c r="D36" i="47"/>
  <c r="L31" i="47"/>
  <c r="X122" i="21"/>
  <c r="Z122" i="21" s="1"/>
  <c r="P125" i="21"/>
  <c r="R122" i="21"/>
  <c r="J151" i="39"/>
  <c r="T36" i="25"/>
  <c r="Z36" i="25" s="1"/>
  <c r="Z31" i="25"/>
  <c r="X112" i="51"/>
  <c r="Z112" i="51" s="1"/>
  <c r="P116" i="51"/>
  <c r="R112" i="51"/>
  <c r="D36" i="19"/>
  <c r="L31" i="19"/>
  <c r="X31" i="50"/>
  <c r="P36" i="50"/>
  <c r="Z82" i="57"/>
  <c r="T85" i="57"/>
  <c r="H105" i="74"/>
  <c r="J102" i="74"/>
  <c r="Z31" i="22"/>
  <c r="T36" i="22"/>
  <c r="Z36" i="22" s="1"/>
  <c r="T29" i="72"/>
  <c r="Z29" i="72" s="1"/>
  <c r="Z26" i="72"/>
  <c r="D89" i="73"/>
  <c r="L85" i="73"/>
  <c r="N85" i="73" s="1"/>
  <c r="F85" i="73"/>
  <c r="X93" i="106"/>
  <c r="Z93" i="106" s="1"/>
  <c r="P97" i="106"/>
  <c r="R93" i="106"/>
  <c r="L100" i="98"/>
  <c r="D103" i="98"/>
  <c r="F100" i="98"/>
  <c r="D99" i="104"/>
  <c r="L96" i="104"/>
  <c r="N96" i="104" s="1"/>
  <c r="F96" i="104"/>
  <c r="D148" i="39"/>
  <c r="L144" i="39"/>
  <c r="N144" i="39" s="1"/>
  <c r="F144" i="39"/>
  <c r="N31" i="7"/>
  <c r="H36" i="7"/>
  <c r="N36" i="7" s="1"/>
  <c r="J134" i="71"/>
  <c r="X78" i="79"/>
  <c r="Z78" i="79" s="1"/>
  <c r="P81" i="79"/>
  <c r="R78" i="79"/>
  <c r="L79" i="110"/>
  <c r="N79" i="110" s="1"/>
  <c r="D82" i="110"/>
  <c r="F79" i="110"/>
  <c r="J109" i="45"/>
  <c r="V90" i="94"/>
  <c r="L31" i="26"/>
  <c r="D36" i="26"/>
  <c r="X31" i="20"/>
  <c r="P36" i="20"/>
  <c r="L69" i="68"/>
  <c r="N69" i="68" s="1"/>
  <c r="D72" i="68"/>
  <c r="L72" i="68" s="1"/>
  <c r="L98" i="74"/>
  <c r="N98" i="74" s="1"/>
  <c r="D102" i="74"/>
  <c r="F98" i="74"/>
  <c r="T103" i="98"/>
  <c r="V100" i="98"/>
  <c r="T57" i="99"/>
  <c r="Z54" i="99"/>
  <c r="X54" i="99"/>
  <c r="N31" i="19"/>
  <c r="H36" i="19"/>
  <c r="N36" i="19" s="1"/>
  <c r="T145" i="24"/>
  <c r="V142" i="24"/>
  <c r="H36" i="22"/>
  <c r="N36" i="22" s="1"/>
  <c r="N31" i="22"/>
  <c r="D36" i="16"/>
  <c r="L31" i="16"/>
  <c r="X112" i="77"/>
  <c r="Z112" i="77" s="1"/>
  <c r="P116" i="77"/>
  <c r="R112" i="77"/>
  <c r="N31" i="17"/>
  <c r="H36" i="17"/>
  <c r="N36" i="17" s="1"/>
  <c r="D36" i="4"/>
  <c r="L31" i="4"/>
  <c r="H85" i="57"/>
  <c r="X70" i="103"/>
  <c r="D116" i="51"/>
  <c r="L112" i="51"/>
  <c r="N112" i="51" s="1"/>
  <c r="F112" i="51"/>
  <c r="L32" i="83"/>
  <c r="N32" i="83" s="1"/>
  <c r="D35" i="83"/>
  <c r="F32" i="83"/>
  <c r="D36" i="40"/>
  <c r="L31" i="40"/>
  <c r="D97" i="102"/>
  <c r="L93" i="102"/>
  <c r="N93" i="102" s="1"/>
  <c r="F93" i="102"/>
  <c r="V72" i="105"/>
  <c r="X31" i="112"/>
  <c r="P36" i="112"/>
  <c r="T151" i="39"/>
  <c r="V148" i="39"/>
  <c r="Z65" i="60"/>
  <c r="T68" i="60"/>
  <c r="Z26" i="6"/>
  <c r="T31" i="6"/>
  <c r="N31" i="29"/>
  <c r="H36" i="29"/>
  <c r="N36" i="29" s="1"/>
  <c r="P125" i="75"/>
  <c r="X121" i="75"/>
  <c r="Z121" i="75" s="1"/>
  <c r="R121" i="75"/>
  <c r="P100" i="98"/>
  <c r="X96" i="98"/>
  <c r="Z96" i="98" s="1"/>
  <c r="R96" i="98"/>
  <c r="J99" i="108"/>
  <c r="Z324" i="3"/>
  <c r="T329" i="3"/>
  <c r="V324" i="3"/>
  <c r="X127" i="71"/>
  <c r="Z127" i="71" s="1"/>
  <c r="P131" i="71"/>
  <c r="R127" i="71"/>
  <c r="P94" i="76"/>
  <c r="X90" i="76"/>
  <c r="Z90" i="76" s="1"/>
  <c r="R90" i="76"/>
  <c r="P36" i="17"/>
  <c r="X31" i="17"/>
  <c r="H81" i="79"/>
  <c r="Z31" i="13"/>
  <c r="T36" i="13"/>
  <c r="Z36" i="13" s="1"/>
  <c r="T100" i="106"/>
  <c r="V97" i="106"/>
  <c r="L129" i="85"/>
  <c r="N129" i="85" s="1"/>
  <c r="D133" i="85"/>
  <c r="F129" i="85"/>
  <c r="L31" i="37"/>
  <c r="D36" i="37"/>
  <c r="N31" i="43"/>
  <c r="H36" i="43"/>
  <c r="N36" i="43" s="1"/>
  <c r="X31" i="29"/>
  <c r="P36" i="29"/>
  <c r="T102" i="92"/>
  <c r="Z99" i="92"/>
  <c r="X31" i="19"/>
  <c r="P36" i="19"/>
  <c r="T146" i="36"/>
  <c r="Z143" i="36"/>
  <c r="V143" i="36"/>
  <c r="X79" i="48"/>
  <c r="Z79" i="48" s="1"/>
  <c r="P82" i="48"/>
  <c r="R79" i="48"/>
  <c r="T109" i="96"/>
  <c r="V106" i="96"/>
  <c r="P139" i="42"/>
  <c r="X136" i="42"/>
  <c r="Z136" i="42" s="1"/>
  <c r="R136" i="42"/>
  <c r="X67" i="103"/>
  <c r="Z67" i="103" s="1"/>
  <c r="P106" i="96"/>
  <c r="X102" i="96"/>
  <c r="Z102" i="96" s="1"/>
  <c r="R102" i="96"/>
  <c r="N143" i="36"/>
  <c r="J143" i="36"/>
  <c r="H146" i="36"/>
  <c r="P102" i="74"/>
  <c r="X98" i="74"/>
  <c r="Z98" i="74" s="1"/>
  <c r="R98" i="74"/>
  <c r="N31" i="13"/>
  <c r="H36" i="13"/>
  <c r="N36" i="13" s="1"/>
  <c r="N271" i="15"/>
  <c r="H274" i="15"/>
  <c r="J271" i="15"/>
  <c r="L31" i="13"/>
  <c r="D36" i="13"/>
  <c r="L102" i="92"/>
  <c r="N102" i="92" s="1"/>
  <c r="Z31" i="34"/>
  <c r="T36" i="34"/>
  <c r="Z36" i="34" s="1"/>
  <c r="D131" i="71"/>
  <c r="L127" i="71"/>
  <c r="N127" i="71" s="1"/>
  <c r="F127" i="71"/>
  <c r="J90" i="94"/>
  <c r="T97" i="76"/>
  <c r="V94" i="76"/>
  <c r="N80" i="58"/>
  <c r="H83" i="58"/>
  <c r="L80" i="58"/>
  <c r="P36" i="8"/>
  <c r="X31" i="8"/>
  <c r="Z31" i="28"/>
  <c r="T36" i="28"/>
  <c r="Z36" i="28" s="1"/>
  <c r="X31" i="40"/>
  <c r="P36" i="40"/>
  <c r="N31" i="20"/>
  <c r="H36" i="20"/>
  <c r="N36" i="20" s="1"/>
  <c r="V105" i="74"/>
  <c r="D29" i="65"/>
  <c r="L29" i="65" s="1"/>
  <c r="L26" i="65"/>
  <c r="H139" i="42"/>
  <c r="J136" i="42"/>
  <c r="D83" i="70"/>
  <c r="L79" i="70"/>
  <c r="N79" i="70" s="1"/>
  <c r="F79" i="70"/>
  <c r="T72" i="68"/>
  <c r="V139" i="42"/>
  <c r="J302" i="18"/>
  <c r="T136" i="85"/>
  <c r="V133" i="85"/>
  <c r="H72" i="105"/>
  <c r="J69" i="105"/>
  <c r="P36" i="7"/>
  <c r="X31" i="7"/>
  <c r="T36" i="43"/>
  <c r="Z36" i="43" s="1"/>
  <c r="Z31" i="43"/>
  <c r="Z31" i="8"/>
  <c r="T36" i="8"/>
  <c r="Z36" i="8" s="1"/>
  <c r="X31" i="14"/>
  <c r="P36" i="14"/>
  <c r="H128" i="75"/>
  <c r="J125" i="75"/>
  <c r="L65" i="105"/>
  <c r="N65" i="105" s="1"/>
  <c r="D69" i="105"/>
  <c r="L79" i="48"/>
  <c r="N79" i="48" s="1"/>
  <c r="D82" i="48"/>
  <c r="F79" i="48"/>
  <c r="V100" i="102"/>
  <c r="P36" i="43"/>
  <c r="X31" i="43"/>
  <c r="L83" i="94"/>
  <c r="N83" i="94" s="1"/>
  <c r="D87" i="94"/>
  <c r="F83" i="94"/>
  <c r="L106" i="9"/>
  <c r="D109" i="9"/>
  <c r="L109" i="9" s="1"/>
  <c r="L87" i="81"/>
  <c r="N87" i="81" s="1"/>
  <c r="D90" i="81"/>
  <c r="F87" i="81"/>
  <c r="N100" i="98"/>
  <c r="H103" i="98"/>
  <c r="J100" i="98"/>
  <c r="V103" i="84"/>
  <c r="L295" i="18"/>
  <c r="N295" i="18" s="1"/>
  <c r="D299" i="18"/>
  <c r="F295" i="18"/>
  <c r="V131" i="69"/>
  <c r="D36" i="53"/>
  <c r="L31" i="53"/>
  <c r="H36" i="23"/>
  <c r="N36" i="23" s="1"/>
  <c r="N31" i="23"/>
  <c r="P96" i="104"/>
  <c r="X92" i="104"/>
  <c r="Z92" i="104" s="1"/>
  <c r="R92" i="104"/>
  <c r="Z31" i="19"/>
  <c r="T36" i="19"/>
  <c r="Z36" i="19" s="1"/>
  <c r="D36" i="113"/>
  <c r="L31" i="113"/>
  <c r="P136" i="85"/>
  <c r="X133" i="85"/>
  <c r="Z133" i="85" s="1"/>
  <c r="R133" i="85"/>
  <c r="D69" i="61"/>
  <c r="L69" i="61" s="1"/>
  <c r="L66" i="61"/>
  <c r="N66" i="61" s="1"/>
  <c r="X69" i="68"/>
  <c r="Z69" i="68" s="1"/>
  <c r="X80" i="58"/>
  <c r="Z80" i="58" s="1"/>
  <c r="P83" i="58"/>
  <c r="X83" i="58" s="1"/>
  <c r="N106" i="9"/>
  <c r="H109" i="9"/>
  <c r="N109" i="9" s="1"/>
  <c r="X31" i="23"/>
  <c r="P36" i="23"/>
  <c r="X83" i="81"/>
  <c r="Z83" i="81" s="1"/>
  <c r="P87" i="81"/>
  <c r="R83" i="81"/>
  <c r="Z31" i="17"/>
  <c r="T36" i="17"/>
  <c r="Z36" i="17" s="1"/>
  <c r="T36" i="38"/>
  <c r="Z36" i="38" s="1"/>
  <c r="Z31" i="38"/>
  <c r="D36" i="28"/>
  <c r="L31" i="28"/>
  <c r="N31" i="44"/>
  <c r="H36" i="44"/>
  <c r="N36" i="44" s="1"/>
  <c r="X57" i="100"/>
  <c r="Z57" i="100" s="1"/>
  <c r="P60" i="100"/>
  <c r="X60" i="100" s="1"/>
  <c r="Z60" i="100" s="1"/>
  <c r="X89" i="73"/>
  <c r="Z89" i="73" s="1"/>
  <c r="P92" i="73"/>
  <c r="R89" i="73"/>
  <c r="T119" i="77"/>
  <c r="V116" i="77"/>
  <c r="L285" i="12"/>
  <c r="D288" i="12"/>
  <c r="F285" i="12"/>
  <c r="N285" i="12"/>
  <c r="H288" i="12"/>
  <c r="J285" i="12"/>
  <c r="V119" i="51"/>
  <c r="P96" i="108"/>
  <c r="X92" i="108"/>
  <c r="Z92" i="108" s="1"/>
  <c r="R92" i="108"/>
  <c r="H114" i="33"/>
  <c r="J111" i="33"/>
  <c r="L36" i="113" l="1"/>
  <c r="X36" i="29"/>
  <c r="X36" i="23"/>
  <c r="X36" i="112"/>
  <c r="L36" i="41"/>
  <c r="L36" i="4"/>
  <c r="L36" i="11"/>
  <c r="X36" i="47"/>
  <c r="X36" i="40"/>
  <c r="L36" i="53"/>
  <c r="L36" i="13"/>
  <c r="X36" i="26"/>
  <c r="X36" i="53"/>
  <c r="L36" i="40"/>
  <c r="X36" i="52"/>
  <c r="X36" i="11"/>
  <c r="L36" i="34"/>
  <c r="L36" i="5"/>
  <c r="L36" i="52"/>
  <c r="L36" i="47"/>
  <c r="X36" i="31"/>
  <c r="X36" i="8"/>
  <c r="L36" i="37"/>
  <c r="L36" i="49"/>
  <c r="X36" i="20"/>
  <c r="L36" i="28"/>
  <c r="X36" i="44"/>
  <c r="X36" i="14"/>
  <c r="L36" i="26"/>
  <c r="X36" i="50"/>
  <c r="X36" i="49"/>
  <c r="L36" i="112"/>
  <c r="L36" i="8"/>
  <c r="X36" i="43"/>
  <c r="L36" i="16"/>
  <c r="X81" i="79"/>
  <c r="R81" i="79"/>
  <c r="N81" i="79"/>
  <c r="J288" i="12"/>
  <c r="L131" i="71"/>
  <c r="N131" i="71" s="1"/>
  <c r="D134" i="71"/>
  <c r="F131" i="71"/>
  <c r="Z102" i="92"/>
  <c r="V100" i="106"/>
  <c r="L99" i="104"/>
  <c r="F99" i="104"/>
  <c r="N82" i="48"/>
  <c r="J82" i="48"/>
  <c r="X102" i="92"/>
  <c r="L36" i="44"/>
  <c r="J97" i="76"/>
  <c r="X36" i="34"/>
  <c r="L94" i="89"/>
  <c r="N94" i="89" s="1"/>
  <c r="F94" i="89"/>
  <c r="J136" i="85"/>
  <c r="J131" i="69"/>
  <c r="P86" i="70"/>
  <c r="X83" i="70"/>
  <c r="Z83" i="70" s="1"/>
  <c r="R83" i="70"/>
  <c r="P274" i="15"/>
  <c r="X271" i="15"/>
  <c r="Z271" i="15" s="1"/>
  <c r="R271" i="15"/>
  <c r="X160" i="30"/>
  <c r="Z160" i="30" s="1"/>
  <c r="P163" i="30"/>
  <c r="R160" i="30"/>
  <c r="X36" i="37"/>
  <c r="L85" i="57"/>
  <c r="L109" i="96"/>
  <c r="N109" i="96" s="1"/>
  <c r="F109" i="96"/>
  <c r="V134" i="71"/>
  <c r="L329" i="3"/>
  <c r="F329" i="3"/>
  <c r="Z88" i="56"/>
  <c r="X125" i="21"/>
  <c r="R125" i="21"/>
  <c r="N100" i="106"/>
  <c r="J100" i="106"/>
  <c r="L100" i="106"/>
  <c r="L90" i="81"/>
  <c r="N90" i="81" s="1"/>
  <c r="F90" i="81"/>
  <c r="L82" i="48"/>
  <c r="F82" i="48"/>
  <c r="J146" i="36"/>
  <c r="V109" i="96"/>
  <c r="L116" i="51"/>
  <c r="N116" i="51" s="1"/>
  <c r="D119" i="51"/>
  <c r="F116" i="51"/>
  <c r="L103" i="98"/>
  <c r="F103" i="98"/>
  <c r="L36" i="19"/>
  <c r="V90" i="81"/>
  <c r="L36" i="111"/>
  <c r="Z69" i="61"/>
  <c r="X82" i="110"/>
  <c r="R82" i="110"/>
  <c r="L36" i="31"/>
  <c r="X128" i="69"/>
  <c r="Z128" i="69" s="1"/>
  <c r="P131" i="69"/>
  <c r="R128" i="69"/>
  <c r="L31" i="54"/>
  <c r="X36" i="113"/>
  <c r="L81" i="79"/>
  <c r="F81" i="79"/>
  <c r="L36" i="25"/>
  <c r="D125" i="21"/>
  <c r="L122" i="21"/>
  <c r="N122" i="21" s="1"/>
  <c r="F122" i="21"/>
  <c r="V302" i="18"/>
  <c r="L288" i="12"/>
  <c r="N288" i="12" s="1"/>
  <c r="F288" i="12"/>
  <c r="N83" i="58"/>
  <c r="L83" i="58"/>
  <c r="J105" i="74"/>
  <c r="V92" i="93"/>
  <c r="D99" i="108"/>
  <c r="L96" i="108"/>
  <c r="N96" i="108" s="1"/>
  <c r="F96" i="108"/>
  <c r="Z70" i="103"/>
  <c r="V81" i="59"/>
  <c r="L36" i="50"/>
  <c r="Z83" i="58"/>
  <c r="X29" i="65"/>
  <c r="X87" i="94"/>
  <c r="Z87" i="94" s="1"/>
  <c r="P90" i="94"/>
  <c r="R87" i="94"/>
  <c r="X36" i="22"/>
  <c r="X109" i="45"/>
  <c r="Z109" i="45" s="1"/>
  <c r="R109" i="45"/>
  <c r="V288" i="12"/>
  <c r="L274" i="15"/>
  <c r="N274" i="15" s="1"/>
  <c r="F274" i="15"/>
  <c r="L31" i="6"/>
  <c r="N31" i="6" s="1"/>
  <c r="X82" i="101"/>
  <c r="Z82" i="101" s="1"/>
  <c r="R82" i="101"/>
  <c r="X36" i="13"/>
  <c r="L36" i="20"/>
  <c r="L36" i="29"/>
  <c r="J90" i="81"/>
  <c r="X31" i="6"/>
  <c r="N68" i="60"/>
  <c r="X36" i="38"/>
  <c r="X36" i="41"/>
  <c r="X103" i="84"/>
  <c r="Z103" i="84" s="1"/>
  <c r="R103" i="84"/>
  <c r="L57" i="99"/>
  <c r="F57" i="99"/>
  <c r="Z72" i="68"/>
  <c r="L97" i="102"/>
  <c r="N97" i="102" s="1"/>
  <c r="D100" i="102"/>
  <c r="F97" i="102"/>
  <c r="P100" i="106"/>
  <c r="X97" i="106"/>
  <c r="Z97" i="106" s="1"/>
  <c r="R97" i="106"/>
  <c r="N81" i="59"/>
  <c r="J119" i="51"/>
  <c r="N72" i="68"/>
  <c r="D114" i="33"/>
  <c r="L111" i="33"/>
  <c r="N111" i="33" s="1"/>
  <c r="F111" i="33"/>
  <c r="X148" i="39"/>
  <c r="Z148" i="39" s="1"/>
  <c r="P151" i="39"/>
  <c r="R148" i="39"/>
  <c r="L125" i="75"/>
  <c r="N125" i="75" s="1"/>
  <c r="D128" i="75"/>
  <c r="F125" i="75"/>
  <c r="N69" i="61"/>
  <c r="L36" i="17"/>
  <c r="L107" i="88"/>
  <c r="N107" i="88" s="1"/>
  <c r="F107" i="88"/>
  <c r="L82" i="101"/>
  <c r="P105" i="74"/>
  <c r="X102" i="74"/>
  <c r="Z102" i="74" s="1"/>
  <c r="R102" i="74"/>
  <c r="Z57" i="99"/>
  <c r="X57" i="99"/>
  <c r="J114" i="33"/>
  <c r="V119" i="77"/>
  <c r="J72" i="105"/>
  <c r="V97" i="76"/>
  <c r="V103" i="98"/>
  <c r="X116" i="51"/>
  <c r="Z116" i="51" s="1"/>
  <c r="P119" i="51"/>
  <c r="R116" i="51"/>
  <c r="X285" i="12"/>
  <c r="Z285" i="12" s="1"/>
  <c r="P288" i="12"/>
  <c r="R285" i="12"/>
  <c r="X39" i="86"/>
  <c r="Z39" i="86" s="1"/>
  <c r="R39" i="86"/>
  <c r="X29" i="72"/>
  <c r="L109" i="45"/>
  <c r="N109" i="45" s="1"/>
  <c r="F109" i="45"/>
  <c r="P93" i="95"/>
  <c r="X90" i="95"/>
  <c r="Z90" i="95" s="1"/>
  <c r="R90" i="95"/>
  <c r="V128" i="75"/>
  <c r="X142" i="24"/>
  <c r="Z142" i="24" s="1"/>
  <c r="P145" i="24"/>
  <c r="R142" i="24"/>
  <c r="X107" i="88"/>
  <c r="R107" i="88"/>
  <c r="L36" i="38"/>
  <c r="X85" i="80"/>
  <c r="Z85" i="80" s="1"/>
  <c r="P88" i="80"/>
  <c r="R85" i="80"/>
  <c r="X69" i="105"/>
  <c r="Z69" i="105" s="1"/>
  <c r="P72" i="105"/>
  <c r="R69" i="105"/>
  <c r="L60" i="100"/>
  <c r="X36" i="111"/>
  <c r="X36" i="5"/>
  <c r="V109" i="9"/>
  <c r="X109" i="9"/>
  <c r="Z109" i="9" s="1"/>
  <c r="P100" i="102"/>
  <c r="X97" i="102"/>
  <c r="Z97" i="102" s="1"/>
  <c r="R97" i="102"/>
  <c r="X116" i="77"/>
  <c r="Z116" i="77" s="1"/>
  <c r="P119" i="77"/>
  <c r="R116" i="77"/>
  <c r="L136" i="42"/>
  <c r="N136" i="42" s="1"/>
  <c r="D139" i="42"/>
  <c r="F136" i="42"/>
  <c r="X36" i="7"/>
  <c r="Z31" i="6"/>
  <c r="L87" i="94"/>
  <c r="N87" i="94" s="1"/>
  <c r="D90" i="94"/>
  <c r="F87" i="94"/>
  <c r="J128" i="75"/>
  <c r="L83" i="70"/>
  <c r="N83" i="70" s="1"/>
  <c r="D86" i="70"/>
  <c r="F83" i="70"/>
  <c r="J274" i="15"/>
  <c r="X106" i="96"/>
  <c r="Z106" i="96" s="1"/>
  <c r="P109" i="96"/>
  <c r="R106" i="96"/>
  <c r="N85" i="57"/>
  <c r="Z107" i="88"/>
  <c r="V107" i="88"/>
  <c r="V114" i="33"/>
  <c r="X68" i="60"/>
  <c r="Z68" i="60" s="1"/>
  <c r="V88" i="80"/>
  <c r="X36" i="32"/>
  <c r="X36" i="46"/>
  <c r="D39" i="86"/>
  <c r="L36" i="86"/>
  <c r="N36" i="86" s="1"/>
  <c r="F36" i="86"/>
  <c r="L131" i="27"/>
  <c r="N131" i="27" s="1"/>
  <c r="D134" i="27"/>
  <c r="F131" i="27"/>
  <c r="L97" i="76"/>
  <c r="N97" i="76" s="1"/>
  <c r="F97" i="76"/>
  <c r="Z94" i="89"/>
  <c r="V94" i="89"/>
  <c r="V274" i="15"/>
  <c r="X136" i="85"/>
  <c r="R136" i="85"/>
  <c r="P128" i="75"/>
  <c r="X125" i="75"/>
  <c r="Z125" i="75" s="1"/>
  <c r="R125" i="75"/>
  <c r="X82" i="48"/>
  <c r="Z82" i="48" s="1"/>
  <c r="R82" i="48"/>
  <c r="P99" i="108"/>
  <c r="X96" i="108"/>
  <c r="Z96" i="108" s="1"/>
  <c r="R96" i="108"/>
  <c r="X96" i="104"/>
  <c r="Z96" i="104" s="1"/>
  <c r="P99" i="104"/>
  <c r="R96" i="104"/>
  <c r="V146" i="36"/>
  <c r="L133" i="85"/>
  <c r="N133" i="85" s="1"/>
  <c r="D136" i="85"/>
  <c r="F133" i="85"/>
  <c r="X36" i="17"/>
  <c r="X94" i="89"/>
  <c r="R94" i="89"/>
  <c r="L88" i="80"/>
  <c r="N88" i="80" s="1"/>
  <c r="F88" i="80"/>
  <c r="X36" i="16"/>
  <c r="L36" i="14"/>
  <c r="L36" i="22"/>
  <c r="X134" i="27"/>
  <c r="Z134" i="27" s="1"/>
  <c r="R134" i="27"/>
  <c r="L36" i="10"/>
  <c r="X111" i="33"/>
  <c r="Z111" i="33" s="1"/>
  <c r="P114" i="33"/>
  <c r="R111" i="33"/>
  <c r="L160" i="30"/>
  <c r="N160" i="30" s="1"/>
  <c r="D163" i="30"/>
  <c r="F160" i="30"/>
  <c r="V109" i="45"/>
  <c r="N60" i="100"/>
  <c r="L36" i="23"/>
  <c r="L92" i="93"/>
  <c r="N92" i="93" s="1"/>
  <c r="F92" i="93"/>
  <c r="V134" i="27"/>
  <c r="J134" i="27"/>
  <c r="X36" i="4"/>
  <c r="X131" i="71"/>
  <c r="Z131" i="71" s="1"/>
  <c r="P134" i="71"/>
  <c r="R131" i="71"/>
  <c r="D72" i="105"/>
  <c r="L72" i="105" s="1"/>
  <c r="N72" i="105" s="1"/>
  <c r="L69" i="105"/>
  <c r="N69" i="105" s="1"/>
  <c r="X92" i="73"/>
  <c r="Z92" i="73" s="1"/>
  <c r="R92" i="73"/>
  <c r="J139" i="42"/>
  <c r="X36" i="19"/>
  <c r="V151" i="39"/>
  <c r="V145" i="24"/>
  <c r="L102" i="74"/>
  <c r="N102" i="74" s="1"/>
  <c r="D105" i="74"/>
  <c r="F102" i="74"/>
  <c r="D151" i="39"/>
  <c r="L148" i="39"/>
  <c r="N148" i="39" s="1"/>
  <c r="F148" i="39"/>
  <c r="D92" i="73"/>
  <c r="L89" i="73"/>
  <c r="N89" i="73" s="1"/>
  <c r="F89" i="73"/>
  <c r="X299" i="18"/>
  <c r="Z299" i="18" s="1"/>
  <c r="P302" i="18"/>
  <c r="R299" i="18"/>
  <c r="V86" i="70"/>
  <c r="L128" i="69"/>
  <c r="N128" i="69" s="1"/>
  <c r="D131" i="69"/>
  <c r="F128" i="69"/>
  <c r="N31" i="54"/>
  <c r="N53" i="109"/>
  <c r="L36" i="7"/>
  <c r="L145" i="24"/>
  <c r="N145" i="24" s="1"/>
  <c r="F145" i="24"/>
  <c r="X329" i="3"/>
  <c r="R329" i="3"/>
  <c r="N99" i="104"/>
  <c r="J99" i="104"/>
  <c r="Z125" i="21"/>
  <c r="V125" i="21"/>
  <c r="Z82" i="110"/>
  <c r="V82" i="110"/>
  <c r="D119" i="77"/>
  <c r="L116" i="77"/>
  <c r="N116" i="77" s="1"/>
  <c r="F116" i="77"/>
  <c r="J82" i="110"/>
  <c r="L146" i="36"/>
  <c r="N146" i="36" s="1"/>
  <c r="F146" i="36"/>
  <c r="X146" i="36"/>
  <c r="Z146" i="36" s="1"/>
  <c r="R146" i="36"/>
  <c r="P90" i="81"/>
  <c r="X87" i="81"/>
  <c r="Z87" i="81" s="1"/>
  <c r="R87" i="81"/>
  <c r="Z136" i="85"/>
  <c r="V136" i="85"/>
  <c r="P103" i="98"/>
  <c r="X100" i="98"/>
  <c r="Z100" i="98" s="1"/>
  <c r="R100" i="98"/>
  <c r="L35" i="83"/>
  <c r="N35" i="83" s="1"/>
  <c r="F35" i="83"/>
  <c r="L82" i="110"/>
  <c r="N82" i="110" s="1"/>
  <c r="F82" i="110"/>
  <c r="N329" i="3"/>
  <c r="J329" i="3"/>
  <c r="X36" i="28"/>
  <c r="N82" i="101"/>
  <c r="X36" i="10"/>
  <c r="L100" i="84"/>
  <c r="N100" i="84" s="1"/>
  <c r="D103" i="84"/>
  <c r="F100" i="84"/>
  <c r="X81" i="59"/>
  <c r="Z81" i="59" s="1"/>
  <c r="V93" i="95"/>
  <c r="L36" i="43"/>
  <c r="N115" i="64"/>
  <c r="X36" i="25"/>
  <c r="V163" i="30"/>
  <c r="L36" i="32"/>
  <c r="L299" i="18"/>
  <c r="N299" i="18" s="1"/>
  <c r="D302" i="18"/>
  <c r="F299" i="18"/>
  <c r="Z329" i="3"/>
  <c r="V329" i="3"/>
  <c r="N103" i="98"/>
  <c r="J103" i="98"/>
  <c r="X139" i="42"/>
  <c r="Z139" i="42" s="1"/>
  <c r="R139" i="42"/>
  <c r="P97" i="76"/>
  <c r="X94" i="76"/>
  <c r="Z94" i="76" s="1"/>
  <c r="R94" i="76"/>
  <c r="Z81" i="79"/>
  <c r="V81" i="79"/>
  <c r="P92" i="93"/>
  <c r="X89" i="93"/>
  <c r="Z89" i="93" s="1"/>
  <c r="R89" i="93"/>
  <c r="P35" i="83"/>
  <c r="X32" i="83"/>
  <c r="Z32" i="83" s="1"/>
  <c r="R32" i="83"/>
  <c r="X36" i="35"/>
  <c r="L36" i="46"/>
  <c r="X85" i="57"/>
  <c r="Z85" i="57" s="1"/>
  <c r="L36" i="35"/>
  <c r="V99" i="108"/>
  <c r="L40" i="55"/>
  <c r="N40" i="55" s="1"/>
  <c r="L136" i="85" l="1"/>
  <c r="N136" i="85" s="1"/>
  <c r="F136" i="85"/>
  <c r="X90" i="81"/>
  <c r="Z90" i="81" s="1"/>
  <c r="R90" i="81"/>
  <c r="L131" i="69"/>
  <c r="N131" i="69" s="1"/>
  <c r="F131" i="69"/>
  <c r="L151" i="39"/>
  <c r="N151" i="39" s="1"/>
  <c r="F151" i="39"/>
  <c r="X119" i="77"/>
  <c r="Z119" i="77" s="1"/>
  <c r="R119" i="77"/>
  <c r="X72" i="105"/>
  <c r="Z72" i="105" s="1"/>
  <c r="R72" i="105"/>
  <c r="X90" i="94"/>
  <c r="Z90" i="94" s="1"/>
  <c r="R90" i="94"/>
  <c r="L128" i="75"/>
  <c r="N128" i="75" s="1"/>
  <c r="F128" i="75"/>
  <c r="L125" i="21"/>
  <c r="N125" i="21" s="1"/>
  <c r="F125" i="21"/>
  <c r="X163" i="30"/>
  <c r="Z163" i="30" s="1"/>
  <c r="R163" i="30"/>
  <c r="X100" i="102"/>
  <c r="Z100" i="102" s="1"/>
  <c r="R100" i="102"/>
  <c r="X35" i="83"/>
  <c r="Z35" i="83" s="1"/>
  <c r="R35" i="83"/>
  <c r="X92" i="93"/>
  <c r="Z92" i="93" s="1"/>
  <c r="R92" i="93"/>
  <c r="L39" i="86"/>
  <c r="N39" i="86" s="1"/>
  <c r="F39" i="86"/>
  <c r="X151" i="39"/>
  <c r="Z151" i="39" s="1"/>
  <c r="R151" i="39"/>
  <c r="L134" i="71"/>
  <c r="N134" i="71" s="1"/>
  <c r="F134" i="71"/>
  <c r="X128" i="75"/>
  <c r="Z128" i="75" s="1"/>
  <c r="R128" i="75"/>
  <c r="L90" i="94"/>
  <c r="N90" i="94" s="1"/>
  <c r="F90" i="94"/>
  <c r="X302" i="18"/>
  <c r="Z302" i="18" s="1"/>
  <c r="R302" i="18"/>
  <c r="X109" i="96"/>
  <c r="Z109" i="96" s="1"/>
  <c r="R109" i="96"/>
  <c r="L302" i="18"/>
  <c r="N302" i="18" s="1"/>
  <c r="F302" i="18"/>
  <c r="L103" i="84"/>
  <c r="N103" i="84" s="1"/>
  <c r="F103" i="84"/>
  <c r="L163" i="30"/>
  <c r="N163" i="30" s="1"/>
  <c r="F163" i="30"/>
  <c r="X99" i="104"/>
  <c r="Z99" i="104" s="1"/>
  <c r="R99" i="104"/>
  <c r="X105" i="74"/>
  <c r="Z105" i="74" s="1"/>
  <c r="R105" i="74"/>
  <c r="X100" i="106"/>
  <c r="Z100" i="106" s="1"/>
  <c r="R100" i="106"/>
  <c r="X274" i="15"/>
  <c r="Z274" i="15" s="1"/>
  <c r="R274" i="15"/>
  <c r="L105" i="74"/>
  <c r="N105" i="74" s="1"/>
  <c r="F105" i="74"/>
  <c r="X93" i="95"/>
  <c r="Z93" i="95" s="1"/>
  <c r="R93" i="95"/>
  <c r="L134" i="27"/>
  <c r="N134" i="27" s="1"/>
  <c r="F134" i="27"/>
  <c r="L119" i="51"/>
  <c r="N119" i="51" s="1"/>
  <c r="F119" i="51"/>
  <c r="X88" i="80"/>
  <c r="Z88" i="80" s="1"/>
  <c r="R88" i="80"/>
  <c r="X134" i="71"/>
  <c r="Z134" i="71" s="1"/>
  <c r="R134" i="71"/>
  <c r="X103" i="98"/>
  <c r="Z103" i="98" s="1"/>
  <c r="R103" i="98"/>
  <c r="L100" i="102"/>
  <c r="N100" i="102" s="1"/>
  <c r="F100" i="102"/>
  <c r="L119" i="77"/>
  <c r="N119" i="77" s="1"/>
  <c r="F119" i="77"/>
  <c r="X114" i="33"/>
  <c r="Z114" i="33" s="1"/>
  <c r="R114" i="33"/>
  <c r="L139" i="42"/>
  <c r="N139" i="42" s="1"/>
  <c r="F139" i="42"/>
  <c r="X145" i="24"/>
  <c r="Z145" i="24" s="1"/>
  <c r="R145" i="24"/>
  <c r="L114" i="33"/>
  <c r="N114" i="33" s="1"/>
  <c r="F114" i="33"/>
  <c r="X86" i="70"/>
  <c r="Z86" i="70" s="1"/>
  <c r="R86" i="70"/>
  <c r="L92" i="73"/>
  <c r="N92" i="73" s="1"/>
  <c r="F92" i="73"/>
  <c r="X97" i="76"/>
  <c r="Z97" i="76" s="1"/>
  <c r="R97" i="76"/>
  <c r="X99" i="108"/>
  <c r="Z99" i="108" s="1"/>
  <c r="R99" i="108"/>
  <c r="L86" i="70"/>
  <c r="N86" i="70" s="1"/>
  <c r="F86" i="70"/>
  <c r="X131" i="69"/>
  <c r="Z131" i="69" s="1"/>
  <c r="R131" i="69"/>
  <c r="X119" i="51"/>
  <c r="Z119" i="51" s="1"/>
  <c r="R119" i="51"/>
  <c r="X288" i="12"/>
  <c r="Z288" i="12" s="1"/>
  <c r="R288" i="12"/>
  <c r="L99" i="108"/>
  <c r="N99" i="108" s="1"/>
  <c r="F99" i="108"/>
</calcChain>
</file>

<file path=xl/sharedStrings.xml><?xml version="1.0" encoding="utf-8"?>
<sst xmlns="http://schemas.openxmlformats.org/spreadsheetml/2006/main" count="2974" uniqueCount="315">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</sst>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1" fillId="0" borderId="0" xfId="0" applyFont="1"/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167" fontId="2" fillId="2" borderId="3" xfId="3" applyNumberFormat="1" applyFont="1" applyFill="1" applyBorder="1"/>
    <xf numFmtId="168" fontId="2" fillId="2" borderId="3" xfId="2" applyNumberFormat="1" applyFont="1" applyFill="1" applyBorder="1"/>
    <xf numFmtId="167" fontId="2" fillId="2" borderId="4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8" fontId="2" fillId="2" borderId="4" xfId="2" applyNumberFormat="1" applyFont="1" applyFill="1" applyBorder="1"/>
    <xf numFmtId="167" fontId="2" fillId="0" borderId="0" xfId="3" applyNumberFormat="1" applyFont="1" applyFill="1" applyBorder="1"/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"/>
    </xf>
    <xf numFmtId="167" fontId="0" fillId="0" borderId="0" xfId="0" applyNumberFormat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164" fontId="2" fillId="0" borderId="0" xfId="1" applyNumberFormat="1" applyFont="1" applyAlignment="1">
      <alignment horizontal="left"/>
    </xf>
    <xf numFmtId="167" fontId="0" fillId="0" borderId="0" xfId="3" applyNumberFormat="1" applyFont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0" applyNumberFormat="1" applyFill="1"/>
    <xf numFmtId="167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/>
    <xf numFmtId="49" fontId="2" fillId="0" borderId="0" xfId="0" applyNumberFormat="1" applyFont="1" applyFill="1"/>
    <xf numFmtId="0" fontId="0" fillId="0" borderId="0" xfId="0" applyBorder="1"/>
    <xf numFmtId="0" fontId="0" fillId="0" borderId="0" xfId="0" applyFill="1" applyAlignment="1">
      <alignment horizontal="centerContinuous"/>
    </xf>
    <xf numFmtId="165" fontId="0" fillId="0" borderId="0" xfId="0" applyNumberFormat="1"/>
    <xf numFmtId="164" fontId="2" fillId="0" borderId="0" xfId="1" applyNumberFormat="1" applyFont="1" applyFill="1" applyAlignment="1">
      <alignment horizontal="centerContinuous"/>
    </xf>
    <xf numFmtId="0" fontId="3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4" fillId="0" borderId="0" xfId="0" applyFont="1"/>
    <xf numFmtId="0" fontId="5" fillId="0" borderId="0" xfId="0" applyFont="1" applyFill="1"/>
    <xf numFmtId="0" fontId="2" fillId="0" borderId="0" xfId="0" applyFont="1" applyFill="1" applyBorder="1"/>
    <xf numFmtId="166" fontId="3" fillId="0" borderId="0" xfId="0" applyNumberFormat="1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308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308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309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309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312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312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307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307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306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306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7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303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303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304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304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305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305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310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310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313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313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34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297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3653867.1400000011</v>
      </c>
      <c r="E12" s="4"/>
      <c r="F12" s="12"/>
      <c r="G12" s="4"/>
      <c r="H12" s="4">
        <f>SUM(OSRRefH13x_0)</f>
        <v>3962386.4049500003</v>
      </c>
      <c r="I12" s="4"/>
      <c r="J12" s="12"/>
      <c r="K12" s="4"/>
      <c r="L12" s="4">
        <f t="shared" ref="L12:L132" si="0">+D12-H12</f>
        <v>-308519.26494999928</v>
      </c>
      <c r="M12" s="4"/>
      <c r="N12" s="12">
        <f t="shared" ref="N12:N132" si="1">IF(H12=0,0,L12/H12)</f>
        <v>-7.7861983516948882E-2</v>
      </c>
      <c r="O12" s="10"/>
      <c r="P12" s="4">
        <f>SUM(OSRRefP13x_0)</f>
        <v>21731698.209999997</v>
      </c>
      <c r="Q12" s="4"/>
      <c r="R12" s="12"/>
      <c r="S12" s="4"/>
      <c r="T12" s="4">
        <f>SUM(OSRRefT13x_0)</f>
        <v>22868976.57423</v>
      </c>
      <c r="U12" s="4"/>
      <c r="V12" s="12"/>
      <c r="W12" s="4"/>
      <c r="X12" s="4">
        <f t="shared" ref="X12:X132" si="2">+P12-T12</f>
        <v>-1137278.3642300032</v>
      </c>
      <c r="Y12" s="4"/>
      <c r="Z12" s="12">
        <f t="shared" ref="Z12:Z132" si="3">IF(T12=0,0,X12/T12)</f>
        <v>-4.9730181870558651E-2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944879.40495000011</v>
      </c>
      <c r="I13" s="2"/>
      <c r="J13" s="19"/>
      <c r="K13" s="2"/>
      <c r="L13" s="2">
        <f t="shared" si="0"/>
        <v>-944879.40495000011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6913782.5742299994</v>
      </c>
      <c r="U13" s="2"/>
      <c r="V13" s="19"/>
      <c r="W13" s="2"/>
      <c r="X13" s="2">
        <f t="shared" si="2"/>
        <v>-6913782.5742299994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--745942.38</f>
        <v>745942.38</v>
      </c>
      <c r="E14" s="2"/>
      <c r="F14" s="19"/>
      <c r="G14" s="2"/>
      <c r="H14" s="2"/>
      <c r="I14" s="2"/>
      <c r="J14" s="19"/>
      <c r="K14" s="2"/>
      <c r="L14" s="2">
        <f t="shared" si="0"/>
        <v>745942.38</v>
      </c>
      <c r="M14" s="2"/>
      <c r="N14" s="19">
        <f t="shared" si="1"/>
        <v>0</v>
      </c>
      <c r="O14" s="11"/>
      <c r="P14" s="2">
        <f>--2285976.76</f>
        <v>2285976.7599999998</v>
      </c>
      <c r="Q14" s="2"/>
      <c r="R14" s="19"/>
      <c r="S14" s="2"/>
      <c r="T14" s="2"/>
      <c r="U14" s="2"/>
      <c r="V14" s="19"/>
      <c r="W14" s="2"/>
      <c r="X14" s="2">
        <f t="shared" si="2"/>
        <v>2285976.7599999998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--512319.44</f>
        <v>512319.44</v>
      </c>
      <c r="E15" s="2"/>
      <c r="F15" s="19"/>
      <c r="G15" s="2"/>
      <c r="H15" s="2"/>
      <c r="I15" s="2"/>
      <c r="J15" s="19"/>
      <c r="K15" s="2"/>
      <c r="L15" s="2">
        <f t="shared" si="0"/>
        <v>512319.44</v>
      </c>
      <c r="M15" s="2"/>
      <c r="N15" s="19">
        <f t="shared" si="1"/>
        <v>0</v>
      </c>
      <c r="O15" s="11"/>
      <c r="P15" s="2">
        <f>--1193414.41</f>
        <v>1193414.4099999999</v>
      </c>
      <c r="Q15" s="2"/>
      <c r="R15" s="19"/>
      <c r="S15" s="2"/>
      <c r="T15" s="2"/>
      <c r="U15" s="2"/>
      <c r="V15" s="19"/>
      <c r="W15" s="2"/>
      <c r="X15" s="2">
        <f t="shared" si="2"/>
        <v>1193414.4099999999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--15841.34</f>
        <v>15841.34</v>
      </c>
      <c r="E16" s="2"/>
      <c r="F16" s="19"/>
      <c r="G16" s="2"/>
      <c r="H16" s="2"/>
      <c r="I16" s="2"/>
      <c r="J16" s="19"/>
      <c r="K16" s="2"/>
      <c r="L16" s="2">
        <f t="shared" si="0"/>
        <v>15841.34</v>
      </c>
      <c r="M16" s="2"/>
      <c r="N16" s="19">
        <f t="shared" si="1"/>
        <v>0</v>
      </c>
      <c r="O16" s="11"/>
      <c r="P16" s="2">
        <f>--32272.01</f>
        <v>32272.01</v>
      </c>
      <c r="Q16" s="2"/>
      <c r="R16" s="19"/>
      <c r="S16" s="2"/>
      <c r="T16" s="2"/>
      <c r="U16" s="2"/>
      <c r="V16" s="19"/>
      <c r="W16" s="2"/>
      <c r="X16" s="2">
        <f t="shared" si="2"/>
        <v>32272.01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--10921.53</f>
        <v>10921.53</v>
      </c>
      <c r="E17" s="2"/>
      <c r="F17" s="19"/>
      <c r="G17" s="2"/>
      <c r="H17" s="2"/>
      <c r="I17" s="2"/>
      <c r="J17" s="19"/>
      <c r="K17" s="2"/>
      <c r="L17" s="2">
        <f t="shared" si="0"/>
        <v>10921.53</v>
      </c>
      <c r="M17" s="2"/>
      <c r="N17" s="19">
        <f t="shared" si="1"/>
        <v>0</v>
      </c>
      <c r="O17" s="11"/>
      <c r="P17" s="2">
        <f>--41201.41</f>
        <v>41201.410000000003</v>
      </c>
      <c r="Q17" s="2"/>
      <c r="R17" s="19"/>
      <c r="S17" s="2"/>
      <c r="T17" s="2"/>
      <c r="U17" s="2"/>
      <c r="V17" s="19"/>
      <c r="W17" s="2"/>
      <c r="X17" s="2">
        <f t="shared" si="2"/>
        <v>41201.410000000003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--13.22</f>
        <v>13.22</v>
      </c>
      <c r="Q18" s="2"/>
      <c r="R18" s="19"/>
      <c r="S18" s="2"/>
      <c r="T18" s="2"/>
      <c r="U18" s="2"/>
      <c r="V18" s="19"/>
      <c r="W18" s="2"/>
      <c r="X18" s="2">
        <f t="shared" si="2"/>
        <v>13.22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--229.57</f>
        <v>229.57</v>
      </c>
      <c r="E19" s="2"/>
      <c r="F19" s="19"/>
      <c r="G19" s="2"/>
      <c r="H19" s="2"/>
      <c r="I19" s="2"/>
      <c r="J19" s="19"/>
      <c r="K19" s="2"/>
      <c r="L19" s="2">
        <f t="shared" si="0"/>
        <v>229.57</v>
      </c>
      <c r="M19" s="2"/>
      <c r="N19" s="19">
        <f t="shared" si="1"/>
        <v>0</v>
      </c>
      <c r="O19" s="11"/>
      <c r="P19" s="2">
        <f>--1509.89</f>
        <v>1509.89</v>
      </c>
      <c r="Q19" s="2"/>
      <c r="R19" s="19"/>
      <c r="S19" s="2"/>
      <c r="T19" s="2"/>
      <c r="U19" s="2"/>
      <c r="V19" s="19"/>
      <c r="W19" s="2"/>
      <c r="X19" s="2">
        <f t="shared" si="2"/>
        <v>1509.89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--107.48</f>
        <v>107.48</v>
      </c>
      <c r="E20" s="2"/>
      <c r="F20" s="19"/>
      <c r="G20" s="2"/>
      <c r="H20" s="2"/>
      <c r="I20" s="2"/>
      <c r="J20" s="19"/>
      <c r="K20" s="2"/>
      <c r="L20" s="2">
        <f t="shared" si="0"/>
        <v>107.48</v>
      </c>
      <c r="M20" s="2"/>
      <c r="N20" s="19">
        <f t="shared" si="1"/>
        <v>0</v>
      </c>
      <c r="O20" s="11"/>
      <c r="P20" s="2">
        <f>--1100.17</f>
        <v>1100.17</v>
      </c>
      <c r="Q20" s="2"/>
      <c r="R20" s="19"/>
      <c r="S20" s="2"/>
      <c r="T20" s="2"/>
      <c r="U20" s="2"/>
      <c r="V20" s="19"/>
      <c r="W20" s="2"/>
      <c r="X20" s="2">
        <f t="shared" si="2"/>
        <v>1100.17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--12.98</f>
        <v>12.98</v>
      </c>
      <c r="E21" s="2"/>
      <c r="F21" s="19"/>
      <c r="G21" s="2"/>
      <c r="H21" s="2"/>
      <c r="I21" s="2"/>
      <c r="J21" s="19"/>
      <c r="K21" s="2"/>
      <c r="L21" s="2">
        <f t="shared" si="0"/>
        <v>12.98</v>
      </c>
      <c r="M21" s="2"/>
      <c r="N21" s="19">
        <f t="shared" si="1"/>
        <v>0</v>
      </c>
      <c r="O21" s="11"/>
      <c r="P21" s="2">
        <f>--255.12</f>
        <v>255.12</v>
      </c>
      <c r="Q21" s="2"/>
      <c r="R21" s="19"/>
      <c r="S21" s="2"/>
      <c r="T21" s="2"/>
      <c r="U21" s="2"/>
      <c r="V21" s="19"/>
      <c r="W21" s="2"/>
      <c r="X21" s="2">
        <f t="shared" si="2"/>
        <v>255.12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--737.51</f>
        <v>737.51</v>
      </c>
      <c r="E22" s="2"/>
      <c r="F22" s="19"/>
      <c r="G22" s="2"/>
      <c r="H22" s="2"/>
      <c r="I22" s="2"/>
      <c r="J22" s="19"/>
      <c r="K22" s="2"/>
      <c r="L22" s="2">
        <f t="shared" si="0"/>
        <v>737.51</v>
      </c>
      <c r="M22" s="2"/>
      <c r="N22" s="19">
        <f t="shared" si="1"/>
        <v>0</v>
      </c>
      <c r="O22" s="11"/>
      <c r="P22" s="2">
        <f>--3627.9</f>
        <v>3627.9</v>
      </c>
      <c r="Q22" s="2"/>
      <c r="R22" s="19"/>
      <c r="S22" s="2"/>
      <c r="T22" s="2"/>
      <c r="U22" s="2"/>
      <c r="V22" s="19"/>
      <c r="W22" s="2"/>
      <c r="X22" s="2">
        <f t="shared" si="2"/>
        <v>3627.9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--33.88</f>
        <v>33.880000000000003</v>
      </c>
      <c r="Q23" s="2"/>
      <c r="R23" s="19"/>
      <c r="S23" s="2"/>
      <c r="T23" s="2"/>
      <c r="U23" s="2"/>
      <c r="V23" s="19"/>
      <c r="W23" s="2"/>
      <c r="X23" s="2">
        <f t="shared" si="2"/>
        <v>33.880000000000003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--5307.35</f>
        <v>5307.35</v>
      </c>
      <c r="E24" s="2"/>
      <c r="F24" s="19"/>
      <c r="G24" s="2"/>
      <c r="H24" s="2"/>
      <c r="I24" s="2"/>
      <c r="J24" s="19"/>
      <c r="K24" s="2"/>
      <c r="L24" s="2">
        <f t="shared" si="0"/>
        <v>5307.35</v>
      </c>
      <c r="M24" s="2"/>
      <c r="N24" s="19">
        <f t="shared" si="1"/>
        <v>0</v>
      </c>
      <c r="O24" s="11"/>
      <c r="P24" s="2">
        <f>--40440.45</f>
        <v>40440.449999999997</v>
      </c>
      <c r="Q24" s="2"/>
      <c r="R24" s="19"/>
      <c r="S24" s="2"/>
      <c r="T24" s="2"/>
      <c r="U24" s="2"/>
      <c r="V24" s="19"/>
      <c r="W24" s="2"/>
      <c r="X24" s="2">
        <f t="shared" si="2"/>
        <v>40440.449999999997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--13761.32</f>
        <v>13761.32</v>
      </c>
      <c r="E25" s="2"/>
      <c r="F25" s="19"/>
      <c r="G25" s="2"/>
      <c r="H25" s="2"/>
      <c r="I25" s="2"/>
      <c r="J25" s="19"/>
      <c r="K25" s="2"/>
      <c r="L25" s="2">
        <f t="shared" si="0"/>
        <v>13761.32</v>
      </c>
      <c r="M25" s="2"/>
      <c r="N25" s="19">
        <f t="shared" si="1"/>
        <v>0</v>
      </c>
      <c r="O25" s="11"/>
      <c r="P25" s="2">
        <f>--63689.49</f>
        <v>63689.49</v>
      </c>
      <c r="Q25" s="2"/>
      <c r="R25" s="19"/>
      <c r="S25" s="2"/>
      <c r="T25" s="2"/>
      <c r="U25" s="2"/>
      <c r="V25" s="19"/>
      <c r="W25" s="2"/>
      <c r="X25" s="2">
        <f t="shared" si="2"/>
        <v>63689.49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--66289.85</f>
        <v>66289.850000000006</v>
      </c>
      <c r="E26" s="2"/>
      <c r="F26" s="19"/>
      <c r="G26" s="2"/>
      <c r="H26" s="2"/>
      <c r="I26" s="2"/>
      <c r="J26" s="19"/>
      <c r="K26" s="2"/>
      <c r="L26" s="2">
        <f t="shared" si="0"/>
        <v>66289.850000000006</v>
      </c>
      <c r="M26" s="2"/>
      <c r="N26" s="19">
        <f t="shared" si="1"/>
        <v>0</v>
      </c>
      <c r="O26" s="11"/>
      <c r="P26" s="2">
        <f>--231647.32</f>
        <v>231647.32</v>
      </c>
      <c r="Q26" s="2"/>
      <c r="R26" s="19"/>
      <c r="S26" s="2"/>
      <c r="T26" s="2"/>
      <c r="U26" s="2"/>
      <c r="V26" s="19"/>
      <c r="W26" s="2"/>
      <c r="X26" s="2">
        <f t="shared" si="2"/>
        <v>231647.32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--43035.21</f>
        <v>43035.21</v>
      </c>
      <c r="E27" s="2"/>
      <c r="F27" s="19"/>
      <c r="G27" s="2"/>
      <c r="H27" s="2"/>
      <c r="I27" s="2"/>
      <c r="J27" s="19"/>
      <c r="K27" s="2"/>
      <c r="L27" s="2">
        <f t="shared" si="0"/>
        <v>43035.21</v>
      </c>
      <c r="M27" s="2"/>
      <c r="N27" s="19">
        <f t="shared" si="1"/>
        <v>0</v>
      </c>
      <c r="O27" s="11"/>
      <c r="P27" s="2">
        <f>--232672.78</f>
        <v>232672.78</v>
      </c>
      <c r="Q27" s="2"/>
      <c r="R27" s="19"/>
      <c r="S27" s="2"/>
      <c r="T27" s="2"/>
      <c r="U27" s="2"/>
      <c r="V27" s="19"/>
      <c r="W27" s="2"/>
      <c r="X27" s="2">
        <f t="shared" si="2"/>
        <v>232672.78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--43.03</f>
        <v>43.03</v>
      </c>
      <c r="E28" s="2"/>
      <c r="F28" s="19"/>
      <c r="G28" s="2"/>
      <c r="H28" s="2"/>
      <c r="I28" s="2"/>
      <c r="J28" s="19"/>
      <c r="K28" s="2"/>
      <c r="L28" s="2">
        <f t="shared" si="0"/>
        <v>43.03</v>
      </c>
      <c r="M28" s="2"/>
      <c r="N28" s="19">
        <f t="shared" si="1"/>
        <v>0</v>
      </c>
      <c r="O28" s="11"/>
      <c r="P28" s="2">
        <f>--349.97</f>
        <v>349.97</v>
      </c>
      <c r="Q28" s="2"/>
      <c r="R28" s="19"/>
      <c r="S28" s="2"/>
      <c r="T28" s="2"/>
      <c r="U28" s="2"/>
      <c r="V28" s="19"/>
      <c r="W28" s="2"/>
      <c r="X28" s="2">
        <f t="shared" si="2"/>
        <v>349.97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--21699.65</f>
        <v>21699.65</v>
      </c>
      <c r="E29" s="2"/>
      <c r="F29" s="19"/>
      <c r="G29" s="2"/>
      <c r="H29" s="2"/>
      <c r="I29" s="2"/>
      <c r="J29" s="19"/>
      <c r="K29" s="2"/>
      <c r="L29" s="2">
        <f t="shared" si="0"/>
        <v>21699.65</v>
      </c>
      <c r="M29" s="2"/>
      <c r="N29" s="19">
        <f t="shared" si="1"/>
        <v>0</v>
      </c>
      <c r="O29" s="11"/>
      <c r="P29" s="2">
        <f>--212514.87</f>
        <v>212514.87</v>
      </c>
      <c r="Q29" s="2"/>
      <c r="R29" s="19"/>
      <c r="S29" s="2"/>
      <c r="T29" s="2"/>
      <c r="U29" s="2"/>
      <c r="V29" s="19"/>
      <c r="W29" s="2"/>
      <c r="X29" s="2">
        <f t="shared" si="2"/>
        <v>212514.87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--15.13</f>
        <v>15.13</v>
      </c>
      <c r="E30" s="2"/>
      <c r="F30" s="19"/>
      <c r="G30" s="2"/>
      <c r="H30" s="2"/>
      <c r="I30" s="2"/>
      <c r="J30" s="19"/>
      <c r="K30" s="2"/>
      <c r="L30" s="2">
        <f t="shared" si="0"/>
        <v>15.13</v>
      </c>
      <c r="M30" s="2"/>
      <c r="N30" s="19">
        <f t="shared" si="1"/>
        <v>0</v>
      </c>
      <c r="O30" s="11"/>
      <c r="P30" s="2">
        <f>--146.15</f>
        <v>146.15</v>
      </c>
      <c r="Q30" s="2"/>
      <c r="R30" s="19"/>
      <c r="S30" s="2"/>
      <c r="T30" s="2"/>
      <c r="U30" s="2"/>
      <c r="V30" s="19"/>
      <c r="W30" s="2"/>
      <c r="X30" s="2">
        <f t="shared" si="2"/>
        <v>146.15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--781.82</f>
        <v>781.82</v>
      </c>
      <c r="E31" s="2"/>
      <c r="F31" s="19"/>
      <c r="G31" s="2"/>
      <c r="H31" s="2"/>
      <c r="I31" s="2"/>
      <c r="J31" s="19"/>
      <c r="K31" s="2"/>
      <c r="L31" s="2">
        <f t="shared" si="0"/>
        <v>781.82</v>
      </c>
      <c r="M31" s="2"/>
      <c r="N31" s="19">
        <f t="shared" si="1"/>
        <v>0</v>
      </c>
      <c r="O31" s="11"/>
      <c r="P31" s="2">
        <f>--8255.25</f>
        <v>8255.25</v>
      </c>
      <c r="Q31" s="2"/>
      <c r="R31" s="19"/>
      <c r="S31" s="2"/>
      <c r="T31" s="2"/>
      <c r="U31" s="2"/>
      <c r="V31" s="19"/>
      <c r="W31" s="2"/>
      <c r="X31" s="2">
        <f t="shared" si="2"/>
        <v>8255.25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--171.4</f>
        <v>171.4</v>
      </c>
      <c r="E32" s="2"/>
      <c r="F32" s="19"/>
      <c r="G32" s="2"/>
      <c r="H32" s="2"/>
      <c r="I32" s="2"/>
      <c r="J32" s="19"/>
      <c r="K32" s="2"/>
      <c r="L32" s="2">
        <f t="shared" si="0"/>
        <v>171.4</v>
      </c>
      <c r="M32" s="2"/>
      <c r="N32" s="19">
        <f t="shared" si="1"/>
        <v>0</v>
      </c>
      <c r="O32" s="11"/>
      <c r="P32" s="2">
        <f>--1438.49</f>
        <v>1438.49</v>
      </c>
      <c r="Q32" s="2"/>
      <c r="R32" s="19"/>
      <c r="S32" s="2"/>
      <c r="T32" s="2"/>
      <c r="U32" s="2"/>
      <c r="V32" s="19"/>
      <c r="W32" s="2"/>
      <c r="X32" s="2">
        <f t="shared" si="2"/>
        <v>1438.49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--17.84</f>
        <v>17.84</v>
      </c>
      <c r="E33" s="2"/>
      <c r="F33" s="19"/>
      <c r="G33" s="2"/>
      <c r="H33" s="2"/>
      <c r="I33" s="2"/>
      <c r="J33" s="19"/>
      <c r="K33" s="2"/>
      <c r="L33" s="2">
        <f t="shared" si="0"/>
        <v>17.84</v>
      </c>
      <c r="M33" s="2"/>
      <c r="N33" s="19">
        <f t="shared" si="1"/>
        <v>0</v>
      </c>
      <c r="O33" s="11"/>
      <c r="P33" s="2">
        <f>--414.1</f>
        <v>414.1</v>
      </c>
      <c r="Q33" s="2"/>
      <c r="R33" s="19"/>
      <c r="S33" s="2"/>
      <c r="T33" s="2"/>
      <c r="U33" s="2"/>
      <c r="V33" s="19"/>
      <c r="W33" s="2"/>
      <c r="X33" s="2">
        <f t="shared" si="2"/>
        <v>414.1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--192827.81</f>
        <v>192827.81</v>
      </c>
      <c r="E34" s="2"/>
      <c r="F34" s="19"/>
      <c r="G34" s="2"/>
      <c r="H34" s="2"/>
      <c r="I34" s="2"/>
      <c r="J34" s="19"/>
      <c r="K34" s="2"/>
      <c r="L34" s="2">
        <f t="shared" si="0"/>
        <v>192827.81</v>
      </c>
      <c r="M34" s="2"/>
      <c r="N34" s="19">
        <f t="shared" si="1"/>
        <v>0</v>
      </c>
      <c r="O34" s="11"/>
      <c r="P34" s="2">
        <f>--1484618.99</f>
        <v>1484618.99</v>
      </c>
      <c r="Q34" s="2"/>
      <c r="R34" s="19"/>
      <c r="S34" s="2"/>
      <c r="T34" s="2"/>
      <c r="U34" s="2"/>
      <c r="V34" s="19"/>
      <c r="W34" s="2"/>
      <c r="X34" s="2">
        <f t="shared" si="2"/>
        <v>1484618.99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--104441.67</f>
        <v>104441.67</v>
      </c>
      <c r="E35" s="2"/>
      <c r="F35" s="19"/>
      <c r="G35" s="2"/>
      <c r="H35" s="2"/>
      <c r="I35" s="2"/>
      <c r="J35" s="19"/>
      <c r="K35" s="2"/>
      <c r="L35" s="2">
        <f t="shared" si="0"/>
        <v>104441.67</v>
      </c>
      <c r="M35" s="2"/>
      <c r="N35" s="19">
        <f t="shared" si="1"/>
        <v>0</v>
      </c>
      <c r="O35" s="11"/>
      <c r="P35" s="2">
        <f>--400568.48</f>
        <v>400568.48</v>
      </c>
      <c r="Q35" s="2"/>
      <c r="R35" s="19"/>
      <c r="S35" s="2"/>
      <c r="T35" s="2"/>
      <c r="U35" s="2"/>
      <c r="V35" s="19"/>
      <c r="W35" s="2"/>
      <c r="X35" s="2">
        <f t="shared" si="2"/>
        <v>400568.48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--33043.12</f>
        <v>33043.120000000003</v>
      </c>
      <c r="E36" s="2"/>
      <c r="F36" s="19"/>
      <c r="G36" s="2"/>
      <c r="H36" s="2"/>
      <c r="I36" s="2"/>
      <c r="J36" s="19"/>
      <c r="K36" s="2"/>
      <c r="L36" s="2">
        <f t="shared" si="0"/>
        <v>33043.120000000003</v>
      </c>
      <c r="M36" s="2"/>
      <c r="N36" s="19">
        <f t="shared" si="1"/>
        <v>0</v>
      </c>
      <c r="O36" s="11"/>
      <c r="P36" s="2">
        <f>--232995.22</f>
        <v>232995.22</v>
      </c>
      <c r="Q36" s="2"/>
      <c r="R36" s="19"/>
      <c r="S36" s="2"/>
      <c r="T36" s="2"/>
      <c r="U36" s="2"/>
      <c r="V36" s="19"/>
      <c r="W36" s="2"/>
      <c r="X36" s="2">
        <f t="shared" si="2"/>
        <v>232995.22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--8310.25</f>
        <v>8310.25</v>
      </c>
      <c r="E37" s="2"/>
      <c r="F37" s="19"/>
      <c r="G37" s="2"/>
      <c r="H37" s="2"/>
      <c r="I37" s="2"/>
      <c r="J37" s="19"/>
      <c r="K37" s="2"/>
      <c r="L37" s="2">
        <f t="shared" si="0"/>
        <v>8310.25</v>
      </c>
      <c r="M37" s="2"/>
      <c r="N37" s="19">
        <f t="shared" si="1"/>
        <v>0</v>
      </c>
      <c r="O37" s="11"/>
      <c r="P37" s="2">
        <f>--22630.71</f>
        <v>22630.71</v>
      </c>
      <c r="Q37" s="2"/>
      <c r="R37" s="19"/>
      <c r="S37" s="2"/>
      <c r="T37" s="2"/>
      <c r="U37" s="2"/>
      <c r="V37" s="19"/>
      <c r="W37" s="2"/>
      <c r="X37" s="2">
        <f t="shared" si="2"/>
        <v>22630.71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--6349.96</f>
        <v>6349.96</v>
      </c>
      <c r="E38" s="2"/>
      <c r="F38" s="19"/>
      <c r="G38" s="2"/>
      <c r="H38" s="2"/>
      <c r="I38" s="2"/>
      <c r="J38" s="19"/>
      <c r="K38" s="2"/>
      <c r="L38" s="2">
        <f t="shared" si="0"/>
        <v>6349.96</v>
      </c>
      <c r="M38" s="2"/>
      <c r="N38" s="19">
        <f t="shared" si="1"/>
        <v>0</v>
      </c>
      <c r="O38" s="11"/>
      <c r="P38" s="2">
        <f>--53086.16</f>
        <v>53086.16</v>
      </c>
      <c r="Q38" s="2"/>
      <c r="R38" s="19"/>
      <c r="S38" s="2"/>
      <c r="T38" s="2"/>
      <c r="U38" s="2"/>
      <c r="V38" s="19"/>
      <c r="W38" s="2"/>
      <c r="X38" s="2">
        <f t="shared" si="2"/>
        <v>53086.16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--8732.21</f>
        <v>8732.2099999999991</v>
      </c>
      <c r="E39" s="2"/>
      <c r="F39" s="19"/>
      <c r="G39" s="2"/>
      <c r="H39" s="2"/>
      <c r="I39" s="2"/>
      <c r="J39" s="19"/>
      <c r="K39" s="2"/>
      <c r="L39" s="2">
        <f t="shared" si="0"/>
        <v>8732.2099999999991</v>
      </c>
      <c r="M39" s="2"/>
      <c r="N39" s="19">
        <f t="shared" si="1"/>
        <v>0</v>
      </c>
      <c r="O39" s="11"/>
      <c r="P39" s="2">
        <f>--69738.03</f>
        <v>69738.03</v>
      </c>
      <c r="Q39" s="2"/>
      <c r="R39" s="19"/>
      <c r="S39" s="2"/>
      <c r="T39" s="2"/>
      <c r="U39" s="2"/>
      <c r="V39" s="19"/>
      <c r="W39" s="2"/>
      <c r="X39" s="2">
        <f t="shared" si="2"/>
        <v>69738.03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--183.1</f>
        <v>183.1</v>
      </c>
      <c r="E40" s="2"/>
      <c r="F40" s="19"/>
      <c r="G40" s="2"/>
      <c r="H40" s="2"/>
      <c r="I40" s="2"/>
      <c r="J40" s="19"/>
      <c r="K40" s="2"/>
      <c r="L40" s="2">
        <f t="shared" si="0"/>
        <v>183.1</v>
      </c>
      <c r="M40" s="2"/>
      <c r="N40" s="19">
        <f t="shared" si="1"/>
        <v>0</v>
      </c>
      <c r="O40" s="11"/>
      <c r="P40" s="2">
        <f>--1977.04</f>
        <v>1977.04</v>
      </c>
      <c r="Q40" s="2"/>
      <c r="R40" s="19"/>
      <c r="S40" s="2"/>
      <c r="T40" s="2"/>
      <c r="U40" s="2"/>
      <c r="V40" s="19"/>
      <c r="W40" s="2"/>
      <c r="X40" s="2">
        <f t="shared" si="2"/>
        <v>1977.04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--43102.12</f>
        <v>43102.12</v>
      </c>
      <c r="E41" s="2"/>
      <c r="F41" s="19"/>
      <c r="G41" s="2"/>
      <c r="H41" s="2"/>
      <c r="I41" s="2"/>
      <c r="J41" s="19"/>
      <c r="K41" s="2"/>
      <c r="L41" s="2">
        <f t="shared" si="0"/>
        <v>43102.12</v>
      </c>
      <c r="M41" s="2"/>
      <c r="N41" s="19">
        <f t="shared" si="1"/>
        <v>0</v>
      </c>
      <c r="O41" s="11"/>
      <c r="P41" s="2">
        <f>--475198.87</f>
        <v>475198.87</v>
      </c>
      <c r="Q41" s="2"/>
      <c r="R41" s="19"/>
      <c r="S41" s="2"/>
      <c r="T41" s="2"/>
      <c r="U41" s="2"/>
      <c r="V41" s="19"/>
      <c r="W41" s="2"/>
      <c r="X41" s="2">
        <f t="shared" si="2"/>
        <v>475198.87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>--120705.79</f>
        <v>120705.79</v>
      </c>
      <c r="E42" s="2"/>
      <c r="F42" s="19"/>
      <c r="G42" s="2"/>
      <c r="H42" s="2"/>
      <c r="I42" s="2"/>
      <c r="J42" s="19"/>
      <c r="K42" s="2"/>
      <c r="L42" s="2">
        <f t="shared" si="0"/>
        <v>120705.79</v>
      </c>
      <c r="M42" s="2"/>
      <c r="N42" s="19">
        <f t="shared" si="1"/>
        <v>0</v>
      </c>
      <c r="O42" s="11"/>
      <c r="P42" s="2">
        <f>--657002.44</f>
        <v>657002.43999999994</v>
      </c>
      <c r="Q42" s="2"/>
      <c r="R42" s="19"/>
      <c r="S42" s="2"/>
      <c r="T42" s="2"/>
      <c r="U42" s="2"/>
      <c r="V42" s="19"/>
      <c r="W42" s="2"/>
      <c r="X42" s="2">
        <f t="shared" si="2"/>
        <v>657002.43999999994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--9828.09</f>
        <v>9828.09</v>
      </c>
      <c r="E43" s="2"/>
      <c r="F43" s="19"/>
      <c r="G43" s="2"/>
      <c r="H43" s="2"/>
      <c r="I43" s="2"/>
      <c r="J43" s="19"/>
      <c r="K43" s="2"/>
      <c r="L43" s="2">
        <f t="shared" si="0"/>
        <v>9828.09</v>
      </c>
      <c r="M43" s="2"/>
      <c r="N43" s="19">
        <f t="shared" si="1"/>
        <v>0</v>
      </c>
      <c r="O43" s="11"/>
      <c r="P43" s="2">
        <f>--116598.92</f>
        <v>116598.92</v>
      </c>
      <c r="Q43" s="2"/>
      <c r="R43" s="19"/>
      <c r="S43" s="2"/>
      <c r="T43" s="2"/>
      <c r="U43" s="2"/>
      <c r="V43" s="19"/>
      <c r="W43" s="2"/>
      <c r="X43" s="2">
        <f t="shared" si="2"/>
        <v>116598.92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>--31360</f>
        <v>31360</v>
      </c>
      <c r="E44" s="2"/>
      <c r="F44" s="19"/>
      <c r="G44" s="2"/>
      <c r="H44" s="2"/>
      <c r="I44" s="2"/>
      <c r="J44" s="19"/>
      <c r="K44" s="2"/>
      <c r="L44" s="2">
        <f t="shared" si="0"/>
        <v>31360</v>
      </c>
      <c r="M44" s="2"/>
      <c r="N44" s="19">
        <f t="shared" si="1"/>
        <v>0</v>
      </c>
      <c r="O44" s="11"/>
      <c r="P44" s="2">
        <f>--304187.44</f>
        <v>304187.44</v>
      </c>
      <c r="Q44" s="2"/>
      <c r="R44" s="19"/>
      <c r="S44" s="2"/>
      <c r="T44" s="2"/>
      <c r="U44" s="2"/>
      <c r="V44" s="19"/>
      <c r="W44" s="2"/>
      <c r="X44" s="2">
        <f t="shared" si="2"/>
        <v>304187.44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>--7736.89</f>
        <v>7736.89</v>
      </c>
      <c r="E45" s="2"/>
      <c r="F45" s="19"/>
      <c r="G45" s="2"/>
      <c r="H45" s="2"/>
      <c r="I45" s="2"/>
      <c r="J45" s="19"/>
      <c r="K45" s="2"/>
      <c r="L45" s="2">
        <f t="shared" si="0"/>
        <v>7736.89</v>
      </c>
      <c r="M45" s="2"/>
      <c r="N45" s="19">
        <f t="shared" si="1"/>
        <v>0</v>
      </c>
      <c r="O45" s="11"/>
      <c r="P45" s="2">
        <f>--95636.1</f>
        <v>95636.1</v>
      </c>
      <c r="Q45" s="2"/>
      <c r="R45" s="19"/>
      <c r="S45" s="2"/>
      <c r="T45" s="2"/>
      <c r="U45" s="2"/>
      <c r="V45" s="19"/>
      <c r="W45" s="2"/>
      <c r="X45" s="2">
        <f t="shared" si="2"/>
        <v>95636.1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--27620.8</f>
        <v>27620.799999999999</v>
      </c>
      <c r="E46" s="2"/>
      <c r="F46" s="19"/>
      <c r="G46" s="2"/>
      <c r="H46" s="2"/>
      <c r="I46" s="2"/>
      <c r="J46" s="19"/>
      <c r="K46" s="2"/>
      <c r="L46" s="2">
        <f t="shared" si="0"/>
        <v>27620.799999999999</v>
      </c>
      <c r="M46" s="2"/>
      <c r="N46" s="19">
        <f t="shared" si="1"/>
        <v>0</v>
      </c>
      <c r="O46" s="11"/>
      <c r="P46" s="2">
        <f>--274290.28</f>
        <v>274290.28000000003</v>
      </c>
      <c r="Q46" s="2"/>
      <c r="R46" s="19"/>
      <c r="S46" s="2"/>
      <c r="T46" s="2"/>
      <c r="U46" s="2"/>
      <c r="V46" s="19"/>
      <c r="W46" s="2"/>
      <c r="X46" s="2">
        <f t="shared" si="2"/>
        <v>274290.28000000003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--164816.22</f>
        <v>164816.22</v>
      </c>
      <c r="E47" s="2"/>
      <c r="F47" s="19"/>
      <c r="G47" s="2"/>
      <c r="H47" s="2"/>
      <c r="I47" s="2"/>
      <c r="J47" s="19"/>
      <c r="K47" s="2"/>
      <c r="L47" s="2">
        <f t="shared" si="0"/>
        <v>164816.22</v>
      </c>
      <c r="M47" s="2"/>
      <c r="N47" s="19">
        <f t="shared" si="1"/>
        <v>0</v>
      </c>
      <c r="O47" s="11"/>
      <c r="P47" s="2">
        <f>--1507332.48</f>
        <v>1507332.48</v>
      </c>
      <c r="Q47" s="2"/>
      <c r="R47" s="19"/>
      <c r="S47" s="2"/>
      <c r="T47" s="2"/>
      <c r="U47" s="2"/>
      <c r="V47" s="19"/>
      <c r="W47" s="2"/>
      <c r="X47" s="2">
        <f t="shared" si="2"/>
        <v>1507332.48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--14047.94</f>
        <v>14047.94</v>
      </c>
      <c r="E48" s="2"/>
      <c r="F48" s="19"/>
      <c r="G48" s="2"/>
      <c r="H48" s="2"/>
      <c r="I48" s="2"/>
      <c r="J48" s="19"/>
      <c r="K48" s="2"/>
      <c r="L48" s="2">
        <f t="shared" si="0"/>
        <v>14047.94</v>
      </c>
      <c r="M48" s="2"/>
      <c r="N48" s="19">
        <f t="shared" si="1"/>
        <v>0</v>
      </c>
      <c r="O48" s="11"/>
      <c r="P48" s="2">
        <f>--85178.62</f>
        <v>85178.62</v>
      </c>
      <c r="Q48" s="2"/>
      <c r="R48" s="19"/>
      <c r="S48" s="2"/>
      <c r="T48" s="2"/>
      <c r="U48" s="2"/>
      <c r="V48" s="19"/>
      <c r="W48" s="2"/>
      <c r="X48" s="2">
        <f t="shared" si="2"/>
        <v>85178.62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 t="shared" ref="D49:D50" si="4"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--129</f>
        <v>129</v>
      </c>
      <c r="Q49" s="2"/>
      <c r="R49" s="19"/>
      <c r="S49" s="2"/>
      <c r="T49" s="2"/>
      <c r="U49" s="2"/>
      <c r="V49" s="19"/>
      <c r="W49" s="2"/>
      <c r="X49" s="2">
        <f t="shared" si="2"/>
        <v>129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 t="shared" si="4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--4407.94</f>
        <v>4407.9399999999996</v>
      </c>
      <c r="Q50" s="2"/>
      <c r="R50" s="19"/>
      <c r="S50" s="2"/>
      <c r="T50" s="2"/>
      <c r="U50" s="2"/>
      <c r="V50" s="19"/>
      <c r="W50" s="2"/>
      <c r="X50" s="2">
        <f t="shared" si="2"/>
        <v>4407.9399999999996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--7359.63</f>
        <v>7359.63</v>
      </c>
      <c r="E51" s="2"/>
      <c r="F51" s="19"/>
      <c r="G51" s="2"/>
      <c r="H51" s="2"/>
      <c r="I51" s="2"/>
      <c r="J51" s="19"/>
      <c r="K51" s="2"/>
      <c r="L51" s="2">
        <f t="shared" si="0"/>
        <v>7359.63</v>
      </c>
      <c r="M51" s="2"/>
      <c r="N51" s="19">
        <f t="shared" si="1"/>
        <v>0</v>
      </c>
      <c r="O51" s="11"/>
      <c r="P51" s="2">
        <f>--41136.87</f>
        <v>41136.870000000003</v>
      </c>
      <c r="Q51" s="2"/>
      <c r="R51" s="19"/>
      <c r="S51" s="2"/>
      <c r="T51" s="2"/>
      <c r="U51" s="2"/>
      <c r="V51" s="19"/>
      <c r="W51" s="2"/>
      <c r="X51" s="2">
        <f t="shared" si="2"/>
        <v>41136.870000000003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>--118.97</f>
        <v>118.97</v>
      </c>
      <c r="E52" s="2"/>
      <c r="F52" s="19"/>
      <c r="G52" s="2"/>
      <c r="H52" s="2"/>
      <c r="I52" s="2"/>
      <c r="J52" s="19"/>
      <c r="K52" s="2"/>
      <c r="L52" s="2">
        <f t="shared" si="0"/>
        <v>118.97</v>
      </c>
      <c r="M52" s="2"/>
      <c r="N52" s="19">
        <f t="shared" si="1"/>
        <v>0</v>
      </c>
      <c r="O52" s="11"/>
      <c r="P52" s="2">
        <f>--1055.88</f>
        <v>1055.8800000000001</v>
      </c>
      <c r="Q52" s="2"/>
      <c r="R52" s="19"/>
      <c r="S52" s="2"/>
      <c r="T52" s="2"/>
      <c r="U52" s="2"/>
      <c r="V52" s="19"/>
      <c r="W52" s="2"/>
      <c r="X52" s="2">
        <f t="shared" si="2"/>
        <v>1055.8800000000001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>0</f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--7659.37</f>
        <v>7659.37</v>
      </c>
      <c r="Q53" s="2"/>
      <c r="R53" s="19"/>
      <c r="S53" s="2"/>
      <c r="T53" s="2"/>
      <c r="U53" s="2"/>
      <c r="V53" s="19"/>
      <c r="W53" s="2"/>
      <c r="X53" s="2">
        <f t="shared" si="2"/>
        <v>7659.37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>--11.93</f>
        <v>11.93</v>
      </c>
      <c r="E54" s="2"/>
      <c r="F54" s="19"/>
      <c r="G54" s="2"/>
      <c r="H54" s="2"/>
      <c r="I54" s="2"/>
      <c r="J54" s="19"/>
      <c r="K54" s="2"/>
      <c r="L54" s="2">
        <f t="shared" si="0"/>
        <v>11.93</v>
      </c>
      <c r="M54" s="2"/>
      <c r="N54" s="19">
        <f t="shared" si="1"/>
        <v>0</v>
      </c>
      <c r="O54" s="11"/>
      <c r="P54" s="2">
        <f>--309.26</f>
        <v>309.26</v>
      </c>
      <c r="Q54" s="2"/>
      <c r="R54" s="19"/>
      <c r="S54" s="2"/>
      <c r="T54" s="2"/>
      <c r="U54" s="2"/>
      <c r="V54" s="19"/>
      <c r="W54" s="2"/>
      <c r="X54" s="2">
        <f t="shared" si="2"/>
        <v>309.26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--239135.61</f>
        <v>239135.61</v>
      </c>
      <c r="E55" s="2"/>
      <c r="F55" s="19"/>
      <c r="G55" s="2"/>
      <c r="H55" s="2">
        <v>3017507</v>
      </c>
      <c r="I55" s="2"/>
      <c r="J55" s="19"/>
      <c r="K55" s="2"/>
      <c r="L55" s="2">
        <f t="shared" si="0"/>
        <v>-2778371.39</v>
      </c>
      <c r="M55" s="2"/>
      <c r="N55" s="19">
        <f t="shared" si="1"/>
        <v>-0.92075060306405254</v>
      </c>
      <c r="O55" s="11"/>
      <c r="P55" s="2">
        <f>--741865.16</f>
        <v>741865.16</v>
      </c>
      <c r="Q55" s="2"/>
      <c r="R55" s="19"/>
      <c r="S55" s="2"/>
      <c r="T55" s="2">
        <v>15955194</v>
      </c>
      <c r="U55" s="2"/>
      <c r="V55" s="19"/>
      <c r="W55" s="2"/>
      <c r="X55" s="2">
        <f t="shared" si="2"/>
        <v>-15213328.84</v>
      </c>
      <c r="Y55" s="2"/>
      <c r="Z55" s="19">
        <f t="shared" si="3"/>
        <v>-0.9535032190771231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--37117.66</f>
        <v>37117.660000000003</v>
      </c>
      <c r="E56" s="2"/>
      <c r="F56" s="19"/>
      <c r="G56" s="2"/>
      <c r="H56" s="2"/>
      <c r="I56" s="2"/>
      <c r="J56" s="19"/>
      <c r="K56" s="2"/>
      <c r="L56" s="2">
        <f t="shared" si="0"/>
        <v>37117.660000000003</v>
      </c>
      <c r="M56" s="2"/>
      <c r="N56" s="19">
        <f t="shared" si="1"/>
        <v>0</v>
      </c>
      <c r="O56" s="11"/>
      <c r="P56" s="2">
        <f>--132405.23</f>
        <v>132405.23000000001</v>
      </c>
      <c r="Q56" s="2"/>
      <c r="R56" s="19"/>
      <c r="S56" s="2"/>
      <c r="T56" s="2"/>
      <c r="U56" s="2"/>
      <c r="V56" s="19"/>
      <c r="W56" s="2"/>
      <c r="X56" s="2">
        <f t="shared" si="2"/>
        <v>132405.23000000001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--28414.21</f>
        <v>28414.21</v>
      </c>
      <c r="E57" s="2"/>
      <c r="F57" s="19"/>
      <c r="G57" s="2"/>
      <c r="H57" s="2"/>
      <c r="I57" s="2"/>
      <c r="J57" s="19"/>
      <c r="K57" s="2"/>
      <c r="L57" s="2">
        <f t="shared" si="0"/>
        <v>28414.21</v>
      </c>
      <c r="M57" s="2"/>
      <c r="N57" s="19">
        <f t="shared" si="1"/>
        <v>0</v>
      </c>
      <c r="O57" s="11"/>
      <c r="P57" s="2">
        <f>--66616.8</f>
        <v>66616.800000000003</v>
      </c>
      <c r="Q57" s="2"/>
      <c r="R57" s="19"/>
      <c r="S57" s="2"/>
      <c r="T57" s="2"/>
      <c r="U57" s="2"/>
      <c r="V57" s="19"/>
      <c r="W57" s="2"/>
      <c r="X57" s="2">
        <f t="shared" si="2"/>
        <v>66616.800000000003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--334.99</f>
        <v>334.99</v>
      </c>
      <c r="E58" s="2"/>
      <c r="F58" s="19"/>
      <c r="G58" s="2"/>
      <c r="H58" s="2"/>
      <c r="I58" s="2"/>
      <c r="J58" s="19"/>
      <c r="K58" s="2"/>
      <c r="L58" s="2">
        <f t="shared" si="0"/>
        <v>334.99</v>
      </c>
      <c r="M58" s="2"/>
      <c r="N58" s="19">
        <f t="shared" si="1"/>
        <v>0</v>
      </c>
      <c r="O58" s="11"/>
      <c r="P58" s="2">
        <f>--664.97</f>
        <v>664.97</v>
      </c>
      <c r="Q58" s="2"/>
      <c r="R58" s="19"/>
      <c r="S58" s="2"/>
      <c r="T58" s="2"/>
      <c r="U58" s="2"/>
      <c r="V58" s="19"/>
      <c r="W58" s="2"/>
      <c r="X58" s="2">
        <f t="shared" si="2"/>
        <v>664.97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--169179.13</f>
        <v>169179.13</v>
      </c>
      <c r="E59" s="2"/>
      <c r="F59" s="19"/>
      <c r="G59" s="2"/>
      <c r="H59" s="2"/>
      <c r="I59" s="2"/>
      <c r="J59" s="19"/>
      <c r="K59" s="2"/>
      <c r="L59" s="2">
        <f t="shared" si="0"/>
        <v>169179.13</v>
      </c>
      <c r="M59" s="2"/>
      <c r="N59" s="19">
        <f t="shared" si="1"/>
        <v>0</v>
      </c>
      <c r="O59" s="11"/>
      <c r="P59" s="2">
        <f>--502067.96</f>
        <v>502067.96</v>
      </c>
      <c r="Q59" s="2"/>
      <c r="R59" s="19"/>
      <c r="S59" s="2"/>
      <c r="T59" s="2"/>
      <c r="U59" s="2"/>
      <c r="V59" s="19"/>
      <c r="W59" s="2"/>
      <c r="X59" s="2">
        <f t="shared" si="2"/>
        <v>502067.96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--4684.53</f>
        <v>4684.53</v>
      </c>
      <c r="E60" s="2"/>
      <c r="F60" s="19"/>
      <c r="G60" s="2"/>
      <c r="H60" s="2"/>
      <c r="I60" s="2"/>
      <c r="J60" s="19"/>
      <c r="K60" s="2"/>
      <c r="L60" s="2">
        <f t="shared" si="0"/>
        <v>4684.53</v>
      </c>
      <c r="M60" s="2"/>
      <c r="N60" s="19">
        <f t="shared" si="1"/>
        <v>0</v>
      </c>
      <c r="O60" s="11"/>
      <c r="P60" s="2">
        <f>--12708.5</f>
        <v>12708.5</v>
      </c>
      <c r="Q60" s="2"/>
      <c r="R60" s="19"/>
      <c r="S60" s="2"/>
      <c r="T60" s="2"/>
      <c r="U60" s="2"/>
      <c r="V60" s="19"/>
      <c r="W60" s="2"/>
      <c r="X60" s="2">
        <f t="shared" si="2"/>
        <v>12708.5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 t="shared" ref="D61:D62" si="5">0</f>
        <v>0</v>
      </c>
      <c r="E61" s="2"/>
      <c r="F61" s="19"/>
      <c r="G61" s="2"/>
      <c r="H61" s="2"/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--1146.72</f>
        <v>1146.72</v>
      </c>
      <c r="Q61" s="2"/>
      <c r="R61" s="19"/>
      <c r="S61" s="2"/>
      <c r="T61" s="2"/>
      <c r="U61" s="2"/>
      <c r="V61" s="19"/>
      <c r="W61" s="2"/>
      <c r="X61" s="2">
        <f t="shared" si="2"/>
        <v>1146.72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"4118", " - ", "NON-TAXABLE SALES-STUDY GUIDES")</f>
        <v xml:space="preserve">          4118 - NON-TAXABLE SALES-STUDY GUIDES</v>
      </c>
      <c r="C62" s="11"/>
      <c r="D62" s="2">
        <f t="shared" si="5"/>
        <v>0</v>
      </c>
      <c r="E62" s="2"/>
      <c r="F62" s="19"/>
      <c r="G62" s="2"/>
      <c r="H62" s="2"/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--41.91</f>
        <v>41.91</v>
      </c>
      <c r="Q62" s="2"/>
      <c r="R62" s="19"/>
      <c r="S62" s="2"/>
      <c r="T62" s="2"/>
      <c r="U62" s="2"/>
      <c r="V62" s="19"/>
      <c r="W62" s="2"/>
      <c r="X62" s="2">
        <f t="shared" si="2"/>
        <v>41.91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"4125", " - ", "NON-TAXABLE SALES-TEST FORMS")</f>
        <v xml:space="preserve">          4125 - NON-TAXABLE SALES-TEST FORMS</v>
      </c>
      <c r="C63" s="11"/>
      <c r="D63" s="2">
        <f>--98.5</f>
        <v>98.5</v>
      </c>
      <c r="E63" s="2"/>
      <c r="F63" s="19"/>
      <c r="G63" s="2"/>
      <c r="H63" s="2"/>
      <c r="I63" s="2"/>
      <c r="J63" s="19"/>
      <c r="K63" s="2"/>
      <c r="L63" s="2">
        <f t="shared" si="0"/>
        <v>98.5</v>
      </c>
      <c r="M63" s="2"/>
      <c r="N63" s="19">
        <f t="shared" si="1"/>
        <v>0</v>
      </c>
      <c r="O63" s="11"/>
      <c r="P63" s="2">
        <f>--222.68</f>
        <v>222.68</v>
      </c>
      <c r="Q63" s="2"/>
      <c r="R63" s="19"/>
      <c r="S63" s="2"/>
      <c r="T63" s="2"/>
      <c r="U63" s="2"/>
      <c r="V63" s="19"/>
      <c r="W63" s="2"/>
      <c r="X63" s="2">
        <f t="shared" si="2"/>
        <v>222.68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"4126", " - ", "NON-TAXABLE SALES-WRITING INST")</f>
        <v xml:space="preserve">          4126 - NON-TAXABLE SALES-WRITING INST</v>
      </c>
      <c r="C64" s="11"/>
      <c r="D64" s="2">
        <f>--1047.53</f>
        <v>1047.53</v>
      </c>
      <c r="E64" s="2"/>
      <c r="F64" s="19"/>
      <c r="G64" s="2"/>
      <c r="H64" s="2"/>
      <c r="I64" s="2"/>
      <c r="J64" s="19"/>
      <c r="K64" s="2"/>
      <c r="L64" s="2">
        <f t="shared" si="0"/>
        <v>1047.53</v>
      </c>
      <c r="M64" s="2"/>
      <c r="N64" s="19">
        <f t="shared" si="1"/>
        <v>0</v>
      </c>
      <c r="O64" s="11"/>
      <c r="P64" s="2">
        <f>--2556.64</f>
        <v>2556.64</v>
      </c>
      <c r="Q64" s="2"/>
      <c r="R64" s="19"/>
      <c r="S64" s="2"/>
      <c r="T64" s="2"/>
      <c r="U64" s="2"/>
      <c r="V64" s="19"/>
      <c r="W64" s="2"/>
      <c r="X64" s="2">
        <f t="shared" si="2"/>
        <v>2556.64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"4127", " - ", "NON-TAXABLE SALES-SCHOOL SUPPL")</f>
        <v xml:space="preserve">          4127 - NON-TAXABLE SALES-SCHOOL SUPPL</v>
      </c>
      <c r="C65" s="11"/>
      <c r="D65" s="2">
        <f>--1531.2</f>
        <v>1531.2</v>
      </c>
      <c r="E65" s="2"/>
      <c r="F65" s="19"/>
      <c r="G65" s="2"/>
      <c r="H65" s="2"/>
      <c r="I65" s="2"/>
      <c r="J65" s="19"/>
      <c r="K65" s="2"/>
      <c r="L65" s="2">
        <f t="shared" si="0"/>
        <v>1531.2</v>
      </c>
      <c r="M65" s="2"/>
      <c r="N65" s="19">
        <f t="shared" si="1"/>
        <v>0</v>
      </c>
      <c r="O65" s="11"/>
      <c r="P65" s="2">
        <f>--4134.6</f>
        <v>4134.6000000000004</v>
      </c>
      <c r="Q65" s="2"/>
      <c r="R65" s="19"/>
      <c r="S65" s="2"/>
      <c r="T65" s="2"/>
      <c r="U65" s="2"/>
      <c r="V65" s="19"/>
      <c r="W65" s="2"/>
      <c r="X65" s="2">
        <f t="shared" si="2"/>
        <v>4134.6000000000004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"4128", " - ", "NON-TAXABLE SALES-ART/TECH")</f>
        <v xml:space="preserve">          4128 - NON-TAXABLE SALES-ART/TECH</v>
      </c>
      <c r="C66" s="11"/>
      <c r="D66" s="2">
        <f>--182.3</f>
        <v>182.3</v>
      </c>
      <c r="E66" s="2"/>
      <c r="F66" s="19"/>
      <c r="G66" s="2"/>
      <c r="H66" s="2"/>
      <c r="I66" s="2"/>
      <c r="J66" s="19"/>
      <c r="K66" s="2"/>
      <c r="L66" s="2">
        <f t="shared" si="0"/>
        <v>182.3</v>
      </c>
      <c r="M66" s="2"/>
      <c r="N66" s="19">
        <f t="shared" si="1"/>
        <v>0</v>
      </c>
      <c r="O66" s="11"/>
      <c r="P66" s="2">
        <f>--531.02</f>
        <v>531.02</v>
      </c>
      <c r="Q66" s="2"/>
      <c r="R66" s="19"/>
      <c r="S66" s="2"/>
      <c r="T66" s="2"/>
      <c r="U66" s="2"/>
      <c r="V66" s="19"/>
      <c r="W66" s="2"/>
      <c r="X66" s="2">
        <f t="shared" si="2"/>
        <v>531.02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"4131", " - ", "NON-TAXABLE SALES-FOOD")</f>
        <v xml:space="preserve">          4131 - NON-TAXABLE SALES-FOOD</v>
      </c>
      <c r="C67" s="11"/>
      <c r="D67" s="2">
        <f>--3944.61</f>
        <v>3944.61</v>
      </c>
      <c r="E67" s="2"/>
      <c r="F67" s="19"/>
      <c r="G67" s="2"/>
      <c r="H67" s="2"/>
      <c r="I67" s="2"/>
      <c r="J67" s="19"/>
      <c r="K67" s="2"/>
      <c r="L67" s="2">
        <f t="shared" si="0"/>
        <v>3944.61</v>
      </c>
      <c r="M67" s="2"/>
      <c r="N67" s="19">
        <f t="shared" si="1"/>
        <v>0</v>
      </c>
      <c r="O67" s="11"/>
      <c r="P67" s="2">
        <f>--43030.34</f>
        <v>43030.34</v>
      </c>
      <c r="Q67" s="2"/>
      <c r="R67" s="19"/>
      <c r="S67" s="2"/>
      <c r="T67" s="2"/>
      <c r="U67" s="2"/>
      <c r="V67" s="19"/>
      <c r="W67" s="2"/>
      <c r="X67" s="2">
        <f t="shared" si="2"/>
        <v>43030.34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"4132", " - ", "NON-TAXABLE SALES-JUICE")</f>
        <v xml:space="preserve">          4132 - NON-TAXABLE SALES-JUICE</v>
      </c>
      <c r="C68" s="11"/>
      <c r="D68" s="2">
        <f>--92164.81</f>
        <v>92164.81</v>
      </c>
      <c r="E68" s="2"/>
      <c r="F68" s="19"/>
      <c r="G68" s="2"/>
      <c r="H68" s="2"/>
      <c r="I68" s="2"/>
      <c r="J68" s="19"/>
      <c r="K68" s="2"/>
      <c r="L68" s="2">
        <f t="shared" si="0"/>
        <v>92164.81</v>
      </c>
      <c r="M68" s="2"/>
      <c r="N68" s="19">
        <f t="shared" si="1"/>
        <v>0</v>
      </c>
      <c r="O68" s="11"/>
      <c r="P68" s="2">
        <f>--842731.73</f>
        <v>842731.73</v>
      </c>
      <c r="Q68" s="2"/>
      <c r="R68" s="19"/>
      <c r="S68" s="2"/>
      <c r="T68" s="2"/>
      <c r="U68" s="2"/>
      <c r="V68" s="19"/>
      <c r="W68" s="2"/>
      <c r="X68" s="2">
        <f t="shared" si="2"/>
        <v>842731.73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"4133", " - ", "NON-TAXABLE SALES-CANDY")</f>
        <v xml:space="preserve">          4133 - NON-TAXABLE SALES-CANDY</v>
      </c>
      <c r="C69" s="11"/>
      <c r="D69" s="2">
        <f>--1437.99</f>
        <v>1437.99</v>
      </c>
      <c r="E69" s="2"/>
      <c r="F69" s="19"/>
      <c r="G69" s="2"/>
      <c r="H69" s="2"/>
      <c r="I69" s="2"/>
      <c r="J69" s="19"/>
      <c r="K69" s="2"/>
      <c r="L69" s="2">
        <f t="shared" si="0"/>
        <v>1437.99</v>
      </c>
      <c r="M69" s="2"/>
      <c r="N69" s="19">
        <f t="shared" si="1"/>
        <v>0</v>
      </c>
      <c r="O69" s="11"/>
      <c r="P69" s="2">
        <f>--13559.77</f>
        <v>13559.77</v>
      </c>
      <c r="Q69" s="2"/>
      <c r="R69" s="19"/>
      <c r="S69" s="2"/>
      <c r="T69" s="2"/>
      <c r="U69" s="2"/>
      <c r="V69" s="19"/>
      <c r="W69" s="2"/>
      <c r="X69" s="2">
        <f t="shared" si="2"/>
        <v>13559.77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"4134", " - ", "NON-TAXABLE SALES-SODA")</f>
        <v xml:space="preserve">          4134 - NON-TAXABLE SALES-SODA</v>
      </c>
      <c r="C70" s="11"/>
      <c r="D70" s="2">
        <f>--8.02</f>
        <v>8.02</v>
      </c>
      <c r="E70" s="2"/>
      <c r="F70" s="19"/>
      <c r="G70" s="2"/>
      <c r="H70" s="2"/>
      <c r="I70" s="2"/>
      <c r="J70" s="19"/>
      <c r="K70" s="2"/>
      <c r="L70" s="2">
        <f t="shared" si="0"/>
        <v>8.02</v>
      </c>
      <c r="M70" s="2"/>
      <c r="N70" s="19">
        <f t="shared" si="1"/>
        <v>0</v>
      </c>
      <c r="O70" s="11"/>
      <c r="P70" s="2">
        <f>--8.41</f>
        <v>8.41</v>
      </c>
      <c r="Q70" s="2"/>
      <c r="R70" s="19"/>
      <c r="S70" s="2"/>
      <c r="T70" s="2"/>
      <c r="U70" s="2"/>
      <c r="V70" s="19"/>
      <c r="W70" s="2"/>
      <c r="X70" s="2">
        <f t="shared" si="2"/>
        <v>8.41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"4135", " - ", "NON-TAXABLE SALES")</f>
        <v xml:space="preserve">          4135 - NON-TAXABLE SALES</v>
      </c>
      <c r="C71" s="11"/>
      <c r="D71" s="2">
        <f>--21.54</f>
        <v>21.54</v>
      </c>
      <c r="E71" s="2"/>
      <c r="F71" s="19"/>
      <c r="G71" s="2"/>
      <c r="H71" s="2"/>
      <c r="I71" s="2"/>
      <c r="J71" s="19"/>
      <c r="K71" s="2"/>
      <c r="L71" s="2">
        <f t="shared" si="0"/>
        <v>21.54</v>
      </c>
      <c r="M71" s="2"/>
      <c r="N71" s="19">
        <f t="shared" si="1"/>
        <v>0</v>
      </c>
      <c r="O71" s="11"/>
      <c r="P71" s="2">
        <f>--139.86</f>
        <v>139.86000000000001</v>
      </c>
      <c r="Q71" s="2"/>
      <c r="R71" s="19"/>
      <c r="S71" s="2"/>
      <c r="T71" s="2"/>
      <c r="U71" s="2"/>
      <c r="V71" s="19"/>
      <c r="W71" s="2"/>
      <c r="X71" s="2">
        <f t="shared" si="2"/>
        <v>139.86000000000001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"4137", " - ", "NON-TAXABLE SALES-WATER")</f>
        <v xml:space="preserve">          4137 - NON-TAXABLE SALES-WATER</v>
      </c>
      <c r="C72" s="11"/>
      <c r="D72" s="2">
        <f>--768.57</f>
        <v>768.57</v>
      </c>
      <c r="E72" s="2"/>
      <c r="F72" s="19"/>
      <c r="G72" s="2"/>
      <c r="H72" s="2"/>
      <c r="I72" s="2"/>
      <c r="J72" s="19"/>
      <c r="K72" s="2"/>
      <c r="L72" s="2">
        <f t="shared" si="0"/>
        <v>768.57</v>
      </c>
      <c r="M72" s="2"/>
      <c r="N72" s="19">
        <f t="shared" si="1"/>
        <v>0</v>
      </c>
      <c r="O72" s="11"/>
      <c r="P72" s="2">
        <f>--7831.74</f>
        <v>7831.74</v>
      </c>
      <c r="Q72" s="2"/>
      <c r="R72" s="19"/>
      <c r="S72" s="2"/>
      <c r="T72" s="2"/>
      <c r="U72" s="2"/>
      <c r="V72" s="19"/>
      <c r="W72" s="2"/>
      <c r="X72" s="2">
        <f t="shared" si="2"/>
        <v>7831.74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"4140", " - ", "NON-TAXABLE SALES-LOGO CLOTHIN")</f>
        <v xml:space="preserve">          4140 - NON-TAXABLE SALES-LOGO CLOTHIN</v>
      </c>
      <c r="C73" s="11"/>
      <c r="D73" s="2">
        <f>--3758.83</f>
        <v>3758.83</v>
      </c>
      <c r="E73" s="2"/>
      <c r="F73" s="19"/>
      <c r="G73" s="2"/>
      <c r="H73" s="2"/>
      <c r="I73" s="2"/>
      <c r="J73" s="19"/>
      <c r="K73" s="2"/>
      <c r="L73" s="2">
        <f t="shared" si="0"/>
        <v>3758.83</v>
      </c>
      <c r="M73" s="2"/>
      <c r="N73" s="19">
        <f t="shared" si="1"/>
        <v>0</v>
      </c>
      <c r="O73" s="11"/>
      <c r="P73" s="2">
        <f>--42582.67</f>
        <v>42582.67</v>
      </c>
      <c r="Q73" s="2"/>
      <c r="R73" s="19"/>
      <c r="S73" s="2"/>
      <c r="T73" s="2"/>
      <c r="U73" s="2"/>
      <c r="V73" s="19"/>
      <c r="W73" s="2"/>
      <c r="X73" s="2">
        <f t="shared" si="2"/>
        <v>42582.67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"4141", " - ", "NON-TAXABLE SALES-LOGO GIFTS")</f>
        <v xml:space="preserve">          4141 - NON-TAXABLE SALES-LOGO GIFTS</v>
      </c>
      <c r="C74" s="11"/>
      <c r="D74" s="2">
        <f>--1719.12</f>
        <v>1719.12</v>
      </c>
      <c r="E74" s="2"/>
      <c r="F74" s="19"/>
      <c r="G74" s="2"/>
      <c r="H74" s="2"/>
      <c r="I74" s="2"/>
      <c r="J74" s="19"/>
      <c r="K74" s="2"/>
      <c r="L74" s="2">
        <f t="shared" si="0"/>
        <v>1719.12</v>
      </c>
      <c r="M74" s="2"/>
      <c r="N74" s="19">
        <f t="shared" si="1"/>
        <v>0</v>
      </c>
      <c r="O74" s="11"/>
      <c r="P74" s="2">
        <f>--4249</f>
        <v>4249</v>
      </c>
      <c r="Q74" s="2"/>
      <c r="R74" s="19"/>
      <c r="S74" s="2"/>
      <c r="T74" s="2"/>
      <c r="U74" s="2"/>
      <c r="V74" s="19"/>
      <c r="W74" s="2"/>
      <c r="X74" s="2">
        <f t="shared" si="2"/>
        <v>4249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"4142", " - ", "NON-TAXABLE SALES-EVERYDAY GIF")</f>
        <v xml:space="preserve">          4142 - NON-TAXABLE SALES-EVERYDAY GIF</v>
      </c>
      <c r="C75" s="11"/>
      <c r="D75" s="2">
        <f>--1947.91</f>
        <v>1947.91</v>
      </c>
      <c r="E75" s="2"/>
      <c r="F75" s="19"/>
      <c r="G75" s="2"/>
      <c r="H75" s="2"/>
      <c r="I75" s="2"/>
      <c r="J75" s="19"/>
      <c r="K75" s="2"/>
      <c r="L75" s="2">
        <f t="shared" si="0"/>
        <v>1947.91</v>
      </c>
      <c r="M75" s="2"/>
      <c r="N75" s="19">
        <f t="shared" si="1"/>
        <v>0</v>
      </c>
      <c r="O75" s="11"/>
      <c r="P75" s="2">
        <f>--12435.29</f>
        <v>12435.29</v>
      </c>
      <c r="Q75" s="2"/>
      <c r="R75" s="19"/>
      <c r="S75" s="2"/>
      <c r="T75" s="2"/>
      <c r="U75" s="2"/>
      <c r="V75" s="19"/>
      <c r="W75" s="2"/>
      <c r="X75" s="2">
        <f t="shared" si="2"/>
        <v>12435.29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"4144", " - ", "NON-TAXABLE SALES-ACCESSORIES")</f>
        <v xml:space="preserve">          4144 - NON-TAXABLE SALES-ACCESSORIES</v>
      </c>
      <c r="C76" s="11"/>
      <c r="D76" s="2">
        <f>--374.48</f>
        <v>374.48</v>
      </c>
      <c r="E76" s="2"/>
      <c r="F76" s="19"/>
      <c r="G76" s="2"/>
      <c r="H76" s="2"/>
      <c r="I76" s="2"/>
      <c r="J76" s="19"/>
      <c r="K76" s="2"/>
      <c r="L76" s="2">
        <f t="shared" si="0"/>
        <v>374.48</v>
      </c>
      <c r="M76" s="2"/>
      <c r="N76" s="19">
        <f t="shared" si="1"/>
        <v>0</v>
      </c>
      <c r="O76" s="11"/>
      <c r="P76" s="2">
        <f>--967.33</f>
        <v>967.33</v>
      </c>
      <c r="Q76" s="2"/>
      <c r="R76" s="19"/>
      <c r="S76" s="2"/>
      <c r="T76" s="2"/>
      <c r="U76" s="2"/>
      <c r="V76" s="19"/>
      <c r="W76" s="2"/>
      <c r="X76" s="2">
        <f t="shared" si="2"/>
        <v>967.33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"4145", " - ", "NON-TAXABLE SALES-SPECIAL ORDE")</f>
        <v xml:space="preserve">          4145 - NON-TAXABLE SALES-SPECIAL ORDE</v>
      </c>
      <c r="C77" s="11"/>
      <c r="D77" s="2">
        <f>0</f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--140</f>
        <v>140</v>
      </c>
      <c r="Q77" s="2"/>
      <c r="R77" s="19"/>
      <c r="S77" s="2"/>
      <c r="T77" s="2"/>
      <c r="U77" s="2"/>
      <c r="V77" s="19"/>
      <c r="W77" s="2"/>
      <c r="X77" s="2">
        <f t="shared" si="2"/>
        <v>140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"4146", " - ", "NON-TAXABLE SALES-COIN OP MACH")</f>
        <v xml:space="preserve">          4146 - NON-TAXABLE SALES-COIN OP MACH</v>
      </c>
      <c r="C78" s="11"/>
      <c r="D78" s="2">
        <f>--17086.55</f>
        <v>17086.55</v>
      </c>
      <c r="E78" s="2"/>
      <c r="F78" s="19"/>
      <c r="G78" s="2"/>
      <c r="H78" s="2"/>
      <c r="I78" s="2"/>
      <c r="J78" s="19"/>
      <c r="K78" s="2"/>
      <c r="L78" s="2">
        <f t="shared" si="0"/>
        <v>17086.55</v>
      </c>
      <c r="M78" s="2"/>
      <c r="N78" s="19">
        <f t="shared" si="1"/>
        <v>0</v>
      </c>
      <c r="O78" s="11"/>
      <c r="P78" s="2">
        <f>--163554.5</f>
        <v>163554.5</v>
      </c>
      <c r="Q78" s="2"/>
      <c r="R78" s="19"/>
      <c r="S78" s="2"/>
      <c r="T78" s="2"/>
      <c r="U78" s="2"/>
      <c r="V78" s="19"/>
      <c r="W78" s="2"/>
      <c r="X78" s="2">
        <f t="shared" si="2"/>
        <v>163554.5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"4147", " - ", "NON-TAXABLE SALES-MISC")</f>
        <v xml:space="preserve">          4147 - NON-TAXABLE SALES-MISC</v>
      </c>
      <c r="C79" s="11"/>
      <c r="D79" s="2">
        <f>--11.5</f>
        <v>11.5</v>
      </c>
      <c r="E79" s="2"/>
      <c r="F79" s="19"/>
      <c r="G79" s="2"/>
      <c r="H79" s="2"/>
      <c r="I79" s="2"/>
      <c r="J79" s="19"/>
      <c r="K79" s="2"/>
      <c r="L79" s="2">
        <f t="shared" si="0"/>
        <v>11.5</v>
      </c>
      <c r="M79" s="2"/>
      <c r="N79" s="19">
        <f t="shared" si="1"/>
        <v>0</v>
      </c>
      <c r="O79" s="11"/>
      <c r="P79" s="2">
        <f>--318.9</f>
        <v>318.89999999999998</v>
      </c>
      <c r="Q79" s="2"/>
      <c r="R79" s="19"/>
      <c r="S79" s="2"/>
      <c r="T79" s="2"/>
      <c r="U79" s="2"/>
      <c r="V79" s="19"/>
      <c r="W79" s="2"/>
      <c r="X79" s="2">
        <f t="shared" si="2"/>
        <v>318.89999999999998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"4151", " - ", "NON-TAXABLE SALES-FOOD")</f>
        <v xml:space="preserve">          4151 - NON-TAXABLE SALES-FOOD</v>
      </c>
      <c r="C80" s="11"/>
      <c r="D80" s="2">
        <f>--762392.53</f>
        <v>762392.53</v>
      </c>
      <c r="E80" s="2"/>
      <c r="F80" s="19"/>
      <c r="G80" s="2"/>
      <c r="H80" s="2"/>
      <c r="I80" s="2"/>
      <c r="J80" s="19"/>
      <c r="K80" s="2"/>
      <c r="L80" s="2">
        <f t="shared" si="0"/>
        <v>762392.53</v>
      </c>
      <c r="M80" s="2"/>
      <c r="N80" s="19">
        <f t="shared" si="1"/>
        <v>0</v>
      </c>
      <c r="O80" s="11"/>
      <c r="P80" s="2">
        <f>--8132521.01</f>
        <v>8132521.0099999998</v>
      </c>
      <c r="Q80" s="2"/>
      <c r="R80" s="19"/>
      <c r="S80" s="2"/>
      <c r="T80" s="2"/>
      <c r="U80" s="2"/>
      <c r="V80" s="19"/>
      <c r="W80" s="2"/>
      <c r="X80" s="2">
        <f t="shared" si="2"/>
        <v>8132521.0099999998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"4152", " - ", "NON-TAXABLE SALES-FOOD")</f>
        <v xml:space="preserve">          4152 - NON-TAXABLE SALES-FOOD</v>
      </c>
      <c r="C81" s="11"/>
      <c r="D81" s="2">
        <f>--4794.1</f>
        <v>4794.1000000000004</v>
      </c>
      <c r="E81" s="2"/>
      <c r="F81" s="19"/>
      <c r="G81" s="2"/>
      <c r="H81" s="2"/>
      <c r="I81" s="2"/>
      <c r="J81" s="19"/>
      <c r="K81" s="2"/>
      <c r="L81" s="2">
        <f t="shared" si="0"/>
        <v>4794.1000000000004</v>
      </c>
      <c r="M81" s="2"/>
      <c r="N81" s="19">
        <f t="shared" si="1"/>
        <v>0</v>
      </c>
      <c r="O81" s="11"/>
      <c r="P81" s="2">
        <f>--39428.9</f>
        <v>39428.9</v>
      </c>
      <c r="Q81" s="2"/>
      <c r="R81" s="19"/>
      <c r="S81" s="2"/>
      <c r="T81" s="2"/>
      <c r="U81" s="2"/>
      <c r="V81" s="19"/>
      <c r="W81" s="2"/>
      <c r="X81" s="2">
        <f t="shared" si="2"/>
        <v>39428.9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"4153", " - ", "NON-TAXABLE SALES-FOOD")</f>
        <v xml:space="preserve">          4153 - NON-TAXABLE SALES-FOOD</v>
      </c>
      <c r="C82" s="11"/>
      <c r="D82" s="2">
        <f>--44623.25</f>
        <v>44623.25</v>
      </c>
      <c r="E82" s="2"/>
      <c r="F82" s="19"/>
      <c r="G82" s="2"/>
      <c r="H82" s="2"/>
      <c r="I82" s="2"/>
      <c r="J82" s="19"/>
      <c r="K82" s="2"/>
      <c r="L82" s="2">
        <f t="shared" si="0"/>
        <v>44623.25</v>
      </c>
      <c r="M82" s="2"/>
      <c r="N82" s="19">
        <f t="shared" si="1"/>
        <v>0</v>
      </c>
      <c r="O82" s="11"/>
      <c r="P82" s="2">
        <f>--276939.79</f>
        <v>276939.78999999998</v>
      </c>
      <c r="Q82" s="2"/>
      <c r="R82" s="19"/>
      <c r="S82" s="2"/>
      <c r="T82" s="2"/>
      <c r="U82" s="2"/>
      <c r="V82" s="19"/>
      <c r="W82" s="2"/>
      <c r="X82" s="2">
        <f t="shared" si="2"/>
        <v>276939.78999999998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"4155", " - ", "NON-TAXABLE SALES-FOOD")</f>
        <v xml:space="preserve">          4155 - NON-TAXABLE SALES-FOOD</v>
      </c>
      <c r="C83" s="11"/>
      <c r="D83" s="2">
        <f>--58440.71</f>
        <v>58440.71</v>
      </c>
      <c r="E83" s="2"/>
      <c r="F83" s="19"/>
      <c r="G83" s="2"/>
      <c r="H83" s="2"/>
      <c r="I83" s="2"/>
      <c r="J83" s="19"/>
      <c r="K83" s="2"/>
      <c r="L83" s="2">
        <f t="shared" si="0"/>
        <v>58440.71</v>
      </c>
      <c r="M83" s="2"/>
      <c r="N83" s="19">
        <f t="shared" si="1"/>
        <v>0</v>
      </c>
      <c r="O83" s="11"/>
      <c r="P83" s="2">
        <f>--546895.06</f>
        <v>546895.06000000006</v>
      </c>
      <c r="Q83" s="2"/>
      <c r="R83" s="19"/>
      <c r="S83" s="2"/>
      <c r="T83" s="2"/>
      <c r="U83" s="2"/>
      <c r="V83" s="19"/>
      <c r="W83" s="2"/>
      <c r="X83" s="2">
        <f t="shared" si="2"/>
        <v>546895.06000000006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"4158", " - ", "NON-TAXABLE SALES-FOOD")</f>
        <v xml:space="preserve">          4158 - NON-TAXABLE SALES-FOOD</v>
      </c>
      <c r="C84" s="11"/>
      <c r="D84" s="2">
        <f>--44520.71</f>
        <v>44520.71</v>
      </c>
      <c r="E84" s="2"/>
      <c r="F84" s="19"/>
      <c r="G84" s="2"/>
      <c r="H84" s="2"/>
      <c r="I84" s="2"/>
      <c r="J84" s="19"/>
      <c r="K84" s="2"/>
      <c r="L84" s="2">
        <f t="shared" si="0"/>
        <v>44520.71</v>
      </c>
      <c r="M84" s="2"/>
      <c r="N84" s="19">
        <f t="shared" si="1"/>
        <v>0</v>
      </c>
      <c r="O84" s="11"/>
      <c r="P84" s="2">
        <f>--363136.65</f>
        <v>363136.65</v>
      </c>
      <c r="Q84" s="2"/>
      <c r="R84" s="19"/>
      <c r="S84" s="2"/>
      <c r="T84" s="2"/>
      <c r="U84" s="2"/>
      <c r="V84" s="19"/>
      <c r="W84" s="2"/>
      <c r="X84" s="2">
        <f t="shared" si="2"/>
        <v>363136.65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"4181", " - ", "NON-TAXABLE SALES-ELECTRONICS")</f>
        <v xml:space="preserve">          4181 - NON-TAXABLE SALES-ELECTRONICS</v>
      </c>
      <c r="C85" s="11"/>
      <c r="D85" s="2">
        <f>--343.91</f>
        <v>343.91</v>
      </c>
      <c r="E85" s="2"/>
      <c r="F85" s="19"/>
      <c r="G85" s="2"/>
      <c r="H85" s="2"/>
      <c r="I85" s="2"/>
      <c r="J85" s="19"/>
      <c r="K85" s="2"/>
      <c r="L85" s="2">
        <f t="shared" si="0"/>
        <v>343.91</v>
      </c>
      <c r="M85" s="2"/>
      <c r="N85" s="19">
        <f t="shared" si="1"/>
        <v>0</v>
      </c>
      <c r="O85" s="11"/>
      <c r="P85" s="2">
        <f>--1806.42</f>
        <v>1806.42</v>
      </c>
      <c r="Q85" s="2"/>
      <c r="R85" s="19"/>
      <c r="S85" s="2"/>
      <c r="T85" s="2"/>
      <c r="U85" s="2"/>
      <c r="V85" s="19"/>
      <c r="W85" s="2"/>
      <c r="X85" s="2">
        <f t="shared" si="2"/>
        <v>1806.42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"4182", " - ", "NON-TAXABLE SALES-COMPUTER HAR")</f>
        <v xml:space="preserve">          4182 - NON-TAXABLE SALES-COMPUTER HAR</v>
      </c>
      <c r="C86" s="11"/>
      <c r="D86" s="2">
        <f>--16176.97</f>
        <v>16176.97</v>
      </c>
      <c r="E86" s="2"/>
      <c r="F86" s="19"/>
      <c r="G86" s="2"/>
      <c r="H86" s="2"/>
      <c r="I86" s="2"/>
      <c r="J86" s="19"/>
      <c r="K86" s="2"/>
      <c r="L86" s="2">
        <f t="shared" si="0"/>
        <v>16176.97</v>
      </c>
      <c r="M86" s="2"/>
      <c r="N86" s="19">
        <f t="shared" si="1"/>
        <v>0</v>
      </c>
      <c r="O86" s="11"/>
      <c r="P86" s="2">
        <f>--86971.97</f>
        <v>86971.97</v>
      </c>
      <c r="Q86" s="2"/>
      <c r="R86" s="19"/>
      <c r="S86" s="2"/>
      <c r="T86" s="2"/>
      <c r="U86" s="2"/>
      <c r="V86" s="19"/>
      <c r="W86" s="2"/>
      <c r="X86" s="2">
        <f t="shared" si="2"/>
        <v>86971.97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"4183", " - ", "NON-TAXABLE SALES-COMPUTER EQU")</f>
        <v xml:space="preserve">          4183 - NON-TAXABLE SALES-COMPUTER EQU</v>
      </c>
      <c r="C87" s="11"/>
      <c r="D87" s="2">
        <f>--777.81</f>
        <v>777.81</v>
      </c>
      <c r="E87" s="2"/>
      <c r="F87" s="19"/>
      <c r="G87" s="2"/>
      <c r="H87" s="2"/>
      <c r="I87" s="2"/>
      <c r="J87" s="19"/>
      <c r="K87" s="2"/>
      <c r="L87" s="2">
        <f t="shared" si="0"/>
        <v>777.81</v>
      </c>
      <c r="M87" s="2"/>
      <c r="N87" s="19">
        <f t="shared" si="1"/>
        <v>0</v>
      </c>
      <c r="O87" s="11"/>
      <c r="P87" s="2">
        <f>--4349.44</f>
        <v>4349.4399999999996</v>
      </c>
      <c r="Q87" s="2"/>
      <c r="R87" s="19"/>
      <c r="S87" s="2"/>
      <c r="T87" s="2"/>
      <c r="U87" s="2"/>
      <c r="V87" s="19"/>
      <c r="W87" s="2"/>
      <c r="X87" s="2">
        <f t="shared" si="2"/>
        <v>4349.4399999999996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"4184", " - ", "NON-TAXABLE SALES-SOFTWARE LIC")</f>
        <v xml:space="preserve">          4184 - NON-TAXABLE SALES-SOFTWARE LIC</v>
      </c>
      <c r="C88" s="11"/>
      <c r="D88" s="2">
        <f>0</f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--2728</f>
        <v>2728</v>
      </c>
      <c r="Q88" s="2"/>
      <c r="R88" s="19"/>
      <c r="S88" s="2"/>
      <c r="T88" s="2"/>
      <c r="U88" s="2"/>
      <c r="V88" s="19"/>
      <c r="W88" s="2"/>
      <c r="X88" s="2">
        <f t="shared" si="2"/>
        <v>2728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"4185", " - ", "NON-TAXABLE SALES-SOFTWARE")</f>
        <v xml:space="preserve">          4185 - NON-TAXABLE SALES-SOFTWARE</v>
      </c>
      <c r="C89" s="11"/>
      <c r="D89" s="2">
        <f>--1925.98</f>
        <v>1925.98</v>
      </c>
      <c r="E89" s="2"/>
      <c r="F89" s="19"/>
      <c r="G89" s="2"/>
      <c r="H89" s="2"/>
      <c r="I89" s="2"/>
      <c r="J89" s="19"/>
      <c r="K89" s="2"/>
      <c r="L89" s="2">
        <f t="shared" si="0"/>
        <v>1925.98</v>
      </c>
      <c r="M89" s="2"/>
      <c r="N89" s="19">
        <f t="shared" si="1"/>
        <v>0</v>
      </c>
      <c r="O89" s="11"/>
      <c r="P89" s="2">
        <f>--11327.82</f>
        <v>11327.82</v>
      </c>
      <c r="Q89" s="2"/>
      <c r="R89" s="19"/>
      <c r="S89" s="2"/>
      <c r="T89" s="2"/>
      <c r="U89" s="2"/>
      <c r="V89" s="19"/>
      <c r="W89" s="2"/>
      <c r="X89" s="2">
        <f t="shared" si="2"/>
        <v>11327.82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"4186", " - ", "NON-TAXABLE SALES-COMPUTER SUP")</f>
        <v xml:space="preserve">          4186 - NON-TAXABLE SALES-COMPUTER SUP</v>
      </c>
      <c r="C90" s="11"/>
      <c r="D90" s="2">
        <f>--326.92</f>
        <v>326.92</v>
      </c>
      <c r="E90" s="2"/>
      <c r="F90" s="19"/>
      <c r="G90" s="2"/>
      <c r="H90" s="2"/>
      <c r="I90" s="2"/>
      <c r="J90" s="19"/>
      <c r="K90" s="2"/>
      <c r="L90" s="2">
        <f t="shared" si="0"/>
        <v>326.92</v>
      </c>
      <c r="M90" s="2"/>
      <c r="N90" s="19">
        <f t="shared" si="1"/>
        <v>0</v>
      </c>
      <c r="O90" s="11"/>
      <c r="P90" s="2">
        <f>--1949.31</f>
        <v>1949.31</v>
      </c>
      <c r="Q90" s="2"/>
      <c r="R90" s="19"/>
      <c r="S90" s="2"/>
      <c r="T90" s="2"/>
      <c r="U90" s="2"/>
      <c r="V90" s="19"/>
      <c r="W90" s="2"/>
      <c r="X90" s="2">
        <f t="shared" si="2"/>
        <v>1949.31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"4188", " - ", "NON-TAXABLE SALES-MUSIC")</f>
        <v xml:space="preserve">          4188 - NON-TAXABLE SALES-MUSIC</v>
      </c>
      <c r="C91" s="11"/>
      <c r="D91" s="2">
        <f>0</f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--219.96</f>
        <v>219.96</v>
      </c>
      <c r="Q91" s="2"/>
      <c r="R91" s="19"/>
      <c r="S91" s="2"/>
      <c r="T91" s="2"/>
      <c r="U91" s="2"/>
      <c r="V91" s="19"/>
      <c r="W91" s="2"/>
      <c r="X91" s="2">
        <f t="shared" si="2"/>
        <v>219.96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"4201", " - ", "SALES RETURN TAXABLE-NEW TEXT")</f>
        <v xml:space="preserve">          4201 - SALES RETURN TAXABLE-NEW TEXT</v>
      </c>
      <c r="C92" s="11"/>
      <c r="D92" s="2">
        <f>-37895.48</f>
        <v>-37895.480000000003</v>
      </c>
      <c r="E92" s="2"/>
      <c r="F92" s="19"/>
      <c r="G92" s="2"/>
      <c r="H92" s="2"/>
      <c r="I92" s="2"/>
      <c r="J92" s="19"/>
      <c r="K92" s="2"/>
      <c r="L92" s="2">
        <f t="shared" si="0"/>
        <v>-37895.480000000003</v>
      </c>
      <c r="M92" s="2"/>
      <c r="N92" s="19">
        <f t="shared" si="1"/>
        <v>0</v>
      </c>
      <c r="O92" s="11"/>
      <c r="P92" s="2">
        <f>-116625.85</f>
        <v>-116625.85</v>
      </c>
      <c r="Q92" s="2"/>
      <c r="R92" s="19"/>
      <c r="S92" s="2"/>
      <c r="T92" s="2"/>
      <c r="U92" s="2"/>
      <c r="V92" s="19"/>
      <c r="W92" s="2"/>
      <c r="X92" s="2">
        <f t="shared" si="2"/>
        <v>-116625.85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"4202", " - ", "SALES RETURN TAXABLE-USED TEXT")</f>
        <v xml:space="preserve">          4202 - SALES RETURN TAXABLE-USED TEXT</v>
      </c>
      <c r="C93" s="11"/>
      <c r="D93" s="2">
        <f>-16170.8</f>
        <v>-16170.8</v>
      </c>
      <c r="E93" s="2"/>
      <c r="F93" s="19"/>
      <c r="G93" s="2"/>
      <c r="H93" s="2"/>
      <c r="I93" s="2"/>
      <c r="J93" s="19"/>
      <c r="K93" s="2"/>
      <c r="L93" s="2">
        <f t="shared" si="0"/>
        <v>-16170.8</v>
      </c>
      <c r="M93" s="2"/>
      <c r="N93" s="19">
        <f t="shared" si="1"/>
        <v>0</v>
      </c>
      <c r="O93" s="11"/>
      <c r="P93" s="2">
        <f>-43379.15</f>
        <v>-43379.15</v>
      </c>
      <c r="Q93" s="2"/>
      <c r="R93" s="19"/>
      <c r="S93" s="2"/>
      <c r="T93" s="2"/>
      <c r="U93" s="2"/>
      <c r="V93" s="19"/>
      <c r="W93" s="2"/>
      <c r="X93" s="2">
        <f t="shared" si="2"/>
        <v>-43379.15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"4203", " - ", "SALES RETURN TAXABLE-RENTAL TE")</f>
        <v xml:space="preserve">          4203 - SALES RETURN TAXABLE-RENTAL TE</v>
      </c>
      <c r="C94" s="11"/>
      <c r="D94" s="2">
        <f>0</f>
        <v>0</v>
      </c>
      <c r="E94" s="2"/>
      <c r="F94" s="19"/>
      <c r="G94" s="2"/>
      <c r="H94" s="2"/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-144.99</f>
        <v>-144.99</v>
      </c>
      <c r="Q94" s="2"/>
      <c r="R94" s="19"/>
      <c r="S94" s="2"/>
      <c r="T94" s="2"/>
      <c r="U94" s="2"/>
      <c r="V94" s="19"/>
      <c r="W94" s="2"/>
      <c r="X94" s="2">
        <f t="shared" si="2"/>
        <v>-144.99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"4204", " - ", "SALES RETURN TAXABLE-DIGITAL T")</f>
        <v xml:space="preserve">          4204 - SALES RETURN TAXABLE-DIGITAL T</v>
      </c>
      <c r="C95" s="11"/>
      <c r="D95" s="2">
        <f>-4891.98</f>
        <v>-4891.9799999999996</v>
      </c>
      <c r="E95" s="2"/>
      <c r="F95" s="19"/>
      <c r="G95" s="2"/>
      <c r="H95" s="2"/>
      <c r="I95" s="2"/>
      <c r="J95" s="19"/>
      <c r="K95" s="2"/>
      <c r="L95" s="2">
        <f t="shared" si="0"/>
        <v>-4891.9799999999996</v>
      </c>
      <c r="M95" s="2"/>
      <c r="N95" s="19">
        <f t="shared" si="1"/>
        <v>0</v>
      </c>
      <c r="O95" s="11"/>
      <c r="P95" s="2">
        <f>-16261.44</f>
        <v>-16261.44</v>
      </c>
      <c r="Q95" s="2"/>
      <c r="R95" s="19"/>
      <c r="S95" s="2"/>
      <c r="T95" s="2"/>
      <c r="U95" s="2"/>
      <c r="V95" s="19"/>
      <c r="W95" s="2"/>
      <c r="X95" s="2">
        <f t="shared" si="2"/>
        <v>-16261.44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"4213", " - ", "NON-TAXABLE SALES-TRADE BOOKS")</f>
        <v xml:space="preserve">          4213 - NON-TAXABLE SALES-TRADE BOOKS</v>
      </c>
      <c r="C96" s="11"/>
      <c r="D96" s="2">
        <f>-13.95</f>
        <v>-13.95</v>
      </c>
      <c r="E96" s="2"/>
      <c r="F96" s="19"/>
      <c r="G96" s="2"/>
      <c r="H96" s="2"/>
      <c r="I96" s="2"/>
      <c r="J96" s="19"/>
      <c r="K96" s="2"/>
      <c r="L96" s="2">
        <f t="shared" si="0"/>
        <v>-13.95</v>
      </c>
      <c r="M96" s="2"/>
      <c r="N96" s="19">
        <f t="shared" si="1"/>
        <v>0</v>
      </c>
      <c r="O96" s="11"/>
      <c r="P96" s="2">
        <f>-116.66</f>
        <v>-116.66</v>
      </c>
      <c r="Q96" s="2"/>
      <c r="R96" s="19"/>
      <c r="S96" s="2"/>
      <c r="T96" s="2"/>
      <c r="U96" s="2"/>
      <c r="V96" s="19"/>
      <c r="W96" s="2"/>
      <c r="X96" s="2">
        <f t="shared" si="2"/>
        <v>-116.66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"4214", " - ", "SALES RETURN TAXABLE-REMAINDER")</f>
        <v xml:space="preserve">          4214 - SALES RETURN TAXABLE-REMAINDER</v>
      </c>
      <c r="C97" s="11"/>
      <c r="D97" s="2">
        <f t="shared" ref="D97:D98" si="6">0</f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-11.94</f>
        <v>-11.94</v>
      </c>
      <c r="Q97" s="2"/>
      <c r="R97" s="19"/>
      <c r="S97" s="2"/>
      <c r="T97" s="2"/>
      <c r="U97" s="2"/>
      <c r="V97" s="19"/>
      <c r="W97" s="2"/>
      <c r="X97" s="2">
        <f t="shared" si="2"/>
        <v>-11.94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"4217", " - ", "NON-TAXABLE SALES-DORM/HOUSEWA")</f>
        <v xml:space="preserve">          4217 - NON-TAXABLE SALES-DORM/HOUSEWA</v>
      </c>
      <c r="C98" s="11"/>
      <c r="D98" s="2">
        <f t="shared" si="6"/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-2.98</f>
        <v>-2.98</v>
      </c>
      <c r="Q98" s="2"/>
      <c r="R98" s="19"/>
      <c r="S98" s="2"/>
      <c r="T98" s="2"/>
      <c r="U98" s="2"/>
      <c r="V98" s="19"/>
      <c r="W98" s="2"/>
      <c r="X98" s="2">
        <f t="shared" si="2"/>
        <v>-2.98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"4218", " - ", "SALES RETURN TAXABLE-STUDY GUI")</f>
        <v xml:space="preserve">          4218 - SALES RETURN TAXABLE-STUDY GUI</v>
      </c>
      <c r="C99" s="11"/>
      <c r="D99" s="2">
        <f>-6.5</f>
        <v>-6.5</v>
      </c>
      <c r="E99" s="2"/>
      <c r="F99" s="19"/>
      <c r="G99" s="2"/>
      <c r="H99" s="2"/>
      <c r="I99" s="2"/>
      <c r="J99" s="19"/>
      <c r="K99" s="2"/>
      <c r="L99" s="2">
        <f t="shared" si="0"/>
        <v>-6.5</v>
      </c>
      <c r="M99" s="2"/>
      <c r="N99" s="19">
        <f t="shared" si="1"/>
        <v>0</v>
      </c>
      <c r="O99" s="11"/>
      <c r="P99" s="2">
        <f>-39.25</f>
        <v>-39.25</v>
      </c>
      <c r="Q99" s="2"/>
      <c r="R99" s="19"/>
      <c r="S99" s="2"/>
      <c r="T99" s="2"/>
      <c r="U99" s="2"/>
      <c r="V99" s="19"/>
      <c r="W99" s="2"/>
      <c r="X99" s="2">
        <f t="shared" si="2"/>
        <v>-39.25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"4225", " - ", "SALES RETURN TAXABLE-TEST FORM")</f>
        <v xml:space="preserve">          4225 - SALES RETURN TAXABLE-TEST FORM</v>
      </c>
      <c r="C100" s="11"/>
      <c r="D100" s="2">
        <f>-14.74</f>
        <v>-14.74</v>
      </c>
      <c r="E100" s="2"/>
      <c r="F100" s="19"/>
      <c r="G100" s="2"/>
      <c r="H100" s="2"/>
      <c r="I100" s="2"/>
      <c r="J100" s="19"/>
      <c r="K100" s="2"/>
      <c r="L100" s="2">
        <f t="shared" si="0"/>
        <v>-14.74</v>
      </c>
      <c r="M100" s="2"/>
      <c r="N100" s="19">
        <f t="shared" si="1"/>
        <v>0</v>
      </c>
      <c r="O100" s="11"/>
      <c r="P100" s="2">
        <f>-95.71</f>
        <v>-95.71</v>
      </c>
      <c r="Q100" s="2"/>
      <c r="R100" s="19"/>
      <c r="S100" s="2"/>
      <c r="T100" s="2"/>
      <c r="U100" s="2"/>
      <c r="V100" s="19"/>
      <c r="W100" s="2"/>
      <c r="X100" s="2">
        <f t="shared" si="2"/>
        <v>-95.71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"4226", " - ", "SALES RETURN TAXABLE-WRITING I")</f>
        <v xml:space="preserve">          4226 - SALES RETURN TAXABLE-WRITING I</v>
      </c>
      <c r="C101" s="11"/>
      <c r="D101" s="2">
        <f>-149.55</f>
        <v>-149.55000000000001</v>
      </c>
      <c r="E101" s="2"/>
      <c r="F101" s="19"/>
      <c r="G101" s="2"/>
      <c r="H101" s="2"/>
      <c r="I101" s="2"/>
      <c r="J101" s="19"/>
      <c r="K101" s="2"/>
      <c r="L101" s="2">
        <f t="shared" si="0"/>
        <v>-149.55000000000001</v>
      </c>
      <c r="M101" s="2"/>
      <c r="N101" s="19">
        <f t="shared" si="1"/>
        <v>0</v>
      </c>
      <c r="O101" s="11"/>
      <c r="P101" s="2">
        <f>-680.91</f>
        <v>-680.91</v>
      </c>
      <c r="Q101" s="2"/>
      <c r="R101" s="19"/>
      <c r="S101" s="2"/>
      <c r="T101" s="2"/>
      <c r="U101" s="2"/>
      <c r="V101" s="19"/>
      <c r="W101" s="2"/>
      <c r="X101" s="2">
        <f t="shared" si="2"/>
        <v>-680.91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"4227", " - ", "SALES RETURN TAXABLE-SCHOOL SU")</f>
        <v xml:space="preserve">          4227 - SALES RETURN TAXABLE-SCHOOL SU</v>
      </c>
      <c r="C102" s="11"/>
      <c r="D102" s="2">
        <f>-962.28</f>
        <v>-962.28</v>
      </c>
      <c r="E102" s="2"/>
      <c r="F102" s="19"/>
      <c r="G102" s="2"/>
      <c r="H102" s="2"/>
      <c r="I102" s="2"/>
      <c r="J102" s="19"/>
      <c r="K102" s="2"/>
      <c r="L102" s="2">
        <f t="shared" si="0"/>
        <v>-962.28</v>
      </c>
      <c r="M102" s="2"/>
      <c r="N102" s="19">
        <f t="shared" si="1"/>
        <v>0</v>
      </c>
      <c r="O102" s="11"/>
      <c r="P102" s="2">
        <f>-6910.86</f>
        <v>-6910.86</v>
      </c>
      <c r="Q102" s="2"/>
      <c r="R102" s="19"/>
      <c r="S102" s="2"/>
      <c r="T102" s="2"/>
      <c r="U102" s="2"/>
      <c r="V102" s="19"/>
      <c r="W102" s="2"/>
      <c r="X102" s="2">
        <f t="shared" si="2"/>
        <v>-6910.86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"4228", " - ", "SALES RETURN TAXABLE-ART/TECH")</f>
        <v xml:space="preserve">          4228 - SALES RETURN TAXABLE-ART/TECH</v>
      </c>
      <c r="C103" s="11"/>
      <c r="D103" s="2">
        <f>-766.07</f>
        <v>-766.07</v>
      </c>
      <c r="E103" s="2"/>
      <c r="F103" s="19"/>
      <c r="G103" s="2"/>
      <c r="H103" s="2"/>
      <c r="I103" s="2"/>
      <c r="J103" s="19"/>
      <c r="K103" s="2"/>
      <c r="L103" s="2">
        <f t="shared" si="0"/>
        <v>-766.07</v>
      </c>
      <c r="M103" s="2"/>
      <c r="N103" s="19">
        <f t="shared" si="1"/>
        <v>0</v>
      </c>
      <c r="O103" s="11"/>
      <c r="P103" s="2">
        <f>-3914.69</f>
        <v>-3914.69</v>
      </c>
      <c r="Q103" s="2"/>
      <c r="R103" s="19"/>
      <c r="S103" s="2"/>
      <c r="T103" s="2"/>
      <c r="U103" s="2"/>
      <c r="V103" s="19"/>
      <c r="W103" s="2"/>
      <c r="X103" s="2">
        <f t="shared" si="2"/>
        <v>-3914.69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"4233", " - ", "SALES RETURN TAXABLE-CANDY")</f>
        <v xml:space="preserve">          4233 - SALES RETURN TAXABLE-CANDY</v>
      </c>
      <c r="C104" s="11"/>
      <c r="D104" s="2">
        <f>0</f>
        <v>0</v>
      </c>
      <c r="E104" s="2"/>
      <c r="F104" s="19"/>
      <c r="G104" s="2"/>
      <c r="H104" s="2"/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-1.29</f>
        <v>-1.29</v>
      </c>
      <c r="Q104" s="2"/>
      <c r="R104" s="19"/>
      <c r="S104" s="2"/>
      <c r="T104" s="2"/>
      <c r="U104" s="2"/>
      <c r="V104" s="19"/>
      <c r="W104" s="2"/>
      <c r="X104" s="2">
        <f t="shared" si="2"/>
        <v>-1.29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"4240", " - ", "SALES RETURN TAXABLE-LOGO CLOT")</f>
        <v xml:space="preserve">          4240 - SALES RETURN TAXABLE-LOGO CLOT</v>
      </c>
      <c r="C105" s="11"/>
      <c r="D105" s="2">
        <f>-12286.81</f>
        <v>-12286.81</v>
      </c>
      <c r="E105" s="2"/>
      <c r="F105" s="19"/>
      <c r="G105" s="2"/>
      <c r="H105" s="2"/>
      <c r="I105" s="2"/>
      <c r="J105" s="19"/>
      <c r="K105" s="2"/>
      <c r="L105" s="2">
        <f t="shared" si="0"/>
        <v>-12286.81</v>
      </c>
      <c r="M105" s="2"/>
      <c r="N105" s="19">
        <f t="shared" si="1"/>
        <v>0</v>
      </c>
      <c r="O105" s="11"/>
      <c r="P105" s="2">
        <f>-61608.75</f>
        <v>-61608.75</v>
      </c>
      <c r="Q105" s="2"/>
      <c r="R105" s="19"/>
      <c r="S105" s="2"/>
      <c r="T105" s="2"/>
      <c r="U105" s="2"/>
      <c r="V105" s="19"/>
      <c r="W105" s="2"/>
      <c r="X105" s="2">
        <f t="shared" si="2"/>
        <v>-61608.75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"4241", " - ", "SALES RETURN TAXABLE-LOGO GIFT")</f>
        <v xml:space="preserve">          4241 - SALES RETURN TAXABLE-LOGO GIFT</v>
      </c>
      <c r="C106" s="11"/>
      <c r="D106" s="2">
        <f>-805.34</f>
        <v>-805.34</v>
      </c>
      <c r="E106" s="2"/>
      <c r="F106" s="19"/>
      <c r="G106" s="2"/>
      <c r="H106" s="2"/>
      <c r="I106" s="2"/>
      <c r="J106" s="19"/>
      <c r="K106" s="2"/>
      <c r="L106" s="2">
        <f t="shared" si="0"/>
        <v>-805.34</v>
      </c>
      <c r="M106" s="2"/>
      <c r="N106" s="19">
        <f t="shared" si="1"/>
        <v>0</v>
      </c>
      <c r="O106" s="11"/>
      <c r="P106" s="2">
        <f>-4954.21</f>
        <v>-4954.21</v>
      </c>
      <c r="Q106" s="2"/>
      <c r="R106" s="19"/>
      <c r="S106" s="2"/>
      <c r="T106" s="2"/>
      <c r="U106" s="2"/>
      <c r="V106" s="19"/>
      <c r="W106" s="2"/>
      <c r="X106" s="2">
        <f t="shared" si="2"/>
        <v>-4954.21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"4242", " - ", "SALES RETURN TAXABLE-EVERYDAY")</f>
        <v xml:space="preserve">          4242 - SALES RETURN TAXABLE-EVERYDAY</v>
      </c>
      <c r="C107" s="11"/>
      <c r="D107" s="2">
        <f>-754.91</f>
        <v>-754.91</v>
      </c>
      <c r="E107" s="2"/>
      <c r="F107" s="19"/>
      <c r="G107" s="2"/>
      <c r="H107" s="2"/>
      <c r="I107" s="2"/>
      <c r="J107" s="19"/>
      <c r="K107" s="2"/>
      <c r="L107" s="2">
        <f t="shared" si="0"/>
        <v>-754.91</v>
      </c>
      <c r="M107" s="2"/>
      <c r="N107" s="19">
        <f t="shared" si="1"/>
        <v>0</v>
      </c>
      <c r="O107" s="11"/>
      <c r="P107" s="2">
        <f>-3544.33</f>
        <v>-3544.33</v>
      </c>
      <c r="Q107" s="2"/>
      <c r="R107" s="19"/>
      <c r="S107" s="2"/>
      <c r="T107" s="2"/>
      <c r="U107" s="2"/>
      <c r="V107" s="19"/>
      <c r="W107" s="2"/>
      <c r="X107" s="2">
        <f t="shared" si="2"/>
        <v>-3544.33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"4243", " - ", "SALES RETURN TAXABLE-CARDS")</f>
        <v xml:space="preserve">          4243 - SALES RETURN TAXABLE-CARDS</v>
      </c>
      <c r="C108" s="11"/>
      <c r="D108" s="2">
        <f>-344.74</f>
        <v>-344.74</v>
      </c>
      <c r="E108" s="2"/>
      <c r="F108" s="19"/>
      <c r="G108" s="2"/>
      <c r="H108" s="2"/>
      <c r="I108" s="2"/>
      <c r="J108" s="19"/>
      <c r="K108" s="2"/>
      <c r="L108" s="2">
        <f t="shared" si="0"/>
        <v>-344.74</v>
      </c>
      <c r="M108" s="2"/>
      <c r="N108" s="19">
        <f t="shared" si="1"/>
        <v>0</v>
      </c>
      <c r="O108" s="11"/>
      <c r="P108" s="2">
        <f>-1224.21</f>
        <v>-1224.21</v>
      </c>
      <c r="Q108" s="2"/>
      <c r="R108" s="19"/>
      <c r="S108" s="2"/>
      <c r="T108" s="2"/>
      <c r="U108" s="2"/>
      <c r="V108" s="19"/>
      <c r="W108" s="2"/>
      <c r="X108" s="2">
        <f t="shared" si="2"/>
        <v>-1224.21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"4244", " - ", "SALES RETURN TAXABLE-ACCESSORI")</f>
        <v xml:space="preserve">          4244 - SALES RETURN TAXABLE-ACCESSORI</v>
      </c>
      <c r="C109" s="11"/>
      <c r="D109" s="2">
        <f>-370.28</f>
        <v>-370.28</v>
      </c>
      <c r="E109" s="2"/>
      <c r="F109" s="19"/>
      <c r="G109" s="2"/>
      <c r="H109" s="2"/>
      <c r="I109" s="2"/>
      <c r="J109" s="19"/>
      <c r="K109" s="2"/>
      <c r="L109" s="2">
        <f t="shared" si="0"/>
        <v>-370.28</v>
      </c>
      <c r="M109" s="2"/>
      <c r="N109" s="19">
        <f t="shared" si="1"/>
        <v>0</v>
      </c>
      <c r="O109" s="11"/>
      <c r="P109" s="2">
        <f>-2102.05</f>
        <v>-2102.0500000000002</v>
      </c>
      <c r="Q109" s="2"/>
      <c r="R109" s="19"/>
      <c r="S109" s="2"/>
      <c r="T109" s="2"/>
      <c r="U109" s="2"/>
      <c r="V109" s="19"/>
      <c r="W109" s="2"/>
      <c r="X109" s="2">
        <f t="shared" si="2"/>
        <v>-2102.0500000000002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"4245", " - ", "SALES RETURN TAXABLE-SPECIAL O")</f>
        <v xml:space="preserve">          4245 - SALES RETURN TAXABLE-SPECIAL O</v>
      </c>
      <c r="C110" s="11"/>
      <c r="D110" s="2">
        <f>-1623.09</f>
        <v>-1623.09</v>
      </c>
      <c r="E110" s="2"/>
      <c r="F110" s="19"/>
      <c r="G110" s="2"/>
      <c r="H110" s="2"/>
      <c r="I110" s="2"/>
      <c r="J110" s="19"/>
      <c r="K110" s="2"/>
      <c r="L110" s="2">
        <f t="shared" si="0"/>
        <v>-1623.09</v>
      </c>
      <c r="M110" s="2"/>
      <c r="N110" s="19">
        <f t="shared" si="1"/>
        <v>0</v>
      </c>
      <c r="O110" s="11"/>
      <c r="P110" s="2">
        <f>-1715.05</f>
        <v>-1715.05</v>
      </c>
      <c r="Q110" s="2"/>
      <c r="R110" s="19"/>
      <c r="S110" s="2"/>
      <c r="T110" s="2"/>
      <c r="U110" s="2"/>
      <c r="V110" s="19"/>
      <c r="W110" s="2"/>
      <c r="X110" s="2">
        <f t="shared" si="2"/>
        <v>-1715.05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"4281", " - ", "SALES RETURN TAXABLE-ELECTRONI")</f>
        <v xml:space="preserve">          4281 - SALES RETURN TAXABLE-ELECTRONI</v>
      </c>
      <c r="C111" s="11"/>
      <c r="D111" s="2">
        <f>-642.85</f>
        <v>-642.85</v>
      </c>
      <c r="E111" s="2"/>
      <c r="F111" s="19"/>
      <c r="G111" s="2"/>
      <c r="H111" s="2"/>
      <c r="I111" s="2"/>
      <c r="J111" s="19"/>
      <c r="K111" s="2"/>
      <c r="L111" s="2">
        <f t="shared" si="0"/>
        <v>-642.85</v>
      </c>
      <c r="M111" s="2"/>
      <c r="N111" s="19">
        <f t="shared" si="1"/>
        <v>0</v>
      </c>
      <c r="O111" s="11"/>
      <c r="P111" s="2">
        <f>-6504.81</f>
        <v>-6504.81</v>
      </c>
      <c r="Q111" s="2"/>
      <c r="R111" s="19"/>
      <c r="S111" s="2"/>
      <c r="T111" s="2"/>
      <c r="U111" s="2"/>
      <c r="V111" s="19"/>
      <c r="W111" s="2"/>
      <c r="X111" s="2">
        <f t="shared" si="2"/>
        <v>-6504.81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"4282", " - ", "SALES RETURN TAXABLE-COMPUTER")</f>
        <v xml:space="preserve">          4282 - SALES RETURN TAXABLE-COMPUTER</v>
      </c>
      <c r="C112" s="11"/>
      <c r="D112" s="2">
        <f>-15229.61</f>
        <v>-15229.61</v>
      </c>
      <c r="E112" s="2"/>
      <c r="F112" s="19"/>
      <c r="G112" s="2"/>
      <c r="H112" s="2"/>
      <c r="I112" s="2"/>
      <c r="J112" s="19"/>
      <c r="K112" s="2"/>
      <c r="L112" s="2">
        <f t="shared" si="0"/>
        <v>-15229.61</v>
      </c>
      <c r="M112" s="2"/>
      <c r="N112" s="19">
        <f t="shared" si="1"/>
        <v>0</v>
      </c>
      <c r="O112" s="11"/>
      <c r="P112" s="2">
        <f>-202883.19</f>
        <v>-202883.19</v>
      </c>
      <c r="Q112" s="2"/>
      <c r="R112" s="19"/>
      <c r="S112" s="2"/>
      <c r="T112" s="2"/>
      <c r="U112" s="2"/>
      <c r="V112" s="19"/>
      <c r="W112" s="2"/>
      <c r="X112" s="2">
        <f t="shared" si="2"/>
        <v>-202883.19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"4283", " - ", "SALES RETURN TAXABLE-COMPUTER")</f>
        <v xml:space="preserve">          4283 - SALES RETURN TAXABLE-COMPUTER</v>
      </c>
      <c r="C113" s="11"/>
      <c r="D113" s="2">
        <f>-1632.57</f>
        <v>-1632.57</v>
      </c>
      <c r="E113" s="2"/>
      <c r="F113" s="19"/>
      <c r="G113" s="2"/>
      <c r="H113" s="2"/>
      <c r="I113" s="2"/>
      <c r="J113" s="19"/>
      <c r="K113" s="2"/>
      <c r="L113" s="2">
        <f t="shared" si="0"/>
        <v>-1632.57</v>
      </c>
      <c r="M113" s="2"/>
      <c r="N113" s="19">
        <f t="shared" si="1"/>
        <v>0</v>
      </c>
      <c r="O113" s="11"/>
      <c r="P113" s="2">
        <f>-4914.72</f>
        <v>-4914.72</v>
      </c>
      <c r="Q113" s="2"/>
      <c r="R113" s="19"/>
      <c r="S113" s="2"/>
      <c r="T113" s="2"/>
      <c r="U113" s="2"/>
      <c r="V113" s="19"/>
      <c r="W113" s="2"/>
      <c r="X113" s="2">
        <f t="shared" si="2"/>
        <v>-4914.72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"4284", " - ", "SALES RETURN TAXABLE-SOFTWARE")</f>
        <v xml:space="preserve">          4284 - SALES RETURN TAXABLE-SOFTWARE</v>
      </c>
      <c r="C114" s="11"/>
      <c r="D114" s="2">
        <f t="shared" ref="D114:D115" si="7">0</f>
        <v>0</v>
      </c>
      <c r="E114" s="2"/>
      <c r="F114" s="19"/>
      <c r="G114" s="2"/>
      <c r="H114" s="2"/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-129</f>
        <v>-129</v>
      </c>
      <c r="Q114" s="2"/>
      <c r="R114" s="19"/>
      <c r="S114" s="2"/>
      <c r="T114" s="2"/>
      <c r="U114" s="2"/>
      <c r="V114" s="19"/>
      <c r="W114" s="2"/>
      <c r="X114" s="2">
        <f t="shared" si="2"/>
        <v>-129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"4285", " - ", "SALES RETURN TAXABLE-SOFTWARE")</f>
        <v xml:space="preserve">          4285 - SALES RETURN TAXABLE-SOFTWARE</v>
      </c>
      <c r="C115" s="11"/>
      <c r="D115" s="2">
        <f t="shared" si="7"/>
        <v>0</v>
      </c>
      <c r="E115" s="2"/>
      <c r="F115" s="19"/>
      <c r="G115" s="2"/>
      <c r="H115" s="2"/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-655.98</f>
        <v>-655.98</v>
      </c>
      <c r="Q115" s="2"/>
      <c r="R115" s="19"/>
      <c r="S115" s="2"/>
      <c r="T115" s="2"/>
      <c r="U115" s="2"/>
      <c r="V115" s="19"/>
      <c r="W115" s="2"/>
      <c r="X115" s="2">
        <f t="shared" si="2"/>
        <v>-655.98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"4286", " - ", "SALES RETURN TAXABLE-COMPUTER")</f>
        <v xml:space="preserve">          4286 - SALES RETURN TAXABLE-COMPUTER</v>
      </c>
      <c r="C116" s="11"/>
      <c r="D116" s="2">
        <f>-304.12</f>
        <v>-304.12</v>
      </c>
      <c r="E116" s="2"/>
      <c r="F116" s="19"/>
      <c r="G116" s="2"/>
      <c r="H116" s="2"/>
      <c r="I116" s="2"/>
      <c r="J116" s="19"/>
      <c r="K116" s="2"/>
      <c r="L116" s="2">
        <f t="shared" si="0"/>
        <v>-304.12</v>
      </c>
      <c r="M116" s="2"/>
      <c r="N116" s="19">
        <f t="shared" si="1"/>
        <v>0</v>
      </c>
      <c r="O116" s="11"/>
      <c r="P116" s="2">
        <f>-3292.01</f>
        <v>-3292.01</v>
      </c>
      <c r="Q116" s="2"/>
      <c r="R116" s="19"/>
      <c r="S116" s="2"/>
      <c r="T116" s="2"/>
      <c r="U116" s="2"/>
      <c r="V116" s="19"/>
      <c r="W116" s="2"/>
      <c r="X116" s="2">
        <f t="shared" si="2"/>
        <v>-3292.01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"4288", " - ", "TAXABLE SALES RETURN-MUSIC")</f>
        <v xml:space="preserve">          4288 - TAXABLE SALES RETURN-MUSIC</v>
      </c>
      <c r="C117" s="11"/>
      <c r="D117" s="2">
        <f t="shared" ref="D117:D119" si="8">0</f>
        <v>0</v>
      </c>
      <c r="E117" s="2"/>
      <c r="F117" s="19"/>
      <c r="G117" s="2"/>
      <c r="H117" s="2"/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-3.99</f>
        <v>-3.99</v>
      </c>
      <c r="Q117" s="2"/>
      <c r="R117" s="19"/>
      <c r="S117" s="2"/>
      <c r="T117" s="2"/>
      <c r="U117" s="2"/>
      <c r="V117" s="19"/>
      <c r="W117" s="2"/>
      <c r="X117" s="2">
        <f t="shared" si="2"/>
        <v>-3.99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"4292", " - ", "SALES RETURN TAXABLE-GRAD MERC")</f>
        <v xml:space="preserve">          4292 - SALES RETURN TAXABLE-GRAD MERC</v>
      </c>
      <c r="C118" s="11"/>
      <c r="D118" s="2">
        <f t="shared" si="8"/>
        <v>0</v>
      </c>
      <c r="E118" s="2"/>
      <c r="F118" s="19"/>
      <c r="G118" s="2"/>
      <c r="H118" s="2"/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-419.05</f>
        <v>-419.05</v>
      </c>
      <c r="Q118" s="2"/>
      <c r="R118" s="19"/>
      <c r="S118" s="2"/>
      <c r="T118" s="2"/>
      <c r="U118" s="2"/>
      <c r="V118" s="19"/>
      <c r="W118" s="2"/>
      <c r="X118" s="2">
        <f t="shared" si="2"/>
        <v>-419.05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"4295", " - ", "SALES RETURN TAXABLE-CUSTOMER")</f>
        <v xml:space="preserve">          4295 - SALES RETURN TAXABLE-CUSTOMER</v>
      </c>
      <c r="C119" s="11"/>
      <c r="D119" s="2">
        <f t="shared" si="8"/>
        <v>0</v>
      </c>
      <c r="E119" s="2"/>
      <c r="F119" s="19"/>
      <c r="G119" s="2"/>
      <c r="H119" s="2"/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--0.99</f>
        <v>0.99</v>
      </c>
      <c r="Q119" s="2"/>
      <c r="R119" s="19"/>
      <c r="S119" s="2"/>
      <c r="T119" s="2"/>
      <c r="U119" s="2"/>
      <c r="V119" s="19"/>
      <c r="W119" s="2"/>
      <c r="X119" s="2">
        <f t="shared" si="2"/>
        <v>0.99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"4301", " - ", "SALES RETURN NON TAXABLE-NEW T")</f>
        <v xml:space="preserve">          4301 - SALES RETURN NON TAXABLE-NEW T</v>
      </c>
      <c r="C120" s="11"/>
      <c r="D120" s="2">
        <f>-2910.64</f>
        <v>-2910.64</v>
      </c>
      <c r="E120" s="2"/>
      <c r="F120" s="19"/>
      <c r="G120" s="2"/>
      <c r="H120" s="2"/>
      <c r="I120" s="2"/>
      <c r="J120" s="19"/>
      <c r="K120" s="2"/>
      <c r="L120" s="2">
        <f t="shared" si="0"/>
        <v>-2910.64</v>
      </c>
      <c r="M120" s="2"/>
      <c r="N120" s="19">
        <f t="shared" si="1"/>
        <v>0</v>
      </c>
      <c r="O120" s="11"/>
      <c r="P120" s="2">
        <f>-15221.62</f>
        <v>-15221.62</v>
      </c>
      <c r="Q120" s="2"/>
      <c r="R120" s="19"/>
      <c r="S120" s="2"/>
      <c r="T120" s="2"/>
      <c r="U120" s="2"/>
      <c r="V120" s="19"/>
      <c r="W120" s="2"/>
      <c r="X120" s="2">
        <f t="shared" si="2"/>
        <v>-15221.62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"4302", " - ", "SALES RETURN NON TAXABLE-TEXT")</f>
        <v xml:space="preserve">          4302 - SALES RETURN NON TAXABLE-TEXT</v>
      </c>
      <c r="C121" s="11"/>
      <c r="D121" s="2">
        <f>-614.47</f>
        <v>-614.47</v>
      </c>
      <c r="E121" s="2"/>
      <c r="F121" s="19"/>
      <c r="G121" s="2"/>
      <c r="H121" s="2"/>
      <c r="I121" s="2"/>
      <c r="J121" s="19"/>
      <c r="K121" s="2"/>
      <c r="L121" s="2">
        <f t="shared" si="0"/>
        <v>-614.47</v>
      </c>
      <c r="M121" s="2"/>
      <c r="N121" s="19">
        <f t="shared" si="1"/>
        <v>0</v>
      </c>
      <c r="O121" s="11"/>
      <c r="P121" s="2">
        <f>-1312.37</f>
        <v>-1312.37</v>
      </c>
      <c r="Q121" s="2"/>
      <c r="R121" s="19"/>
      <c r="S121" s="2"/>
      <c r="T121" s="2"/>
      <c r="U121" s="2"/>
      <c r="V121" s="19"/>
      <c r="W121" s="2"/>
      <c r="X121" s="2">
        <f t="shared" si="2"/>
        <v>-1312.37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"4303", " - ", "SALES RETURN NON-TAXABLE-RENTA")</f>
        <v xml:space="preserve">          4303 - SALES RETURN NON-TAXABLE-RENTA</v>
      </c>
      <c r="C122" s="11"/>
      <c r="D122" s="2">
        <f>0</f>
        <v>0</v>
      </c>
      <c r="E122" s="2"/>
      <c r="F122" s="19"/>
      <c r="G122" s="2"/>
      <c r="H122" s="2"/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>-184.99</f>
        <v>-184.99</v>
      </c>
      <c r="Q122" s="2"/>
      <c r="R122" s="19"/>
      <c r="S122" s="2"/>
      <c r="T122" s="2"/>
      <c r="U122" s="2"/>
      <c r="V122" s="19"/>
      <c r="W122" s="2"/>
      <c r="X122" s="2">
        <f t="shared" si="2"/>
        <v>-184.99</v>
      </c>
      <c r="Y122" s="2"/>
      <c r="Z122" s="19">
        <f t="shared" si="3"/>
        <v>0</v>
      </c>
    </row>
    <row r="123" spans="1:26" s="24" customFormat="1" hidden="1" outlineLevel="1" x14ac:dyDescent="0.25">
      <c r="A123" s="44"/>
      <c r="B123" s="11" t="str">
        <f>CONCATENATE("          ", "4304", " - ", "SALES RETURN NON TAXABLE-DIGIT")</f>
        <v xml:space="preserve">          4304 - SALES RETURN NON TAXABLE-DIGIT</v>
      </c>
      <c r="C123" s="11"/>
      <c r="D123" s="2">
        <f>-4312.43</f>
        <v>-4312.43</v>
      </c>
      <c r="E123" s="2"/>
      <c r="F123" s="19"/>
      <c r="G123" s="2"/>
      <c r="H123" s="2"/>
      <c r="I123" s="2"/>
      <c r="J123" s="19"/>
      <c r="K123" s="2"/>
      <c r="L123" s="2">
        <f t="shared" si="0"/>
        <v>-4312.43</v>
      </c>
      <c r="M123" s="2"/>
      <c r="N123" s="19">
        <f t="shared" si="1"/>
        <v>0</v>
      </c>
      <c r="O123" s="11"/>
      <c r="P123" s="2">
        <f>-17742.75</f>
        <v>-17742.75</v>
      </c>
      <c r="Q123" s="2"/>
      <c r="R123" s="19"/>
      <c r="S123" s="2"/>
      <c r="T123" s="2"/>
      <c r="U123" s="2"/>
      <c r="V123" s="19"/>
      <c r="W123" s="2"/>
      <c r="X123" s="2">
        <f t="shared" si="2"/>
        <v>-17742.75</v>
      </c>
      <c r="Y123" s="2"/>
      <c r="Z123" s="19">
        <f t="shared" si="3"/>
        <v>0</v>
      </c>
    </row>
    <row r="124" spans="1:26" s="24" customFormat="1" hidden="1" outlineLevel="1" x14ac:dyDescent="0.25">
      <c r="A124" s="44"/>
      <c r="B124" s="11" t="str">
        <f>CONCATENATE("          ", "4311", " - ", "SALES RETURN NON TAXABLE-NO VA")</f>
        <v xml:space="preserve">          4311 - SALES RETURN NON TAXABLE-NO VA</v>
      </c>
      <c r="C124" s="11"/>
      <c r="D124" s="2">
        <f>-237.35</f>
        <v>-237.35</v>
      </c>
      <c r="E124" s="2"/>
      <c r="F124" s="19"/>
      <c r="G124" s="2"/>
      <c r="H124" s="2"/>
      <c r="I124" s="2"/>
      <c r="J124" s="19"/>
      <c r="K124" s="2"/>
      <c r="L124" s="2">
        <f t="shared" si="0"/>
        <v>-237.35</v>
      </c>
      <c r="M124" s="2"/>
      <c r="N124" s="19">
        <f t="shared" si="1"/>
        <v>0</v>
      </c>
      <c r="O124" s="11"/>
      <c r="P124" s="2">
        <f>-625.31</f>
        <v>-625.30999999999995</v>
      </c>
      <c r="Q124" s="2"/>
      <c r="R124" s="19"/>
      <c r="S124" s="2"/>
      <c r="T124" s="2"/>
      <c r="U124" s="2"/>
      <c r="V124" s="19"/>
      <c r="W124" s="2"/>
      <c r="X124" s="2">
        <f t="shared" si="2"/>
        <v>-625.30999999999995</v>
      </c>
      <c r="Y124" s="2"/>
      <c r="Z124" s="19">
        <f t="shared" si="3"/>
        <v>0</v>
      </c>
    </row>
    <row r="125" spans="1:26" s="24" customFormat="1" hidden="1" outlineLevel="1" x14ac:dyDescent="0.25">
      <c r="A125" s="44"/>
      <c r="B125" s="11" t="str">
        <f>CONCATENATE("          ", "4327", " - ", "SALES RETURN NON TAXABLE-SCHOO")</f>
        <v xml:space="preserve">          4327 - SALES RETURN NON TAXABLE-SCHOO</v>
      </c>
      <c r="C125" s="11"/>
      <c r="D125" s="2">
        <f>0</f>
        <v>0</v>
      </c>
      <c r="E125" s="2"/>
      <c r="F125" s="19"/>
      <c r="G125" s="2"/>
      <c r="H125" s="2"/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1"/>
      <c r="P125" s="2">
        <f>-21.87</f>
        <v>-21.87</v>
      </c>
      <c r="Q125" s="2"/>
      <c r="R125" s="19"/>
      <c r="S125" s="2"/>
      <c r="T125" s="2"/>
      <c r="U125" s="2"/>
      <c r="V125" s="19"/>
      <c r="W125" s="2"/>
      <c r="X125" s="2">
        <f t="shared" si="2"/>
        <v>-21.87</v>
      </c>
      <c r="Y125" s="2"/>
      <c r="Z125" s="19">
        <f t="shared" si="3"/>
        <v>0</v>
      </c>
    </row>
    <row r="126" spans="1:26" s="24" customFormat="1" hidden="1" outlineLevel="1" x14ac:dyDescent="0.25">
      <c r="A126" s="44"/>
      <c r="B126" s="11" t="str">
        <f>CONCATENATE("          ", "4340", " - ", "SALES RETURN NON TAXABLE-LOGO")</f>
        <v xml:space="preserve">          4340 - SALES RETURN NON TAXABLE-LOGO</v>
      </c>
      <c r="C126" s="11"/>
      <c r="D126" s="2">
        <f>-216.75</f>
        <v>-216.75</v>
      </c>
      <c r="E126" s="2"/>
      <c r="F126" s="19"/>
      <c r="G126" s="2"/>
      <c r="H126" s="2"/>
      <c r="I126" s="2"/>
      <c r="J126" s="19"/>
      <c r="K126" s="2"/>
      <c r="L126" s="2">
        <f t="shared" si="0"/>
        <v>-216.75</v>
      </c>
      <c r="M126" s="2"/>
      <c r="N126" s="19">
        <f t="shared" si="1"/>
        <v>0</v>
      </c>
      <c r="O126" s="11"/>
      <c r="P126" s="2">
        <f>-931.65</f>
        <v>-931.65</v>
      </c>
      <c r="Q126" s="2"/>
      <c r="R126" s="19"/>
      <c r="S126" s="2"/>
      <c r="T126" s="2"/>
      <c r="U126" s="2"/>
      <c r="V126" s="19"/>
      <c r="W126" s="2"/>
      <c r="X126" s="2">
        <f t="shared" si="2"/>
        <v>-931.65</v>
      </c>
      <c r="Y126" s="2"/>
      <c r="Z126" s="19">
        <f t="shared" si="3"/>
        <v>0</v>
      </c>
    </row>
    <row r="127" spans="1:26" s="24" customFormat="1" hidden="1" outlineLevel="1" x14ac:dyDescent="0.25">
      <c r="A127" s="44"/>
      <c r="B127" s="11" t="str">
        <f>CONCATENATE("          ", "4341", " - ", "SALES RETURN NON TAXABLE-LOGO")</f>
        <v xml:space="preserve">          4341 - SALES RETURN NON TAXABLE-LOGO</v>
      </c>
      <c r="C127" s="11"/>
      <c r="D127" s="2">
        <f>-9.95</f>
        <v>-9.9499999999999993</v>
      </c>
      <c r="E127" s="2"/>
      <c r="F127" s="19"/>
      <c r="G127" s="2"/>
      <c r="H127" s="2"/>
      <c r="I127" s="2"/>
      <c r="J127" s="19"/>
      <c r="K127" s="2"/>
      <c r="L127" s="2">
        <f t="shared" si="0"/>
        <v>-9.9499999999999993</v>
      </c>
      <c r="M127" s="2"/>
      <c r="N127" s="19">
        <f t="shared" si="1"/>
        <v>0</v>
      </c>
      <c r="O127" s="11"/>
      <c r="P127" s="2">
        <f>-30.8</f>
        <v>-30.8</v>
      </c>
      <c r="Q127" s="2"/>
      <c r="R127" s="19"/>
      <c r="S127" s="2"/>
      <c r="T127" s="2"/>
      <c r="U127" s="2"/>
      <c r="V127" s="19"/>
      <c r="W127" s="2"/>
      <c r="X127" s="2">
        <f t="shared" si="2"/>
        <v>-30.8</v>
      </c>
      <c r="Y127" s="2"/>
      <c r="Z127" s="19">
        <f t="shared" si="3"/>
        <v>0</v>
      </c>
    </row>
    <row r="128" spans="1:26" s="24" customFormat="1" hidden="1" outlineLevel="1" x14ac:dyDescent="0.25">
      <c r="A128" s="44"/>
      <c r="B128" s="11" t="str">
        <f>CONCATENATE("          ", "4342", " - ", "SALES RETURN NON TAXABLE-EVERY")</f>
        <v xml:space="preserve">          4342 - SALES RETURN NON TAXABLE-EVERY</v>
      </c>
      <c r="C128" s="11"/>
      <c r="D128" s="2">
        <f>-39.42</f>
        <v>-39.42</v>
      </c>
      <c r="E128" s="2"/>
      <c r="F128" s="19"/>
      <c r="G128" s="2"/>
      <c r="H128" s="2"/>
      <c r="I128" s="2"/>
      <c r="J128" s="19"/>
      <c r="K128" s="2"/>
      <c r="L128" s="2">
        <f t="shared" si="0"/>
        <v>-39.42</v>
      </c>
      <c r="M128" s="2"/>
      <c r="N128" s="19">
        <f t="shared" si="1"/>
        <v>0</v>
      </c>
      <c r="O128" s="11"/>
      <c r="P128" s="2">
        <f>-149.22</f>
        <v>-149.22</v>
      </c>
      <c r="Q128" s="2"/>
      <c r="R128" s="19"/>
      <c r="S128" s="2"/>
      <c r="T128" s="2"/>
      <c r="U128" s="2"/>
      <c r="V128" s="19"/>
      <c r="W128" s="2"/>
      <c r="X128" s="2">
        <f t="shared" si="2"/>
        <v>-149.22</v>
      </c>
      <c r="Y128" s="2"/>
      <c r="Z128" s="19">
        <f t="shared" si="3"/>
        <v>0</v>
      </c>
    </row>
    <row r="129" spans="1:26" s="24" customFormat="1" hidden="1" outlineLevel="1" x14ac:dyDescent="0.25">
      <c r="A129" s="44"/>
      <c r="B129" s="11" t="str">
        <f>CONCATENATE("          ", "4346", " - ", "SALES RETURN NON TAXABLE-COIN-")</f>
        <v xml:space="preserve">          4346 - SALES RETURN NON TAXABLE-COIN-</v>
      </c>
      <c r="C129" s="11"/>
      <c r="D129" s="2">
        <f t="shared" ref="D129:D131" si="9">0</f>
        <v>0</v>
      </c>
      <c r="E129" s="2"/>
      <c r="F129" s="19"/>
      <c r="G129" s="2"/>
      <c r="H129" s="2"/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-8.15</f>
        <v>-8.15</v>
      </c>
      <c r="Q129" s="2"/>
      <c r="R129" s="19"/>
      <c r="S129" s="2"/>
      <c r="T129" s="2"/>
      <c r="U129" s="2"/>
      <c r="V129" s="19"/>
      <c r="W129" s="2"/>
      <c r="X129" s="2">
        <f t="shared" si="2"/>
        <v>-8.15</v>
      </c>
      <c r="Y129" s="2"/>
      <c r="Z129" s="19">
        <f t="shared" si="3"/>
        <v>0</v>
      </c>
    </row>
    <row r="130" spans="1:26" s="24" customFormat="1" hidden="1" outlineLevel="1" x14ac:dyDescent="0.25">
      <c r="A130" s="44"/>
      <c r="B130" s="11" t="str">
        <f>CONCATENATE("          ", "4381", " - ", "SALES RETURN NON TAXABLE-ELECT")</f>
        <v xml:space="preserve">          4381 - SALES RETURN NON TAXABLE-ELECT</v>
      </c>
      <c r="C130" s="11"/>
      <c r="D130" s="2">
        <f t="shared" si="9"/>
        <v>0</v>
      </c>
      <c r="E130" s="2"/>
      <c r="F130" s="19"/>
      <c r="G130" s="2"/>
      <c r="H130" s="2"/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1"/>
      <c r="P130" s="2">
        <f>-1279.84</f>
        <v>-1279.8399999999999</v>
      </c>
      <c r="Q130" s="2"/>
      <c r="R130" s="19"/>
      <c r="S130" s="2"/>
      <c r="T130" s="2"/>
      <c r="U130" s="2"/>
      <c r="V130" s="19"/>
      <c r="W130" s="2"/>
      <c r="X130" s="2">
        <f t="shared" si="2"/>
        <v>-1279.8399999999999</v>
      </c>
      <c r="Y130" s="2"/>
      <c r="Z130" s="19">
        <f t="shared" si="3"/>
        <v>0</v>
      </c>
    </row>
    <row r="131" spans="1:26" s="24" customFormat="1" hidden="1" outlineLevel="1" x14ac:dyDescent="0.25">
      <c r="A131" s="44"/>
      <c r="B131" s="11" t="str">
        <f>CONCATENATE("          ", "4383", " - ", "SALES RETURN NON TAXABLE-COMPU")</f>
        <v xml:space="preserve">          4383 - SALES RETURN NON TAXABLE-COMPU</v>
      </c>
      <c r="C131" s="11"/>
      <c r="D131" s="2">
        <f t="shared" si="9"/>
        <v>0</v>
      </c>
      <c r="E131" s="2"/>
      <c r="F131" s="19"/>
      <c r="G131" s="2"/>
      <c r="H131" s="2"/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1"/>
      <c r="P131" s="2">
        <f>-49.98</f>
        <v>-49.98</v>
      </c>
      <c r="Q131" s="2"/>
      <c r="R131" s="19"/>
      <c r="S131" s="2"/>
      <c r="T131" s="2"/>
      <c r="U131" s="2"/>
      <c r="V131" s="19"/>
      <c r="W131" s="2"/>
      <c r="X131" s="2">
        <f t="shared" si="2"/>
        <v>-49.98</v>
      </c>
      <c r="Y131" s="2"/>
      <c r="Z131" s="19">
        <f t="shared" si="3"/>
        <v>0</v>
      </c>
    </row>
    <row r="132" spans="1:26" s="24" customFormat="1" hidden="1" outlineLevel="1" x14ac:dyDescent="0.25">
      <c r="A132" s="44"/>
      <c r="B132" s="11" t="str">
        <f>CONCATENATE("          ", "4386", " - ", "SALES RETURN NON TAXABLE-COMPU")</f>
        <v xml:space="preserve">          4386 - SALES RETURN NON TAXABLE-COMPU</v>
      </c>
      <c r="C132" s="11"/>
      <c r="D132" s="2">
        <f>-49.99</f>
        <v>-49.99</v>
      </c>
      <c r="E132" s="2"/>
      <c r="F132" s="19"/>
      <c r="G132" s="2"/>
      <c r="H132" s="2"/>
      <c r="I132" s="2"/>
      <c r="J132" s="19"/>
      <c r="K132" s="2"/>
      <c r="L132" s="2">
        <f t="shared" si="0"/>
        <v>-49.99</v>
      </c>
      <c r="M132" s="2"/>
      <c r="N132" s="19">
        <f t="shared" si="1"/>
        <v>0</v>
      </c>
      <c r="O132" s="11"/>
      <c r="P132" s="2">
        <f>-104.96</f>
        <v>-104.96</v>
      </c>
      <c r="Q132" s="2"/>
      <c r="R132" s="19"/>
      <c r="S132" s="2"/>
      <c r="T132" s="2"/>
      <c r="U132" s="2"/>
      <c r="V132" s="19"/>
      <c r="W132" s="2"/>
      <c r="X132" s="2">
        <f t="shared" si="2"/>
        <v>-104.96</v>
      </c>
      <c r="Y132" s="2"/>
      <c r="Z132" s="19">
        <f t="shared" si="3"/>
        <v>0</v>
      </c>
    </row>
    <row r="133" spans="1:26" x14ac:dyDescent="0.25">
      <c r="A133" s="9"/>
      <c r="B133" s="10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collapsed="1" x14ac:dyDescent="0.25">
      <c r="A134" s="10"/>
      <c r="B134" s="28" t="s">
        <v>8</v>
      </c>
      <c r="C134" s="10"/>
      <c r="D134" s="4">
        <f>SUM(OSRRefD16x_0)</f>
        <v>1773538.9499999995</v>
      </c>
      <c r="E134" s="4"/>
      <c r="F134" s="12">
        <f t="shared" ref="F134:F194" si="10">IF(D$12=0,0,D134/D$12)</f>
        <v>0.4853868195109029</v>
      </c>
      <c r="G134" s="4"/>
      <c r="H134" s="4">
        <f>SUM(OSRRefH16x_0)</f>
        <v>2196091.03559</v>
      </c>
      <c r="I134" s="4"/>
      <c r="J134" s="12">
        <f t="shared" ref="J134:J194" si="11">IF(H$12=0,0,H134/H$12)</f>
        <v>0.55423444640495922</v>
      </c>
      <c r="K134" s="4"/>
      <c r="L134" s="4">
        <f t="shared" ref="L134:L194" si="12">+D134-H134</f>
        <v>-422552.0855900005</v>
      </c>
      <c r="M134" s="4"/>
      <c r="N134" s="12">
        <f t="shared" ref="N134:N194" si="13">IF(H134=0,0,L134/H134)</f>
        <v>-0.19241100607492712</v>
      </c>
      <c r="O134" s="10"/>
      <c r="P134" s="4">
        <f>SUM(OSRRefP16x_0)</f>
        <v>9655340.9400000032</v>
      </c>
      <c r="Q134" s="4"/>
      <c r="R134" s="12">
        <f t="shared" ref="R134:R194" si="14">IF(P$12=0,0,P134/P$12)</f>
        <v>0.44429758073655878</v>
      </c>
      <c r="S134" s="4"/>
      <c r="T134" s="4">
        <f>SUM(OSRRefT16x_0)</f>
        <v>10181565.333449999</v>
      </c>
      <c r="U134" s="4"/>
      <c r="V134" s="12">
        <f t="shared" ref="V134:V194" si="15">IF(T$12=0,0,T134/T$12)</f>
        <v>0.44521298539100945</v>
      </c>
      <c r="W134" s="4"/>
      <c r="X134" s="4">
        <f t="shared" ref="X134:X194" si="16">+P134-T134</f>
        <v>-526224.39344999567</v>
      </c>
      <c r="Y134" s="4"/>
      <c r="Z134" s="12">
        <f t="shared" ref="Z134:Z194" si="17">IF(T134=0,0,X134/T134)</f>
        <v>-5.1684036414436661E-2</v>
      </c>
    </row>
    <row r="135" spans="1:26" s="24" customFormat="1" hidden="1" outlineLevel="1" x14ac:dyDescent="0.25">
      <c r="A135" s="44"/>
      <c r="B135" s="11" t="str">
        <f>CONCATENATE("          ", "5000", " - ", "PURCHASES @ COST")</f>
        <v xml:space="preserve">          5000 - PURCHASES @ COST</v>
      </c>
      <c r="C135" s="11"/>
      <c r="D135" s="2"/>
      <c r="E135" s="2"/>
      <c r="F135" s="19">
        <f t="shared" si="10"/>
        <v>0</v>
      </c>
      <c r="G135" s="2"/>
      <c r="H135" s="2">
        <v>2196091.03559</v>
      </c>
      <c r="I135" s="2"/>
      <c r="J135" s="19">
        <f t="shared" si="11"/>
        <v>0.55423444640495922</v>
      </c>
      <c r="K135" s="2"/>
      <c r="L135" s="2">
        <f t="shared" si="12"/>
        <v>-2196091.03559</v>
      </c>
      <c r="M135" s="2"/>
      <c r="N135" s="19">
        <f t="shared" si="13"/>
        <v>-1</v>
      </c>
      <c r="O135" s="11"/>
      <c r="P135" s="2"/>
      <c r="Q135" s="2"/>
      <c r="R135" s="19">
        <f t="shared" si="14"/>
        <v>0</v>
      </c>
      <c r="S135" s="2"/>
      <c r="T135" s="2">
        <v>10181565.333449999</v>
      </c>
      <c r="U135" s="2"/>
      <c r="V135" s="19">
        <f t="shared" si="15"/>
        <v>0.44521298539100945</v>
      </c>
      <c r="W135" s="2"/>
      <c r="X135" s="2">
        <f t="shared" si="16"/>
        <v>-10181565.333449999</v>
      </c>
      <c r="Y135" s="2"/>
      <c r="Z135" s="19">
        <f t="shared" si="17"/>
        <v>-1</v>
      </c>
    </row>
    <row r="136" spans="1:26" s="24" customFormat="1" hidden="1" outlineLevel="1" x14ac:dyDescent="0.25">
      <c r="A136" s="44"/>
      <c r="B136" s="11" t="str">
        <f>CONCATENATE("          ", "5001", " - ", "PURCHASES @ COST-NEW TEXT")</f>
        <v xml:space="preserve">          5001 - PURCHASES @ COST-NEW TEXT</v>
      </c>
      <c r="C136" s="11"/>
      <c r="D136" s="2">
        <v>890224.90999999992</v>
      </c>
      <c r="E136" s="2"/>
      <c r="F136" s="19">
        <f t="shared" si="10"/>
        <v>0.24363910232379157</v>
      </c>
      <c r="G136" s="2"/>
      <c r="H136" s="2"/>
      <c r="I136" s="2"/>
      <c r="J136" s="19">
        <f t="shared" si="11"/>
        <v>0</v>
      </c>
      <c r="K136" s="2"/>
      <c r="L136" s="2">
        <f t="shared" si="12"/>
        <v>890224.90999999992</v>
      </c>
      <c r="M136" s="2"/>
      <c r="N136" s="19">
        <f t="shared" si="13"/>
        <v>0</v>
      </c>
      <c r="O136" s="11"/>
      <c r="P136" s="2">
        <v>2627294.66</v>
      </c>
      <c r="Q136" s="2"/>
      <c r="R136" s="19">
        <f t="shared" si="14"/>
        <v>0.12089688687058205</v>
      </c>
      <c r="S136" s="2"/>
      <c r="T136" s="2"/>
      <c r="U136" s="2"/>
      <c r="V136" s="19">
        <f t="shared" si="15"/>
        <v>0</v>
      </c>
      <c r="W136" s="2"/>
      <c r="X136" s="2">
        <f t="shared" si="16"/>
        <v>2627294.66</v>
      </c>
      <c r="Y136" s="2"/>
      <c r="Z136" s="19">
        <f t="shared" si="17"/>
        <v>0</v>
      </c>
    </row>
    <row r="137" spans="1:26" s="24" customFormat="1" hidden="1" outlineLevel="1" x14ac:dyDescent="0.25">
      <c r="A137" s="44"/>
      <c r="B137" s="11" t="str">
        <f>CONCATENATE("          ", "5002", " - ", "PURCHASES @ COST-USED TEXT")</f>
        <v xml:space="preserve">          5002 - PURCHASES @ COST-USED TEXT</v>
      </c>
      <c r="C137" s="11"/>
      <c r="D137" s="2">
        <v>260084.68000000002</v>
      </c>
      <c r="E137" s="2"/>
      <c r="F137" s="19">
        <f t="shared" si="10"/>
        <v>7.1180661484040703E-2</v>
      </c>
      <c r="G137" s="2"/>
      <c r="H137" s="2"/>
      <c r="I137" s="2"/>
      <c r="J137" s="19">
        <f t="shared" si="11"/>
        <v>0</v>
      </c>
      <c r="K137" s="2"/>
      <c r="L137" s="2">
        <f t="shared" si="12"/>
        <v>260084.68000000002</v>
      </c>
      <c r="M137" s="2"/>
      <c r="N137" s="19">
        <f t="shared" si="13"/>
        <v>0</v>
      </c>
      <c r="O137" s="11"/>
      <c r="P137" s="2">
        <v>512607.53</v>
      </c>
      <c r="Q137" s="2"/>
      <c r="R137" s="19">
        <f t="shared" si="14"/>
        <v>2.3588010704295535E-2</v>
      </c>
      <c r="S137" s="2"/>
      <c r="T137" s="2"/>
      <c r="U137" s="2"/>
      <c r="V137" s="19">
        <f t="shared" si="15"/>
        <v>0</v>
      </c>
      <c r="W137" s="2"/>
      <c r="X137" s="2">
        <f t="shared" si="16"/>
        <v>512607.53</v>
      </c>
      <c r="Y137" s="2"/>
      <c r="Z137" s="19">
        <f t="shared" si="17"/>
        <v>0</v>
      </c>
    </row>
    <row r="138" spans="1:26" s="24" customFormat="1" hidden="1" outlineLevel="1" x14ac:dyDescent="0.25">
      <c r="A138" s="44"/>
      <c r="B138" s="11" t="str">
        <f>CONCATENATE("          ", "5003", " - ", "PURCHASES @ COST-RENTAL TEXT")</f>
        <v xml:space="preserve">          5003 - PURCHASES @ COST-RENTAL TEXT</v>
      </c>
      <c r="C138" s="11"/>
      <c r="D138" s="2"/>
      <c r="E138" s="2"/>
      <c r="F138" s="19">
        <f t="shared" si="10"/>
        <v>0</v>
      </c>
      <c r="G138" s="2"/>
      <c r="H138" s="2"/>
      <c r="I138" s="2"/>
      <c r="J138" s="19">
        <f t="shared" si="11"/>
        <v>0</v>
      </c>
      <c r="K138" s="2"/>
      <c r="L138" s="2">
        <f t="shared" si="12"/>
        <v>0</v>
      </c>
      <c r="M138" s="2"/>
      <c r="N138" s="19">
        <f t="shared" si="13"/>
        <v>0</v>
      </c>
      <c r="O138" s="11"/>
      <c r="P138" s="2">
        <v>-78.400000000000006</v>
      </c>
      <c r="Q138" s="2"/>
      <c r="R138" s="19">
        <f t="shared" si="14"/>
        <v>-3.6076333861439179E-6</v>
      </c>
      <c r="S138" s="2"/>
      <c r="T138" s="2"/>
      <c r="U138" s="2"/>
      <c r="V138" s="19">
        <f t="shared" si="15"/>
        <v>0</v>
      </c>
      <c r="W138" s="2"/>
      <c r="X138" s="2">
        <f t="shared" si="16"/>
        <v>-78.400000000000006</v>
      </c>
      <c r="Y138" s="2"/>
      <c r="Z138" s="19">
        <f t="shared" si="17"/>
        <v>0</v>
      </c>
    </row>
    <row r="139" spans="1:26" s="24" customFormat="1" hidden="1" outlineLevel="1" x14ac:dyDescent="0.25">
      <c r="A139" s="44"/>
      <c r="B139" s="11" t="str">
        <f>CONCATENATE("          ", "5004", " - ", "PURCHASES @ COST-DIGITAL TEXT")</f>
        <v xml:space="preserve">          5004 - PURCHASES @ COST-DIGITAL TEXT</v>
      </c>
      <c r="C139" s="11"/>
      <c r="D139" s="2">
        <v>119541.49999999999</v>
      </c>
      <c r="E139" s="2"/>
      <c r="F139" s="19">
        <f t="shared" si="10"/>
        <v>3.2716433143214929E-2</v>
      </c>
      <c r="G139" s="2"/>
      <c r="H139" s="2"/>
      <c r="I139" s="2"/>
      <c r="J139" s="19">
        <f t="shared" si="11"/>
        <v>0</v>
      </c>
      <c r="K139" s="2"/>
      <c r="L139" s="2">
        <f t="shared" si="12"/>
        <v>119541.49999999999</v>
      </c>
      <c r="M139" s="2"/>
      <c r="N139" s="19">
        <f t="shared" si="13"/>
        <v>0</v>
      </c>
      <c r="O139" s="11"/>
      <c r="P139" s="2">
        <v>473893.77</v>
      </c>
      <c r="Q139" s="2"/>
      <c r="R139" s="19">
        <f t="shared" si="14"/>
        <v>2.1806568700734781E-2</v>
      </c>
      <c r="S139" s="2"/>
      <c r="T139" s="2"/>
      <c r="U139" s="2"/>
      <c r="V139" s="19">
        <f t="shared" si="15"/>
        <v>0</v>
      </c>
      <c r="W139" s="2"/>
      <c r="X139" s="2">
        <f t="shared" si="16"/>
        <v>473893.77</v>
      </c>
      <c r="Y139" s="2"/>
      <c r="Z139" s="19">
        <f t="shared" si="17"/>
        <v>0</v>
      </c>
    </row>
    <row r="140" spans="1:26" s="24" customFormat="1" hidden="1" outlineLevel="1" x14ac:dyDescent="0.25">
      <c r="A140" s="44"/>
      <c r="B140" s="11" t="str">
        <f>CONCATENATE("          ", "5011", " - ", "PURCHASES @ COST-NO VALUE TEXT")</f>
        <v xml:space="preserve">          5011 - PURCHASES @ COST-NO VALUE TEXT</v>
      </c>
      <c r="C140" s="11"/>
      <c r="D140" s="2">
        <v>573</v>
      </c>
      <c r="E140" s="2"/>
      <c r="F140" s="19">
        <f t="shared" si="10"/>
        <v>1.568201519226558E-4</v>
      </c>
      <c r="G140" s="2"/>
      <c r="H140" s="2"/>
      <c r="I140" s="2"/>
      <c r="J140" s="19">
        <f t="shared" si="11"/>
        <v>0</v>
      </c>
      <c r="K140" s="2"/>
      <c r="L140" s="2">
        <f t="shared" si="12"/>
        <v>573</v>
      </c>
      <c r="M140" s="2"/>
      <c r="N140" s="19">
        <f t="shared" si="13"/>
        <v>0</v>
      </c>
      <c r="O140" s="11"/>
      <c r="P140" s="2">
        <v>5475</v>
      </c>
      <c r="Q140" s="2"/>
      <c r="R140" s="19">
        <f t="shared" si="14"/>
        <v>2.5193613251451463E-4</v>
      </c>
      <c r="S140" s="2"/>
      <c r="T140" s="2"/>
      <c r="U140" s="2"/>
      <c r="V140" s="19">
        <f t="shared" si="15"/>
        <v>0</v>
      </c>
      <c r="W140" s="2"/>
      <c r="X140" s="2">
        <f t="shared" si="16"/>
        <v>5475</v>
      </c>
      <c r="Y140" s="2"/>
      <c r="Z140" s="19">
        <f t="shared" si="17"/>
        <v>0</v>
      </c>
    </row>
    <row r="141" spans="1:26" s="24" customFormat="1" hidden="1" outlineLevel="1" x14ac:dyDescent="0.25">
      <c r="A141" s="44"/>
      <c r="B141" s="11" t="str">
        <f>CONCATENATE("          ", "5013", " - ", "PURCHASES @ COST-TRADE BOOKS")</f>
        <v xml:space="preserve">          5013 - PURCHASES @ COST-TRADE BOOKS</v>
      </c>
      <c r="C141" s="11"/>
      <c r="D141" s="2">
        <v>-276.85000000000002</v>
      </c>
      <c r="E141" s="2"/>
      <c r="F141" s="19">
        <f t="shared" si="10"/>
        <v>-7.576903849875613E-5</v>
      </c>
      <c r="G141" s="2"/>
      <c r="H141" s="2"/>
      <c r="I141" s="2"/>
      <c r="J141" s="19">
        <f t="shared" si="11"/>
        <v>0</v>
      </c>
      <c r="K141" s="2"/>
      <c r="L141" s="2">
        <f t="shared" si="12"/>
        <v>-276.85000000000002</v>
      </c>
      <c r="M141" s="2"/>
      <c r="N141" s="19">
        <f t="shared" si="13"/>
        <v>0</v>
      </c>
      <c r="O141" s="11"/>
      <c r="P141" s="2">
        <v>458.46</v>
      </c>
      <c r="Q141" s="2"/>
      <c r="R141" s="19">
        <f t="shared" si="14"/>
        <v>2.1096372477188015E-5</v>
      </c>
      <c r="S141" s="2"/>
      <c r="T141" s="2"/>
      <c r="U141" s="2"/>
      <c r="V141" s="19">
        <f t="shared" si="15"/>
        <v>0</v>
      </c>
      <c r="W141" s="2"/>
      <c r="X141" s="2">
        <f t="shared" si="16"/>
        <v>458.46</v>
      </c>
      <c r="Y141" s="2"/>
      <c r="Z141" s="19">
        <f t="shared" si="17"/>
        <v>0</v>
      </c>
    </row>
    <row r="142" spans="1:26" s="24" customFormat="1" hidden="1" outlineLevel="1" x14ac:dyDescent="0.25">
      <c r="A142" s="44"/>
      <c r="B142" s="11" t="str">
        <f>CONCATENATE("          ", "5014", " - ", "PURCHASES @ COST-REMAINDERS")</f>
        <v xml:space="preserve">          5014 - PURCHASES @ COST-REMAINDERS</v>
      </c>
      <c r="C142" s="11"/>
      <c r="D142" s="2">
        <v>69.599999999999994</v>
      </c>
      <c r="E142" s="2"/>
      <c r="F142" s="19">
        <f t="shared" si="10"/>
        <v>1.9048311647149813E-5</v>
      </c>
      <c r="G142" s="2"/>
      <c r="H142" s="2"/>
      <c r="I142" s="2"/>
      <c r="J142" s="19">
        <f t="shared" si="11"/>
        <v>0</v>
      </c>
      <c r="K142" s="2"/>
      <c r="L142" s="2">
        <f t="shared" si="12"/>
        <v>69.599999999999994</v>
      </c>
      <c r="M142" s="2"/>
      <c r="N142" s="19">
        <f t="shared" si="13"/>
        <v>0</v>
      </c>
      <c r="O142" s="11"/>
      <c r="P142" s="2">
        <v>583.39</v>
      </c>
      <c r="Q142" s="2"/>
      <c r="R142" s="19">
        <f t="shared" si="14"/>
        <v>2.684511787171556E-5</v>
      </c>
      <c r="S142" s="2"/>
      <c r="T142" s="2"/>
      <c r="U142" s="2"/>
      <c r="V142" s="19">
        <f t="shared" si="15"/>
        <v>0</v>
      </c>
      <c r="W142" s="2"/>
      <c r="X142" s="2">
        <f t="shared" si="16"/>
        <v>583.39</v>
      </c>
      <c r="Y142" s="2"/>
      <c r="Z142" s="19">
        <f t="shared" si="17"/>
        <v>0</v>
      </c>
    </row>
    <row r="143" spans="1:26" s="24" customFormat="1" hidden="1" outlineLevel="1" x14ac:dyDescent="0.25">
      <c r="A143" s="44"/>
      <c r="B143" s="11" t="str">
        <f>CONCATENATE("          ", "5017", " - ", "PURCHASES @ COST-DORM/HOUSEWAR")</f>
        <v xml:space="preserve">          5017 - PURCHASES @ COST-DORM/HOUSEWAR</v>
      </c>
      <c r="C143" s="11"/>
      <c r="D143" s="2"/>
      <c r="E143" s="2"/>
      <c r="F143" s="19">
        <f t="shared" si="10"/>
        <v>0</v>
      </c>
      <c r="G143" s="2"/>
      <c r="H143" s="2"/>
      <c r="I143" s="2"/>
      <c r="J143" s="19">
        <f t="shared" si="11"/>
        <v>0</v>
      </c>
      <c r="K143" s="2"/>
      <c r="L143" s="2">
        <f t="shared" si="12"/>
        <v>0</v>
      </c>
      <c r="M143" s="2"/>
      <c r="N143" s="19">
        <f t="shared" si="13"/>
        <v>0</v>
      </c>
      <c r="O143" s="11"/>
      <c r="P143" s="2">
        <v>0</v>
      </c>
      <c r="Q143" s="2"/>
      <c r="R143" s="19">
        <f t="shared" si="14"/>
        <v>0</v>
      </c>
      <c r="S143" s="2"/>
      <c r="T143" s="2"/>
      <c r="U143" s="2"/>
      <c r="V143" s="19">
        <f t="shared" si="15"/>
        <v>0</v>
      </c>
      <c r="W143" s="2"/>
      <c r="X143" s="2">
        <f t="shared" si="16"/>
        <v>0</v>
      </c>
      <c r="Y143" s="2"/>
      <c r="Z143" s="19">
        <f t="shared" si="17"/>
        <v>0</v>
      </c>
    </row>
    <row r="144" spans="1:26" s="24" customFormat="1" hidden="1" outlineLevel="1" x14ac:dyDescent="0.25">
      <c r="A144" s="44"/>
      <c r="B144" s="11" t="str">
        <f>CONCATENATE("          ", "5018", " - ", "PURCHASES @ COST-STUDY GUIDES")</f>
        <v xml:space="preserve">          5018 - PURCHASES @ COST-STUDY GUIDES</v>
      </c>
      <c r="C144" s="11"/>
      <c r="D144" s="2">
        <v>1032.75</v>
      </c>
      <c r="E144" s="2"/>
      <c r="F144" s="19">
        <f t="shared" si="10"/>
        <v>2.8264574502290187E-4</v>
      </c>
      <c r="G144" s="2"/>
      <c r="H144" s="2"/>
      <c r="I144" s="2"/>
      <c r="J144" s="19">
        <f t="shared" si="11"/>
        <v>0</v>
      </c>
      <c r="K144" s="2"/>
      <c r="L144" s="2">
        <f t="shared" si="12"/>
        <v>1032.75</v>
      </c>
      <c r="M144" s="2"/>
      <c r="N144" s="19">
        <f t="shared" si="13"/>
        <v>0</v>
      </c>
      <c r="O144" s="11"/>
      <c r="P144" s="2">
        <v>2031.15</v>
      </c>
      <c r="Q144" s="2"/>
      <c r="R144" s="19">
        <f t="shared" si="14"/>
        <v>9.3464853982987473E-5</v>
      </c>
      <c r="S144" s="2"/>
      <c r="T144" s="2"/>
      <c r="U144" s="2"/>
      <c r="V144" s="19">
        <f t="shared" si="15"/>
        <v>0</v>
      </c>
      <c r="W144" s="2"/>
      <c r="X144" s="2">
        <f t="shared" si="16"/>
        <v>2031.15</v>
      </c>
      <c r="Y144" s="2"/>
      <c r="Z144" s="19">
        <f t="shared" si="17"/>
        <v>0</v>
      </c>
    </row>
    <row r="145" spans="1:26" s="24" customFormat="1" hidden="1" outlineLevel="1" x14ac:dyDescent="0.25">
      <c r="A145" s="44"/>
      <c r="B145" s="11" t="str">
        <f>CONCATENATE("          ", "5025", " - ", "PURCHASES @ COST-TEST FORMS")</f>
        <v xml:space="preserve">          5025 - PURCHASES @ COST-TEST FORMS</v>
      </c>
      <c r="C145" s="11"/>
      <c r="D145" s="2">
        <v>880</v>
      </c>
      <c r="E145" s="2"/>
      <c r="F145" s="19">
        <f t="shared" si="10"/>
        <v>2.4084072197545742E-4</v>
      </c>
      <c r="G145" s="2"/>
      <c r="H145" s="2"/>
      <c r="I145" s="2"/>
      <c r="J145" s="19">
        <f t="shared" si="11"/>
        <v>0</v>
      </c>
      <c r="K145" s="2"/>
      <c r="L145" s="2">
        <f t="shared" si="12"/>
        <v>880</v>
      </c>
      <c r="M145" s="2"/>
      <c r="N145" s="19">
        <f t="shared" si="13"/>
        <v>0</v>
      </c>
      <c r="O145" s="11"/>
      <c r="P145" s="2">
        <v>22978.390000000003</v>
      </c>
      <c r="Q145" s="2"/>
      <c r="R145" s="19">
        <f t="shared" si="14"/>
        <v>1.0573674352530045E-3</v>
      </c>
      <c r="S145" s="2"/>
      <c r="T145" s="2"/>
      <c r="U145" s="2"/>
      <c r="V145" s="19">
        <f t="shared" si="15"/>
        <v>0</v>
      </c>
      <c r="W145" s="2"/>
      <c r="X145" s="2">
        <f t="shared" si="16"/>
        <v>22978.390000000003</v>
      </c>
      <c r="Y145" s="2"/>
      <c r="Z145" s="19">
        <f t="shared" si="17"/>
        <v>0</v>
      </c>
    </row>
    <row r="146" spans="1:26" s="24" customFormat="1" hidden="1" outlineLevel="1" x14ac:dyDescent="0.25">
      <c r="A146" s="44"/>
      <c r="B146" s="11" t="str">
        <f>CONCATENATE("          ", "5026", " - ", "PURCHASES @ COST-WRITING INSTR")</f>
        <v xml:space="preserve">          5026 - PURCHASES @ COST-WRITING INSTR</v>
      </c>
      <c r="C146" s="11"/>
      <c r="D146" s="2">
        <v>9201.3799999999992</v>
      </c>
      <c r="E146" s="2"/>
      <c r="F146" s="19">
        <f t="shared" si="10"/>
        <v>2.5182579572392435E-3</v>
      </c>
      <c r="G146" s="2"/>
      <c r="H146" s="2"/>
      <c r="I146" s="2"/>
      <c r="J146" s="19">
        <f t="shared" si="11"/>
        <v>0</v>
      </c>
      <c r="K146" s="2"/>
      <c r="L146" s="2">
        <f t="shared" si="12"/>
        <v>9201.3799999999992</v>
      </c>
      <c r="M146" s="2"/>
      <c r="N146" s="19">
        <f t="shared" si="13"/>
        <v>0</v>
      </c>
      <c r="O146" s="11"/>
      <c r="P146" s="2">
        <v>43496.15</v>
      </c>
      <c r="Q146" s="2"/>
      <c r="R146" s="19">
        <f t="shared" si="14"/>
        <v>2.0015071799582111E-3</v>
      </c>
      <c r="S146" s="2"/>
      <c r="T146" s="2"/>
      <c r="U146" s="2"/>
      <c r="V146" s="19">
        <f t="shared" si="15"/>
        <v>0</v>
      </c>
      <c r="W146" s="2"/>
      <c r="X146" s="2">
        <f t="shared" si="16"/>
        <v>43496.15</v>
      </c>
      <c r="Y146" s="2"/>
      <c r="Z146" s="19">
        <f t="shared" si="17"/>
        <v>0</v>
      </c>
    </row>
    <row r="147" spans="1:26" s="24" customFormat="1" hidden="1" outlineLevel="1" x14ac:dyDescent="0.25">
      <c r="A147" s="44"/>
      <c r="B147" s="11" t="str">
        <f>CONCATENATE("          ", "5027", " - ", "PURCHASES @ COST-SCHOOL SUPPLI")</f>
        <v xml:space="preserve">          5027 - PURCHASES @ COST-SCHOOL SUPPLI</v>
      </c>
      <c r="C147" s="11"/>
      <c r="D147" s="2">
        <v>42814.02</v>
      </c>
      <c r="E147" s="2"/>
      <c r="F147" s="19">
        <f t="shared" si="10"/>
        <v>1.1717453963035992E-2</v>
      </c>
      <c r="G147" s="2"/>
      <c r="H147" s="2"/>
      <c r="I147" s="2"/>
      <c r="J147" s="19">
        <f t="shared" si="11"/>
        <v>0</v>
      </c>
      <c r="K147" s="2"/>
      <c r="L147" s="2">
        <f t="shared" si="12"/>
        <v>42814.02</v>
      </c>
      <c r="M147" s="2"/>
      <c r="N147" s="19">
        <f t="shared" si="13"/>
        <v>0</v>
      </c>
      <c r="O147" s="11"/>
      <c r="P147" s="2">
        <v>120814.02</v>
      </c>
      <c r="Q147" s="2"/>
      <c r="R147" s="19">
        <f t="shared" si="14"/>
        <v>5.5593455620696298E-3</v>
      </c>
      <c r="S147" s="2"/>
      <c r="T147" s="2"/>
      <c r="U147" s="2"/>
      <c r="V147" s="19">
        <f t="shared" si="15"/>
        <v>0</v>
      </c>
      <c r="W147" s="2"/>
      <c r="X147" s="2">
        <f t="shared" si="16"/>
        <v>120814.02</v>
      </c>
      <c r="Y147" s="2"/>
      <c r="Z147" s="19">
        <f t="shared" si="17"/>
        <v>0</v>
      </c>
    </row>
    <row r="148" spans="1:26" s="24" customFormat="1" hidden="1" outlineLevel="1" x14ac:dyDescent="0.25">
      <c r="A148" s="44"/>
      <c r="B148" s="11" t="str">
        <f>CONCATENATE("          ", "5028", " - ", "PURCHASES @ COST-ART/TECH")</f>
        <v xml:space="preserve">          5028 - PURCHASES @ COST-ART/TECH</v>
      </c>
      <c r="C148" s="11"/>
      <c r="D148" s="2">
        <v>32126.68</v>
      </c>
      <c r="E148" s="2"/>
      <c r="F148" s="19">
        <f t="shared" si="10"/>
        <v>8.7925145521300999E-3</v>
      </c>
      <c r="G148" s="2"/>
      <c r="H148" s="2"/>
      <c r="I148" s="2"/>
      <c r="J148" s="19">
        <f t="shared" si="11"/>
        <v>0</v>
      </c>
      <c r="K148" s="2"/>
      <c r="L148" s="2">
        <f t="shared" si="12"/>
        <v>32126.68</v>
      </c>
      <c r="M148" s="2"/>
      <c r="N148" s="19">
        <f t="shared" si="13"/>
        <v>0</v>
      </c>
      <c r="O148" s="11"/>
      <c r="P148" s="2">
        <v>135127.5</v>
      </c>
      <c r="Q148" s="2"/>
      <c r="R148" s="19">
        <f t="shared" si="14"/>
        <v>6.2179908212520686E-3</v>
      </c>
      <c r="S148" s="2"/>
      <c r="T148" s="2"/>
      <c r="U148" s="2"/>
      <c r="V148" s="19">
        <f t="shared" si="15"/>
        <v>0</v>
      </c>
      <c r="W148" s="2"/>
      <c r="X148" s="2">
        <f t="shared" si="16"/>
        <v>135127.5</v>
      </c>
      <c r="Y148" s="2"/>
      <c r="Z148" s="19">
        <f t="shared" si="17"/>
        <v>0</v>
      </c>
    </row>
    <row r="149" spans="1:26" s="24" customFormat="1" hidden="1" outlineLevel="1" x14ac:dyDescent="0.25">
      <c r="A149" s="44"/>
      <c r="B149" s="11" t="str">
        <f>CONCATENATE("          ", "5031", " - ", "PURCHASES @ COST-FOOD")</f>
        <v xml:space="preserve">          5031 - PURCHASES @ COST-FOOD</v>
      </c>
      <c r="C149" s="11"/>
      <c r="D149" s="2">
        <v>2390.66</v>
      </c>
      <c r="E149" s="2"/>
      <c r="F149" s="19">
        <f t="shared" si="10"/>
        <v>6.5428213681573524E-4</v>
      </c>
      <c r="G149" s="2"/>
      <c r="H149" s="2"/>
      <c r="I149" s="2"/>
      <c r="J149" s="19">
        <f t="shared" si="11"/>
        <v>0</v>
      </c>
      <c r="K149" s="2"/>
      <c r="L149" s="2">
        <f t="shared" si="12"/>
        <v>2390.66</v>
      </c>
      <c r="M149" s="2"/>
      <c r="N149" s="19">
        <f t="shared" si="13"/>
        <v>0</v>
      </c>
      <c r="O149" s="11"/>
      <c r="P149" s="2">
        <v>24900.390000000003</v>
      </c>
      <c r="Q149" s="2"/>
      <c r="R149" s="19">
        <f t="shared" si="14"/>
        <v>1.1458096720918898E-3</v>
      </c>
      <c r="S149" s="2"/>
      <c r="T149" s="2"/>
      <c r="U149" s="2"/>
      <c r="V149" s="19">
        <f t="shared" si="15"/>
        <v>0</v>
      </c>
      <c r="W149" s="2"/>
      <c r="X149" s="2">
        <f t="shared" si="16"/>
        <v>24900.390000000003</v>
      </c>
      <c r="Y149" s="2"/>
      <c r="Z149" s="19">
        <f t="shared" si="17"/>
        <v>0</v>
      </c>
    </row>
    <row r="150" spans="1:26" s="24" customFormat="1" hidden="1" outlineLevel="1" x14ac:dyDescent="0.25">
      <c r="A150" s="44"/>
      <c r="B150" s="11" t="str">
        <f>CONCATENATE("          ", "5032", " - ", "PURCHASES @ COST-JUICE")</f>
        <v xml:space="preserve">          5032 - PURCHASES @ COST-JUICE</v>
      </c>
      <c r="C150" s="11"/>
      <c r="D150" s="2">
        <v>371.03</v>
      </c>
      <c r="E150" s="2"/>
      <c r="F150" s="19">
        <f t="shared" si="10"/>
        <v>1.0154446940290222E-4</v>
      </c>
      <c r="G150" s="2"/>
      <c r="H150" s="2"/>
      <c r="I150" s="2"/>
      <c r="J150" s="19">
        <f t="shared" si="11"/>
        <v>0</v>
      </c>
      <c r="K150" s="2"/>
      <c r="L150" s="2">
        <f t="shared" si="12"/>
        <v>371.03</v>
      </c>
      <c r="M150" s="2"/>
      <c r="N150" s="19">
        <f t="shared" si="13"/>
        <v>0</v>
      </c>
      <c r="O150" s="11"/>
      <c r="P150" s="2">
        <v>5392.51</v>
      </c>
      <c r="Q150" s="2"/>
      <c r="R150" s="19">
        <f t="shared" si="14"/>
        <v>2.4814029478462932E-4</v>
      </c>
      <c r="S150" s="2"/>
      <c r="T150" s="2"/>
      <c r="U150" s="2"/>
      <c r="V150" s="19">
        <f t="shared" si="15"/>
        <v>0</v>
      </c>
      <c r="W150" s="2"/>
      <c r="X150" s="2">
        <f t="shared" si="16"/>
        <v>5392.51</v>
      </c>
      <c r="Y150" s="2"/>
      <c r="Z150" s="19">
        <f t="shared" si="17"/>
        <v>0</v>
      </c>
    </row>
    <row r="151" spans="1:26" s="24" customFormat="1" hidden="1" outlineLevel="1" x14ac:dyDescent="0.25">
      <c r="A151" s="44"/>
      <c r="B151" s="11" t="str">
        <f>CONCATENATE("          ", "5033", " - ", "PURCHASES @ COST-CANDY")</f>
        <v xml:space="preserve">          5033 - PURCHASES @ COST-CANDY</v>
      </c>
      <c r="C151" s="11"/>
      <c r="D151" s="2">
        <v>805.69</v>
      </c>
      <c r="E151" s="2"/>
      <c r="F151" s="19">
        <f t="shared" si="10"/>
        <v>2.205033651004617E-4</v>
      </c>
      <c r="G151" s="2"/>
      <c r="H151" s="2"/>
      <c r="I151" s="2"/>
      <c r="J151" s="19">
        <f t="shared" si="11"/>
        <v>0</v>
      </c>
      <c r="K151" s="2"/>
      <c r="L151" s="2">
        <f t="shared" si="12"/>
        <v>805.69</v>
      </c>
      <c r="M151" s="2"/>
      <c r="N151" s="19">
        <f t="shared" si="13"/>
        <v>0</v>
      </c>
      <c r="O151" s="11"/>
      <c r="P151" s="2">
        <v>7003.62</v>
      </c>
      <c r="Q151" s="2"/>
      <c r="R151" s="19">
        <f t="shared" si="14"/>
        <v>3.2227670071256716E-4</v>
      </c>
      <c r="S151" s="2"/>
      <c r="T151" s="2"/>
      <c r="U151" s="2"/>
      <c r="V151" s="19">
        <f t="shared" si="15"/>
        <v>0</v>
      </c>
      <c r="W151" s="2"/>
      <c r="X151" s="2">
        <f t="shared" si="16"/>
        <v>7003.62</v>
      </c>
      <c r="Y151" s="2"/>
      <c r="Z151" s="19">
        <f t="shared" si="17"/>
        <v>0</v>
      </c>
    </row>
    <row r="152" spans="1:26" s="24" customFormat="1" hidden="1" outlineLevel="1" x14ac:dyDescent="0.25">
      <c r="A152" s="44"/>
      <c r="B152" s="11" t="str">
        <f>CONCATENATE("          ", "5034", " - ", "PURCHASES @ COST-SODA")</f>
        <v xml:space="preserve">          5034 - PURCHASES @ COST-SODA</v>
      </c>
      <c r="C152" s="11"/>
      <c r="D152" s="2"/>
      <c r="E152" s="2"/>
      <c r="F152" s="19">
        <f t="shared" si="10"/>
        <v>0</v>
      </c>
      <c r="G152" s="2"/>
      <c r="H152" s="2"/>
      <c r="I152" s="2"/>
      <c r="J152" s="19">
        <f t="shared" si="11"/>
        <v>0</v>
      </c>
      <c r="K152" s="2"/>
      <c r="L152" s="2">
        <f t="shared" si="12"/>
        <v>0</v>
      </c>
      <c r="M152" s="2"/>
      <c r="N152" s="19">
        <f t="shared" si="13"/>
        <v>0</v>
      </c>
      <c r="O152" s="11"/>
      <c r="P152" s="2">
        <v>2124.16</v>
      </c>
      <c r="Q152" s="2"/>
      <c r="R152" s="19">
        <f t="shared" si="14"/>
        <v>9.7744777213156414E-5</v>
      </c>
      <c r="S152" s="2"/>
      <c r="T152" s="2"/>
      <c r="U152" s="2"/>
      <c r="V152" s="19">
        <f t="shared" si="15"/>
        <v>0</v>
      </c>
      <c r="W152" s="2"/>
      <c r="X152" s="2">
        <f t="shared" si="16"/>
        <v>2124.16</v>
      </c>
      <c r="Y152" s="2"/>
      <c r="Z152" s="19">
        <f t="shared" si="17"/>
        <v>0</v>
      </c>
    </row>
    <row r="153" spans="1:26" s="24" customFormat="1" hidden="1" outlineLevel="1" x14ac:dyDescent="0.25">
      <c r="A153" s="44"/>
      <c r="B153" s="11" t="str">
        <f>CONCATENATE("          ", "5035", " - ", "PURCHASES @ COST-HEALTH &amp; BEAU")</f>
        <v xml:space="preserve">          5035 - PURCHASES @ COST-HEALTH &amp; BEAU</v>
      </c>
      <c r="C153" s="11"/>
      <c r="D153" s="2">
        <v>32.82</v>
      </c>
      <c r="E153" s="2"/>
      <c r="F153" s="19">
        <f t="shared" si="10"/>
        <v>8.9822641991301278E-6</v>
      </c>
      <c r="G153" s="2"/>
      <c r="H153" s="2"/>
      <c r="I153" s="2"/>
      <c r="J153" s="19">
        <f t="shared" si="11"/>
        <v>0</v>
      </c>
      <c r="K153" s="2"/>
      <c r="L153" s="2">
        <f t="shared" si="12"/>
        <v>32.82</v>
      </c>
      <c r="M153" s="2"/>
      <c r="N153" s="19">
        <f t="shared" si="13"/>
        <v>0</v>
      </c>
      <c r="O153" s="11"/>
      <c r="P153" s="2">
        <v>857.2</v>
      </c>
      <c r="Q153" s="2"/>
      <c r="R153" s="19">
        <f t="shared" si="14"/>
        <v>3.9444685441359261E-5</v>
      </c>
      <c r="S153" s="2"/>
      <c r="T153" s="2"/>
      <c r="U153" s="2"/>
      <c r="V153" s="19">
        <f t="shared" si="15"/>
        <v>0</v>
      </c>
      <c r="W153" s="2"/>
      <c r="X153" s="2">
        <f t="shared" si="16"/>
        <v>857.2</v>
      </c>
      <c r="Y153" s="2"/>
      <c r="Z153" s="19">
        <f t="shared" si="17"/>
        <v>0</v>
      </c>
    </row>
    <row r="154" spans="1:26" s="24" customFormat="1" hidden="1" outlineLevel="1" x14ac:dyDescent="0.25">
      <c r="A154" s="44"/>
      <c r="B154" s="11" t="str">
        <f>CONCATENATE("          ", "5037", " - ", "PURCHASES @ COST-WATER")</f>
        <v xml:space="preserve">          5037 - PURCHASES @ COST-WATER</v>
      </c>
      <c r="C154" s="11"/>
      <c r="D154" s="2"/>
      <c r="E154" s="2"/>
      <c r="F154" s="19">
        <f t="shared" si="10"/>
        <v>0</v>
      </c>
      <c r="G154" s="2"/>
      <c r="H154" s="2"/>
      <c r="I154" s="2"/>
      <c r="J154" s="19">
        <f t="shared" si="11"/>
        <v>0</v>
      </c>
      <c r="K154" s="2"/>
      <c r="L154" s="2">
        <f t="shared" si="12"/>
        <v>0</v>
      </c>
      <c r="M154" s="2"/>
      <c r="N154" s="19">
        <f t="shared" si="13"/>
        <v>0</v>
      </c>
      <c r="O154" s="11"/>
      <c r="P154" s="2">
        <v>3759.27</v>
      </c>
      <c r="Q154" s="2"/>
      <c r="R154" s="19">
        <f t="shared" si="14"/>
        <v>1.7298556070828117E-4</v>
      </c>
      <c r="S154" s="2"/>
      <c r="T154" s="2"/>
      <c r="U154" s="2"/>
      <c r="V154" s="19">
        <f t="shared" si="15"/>
        <v>0</v>
      </c>
      <c r="W154" s="2"/>
      <c r="X154" s="2">
        <f t="shared" si="16"/>
        <v>3759.27</v>
      </c>
      <c r="Y154" s="2"/>
      <c r="Z154" s="19">
        <f t="shared" si="17"/>
        <v>0</v>
      </c>
    </row>
    <row r="155" spans="1:26" s="24" customFormat="1" hidden="1" outlineLevel="1" x14ac:dyDescent="0.25">
      <c r="A155" s="44"/>
      <c r="B155" s="11" t="str">
        <f>CONCATENATE("          ", "5040", " - ", "PURCHASES @ COST-LOGO CLOTHING")</f>
        <v xml:space="preserve">          5040 - PURCHASES @ COST-LOGO CLOTHING</v>
      </c>
      <c r="C155" s="11"/>
      <c r="D155" s="2">
        <v>94500.17</v>
      </c>
      <c r="E155" s="2"/>
      <c r="F155" s="19">
        <f t="shared" si="10"/>
        <v>2.5863055874549387E-2</v>
      </c>
      <c r="G155" s="2"/>
      <c r="H155" s="2"/>
      <c r="I155" s="2"/>
      <c r="J155" s="19">
        <f t="shared" si="11"/>
        <v>0</v>
      </c>
      <c r="K155" s="2"/>
      <c r="L155" s="2">
        <f t="shared" si="12"/>
        <v>94500.17</v>
      </c>
      <c r="M155" s="2"/>
      <c r="N155" s="19">
        <f t="shared" si="13"/>
        <v>0</v>
      </c>
      <c r="O155" s="11"/>
      <c r="P155" s="2">
        <v>810739.01</v>
      </c>
      <c r="Q155" s="2"/>
      <c r="R155" s="19">
        <f t="shared" si="14"/>
        <v>3.7306748978638615E-2</v>
      </c>
      <c r="S155" s="2"/>
      <c r="T155" s="2"/>
      <c r="U155" s="2"/>
      <c r="V155" s="19">
        <f t="shared" si="15"/>
        <v>0</v>
      </c>
      <c r="W155" s="2"/>
      <c r="X155" s="2">
        <f t="shared" si="16"/>
        <v>810739.01</v>
      </c>
      <c r="Y155" s="2"/>
      <c r="Z155" s="19">
        <f t="shared" si="17"/>
        <v>0</v>
      </c>
    </row>
    <row r="156" spans="1:26" s="24" customFormat="1" hidden="1" outlineLevel="1" x14ac:dyDescent="0.25">
      <c r="A156" s="44"/>
      <c r="B156" s="11" t="str">
        <f>CONCATENATE("          ", "5041", " - ", "PURCHASES @ COST-LOGO GIFTS")</f>
        <v xml:space="preserve">          5041 - PURCHASES @ COST-LOGO GIFTS</v>
      </c>
      <c r="C156" s="11"/>
      <c r="D156" s="2">
        <v>14612.2</v>
      </c>
      <c r="E156" s="2"/>
      <c r="F156" s="19">
        <f t="shared" si="10"/>
        <v>3.9991054518747488E-3</v>
      </c>
      <c r="G156" s="2"/>
      <c r="H156" s="2"/>
      <c r="I156" s="2"/>
      <c r="J156" s="19">
        <f t="shared" si="11"/>
        <v>0</v>
      </c>
      <c r="K156" s="2"/>
      <c r="L156" s="2">
        <f t="shared" si="12"/>
        <v>14612.2</v>
      </c>
      <c r="M156" s="2"/>
      <c r="N156" s="19">
        <f t="shared" si="13"/>
        <v>0</v>
      </c>
      <c r="O156" s="11"/>
      <c r="P156" s="2">
        <v>124015.87000000001</v>
      </c>
      <c r="Q156" s="2"/>
      <c r="R156" s="19">
        <f t="shared" si="14"/>
        <v>5.7066810334653563E-3</v>
      </c>
      <c r="S156" s="2"/>
      <c r="T156" s="2"/>
      <c r="U156" s="2"/>
      <c r="V156" s="19">
        <f t="shared" si="15"/>
        <v>0</v>
      </c>
      <c r="W156" s="2"/>
      <c r="X156" s="2">
        <f t="shared" si="16"/>
        <v>124015.87000000001</v>
      </c>
      <c r="Y156" s="2"/>
      <c r="Z156" s="19">
        <f t="shared" si="17"/>
        <v>0</v>
      </c>
    </row>
    <row r="157" spans="1:26" s="24" customFormat="1" hidden="1" outlineLevel="1" x14ac:dyDescent="0.25">
      <c r="A157" s="44"/>
      <c r="B157" s="11" t="str">
        <f>CONCATENATE("          ", "5042", " - ", "PURCHASES @ COST-EVERYDAY GIFT")</f>
        <v xml:space="preserve">          5042 - PURCHASES @ COST-EVERYDAY GIFT</v>
      </c>
      <c r="C157" s="11"/>
      <c r="D157" s="2">
        <v>2972.86</v>
      </c>
      <c r="E157" s="2"/>
      <c r="F157" s="19">
        <f t="shared" si="10"/>
        <v>8.1362016901358907E-4</v>
      </c>
      <c r="G157" s="2"/>
      <c r="H157" s="2"/>
      <c r="I157" s="2"/>
      <c r="J157" s="19">
        <f t="shared" si="11"/>
        <v>0</v>
      </c>
      <c r="K157" s="2"/>
      <c r="L157" s="2">
        <f t="shared" si="12"/>
        <v>2972.86</v>
      </c>
      <c r="M157" s="2"/>
      <c r="N157" s="19">
        <f t="shared" si="13"/>
        <v>0</v>
      </c>
      <c r="O157" s="11"/>
      <c r="P157" s="2">
        <v>91360.97</v>
      </c>
      <c r="Q157" s="2"/>
      <c r="R157" s="19">
        <f t="shared" si="14"/>
        <v>4.2040419076848582E-3</v>
      </c>
      <c r="S157" s="2"/>
      <c r="T157" s="2"/>
      <c r="U157" s="2"/>
      <c r="V157" s="19">
        <f t="shared" si="15"/>
        <v>0</v>
      </c>
      <c r="W157" s="2"/>
      <c r="X157" s="2">
        <f t="shared" si="16"/>
        <v>91360.97</v>
      </c>
      <c r="Y157" s="2"/>
      <c r="Z157" s="19">
        <f t="shared" si="17"/>
        <v>0</v>
      </c>
    </row>
    <row r="158" spans="1:26" s="24" customFormat="1" hidden="1" outlineLevel="1" x14ac:dyDescent="0.25">
      <c r="A158" s="44"/>
      <c r="B158" s="11" t="str">
        <f>CONCATENATE("          ", "5043", " - ", "PURCHASES @ COST-CARDS")</f>
        <v xml:space="preserve">          5043 - PURCHASES @ COST-CARDS</v>
      </c>
      <c r="C158" s="11"/>
      <c r="D158" s="2">
        <v>3909.52</v>
      </c>
      <c r="E158" s="2"/>
      <c r="F158" s="19">
        <f t="shared" si="10"/>
        <v>1.0699677492926026E-3</v>
      </c>
      <c r="G158" s="2"/>
      <c r="H158" s="2"/>
      <c r="I158" s="2"/>
      <c r="J158" s="19">
        <f t="shared" si="11"/>
        <v>0</v>
      </c>
      <c r="K158" s="2"/>
      <c r="L158" s="2">
        <f t="shared" si="12"/>
        <v>3909.52</v>
      </c>
      <c r="M158" s="2"/>
      <c r="N158" s="19">
        <f t="shared" si="13"/>
        <v>0</v>
      </c>
      <c r="O158" s="11"/>
      <c r="P158" s="2">
        <v>10694.41</v>
      </c>
      <c r="Q158" s="2"/>
      <c r="R158" s="19">
        <f t="shared" si="14"/>
        <v>4.921111040958083E-4</v>
      </c>
      <c r="S158" s="2"/>
      <c r="T158" s="2"/>
      <c r="U158" s="2"/>
      <c r="V158" s="19">
        <f t="shared" si="15"/>
        <v>0</v>
      </c>
      <c r="W158" s="2"/>
      <c r="X158" s="2">
        <f t="shared" si="16"/>
        <v>10694.41</v>
      </c>
      <c r="Y158" s="2"/>
      <c r="Z158" s="19">
        <f t="shared" si="17"/>
        <v>0</v>
      </c>
    </row>
    <row r="159" spans="1:26" s="24" customFormat="1" hidden="1" outlineLevel="1" x14ac:dyDescent="0.25">
      <c r="A159" s="44"/>
      <c r="B159" s="11" t="str">
        <f>CONCATENATE("          ", "5044", " - ", "PURCHASES @ COST-ACCESSORIES")</f>
        <v xml:space="preserve">          5044 - PURCHASES @ COST-ACCESSORIES</v>
      </c>
      <c r="C159" s="11"/>
      <c r="D159" s="2">
        <v>3179.63</v>
      </c>
      <c r="E159" s="2"/>
      <c r="F159" s="19">
        <f t="shared" si="10"/>
        <v>8.7020952819866324E-4</v>
      </c>
      <c r="G159" s="2"/>
      <c r="H159" s="2"/>
      <c r="I159" s="2"/>
      <c r="J159" s="19">
        <f t="shared" si="11"/>
        <v>0</v>
      </c>
      <c r="K159" s="2"/>
      <c r="L159" s="2">
        <f t="shared" si="12"/>
        <v>3179.63</v>
      </c>
      <c r="M159" s="2"/>
      <c r="N159" s="19">
        <f t="shared" si="13"/>
        <v>0</v>
      </c>
      <c r="O159" s="11"/>
      <c r="P159" s="2">
        <v>20867.21</v>
      </c>
      <c r="Q159" s="2"/>
      <c r="R159" s="19">
        <f t="shared" si="14"/>
        <v>9.6021994224076805E-4</v>
      </c>
      <c r="S159" s="2"/>
      <c r="T159" s="2"/>
      <c r="U159" s="2"/>
      <c r="V159" s="19">
        <f t="shared" si="15"/>
        <v>0</v>
      </c>
      <c r="W159" s="2"/>
      <c r="X159" s="2">
        <f t="shared" si="16"/>
        <v>20867.21</v>
      </c>
      <c r="Y159" s="2"/>
      <c r="Z159" s="19">
        <f t="shared" si="17"/>
        <v>0</v>
      </c>
    </row>
    <row r="160" spans="1:26" s="24" customFormat="1" hidden="1" outlineLevel="1" x14ac:dyDescent="0.25">
      <c r="A160" s="44"/>
      <c r="B160" s="11" t="str">
        <f>CONCATENATE("          ", "5045", " - ", "PURCHASES @ COST-SPECIAL ORDER")</f>
        <v xml:space="preserve">          5045 - PURCHASES @ COST-SPECIAL ORDER</v>
      </c>
      <c r="C160" s="11"/>
      <c r="D160" s="2">
        <v>6835.65</v>
      </c>
      <c r="E160" s="2"/>
      <c r="F160" s="19">
        <f t="shared" si="10"/>
        <v>1.8707987286040175E-3</v>
      </c>
      <c r="G160" s="2"/>
      <c r="H160" s="2"/>
      <c r="I160" s="2"/>
      <c r="J160" s="19">
        <f t="shared" si="11"/>
        <v>0</v>
      </c>
      <c r="K160" s="2"/>
      <c r="L160" s="2">
        <f t="shared" si="12"/>
        <v>6835.65</v>
      </c>
      <c r="M160" s="2"/>
      <c r="N160" s="19">
        <f t="shared" si="13"/>
        <v>0</v>
      </c>
      <c r="O160" s="11"/>
      <c r="P160" s="2">
        <v>48016.23</v>
      </c>
      <c r="Q160" s="2"/>
      <c r="R160" s="19">
        <f t="shared" si="14"/>
        <v>2.2095019697036373E-3</v>
      </c>
      <c r="S160" s="2"/>
      <c r="T160" s="2"/>
      <c r="U160" s="2"/>
      <c r="V160" s="19">
        <f t="shared" si="15"/>
        <v>0</v>
      </c>
      <c r="W160" s="2"/>
      <c r="X160" s="2">
        <f t="shared" si="16"/>
        <v>48016.23</v>
      </c>
      <c r="Y160" s="2"/>
      <c r="Z160" s="19">
        <f t="shared" si="17"/>
        <v>0</v>
      </c>
    </row>
    <row r="161" spans="1:26" s="24" customFormat="1" hidden="1" outlineLevel="1" x14ac:dyDescent="0.25">
      <c r="A161" s="44"/>
      <c r="B161" s="11" t="str">
        <f>CONCATENATE("          ", "5053", " - ", "PURCHASES @ COST-FOOD")</f>
        <v xml:space="preserve">          5053 - PURCHASES @ COST-FOOD</v>
      </c>
      <c r="C161" s="11"/>
      <c r="D161" s="2">
        <v>475096.19000000006</v>
      </c>
      <c r="E161" s="2"/>
      <c r="F161" s="19">
        <f t="shared" si="10"/>
        <v>0.13002557887203309</v>
      </c>
      <c r="G161" s="2"/>
      <c r="H161" s="2"/>
      <c r="I161" s="2"/>
      <c r="J161" s="19">
        <f t="shared" si="11"/>
        <v>0</v>
      </c>
      <c r="K161" s="2"/>
      <c r="L161" s="2">
        <f t="shared" si="12"/>
        <v>475096.19000000006</v>
      </c>
      <c r="M161" s="2"/>
      <c r="N161" s="19">
        <f t="shared" si="13"/>
        <v>0</v>
      </c>
      <c r="O161" s="11"/>
      <c r="P161" s="2">
        <v>3765569.04</v>
      </c>
      <c r="Q161" s="2"/>
      <c r="R161" s="19">
        <f t="shared" si="14"/>
        <v>0.17327541564456506</v>
      </c>
      <c r="S161" s="2"/>
      <c r="T161" s="2"/>
      <c r="U161" s="2"/>
      <c r="V161" s="19">
        <f t="shared" si="15"/>
        <v>0</v>
      </c>
      <c r="W161" s="2"/>
      <c r="X161" s="2">
        <f t="shared" si="16"/>
        <v>3765569.04</v>
      </c>
      <c r="Y161" s="2"/>
      <c r="Z161" s="19">
        <f t="shared" si="17"/>
        <v>0</v>
      </c>
    </row>
    <row r="162" spans="1:26" s="24" customFormat="1" hidden="1" outlineLevel="1" x14ac:dyDescent="0.25">
      <c r="A162" s="44"/>
      <c r="B162" s="11" t="str">
        <f>CONCATENATE("          ", "5059", " - ", "PURCHASES @ COST-FOOD")</f>
        <v xml:space="preserve">          5059 - PURCHASES @ COST-FOOD</v>
      </c>
      <c r="C162" s="11"/>
      <c r="D162" s="2">
        <v>-72342.099999999991</v>
      </c>
      <c r="E162" s="2"/>
      <c r="F162" s="19">
        <f t="shared" si="10"/>
        <v>-1.9798776810478109E-2</v>
      </c>
      <c r="G162" s="2"/>
      <c r="H162" s="2"/>
      <c r="I162" s="2"/>
      <c r="J162" s="19">
        <f t="shared" si="11"/>
        <v>0</v>
      </c>
      <c r="K162" s="2"/>
      <c r="L162" s="2">
        <f t="shared" si="12"/>
        <v>-72342.099999999991</v>
      </c>
      <c r="M162" s="2"/>
      <c r="N162" s="19">
        <f t="shared" si="13"/>
        <v>0</v>
      </c>
      <c r="O162" s="11"/>
      <c r="P162" s="2">
        <v>-108486.77</v>
      </c>
      <c r="Q162" s="2"/>
      <c r="R162" s="19">
        <f t="shared" si="14"/>
        <v>-4.99209813019026E-3</v>
      </c>
      <c r="S162" s="2"/>
      <c r="T162" s="2"/>
      <c r="U162" s="2"/>
      <c r="V162" s="19">
        <f t="shared" si="15"/>
        <v>0</v>
      </c>
      <c r="W162" s="2"/>
      <c r="X162" s="2">
        <f t="shared" si="16"/>
        <v>-108486.77</v>
      </c>
      <c r="Y162" s="2"/>
      <c r="Z162" s="19">
        <f t="shared" si="17"/>
        <v>0</v>
      </c>
    </row>
    <row r="163" spans="1:26" s="24" customFormat="1" hidden="1" outlineLevel="1" x14ac:dyDescent="0.25">
      <c r="A163" s="44"/>
      <c r="B163" s="11" t="str">
        <f>CONCATENATE("          ", "5081", " - ", "PURCHASES @ COST-ELECTRONICS")</f>
        <v xml:space="preserve">          5081 - PURCHASES @ COST-ELECTRONICS</v>
      </c>
      <c r="C163" s="11"/>
      <c r="D163" s="2">
        <v>32465.820000000003</v>
      </c>
      <c r="E163" s="2"/>
      <c r="F163" s="19">
        <f t="shared" si="10"/>
        <v>8.8853312821877799E-3</v>
      </c>
      <c r="G163" s="2"/>
      <c r="H163" s="2"/>
      <c r="I163" s="2"/>
      <c r="J163" s="19">
        <f t="shared" si="11"/>
        <v>0</v>
      </c>
      <c r="K163" s="2"/>
      <c r="L163" s="2">
        <f t="shared" si="12"/>
        <v>32465.820000000003</v>
      </c>
      <c r="M163" s="2"/>
      <c r="N163" s="19">
        <f t="shared" si="13"/>
        <v>0</v>
      </c>
      <c r="O163" s="11"/>
      <c r="P163" s="2">
        <v>221646.8</v>
      </c>
      <c r="Q163" s="2"/>
      <c r="R163" s="19">
        <f t="shared" si="14"/>
        <v>1.0199239739948516E-2</v>
      </c>
      <c r="S163" s="2"/>
      <c r="T163" s="2"/>
      <c r="U163" s="2"/>
      <c r="V163" s="19">
        <f t="shared" si="15"/>
        <v>0</v>
      </c>
      <c r="W163" s="2"/>
      <c r="X163" s="2">
        <f t="shared" si="16"/>
        <v>221646.8</v>
      </c>
      <c r="Y163" s="2"/>
      <c r="Z163" s="19">
        <f t="shared" si="17"/>
        <v>0</v>
      </c>
    </row>
    <row r="164" spans="1:26" s="24" customFormat="1" hidden="1" outlineLevel="1" x14ac:dyDescent="0.25">
      <c r="A164" s="44"/>
      <c r="B164" s="11" t="str">
        <f>CONCATENATE("          ", "5082", " - ", "PURCHASES @ COST-COMPUTER HARD")</f>
        <v xml:space="preserve">          5082 - PURCHASES @ COST-COMPUTER HARD</v>
      </c>
      <c r="C164" s="11"/>
      <c r="D164" s="2">
        <v>159135.18</v>
      </c>
      <c r="E164" s="2"/>
      <c r="F164" s="19">
        <f t="shared" si="10"/>
        <v>4.3552535957834509E-2</v>
      </c>
      <c r="G164" s="2"/>
      <c r="H164" s="2"/>
      <c r="I164" s="2"/>
      <c r="J164" s="19">
        <f t="shared" si="11"/>
        <v>0</v>
      </c>
      <c r="K164" s="2"/>
      <c r="L164" s="2">
        <f t="shared" si="12"/>
        <v>159135.18</v>
      </c>
      <c r="M164" s="2"/>
      <c r="N164" s="19">
        <f t="shared" si="13"/>
        <v>0</v>
      </c>
      <c r="O164" s="11"/>
      <c r="P164" s="2">
        <v>1167662.76</v>
      </c>
      <c r="Q164" s="2"/>
      <c r="R164" s="19">
        <f t="shared" si="14"/>
        <v>5.3730856590981535E-2</v>
      </c>
      <c r="S164" s="2"/>
      <c r="T164" s="2"/>
      <c r="U164" s="2"/>
      <c r="V164" s="19">
        <f t="shared" si="15"/>
        <v>0</v>
      </c>
      <c r="W164" s="2"/>
      <c r="X164" s="2">
        <f t="shared" si="16"/>
        <v>1167662.76</v>
      </c>
      <c r="Y164" s="2"/>
      <c r="Z164" s="19">
        <f t="shared" si="17"/>
        <v>0</v>
      </c>
    </row>
    <row r="165" spans="1:26" s="24" customFormat="1" hidden="1" outlineLevel="1" x14ac:dyDescent="0.25">
      <c r="A165" s="44"/>
      <c r="B165" s="11" t="str">
        <f>CONCATENATE("          ", "5083", " - ", "PURCHASES @ COST-COMPUTER EQUI")</f>
        <v xml:space="preserve">          5083 - PURCHASES @ COST-COMPUTER EQUI</v>
      </c>
      <c r="C165" s="11"/>
      <c r="D165" s="2">
        <v>10530</v>
      </c>
      <c r="E165" s="2"/>
      <c r="F165" s="19">
        <f t="shared" si="10"/>
        <v>2.8818781845472347E-3</v>
      </c>
      <c r="G165" s="2"/>
      <c r="H165" s="2"/>
      <c r="I165" s="2"/>
      <c r="J165" s="19">
        <f t="shared" si="11"/>
        <v>0</v>
      </c>
      <c r="K165" s="2"/>
      <c r="L165" s="2">
        <f t="shared" si="12"/>
        <v>10530</v>
      </c>
      <c r="M165" s="2"/>
      <c r="N165" s="19">
        <f t="shared" si="13"/>
        <v>0</v>
      </c>
      <c r="O165" s="11"/>
      <c r="P165" s="2">
        <v>65360.780000000006</v>
      </c>
      <c r="Q165" s="2"/>
      <c r="R165" s="19">
        <f t="shared" si="14"/>
        <v>3.0076241335766285E-3</v>
      </c>
      <c r="S165" s="2"/>
      <c r="T165" s="2"/>
      <c r="U165" s="2"/>
      <c r="V165" s="19">
        <f t="shared" si="15"/>
        <v>0</v>
      </c>
      <c r="W165" s="2"/>
      <c r="X165" s="2">
        <f t="shared" si="16"/>
        <v>65360.780000000006</v>
      </c>
      <c r="Y165" s="2"/>
      <c r="Z165" s="19">
        <f t="shared" si="17"/>
        <v>0</v>
      </c>
    </row>
    <row r="166" spans="1:26" s="24" customFormat="1" hidden="1" outlineLevel="1" x14ac:dyDescent="0.25">
      <c r="A166" s="44"/>
      <c r="B166" s="11" t="str">
        <f>CONCATENATE("          ", "5084", " - ", "PURCHASES @ COST-SOFTWARE LICE")</f>
        <v xml:space="preserve">          5084 - PURCHASES @ COST-SOFTWARE LICE</v>
      </c>
      <c r="C166" s="11"/>
      <c r="D166" s="2"/>
      <c r="E166" s="2"/>
      <c r="F166" s="19">
        <f t="shared" si="10"/>
        <v>0</v>
      </c>
      <c r="G166" s="2"/>
      <c r="H166" s="2"/>
      <c r="I166" s="2"/>
      <c r="J166" s="19">
        <f t="shared" si="11"/>
        <v>0</v>
      </c>
      <c r="K166" s="2"/>
      <c r="L166" s="2">
        <f t="shared" si="12"/>
        <v>0</v>
      </c>
      <c r="M166" s="2"/>
      <c r="N166" s="19">
        <f t="shared" si="13"/>
        <v>0</v>
      </c>
      <c r="O166" s="11"/>
      <c r="P166" s="2">
        <v>2728</v>
      </c>
      <c r="Q166" s="2"/>
      <c r="R166" s="19">
        <f t="shared" si="14"/>
        <v>1.2553091680357918E-4</v>
      </c>
      <c r="S166" s="2"/>
      <c r="T166" s="2"/>
      <c r="U166" s="2"/>
      <c r="V166" s="19">
        <f t="shared" si="15"/>
        <v>0</v>
      </c>
      <c r="W166" s="2"/>
      <c r="X166" s="2">
        <f t="shared" si="16"/>
        <v>2728</v>
      </c>
      <c r="Y166" s="2"/>
      <c r="Z166" s="19">
        <f t="shared" si="17"/>
        <v>0</v>
      </c>
    </row>
    <row r="167" spans="1:26" s="24" customFormat="1" hidden="1" outlineLevel="1" x14ac:dyDescent="0.25">
      <c r="A167" s="44"/>
      <c r="B167" s="11" t="str">
        <f>CONCATENATE("          ", "5085", " - ", "PURCHASES @ COST-SOFTWARE")</f>
        <v xml:space="preserve">          5085 - PURCHASES @ COST-SOFTWARE</v>
      </c>
      <c r="C167" s="11"/>
      <c r="D167" s="2"/>
      <c r="E167" s="2"/>
      <c r="F167" s="19">
        <f t="shared" si="10"/>
        <v>0</v>
      </c>
      <c r="G167" s="2"/>
      <c r="H167" s="2"/>
      <c r="I167" s="2"/>
      <c r="J167" s="19">
        <f t="shared" si="11"/>
        <v>0</v>
      </c>
      <c r="K167" s="2"/>
      <c r="L167" s="2">
        <f t="shared" si="12"/>
        <v>0</v>
      </c>
      <c r="M167" s="2"/>
      <c r="N167" s="19">
        <f t="shared" si="13"/>
        <v>0</v>
      </c>
      <c r="O167" s="11"/>
      <c r="P167" s="2">
        <v>7860.66</v>
      </c>
      <c r="Q167" s="2"/>
      <c r="R167" s="19">
        <f t="shared" si="14"/>
        <v>3.6171402363681181E-4</v>
      </c>
      <c r="S167" s="2"/>
      <c r="T167" s="2"/>
      <c r="U167" s="2"/>
      <c r="V167" s="19">
        <f t="shared" si="15"/>
        <v>0</v>
      </c>
      <c r="W167" s="2"/>
      <c r="X167" s="2">
        <f t="shared" si="16"/>
        <v>7860.66</v>
      </c>
      <c r="Y167" s="2"/>
      <c r="Z167" s="19">
        <f t="shared" si="17"/>
        <v>0</v>
      </c>
    </row>
    <row r="168" spans="1:26" s="24" customFormat="1" hidden="1" outlineLevel="1" x14ac:dyDescent="0.25">
      <c r="A168" s="44"/>
      <c r="B168" s="11" t="str">
        <f>CONCATENATE("          ", "5086", " - ", "PURCHASES @ COST-COMPUTER SUPP")</f>
        <v xml:space="preserve">          5086 - PURCHASES @ COST-COMPUTER SUPP</v>
      </c>
      <c r="C168" s="11"/>
      <c r="D168" s="2">
        <v>4364.12</v>
      </c>
      <c r="E168" s="2"/>
      <c r="F168" s="19">
        <f t="shared" si="10"/>
        <v>1.1943838768040151E-3</v>
      </c>
      <c r="G168" s="2"/>
      <c r="H168" s="2"/>
      <c r="I168" s="2"/>
      <c r="J168" s="19">
        <f t="shared" si="11"/>
        <v>0</v>
      </c>
      <c r="K168" s="2"/>
      <c r="L168" s="2">
        <f t="shared" si="12"/>
        <v>4364.12</v>
      </c>
      <c r="M168" s="2"/>
      <c r="N168" s="19">
        <f t="shared" si="13"/>
        <v>0</v>
      </c>
      <c r="O168" s="11"/>
      <c r="P168" s="2">
        <v>25347.759999999998</v>
      </c>
      <c r="Q168" s="2"/>
      <c r="R168" s="19">
        <f t="shared" si="14"/>
        <v>1.1663957301015731E-3</v>
      </c>
      <c r="S168" s="2"/>
      <c r="T168" s="2"/>
      <c r="U168" s="2"/>
      <c r="V168" s="19">
        <f t="shared" si="15"/>
        <v>0</v>
      </c>
      <c r="W168" s="2"/>
      <c r="X168" s="2">
        <f t="shared" si="16"/>
        <v>25347.759999999998</v>
      </c>
      <c r="Y168" s="2"/>
      <c r="Z168" s="19">
        <f t="shared" si="17"/>
        <v>0</v>
      </c>
    </row>
    <row r="169" spans="1:26" s="24" customFormat="1" hidden="1" outlineLevel="1" x14ac:dyDescent="0.25">
      <c r="A169" s="44"/>
      <c r="B169" s="11" t="str">
        <f>CONCATENATE("          ", "5088", " - ", "PURCHASES @ COST-MUSIC")</f>
        <v xml:space="preserve">          5088 - PURCHASES @ COST-MUSIC</v>
      </c>
      <c r="C169" s="11"/>
      <c r="D169" s="2"/>
      <c r="E169" s="2"/>
      <c r="F169" s="19">
        <f t="shared" si="10"/>
        <v>0</v>
      </c>
      <c r="G169" s="2"/>
      <c r="H169" s="2"/>
      <c r="I169" s="2"/>
      <c r="J169" s="19">
        <f t="shared" si="11"/>
        <v>0</v>
      </c>
      <c r="K169" s="2"/>
      <c r="L169" s="2">
        <f t="shared" si="12"/>
        <v>0</v>
      </c>
      <c r="M169" s="2"/>
      <c r="N169" s="19">
        <f t="shared" si="13"/>
        <v>0</v>
      </c>
      <c r="O169" s="11"/>
      <c r="P169" s="2">
        <v>88.75</v>
      </c>
      <c r="Q169" s="2"/>
      <c r="R169" s="19">
        <f t="shared" si="14"/>
        <v>4.0838962119932739E-6</v>
      </c>
      <c r="S169" s="2"/>
      <c r="T169" s="2"/>
      <c r="U169" s="2"/>
      <c r="V169" s="19">
        <f t="shared" si="15"/>
        <v>0</v>
      </c>
      <c r="W169" s="2"/>
      <c r="X169" s="2">
        <f t="shared" si="16"/>
        <v>88.75</v>
      </c>
      <c r="Y169" s="2"/>
      <c r="Z169" s="19">
        <f t="shared" si="17"/>
        <v>0</v>
      </c>
    </row>
    <row r="170" spans="1:26" s="24" customFormat="1" hidden="1" outlineLevel="1" x14ac:dyDescent="0.25">
      <c r="A170" s="44"/>
      <c r="B170" s="11" t="str">
        <f>CONCATENATE("          ", "5092", " - ", "PURCHASES @ COST-GRAD MERCH")</f>
        <v xml:space="preserve">          5092 - PURCHASES @ COST-GRAD MERCH</v>
      </c>
      <c r="C170" s="11"/>
      <c r="D170" s="2">
        <v>122.72</v>
      </c>
      <c r="E170" s="2"/>
      <c r="F170" s="19">
        <f t="shared" si="10"/>
        <v>3.3586333410031971E-5</v>
      </c>
      <c r="G170" s="2"/>
      <c r="H170" s="2"/>
      <c r="I170" s="2"/>
      <c r="J170" s="19">
        <f t="shared" si="11"/>
        <v>0</v>
      </c>
      <c r="K170" s="2"/>
      <c r="L170" s="2">
        <f t="shared" si="12"/>
        <v>122.72</v>
      </c>
      <c r="M170" s="2"/>
      <c r="N170" s="19">
        <f t="shared" si="13"/>
        <v>0</v>
      </c>
      <c r="O170" s="11"/>
      <c r="P170" s="2">
        <v>2046.86</v>
      </c>
      <c r="Q170" s="2"/>
      <c r="R170" s="19">
        <f t="shared" si="14"/>
        <v>9.4187761132175242E-5</v>
      </c>
      <c r="S170" s="2"/>
      <c r="T170" s="2"/>
      <c r="U170" s="2"/>
      <c r="V170" s="19">
        <f t="shared" si="15"/>
        <v>0</v>
      </c>
      <c r="W170" s="2"/>
      <c r="X170" s="2">
        <f t="shared" si="16"/>
        <v>2046.86</v>
      </c>
      <c r="Y170" s="2"/>
      <c r="Z170" s="19">
        <f t="shared" si="17"/>
        <v>0</v>
      </c>
    </row>
    <row r="171" spans="1:26" s="24" customFormat="1" hidden="1" outlineLevel="1" x14ac:dyDescent="0.25">
      <c r="A171" s="44"/>
      <c r="B171" s="11" t="str">
        <f>CONCATENATE("          ", "5095", " - ", "PURCHASES @ COST-CUSTOMER SERV")</f>
        <v xml:space="preserve">          5095 - PURCHASES @ COST-CUSTOMER SERV</v>
      </c>
      <c r="C171" s="11"/>
      <c r="D171" s="2"/>
      <c r="E171" s="2"/>
      <c r="F171" s="19">
        <f t="shared" si="10"/>
        <v>0</v>
      </c>
      <c r="G171" s="2"/>
      <c r="H171" s="2"/>
      <c r="I171" s="2"/>
      <c r="J171" s="19">
        <f t="shared" si="11"/>
        <v>0</v>
      </c>
      <c r="K171" s="2"/>
      <c r="L171" s="2">
        <f t="shared" si="12"/>
        <v>0</v>
      </c>
      <c r="M171" s="2"/>
      <c r="N171" s="19">
        <f t="shared" si="13"/>
        <v>0</v>
      </c>
      <c r="O171" s="11"/>
      <c r="P171" s="2">
        <v>0</v>
      </c>
      <c r="Q171" s="2"/>
      <c r="R171" s="19">
        <f t="shared" si="14"/>
        <v>0</v>
      </c>
      <c r="S171" s="2"/>
      <c r="T171" s="2"/>
      <c r="U171" s="2"/>
      <c r="V171" s="19">
        <f t="shared" si="15"/>
        <v>0</v>
      </c>
      <c r="W171" s="2"/>
      <c r="X171" s="2">
        <f t="shared" si="16"/>
        <v>0</v>
      </c>
      <c r="Y171" s="2"/>
      <c r="Z171" s="19">
        <f t="shared" si="17"/>
        <v>0</v>
      </c>
    </row>
    <row r="172" spans="1:26" s="24" customFormat="1" hidden="1" outlineLevel="1" x14ac:dyDescent="0.25">
      <c r="A172" s="44"/>
      <c r="B172" s="11" t="str">
        <f>CONCATENATE("          ", "5200", " - ", "PURCHASES OFFSET")</f>
        <v xml:space="preserve">          5200 - PURCHASES OFFSET</v>
      </c>
      <c r="C172" s="11"/>
      <c r="D172" s="2">
        <v>-1245332</v>
      </c>
      <c r="E172" s="2"/>
      <c r="F172" s="19">
        <f t="shared" si="10"/>
        <v>-0.34082574770356855</v>
      </c>
      <c r="G172" s="2"/>
      <c r="H172" s="2"/>
      <c r="I172" s="2"/>
      <c r="J172" s="19">
        <f t="shared" si="11"/>
        <v>0</v>
      </c>
      <c r="K172" s="2"/>
      <c r="L172" s="2">
        <f t="shared" si="12"/>
        <v>-1245332</v>
      </c>
      <c r="M172" s="2"/>
      <c r="N172" s="19">
        <f t="shared" si="13"/>
        <v>0</v>
      </c>
      <c r="O172" s="11"/>
      <c r="P172" s="2">
        <v>-5513495</v>
      </c>
      <c r="Q172" s="2"/>
      <c r="R172" s="19">
        <f t="shared" si="14"/>
        <v>-0.25370750811655046</v>
      </c>
      <c r="S172" s="2"/>
      <c r="T172" s="2"/>
      <c r="U172" s="2"/>
      <c r="V172" s="19">
        <f t="shared" si="15"/>
        <v>0</v>
      </c>
      <c r="W172" s="2"/>
      <c r="X172" s="2">
        <f t="shared" si="16"/>
        <v>-5513495</v>
      </c>
      <c r="Y172" s="2"/>
      <c r="Z172" s="19">
        <f t="shared" si="17"/>
        <v>0</v>
      </c>
    </row>
    <row r="173" spans="1:26" s="24" customFormat="1" hidden="1" outlineLevel="1" x14ac:dyDescent="0.25">
      <c r="A173" s="44"/>
      <c r="B173" s="11" t="str">
        <f>CONCATENATE("          ", "5300", " - ", "COG$ OFFSET")</f>
        <v xml:space="preserve">          5300 - COG$ OFFSET</v>
      </c>
      <c r="C173" s="11"/>
      <c r="D173" s="2">
        <v>914062</v>
      </c>
      <c r="E173" s="2"/>
      <c r="F173" s="19">
        <f t="shared" si="10"/>
        <v>0.2501629000117393</v>
      </c>
      <c r="G173" s="2"/>
      <c r="H173" s="2"/>
      <c r="I173" s="2"/>
      <c r="J173" s="19">
        <f t="shared" si="11"/>
        <v>0</v>
      </c>
      <c r="K173" s="2"/>
      <c r="L173" s="2">
        <f t="shared" si="12"/>
        <v>914062</v>
      </c>
      <c r="M173" s="2"/>
      <c r="N173" s="19">
        <f t="shared" si="13"/>
        <v>0</v>
      </c>
      <c r="O173" s="11"/>
      <c r="P173" s="2">
        <v>4834197.4700000007</v>
      </c>
      <c r="Q173" s="2"/>
      <c r="R173" s="19">
        <f t="shared" si="14"/>
        <v>0.2224491350508222</v>
      </c>
      <c r="S173" s="2"/>
      <c r="T173" s="2"/>
      <c r="U173" s="2"/>
      <c r="V173" s="19">
        <f t="shared" si="15"/>
        <v>0</v>
      </c>
      <c r="W173" s="2"/>
      <c r="X173" s="2">
        <f t="shared" si="16"/>
        <v>4834197.4700000007</v>
      </c>
      <c r="Y173" s="2"/>
      <c r="Z173" s="19">
        <f t="shared" si="17"/>
        <v>0</v>
      </c>
    </row>
    <row r="174" spans="1:26" s="24" customFormat="1" hidden="1" outlineLevel="1" x14ac:dyDescent="0.25">
      <c r="A174" s="44"/>
      <c r="B174" s="11" t="str">
        <f>CONCATENATE("          ", "5500", " - ", "FREIGHT-IN")</f>
        <v xml:space="preserve">          5500 - FREIGHT-IN</v>
      </c>
      <c r="C174" s="11"/>
      <c r="D174" s="2">
        <v>7.3</v>
      </c>
      <c r="E174" s="2"/>
      <c r="F174" s="19">
        <f t="shared" si="10"/>
        <v>1.9978832618418628E-6</v>
      </c>
      <c r="G174" s="2"/>
      <c r="H174" s="2"/>
      <c r="I174" s="2"/>
      <c r="J174" s="19">
        <f t="shared" si="11"/>
        <v>0</v>
      </c>
      <c r="K174" s="2"/>
      <c r="L174" s="2">
        <f t="shared" si="12"/>
        <v>7.3</v>
      </c>
      <c r="M174" s="2"/>
      <c r="N174" s="19">
        <f t="shared" si="13"/>
        <v>0</v>
      </c>
      <c r="O174" s="11"/>
      <c r="P174" s="2">
        <v>122.53</v>
      </c>
      <c r="Q174" s="2"/>
      <c r="R174" s="19">
        <f t="shared" si="14"/>
        <v>5.638307637808855E-6</v>
      </c>
      <c r="S174" s="2"/>
      <c r="T174" s="2"/>
      <c r="U174" s="2"/>
      <c r="V174" s="19">
        <f t="shared" si="15"/>
        <v>0</v>
      </c>
      <c r="W174" s="2"/>
      <c r="X174" s="2">
        <f t="shared" si="16"/>
        <v>122.53</v>
      </c>
      <c r="Y174" s="2"/>
      <c r="Z174" s="19">
        <f t="shared" si="17"/>
        <v>0</v>
      </c>
    </row>
    <row r="175" spans="1:26" s="24" customFormat="1" hidden="1" outlineLevel="1" x14ac:dyDescent="0.25">
      <c r="A175" s="44"/>
      <c r="B175" s="11" t="str">
        <f>CONCATENATE("          ", "5501", " - ", "FREIGHT-IN-NEW TEXT")</f>
        <v xml:space="preserve">          5501 - FREIGHT-IN-NEW TEXT</v>
      </c>
      <c r="C175" s="11"/>
      <c r="D175" s="2">
        <v>3407.43</v>
      </c>
      <c r="E175" s="2"/>
      <c r="F175" s="19">
        <f t="shared" si="10"/>
        <v>9.3255443327367371E-4</v>
      </c>
      <c r="G175" s="2"/>
      <c r="H175" s="2"/>
      <c r="I175" s="2"/>
      <c r="J175" s="19">
        <f t="shared" si="11"/>
        <v>0</v>
      </c>
      <c r="K175" s="2"/>
      <c r="L175" s="2">
        <f t="shared" si="12"/>
        <v>3407.43</v>
      </c>
      <c r="M175" s="2"/>
      <c r="N175" s="19">
        <f t="shared" si="13"/>
        <v>0</v>
      </c>
      <c r="O175" s="11"/>
      <c r="P175" s="2">
        <v>42077.369999999995</v>
      </c>
      <c r="Q175" s="2"/>
      <c r="R175" s="19">
        <f t="shared" si="14"/>
        <v>1.9362209797593173E-3</v>
      </c>
      <c r="S175" s="2"/>
      <c r="T175" s="2"/>
      <c r="U175" s="2"/>
      <c r="V175" s="19">
        <f t="shared" si="15"/>
        <v>0</v>
      </c>
      <c r="W175" s="2"/>
      <c r="X175" s="2">
        <f t="shared" si="16"/>
        <v>42077.369999999995</v>
      </c>
      <c r="Y175" s="2"/>
      <c r="Z175" s="19">
        <f t="shared" si="17"/>
        <v>0</v>
      </c>
    </row>
    <row r="176" spans="1:26" s="24" customFormat="1" hidden="1" outlineLevel="1" x14ac:dyDescent="0.25">
      <c r="A176" s="44"/>
      <c r="B176" s="11" t="str">
        <f>CONCATENATE("          ", "5502", " - ", "FREIGHT-IN-USED TEXT")</f>
        <v xml:space="preserve">          5502 - FREIGHT-IN-USED TEXT</v>
      </c>
      <c r="C176" s="11"/>
      <c r="D176" s="2">
        <v>4124.8100000000004</v>
      </c>
      <c r="E176" s="2"/>
      <c r="F176" s="19">
        <f t="shared" si="10"/>
        <v>1.1288888845586212E-3</v>
      </c>
      <c r="G176" s="2"/>
      <c r="H176" s="2"/>
      <c r="I176" s="2"/>
      <c r="J176" s="19">
        <f t="shared" si="11"/>
        <v>0</v>
      </c>
      <c r="K176" s="2"/>
      <c r="L176" s="2">
        <f t="shared" si="12"/>
        <v>4124.8100000000004</v>
      </c>
      <c r="M176" s="2"/>
      <c r="N176" s="19">
        <f t="shared" si="13"/>
        <v>0</v>
      </c>
      <c r="O176" s="11"/>
      <c r="P176" s="2">
        <v>11778.23</v>
      </c>
      <c r="Q176" s="2"/>
      <c r="R176" s="19">
        <f t="shared" si="14"/>
        <v>5.4198387471533001E-4</v>
      </c>
      <c r="S176" s="2"/>
      <c r="T176" s="2"/>
      <c r="U176" s="2"/>
      <c r="V176" s="19">
        <f t="shared" si="15"/>
        <v>0</v>
      </c>
      <c r="W176" s="2"/>
      <c r="X176" s="2">
        <f t="shared" si="16"/>
        <v>11778.23</v>
      </c>
      <c r="Y176" s="2"/>
      <c r="Z176" s="19">
        <f t="shared" si="17"/>
        <v>0</v>
      </c>
    </row>
    <row r="177" spans="1:26" s="24" customFormat="1" hidden="1" outlineLevel="1" x14ac:dyDescent="0.25">
      <c r="A177" s="44"/>
      <c r="B177" s="11" t="str">
        <f>CONCATENATE("          ", "5504", " - ", "FREIGHT-IN-DIGITAL TEXT")</f>
        <v xml:space="preserve">          5504 - FREIGHT-IN-DIGITAL TEXT</v>
      </c>
      <c r="C177" s="11"/>
      <c r="D177" s="2"/>
      <c r="E177" s="2"/>
      <c r="F177" s="19">
        <f t="shared" si="10"/>
        <v>0</v>
      </c>
      <c r="G177" s="2"/>
      <c r="H177" s="2"/>
      <c r="I177" s="2"/>
      <c r="J177" s="19">
        <f t="shared" si="11"/>
        <v>0</v>
      </c>
      <c r="K177" s="2"/>
      <c r="L177" s="2">
        <f t="shared" si="12"/>
        <v>0</v>
      </c>
      <c r="M177" s="2"/>
      <c r="N177" s="19">
        <f t="shared" si="13"/>
        <v>0</v>
      </c>
      <c r="O177" s="11"/>
      <c r="P177" s="2">
        <v>105.97</v>
      </c>
      <c r="Q177" s="2"/>
      <c r="R177" s="19">
        <f t="shared" si="14"/>
        <v>4.8762871164498843E-6</v>
      </c>
      <c r="S177" s="2"/>
      <c r="T177" s="2"/>
      <c r="U177" s="2"/>
      <c r="V177" s="19">
        <f t="shared" si="15"/>
        <v>0</v>
      </c>
      <c r="W177" s="2"/>
      <c r="X177" s="2">
        <f t="shared" si="16"/>
        <v>105.97</v>
      </c>
      <c r="Y177" s="2"/>
      <c r="Z177" s="19">
        <f t="shared" si="17"/>
        <v>0</v>
      </c>
    </row>
    <row r="178" spans="1:26" s="24" customFormat="1" hidden="1" outlineLevel="1" x14ac:dyDescent="0.25">
      <c r="A178" s="44"/>
      <c r="B178" s="11" t="str">
        <f>CONCATENATE("          ", "5513", " - ", "FREIGHT-IN-TRADE BOOKS")</f>
        <v xml:space="preserve">          5513 - FREIGHT-IN-TRADE BOOKS</v>
      </c>
      <c r="C178" s="11"/>
      <c r="D178" s="2"/>
      <c r="E178" s="2"/>
      <c r="F178" s="19">
        <f t="shared" si="10"/>
        <v>0</v>
      </c>
      <c r="G178" s="2"/>
      <c r="H178" s="2"/>
      <c r="I178" s="2"/>
      <c r="J178" s="19">
        <f t="shared" si="11"/>
        <v>0</v>
      </c>
      <c r="K178" s="2"/>
      <c r="L178" s="2">
        <f t="shared" si="12"/>
        <v>0</v>
      </c>
      <c r="M178" s="2"/>
      <c r="N178" s="19">
        <f t="shared" si="13"/>
        <v>0</v>
      </c>
      <c r="O178" s="11"/>
      <c r="P178" s="2">
        <v>21.41</v>
      </c>
      <c r="Q178" s="2"/>
      <c r="R178" s="19">
        <f t="shared" si="14"/>
        <v>9.8519682139465903E-7</v>
      </c>
      <c r="S178" s="2"/>
      <c r="T178" s="2"/>
      <c r="U178" s="2"/>
      <c r="V178" s="19">
        <f t="shared" si="15"/>
        <v>0</v>
      </c>
      <c r="W178" s="2"/>
      <c r="X178" s="2">
        <f t="shared" si="16"/>
        <v>21.41</v>
      </c>
      <c r="Y178" s="2"/>
      <c r="Z178" s="19">
        <f t="shared" si="17"/>
        <v>0</v>
      </c>
    </row>
    <row r="179" spans="1:26" s="24" customFormat="1" hidden="1" outlineLevel="1" x14ac:dyDescent="0.25">
      <c r="A179" s="44"/>
      <c r="B179" s="11" t="str">
        <f>CONCATENATE("          ", "5518", " - ", "FREIGHT-IN-STUDY GUIDES")</f>
        <v xml:space="preserve">          5518 - FREIGHT-IN-STUDY GUIDES</v>
      </c>
      <c r="C179" s="11"/>
      <c r="D179" s="2"/>
      <c r="E179" s="2"/>
      <c r="F179" s="19">
        <f t="shared" si="10"/>
        <v>0</v>
      </c>
      <c r="G179" s="2"/>
      <c r="H179" s="2"/>
      <c r="I179" s="2"/>
      <c r="J179" s="19">
        <f t="shared" si="11"/>
        <v>0</v>
      </c>
      <c r="K179" s="2"/>
      <c r="L179" s="2">
        <f t="shared" si="12"/>
        <v>0</v>
      </c>
      <c r="M179" s="2"/>
      <c r="N179" s="19">
        <f t="shared" si="13"/>
        <v>0</v>
      </c>
      <c r="O179" s="11"/>
      <c r="P179" s="2">
        <v>21.13</v>
      </c>
      <c r="Q179" s="2"/>
      <c r="R179" s="19">
        <f t="shared" si="14"/>
        <v>9.7231241644414504E-7</v>
      </c>
      <c r="S179" s="2"/>
      <c r="T179" s="2"/>
      <c r="U179" s="2"/>
      <c r="V179" s="19">
        <f t="shared" si="15"/>
        <v>0</v>
      </c>
      <c r="W179" s="2"/>
      <c r="X179" s="2">
        <f t="shared" si="16"/>
        <v>21.13</v>
      </c>
      <c r="Y179" s="2"/>
      <c r="Z179" s="19">
        <f t="shared" si="17"/>
        <v>0</v>
      </c>
    </row>
    <row r="180" spans="1:26" s="24" customFormat="1" hidden="1" outlineLevel="1" x14ac:dyDescent="0.25">
      <c r="A180" s="44"/>
      <c r="B180" s="11" t="str">
        <f>CONCATENATE("          ", "5525", " - ", "FREIGHT-IN-TEST FORMS")</f>
        <v xml:space="preserve">          5525 - FREIGHT-IN-TEST FORMS</v>
      </c>
      <c r="C180" s="11"/>
      <c r="D180" s="2"/>
      <c r="E180" s="2"/>
      <c r="F180" s="19">
        <f t="shared" si="10"/>
        <v>0</v>
      </c>
      <c r="G180" s="2"/>
      <c r="H180" s="2"/>
      <c r="I180" s="2"/>
      <c r="J180" s="19">
        <f t="shared" si="11"/>
        <v>0</v>
      </c>
      <c r="K180" s="2"/>
      <c r="L180" s="2">
        <f t="shared" si="12"/>
        <v>0</v>
      </c>
      <c r="M180" s="2"/>
      <c r="N180" s="19">
        <f t="shared" si="13"/>
        <v>0</v>
      </c>
      <c r="O180" s="11"/>
      <c r="P180" s="2">
        <v>622.41</v>
      </c>
      <c r="Q180" s="2"/>
      <c r="R180" s="19">
        <f t="shared" si="14"/>
        <v>2.8640651733033616E-5</v>
      </c>
      <c r="S180" s="2"/>
      <c r="T180" s="2"/>
      <c r="U180" s="2"/>
      <c r="V180" s="19">
        <f t="shared" si="15"/>
        <v>0</v>
      </c>
      <c r="W180" s="2"/>
      <c r="X180" s="2">
        <f t="shared" si="16"/>
        <v>622.41</v>
      </c>
      <c r="Y180" s="2"/>
      <c r="Z180" s="19">
        <f t="shared" si="17"/>
        <v>0</v>
      </c>
    </row>
    <row r="181" spans="1:26" s="24" customFormat="1" hidden="1" outlineLevel="1" x14ac:dyDescent="0.25">
      <c r="A181" s="44"/>
      <c r="B181" s="11" t="str">
        <f>CONCATENATE("          ", "5526", " - ", "FREIGHT-IN-WRITING INSTRUMENTS")</f>
        <v xml:space="preserve">          5526 - FREIGHT-IN-WRITING INSTRUMENTS</v>
      </c>
      <c r="C181" s="11"/>
      <c r="D181" s="2"/>
      <c r="E181" s="2"/>
      <c r="F181" s="19">
        <f t="shared" si="10"/>
        <v>0</v>
      </c>
      <c r="G181" s="2"/>
      <c r="H181" s="2"/>
      <c r="I181" s="2"/>
      <c r="J181" s="19">
        <f t="shared" si="11"/>
        <v>0</v>
      </c>
      <c r="K181" s="2"/>
      <c r="L181" s="2">
        <f t="shared" si="12"/>
        <v>0</v>
      </c>
      <c r="M181" s="2"/>
      <c r="N181" s="19">
        <f t="shared" si="13"/>
        <v>0</v>
      </c>
      <c r="O181" s="11"/>
      <c r="P181" s="2">
        <v>260.35000000000002</v>
      </c>
      <c r="Q181" s="2"/>
      <c r="R181" s="19">
        <f t="shared" si="14"/>
        <v>1.1980195817379707E-5</v>
      </c>
      <c r="S181" s="2"/>
      <c r="T181" s="2"/>
      <c r="U181" s="2"/>
      <c r="V181" s="19">
        <f t="shared" si="15"/>
        <v>0</v>
      </c>
      <c r="W181" s="2"/>
      <c r="X181" s="2">
        <f t="shared" si="16"/>
        <v>260.35000000000002</v>
      </c>
      <c r="Y181" s="2"/>
      <c r="Z181" s="19">
        <f t="shared" si="17"/>
        <v>0</v>
      </c>
    </row>
    <row r="182" spans="1:26" s="24" customFormat="1" hidden="1" outlineLevel="1" x14ac:dyDescent="0.25">
      <c r="A182" s="44"/>
      <c r="B182" s="11" t="str">
        <f>CONCATENATE("          ", "5527", " - ", "FREIGHT-IN-SCHOOL SUPPLIES")</f>
        <v xml:space="preserve">          5527 - FREIGHT-IN-SCHOOL SUPPLIES</v>
      </c>
      <c r="C182" s="11"/>
      <c r="D182" s="2">
        <v>321.92</v>
      </c>
      <c r="E182" s="2"/>
      <c r="F182" s="19">
        <f t="shared" si="10"/>
        <v>8.810391502084007E-5</v>
      </c>
      <c r="G182" s="2"/>
      <c r="H182" s="2"/>
      <c r="I182" s="2"/>
      <c r="J182" s="19">
        <f t="shared" si="11"/>
        <v>0</v>
      </c>
      <c r="K182" s="2"/>
      <c r="L182" s="2">
        <f t="shared" si="12"/>
        <v>321.92</v>
      </c>
      <c r="M182" s="2"/>
      <c r="N182" s="19">
        <f t="shared" si="13"/>
        <v>0</v>
      </c>
      <c r="O182" s="11"/>
      <c r="P182" s="2">
        <v>1219.8399999999999</v>
      </c>
      <c r="Q182" s="2"/>
      <c r="R182" s="19">
        <f t="shared" si="14"/>
        <v>5.6131830481553523E-5</v>
      </c>
      <c r="S182" s="2"/>
      <c r="T182" s="2"/>
      <c r="U182" s="2"/>
      <c r="V182" s="19">
        <f t="shared" si="15"/>
        <v>0</v>
      </c>
      <c r="W182" s="2"/>
      <c r="X182" s="2">
        <f t="shared" si="16"/>
        <v>1219.8399999999999</v>
      </c>
      <c r="Y182" s="2"/>
      <c r="Z182" s="19">
        <f t="shared" si="17"/>
        <v>0</v>
      </c>
    </row>
    <row r="183" spans="1:26" s="24" customFormat="1" hidden="1" outlineLevel="1" x14ac:dyDescent="0.25">
      <c r="A183" s="44"/>
      <c r="B183" s="11" t="str">
        <f>CONCATENATE("          ", "5528", " - ", "FREIGHT-IN-ART/TECH")</f>
        <v xml:space="preserve">          5528 - FREIGHT-IN-ART/TECH</v>
      </c>
      <c r="C183" s="11"/>
      <c r="D183" s="2">
        <v>220.82</v>
      </c>
      <c r="E183" s="2"/>
      <c r="F183" s="19">
        <f t="shared" si="10"/>
        <v>6.0434600257523304E-5</v>
      </c>
      <c r="G183" s="2"/>
      <c r="H183" s="2"/>
      <c r="I183" s="2"/>
      <c r="J183" s="19">
        <f t="shared" si="11"/>
        <v>0</v>
      </c>
      <c r="K183" s="2"/>
      <c r="L183" s="2">
        <f t="shared" si="12"/>
        <v>220.82</v>
      </c>
      <c r="M183" s="2"/>
      <c r="N183" s="19">
        <f t="shared" si="13"/>
        <v>0</v>
      </c>
      <c r="O183" s="11"/>
      <c r="P183" s="2">
        <v>1331.46</v>
      </c>
      <c r="Q183" s="2"/>
      <c r="R183" s="19">
        <f t="shared" si="14"/>
        <v>6.1268106483611991E-5</v>
      </c>
      <c r="S183" s="2"/>
      <c r="T183" s="2"/>
      <c r="U183" s="2"/>
      <c r="V183" s="19">
        <f t="shared" si="15"/>
        <v>0</v>
      </c>
      <c r="W183" s="2"/>
      <c r="X183" s="2">
        <f t="shared" si="16"/>
        <v>1331.46</v>
      </c>
      <c r="Y183" s="2"/>
      <c r="Z183" s="19">
        <f t="shared" si="17"/>
        <v>0</v>
      </c>
    </row>
    <row r="184" spans="1:26" s="24" customFormat="1" hidden="1" outlineLevel="1" x14ac:dyDescent="0.25">
      <c r="A184" s="44"/>
      <c r="B184" s="11" t="str">
        <f>CONCATENATE("          ", "5540", " - ", "FREIGHT-IN-LOGO CLOTHING")</f>
        <v xml:space="preserve">          5540 - FREIGHT-IN-LOGO CLOTHING</v>
      </c>
      <c r="C184" s="11"/>
      <c r="D184" s="2">
        <v>1400.5</v>
      </c>
      <c r="E184" s="2"/>
      <c r="F184" s="19">
        <f t="shared" si="10"/>
        <v>3.8329253537116833E-4</v>
      </c>
      <c r="G184" s="2"/>
      <c r="H184" s="2"/>
      <c r="I184" s="2"/>
      <c r="J184" s="19">
        <f t="shared" si="11"/>
        <v>0</v>
      </c>
      <c r="K184" s="2"/>
      <c r="L184" s="2">
        <f t="shared" si="12"/>
        <v>1400.5</v>
      </c>
      <c r="M184" s="2"/>
      <c r="N184" s="19">
        <f t="shared" si="13"/>
        <v>0</v>
      </c>
      <c r="O184" s="11"/>
      <c r="P184" s="2">
        <v>25677.89</v>
      </c>
      <c r="Q184" s="2"/>
      <c r="R184" s="19">
        <f t="shared" si="14"/>
        <v>1.1815869036955488E-3</v>
      </c>
      <c r="S184" s="2"/>
      <c r="T184" s="2"/>
      <c r="U184" s="2"/>
      <c r="V184" s="19">
        <f t="shared" si="15"/>
        <v>0</v>
      </c>
      <c r="W184" s="2"/>
      <c r="X184" s="2">
        <f t="shared" si="16"/>
        <v>25677.89</v>
      </c>
      <c r="Y184" s="2"/>
      <c r="Z184" s="19">
        <f t="shared" si="17"/>
        <v>0</v>
      </c>
    </row>
    <row r="185" spans="1:26" s="24" customFormat="1" hidden="1" outlineLevel="1" x14ac:dyDescent="0.25">
      <c r="A185" s="44"/>
      <c r="B185" s="11" t="str">
        <f>CONCATENATE("          ", "5541", " - ", "FREIGHT-IN-LOGO GIFTS")</f>
        <v xml:space="preserve">          5541 - FREIGHT-IN-LOGO GIFTS</v>
      </c>
      <c r="C185" s="11"/>
      <c r="D185" s="2">
        <v>24.8</v>
      </c>
      <c r="E185" s="2"/>
      <c r="F185" s="19">
        <f t="shared" si="10"/>
        <v>6.7873294374901637E-6</v>
      </c>
      <c r="G185" s="2"/>
      <c r="H185" s="2"/>
      <c r="I185" s="2"/>
      <c r="J185" s="19">
        <f t="shared" si="11"/>
        <v>0</v>
      </c>
      <c r="K185" s="2"/>
      <c r="L185" s="2">
        <f t="shared" si="12"/>
        <v>24.8</v>
      </c>
      <c r="M185" s="2"/>
      <c r="N185" s="19">
        <f t="shared" si="13"/>
        <v>0</v>
      </c>
      <c r="O185" s="11"/>
      <c r="P185" s="2">
        <v>3587.57</v>
      </c>
      <c r="Q185" s="2"/>
      <c r="R185" s="19">
        <f t="shared" si="14"/>
        <v>1.6508465952969816E-4</v>
      </c>
      <c r="S185" s="2"/>
      <c r="T185" s="2"/>
      <c r="U185" s="2"/>
      <c r="V185" s="19">
        <f t="shared" si="15"/>
        <v>0</v>
      </c>
      <c r="W185" s="2"/>
      <c r="X185" s="2">
        <f t="shared" si="16"/>
        <v>3587.57</v>
      </c>
      <c r="Y185" s="2"/>
      <c r="Z185" s="19">
        <f t="shared" si="17"/>
        <v>0</v>
      </c>
    </row>
    <row r="186" spans="1:26" s="24" customFormat="1" hidden="1" outlineLevel="1" x14ac:dyDescent="0.25">
      <c r="A186" s="44"/>
      <c r="B186" s="11" t="str">
        <f>CONCATENATE("          ", "5542", " - ", "FREIGHT-IN-EVERYDAY GIFTS")</f>
        <v xml:space="preserve">          5542 - FREIGHT-IN-EVERYDAY GIFTS</v>
      </c>
      <c r="C186" s="11"/>
      <c r="D186" s="2"/>
      <c r="E186" s="2"/>
      <c r="F186" s="19">
        <f t="shared" si="10"/>
        <v>0</v>
      </c>
      <c r="G186" s="2"/>
      <c r="H186" s="2"/>
      <c r="I186" s="2"/>
      <c r="J186" s="19">
        <f t="shared" si="11"/>
        <v>0</v>
      </c>
      <c r="K186" s="2"/>
      <c r="L186" s="2">
        <f t="shared" si="12"/>
        <v>0</v>
      </c>
      <c r="M186" s="2"/>
      <c r="N186" s="19">
        <f t="shared" si="13"/>
        <v>0</v>
      </c>
      <c r="O186" s="11"/>
      <c r="P186" s="2">
        <v>1708.33</v>
      </c>
      <c r="Q186" s="2"/>
      <c r="R186" s="19">
        <f t="shared" si="14"/>
        <v>7.8610055389684167E-5</v>
      </c>
      <c r="S186" s="2"/>
      <c r="T186" s="2"/>
      <c r="U186" s="2"/>
      <c r="V186" s="19">
        <f t="shared" si="15"/>
        <v>0</v>
      </c>
      <c r="W186" s="2"/>
      <c r="X186" s="2">
        <f t="shared" si="16"/>
        <v>1708.33</v>
      </c>
      <c r="Y186" s="2"/>
      <c r="Z186" s="19">
        <f t="shared" si="17"/>
        <v>0</v>
      </c>
    </row>
    <row r="187" spans="1:26" s="24" customFormat="1" hidden="1" outlineLevel="1" x14ac:dyDescent="0.25">
      <c r="A187" s="44"/>
      <c r="B187" s="11" t="str">
        <f>CONCATENATE("          ", "5543", " - ", "FREIGHT-IN-CARDS")</f>
        <v xml:space="preserve">          5543 - FREIGHT-IN-CARDS</v>
      </c>
      <c r="C187" s="11"/>
      <c r="D187" s="2"/>
      <c r="E187" s="2"/>
      <c r="F187" s="19">
        <f t="shared" si="10"/>
        <v>0</v>
      </c>
      <c r="G187" s="2"/>
      <c r="H187" s="2"/>
      <c r="I187" s="2"/>
      <c r="J187" s="19">
        <f t="shared" si="11"/>
        <v>0</v>
      </c>
      <c r="K187" s="2"/>
      <c r="L187" s="2">
        <f t="shared" si="12"/>
        <v>0</v>
      </c>
      <c r="M187" s="2"/>
      <c r="N187" s="19">
        <f t="shared" si="13"/>
        <v>0</v>
      </c>
      <c r="O187" s="11"/>
      <c r="P187" s="2">
        <v>121.35</v>
      </c>
      <c r="Q187" s="2"/>
      <c r="R187" s="19">
        <f t="shared" si="14"/>
        <v>5.5840090740888308E-6</v>
      </c>
      <c r="S187" s="2"/>
      <c r="T187" s="2"/>
      <c r="U187" s="2"/>
      <c r="V187" s="19">
        <f t="shared" si="15"/>
        <v>0</v>
      </c>
      <c r="W187" s="2"/>
      <c r="X187" s="2">
        <f t="shared" si="16"/>
        <v>121.35</v>
      </c>
      <c r="Y187" s="2"/>
      <c r="Z187" s="19">
        <f t="shared" si="17"/>
        <v>0</v>
      </c>
    </row>
    <row r="188" spans="1:26" s="24" customFormat="1" hidden="1" outlineLevel="1" x14ac:dyDescent="0.25">
      <c r="A188" s="44"/>
      <c r="B188" s="11" t="str">
        <f>CONCATENATE("          ", "5544", " - ", "FREIGHT-IN-ACCESSORIES")</f>
        <v xml:space="preserve">          5544 - FREIGHT-IN-ACCESSORIES</v>
      </c>
      <c r="C188" s="11"/>
      <c r="D188" s="2"/>
      <c r="E188" s="2"/>
      <c r="F188" s="19">
        <f t="shared" si="10"/>
        <v>0</v>
      </c>
      <c r="G188" s="2"/>
      <c r="H188" s="2"/>
      <c r="I188" s="2"/>
      <c r="J188" s="19">
        <f t="shared" si="11"/>
        <v>0</v>
      </c>
      <c r="K188" s="2"/>
      <c r="L188" s="2">
        <f t="shared" si="12"/>
        <v>0</v>
      </c>
      <c r="M188" s="2"/>
      <c r="N188" s="19">
        <f t="shared" si="13"/>
        <v>0</v>
      </c>
      <c r="O188" s="11"/>
      <c r="P188" s="2">
        <v>442.31</v>
      </c>
      <c r="Q188" s="2"/>
      <c r="R188" s="19">
        <f t="shared" si="14"/>
        <v>2.0353218405935156E-5</v>
      </c>
      <c r="S188" s="2"/>
      <c r="T188" s="2"/>
      <c r="U188" s="2"/>
      <c r="V188" s="19">
        <f t="shared" si="15"/>
        <v>0</v>
      </c>
      <c r="W188" s="2"/>
      <c r="X188" s="2">
        <f t="shared" si="16"/>
        <v>442.31</v>
      </c>
      <c r="Y188" s="2"/>
      <c r="Z188" s="19">
        <f t="shared" si="17"/>
        <v>0</v>
      </c>
    </row>
    <row r="189" spans="1:26" s="24" customFormat="1" hidden="1" outlineLevel="1" x14ac:dyDescent="0.25">
      <c r="A189" s="44"/>
      <c r="B189" s="11" t="str">
        <f>CONCATENATE("          ", "5545", " - ", "FREIGHT-IN-SPECIAL ORDERS")</f>
        <v xml:space="preserve">          5545 - FREIGHT-IN-SPECIAL ORDERS</v>
      </c>
      <c r="C189" s="11"/>
      <c r="D189" s="2">
        <v>14.23</v>
      </c>
      <c r="E189" s="2"/>
      <c r="F189" s="19">
        <f t="shared" si="10"/>
        <v>3.8945039473985897E-6</v>
      </c>
      <c r="G189" s="2"/>
      <c r="H189" s="2"/>
      <c r="I189" s="2"/>
      <c r="J189" s="19">
        <f t="shared" si="11"/>
        <v>0</v>
      </c>
      <c r="K189" s="2"/>
      <c r="L189" s="2">
        <f t="shared" si="12"/>
        <v>14.23</v>
      </c>
      <c r="M189" s="2"/>
      <c r="N189" s="19">
        <f t="shared" si="13"/>
        <v>0</v>
      </c>
      <c r="O189" s="11"/>
      <c r="P189" s="2">
        <v>841.9</v>
      </c>
      <c r="Q189" s="2"/>
      <c r="R189" s="19">
        <f t="shared" si="14"/>
        <v>3.8740644742277604E-5</v>
      </c>
      <c r="S189" s="2"/>
      <c r="T189" s="2"/>
      <c r="U189" s="2"/>
      <c r="V189" s="19">
        <f t="shared" si="15"/>
        <v>0</v>
      </c>
      <c r="W189" s="2"/>
      <c r="X189" s="2">
        <f t="shared" si="16"/>
        <v>841.9</v>
      </c>
      <c r="Y189" s="2"/>
      <c r="Z189" s="19">
        <f t="shared" si="17"/>
        <v>0</v>
      </c>
    </row>
    <row r="190" spans="1:26" s="24" customFormat="1" hidden="1" outlineLevel="1" x14ac:dyDescent="0.25">
      <c r="A190" s="44"/>
      <c r="B190" s="11" t="str">
        <f>CONCATENATE("          ", "5581", " - ", "FREIGHT-IN-ELECTRONICS")</f>
        <v xml:space="preserve">          5581 - FREIGHT-IN-ELECTRONICS</v>
      </c>
      <c r="C190" s="11"/>
      <c r="D190" s="2"/>
      <c r="E190" s="2"/>
      <c r="F190" s="19">
        <f t="shared" si="10"/>
        <v>0</v>
      </c>
      <c r="G190" s="2"/>
      <c r="H190" s="2"/>
      <c r="I190" s="2"/>
      <c r="J190" s="19">
        <f t="shared" si="11"/>
        <v>0</v>
      </c>
      <c r="K190" s="2"/>
      <c r="L190" s="2">
        <f t="shared" si="12"/>
        <v>0</v>
      </c>
      <c r="M190" s="2"/>
      <c r="N190" s="19">
        <f t="shared" si="13"/>
        <v>0</v>
      </c>
      <c r="O190" s="11"/>
      <c r="P190" s="2">
        <v>105.75</v>
      </c>
      <c r="Q190" s="2"/>
      <c r="R190" s="19">
        <f t="shared" si="14"/>
        <v>4.8661636554173374E-6</v>
      </c>
      <c r="S190" s="2"/>
      <c r="T190" s="2"/>
      <c r="U190" s="2"/>
      <c r="V190" s="19">
        <f t="shared" si="15"/>
        <v>0</v>
      </c>
      <c r="W190" s="2"/>
      <c r="X190" s="2">
        <f t="shared" si="16"/>
        <v>105.75</v>
      </c>
      <c r="Y190" s="2"/>
      <c r="Z190" s="19">
        <f t="shared" si="17"/>
        <v>0</v>
      </c>
    </row>
    <row r="191" spans="1:26" s="24" customFormat="1" hidden="1" outlineLevel="1" x14ac:dyDescent="0.25">
      <c r="A191" s="44"/>
      <c r="B191" s="11" t="str">
        <f>CONCATENATE("          ", "5582", " - ", "FREIGHT-IN-COMPUTER HARDWARE")</f>
        <v xml:space="preserve">          5582 - FREIGHT-IN-COMPUTER HARDWARE</v>
      </c>
      <c r="C191" s="11"/>
      <c r="D191" s="2"/>
      <c r="E191" s="2"/>
      <c r="F191" s="19">
        <f t="shared" si="10"/>
        <v>0</v>
      </c>
      <c r="G191" s="2"/>
      <c r="H191" s="2"/>
      <c r="I191" s="2"/>
      <c r="J191" s="19">
        <f t="shared" si="11"/>
        <v>0</v>
      </c>
      <c r="K191" s="2"/>
      <c r="L191" s="2">
        <f t="shared" si="12"/>
        <v>0</v>
      </c>
      <c r="M191" s="2"/>
      <c r="N191" s="19">
        <f t="shared" si="13"/>
        <v>0</v>
      </c>
      <c r="O191" s="11"/>
      <c r="P191" s="2">
        <v>4.84</v>
      </c>
      <c r="Q191" s="2"/>
      <c r="R191" s="19">
        <f t="shared" si="14"/>
        <v>2.2271614271602756E-7</v>
      </c>
      <c r="S191" s="2"/>
      <c r="T191" s="2"/>
      <c r="U191" s="2"/>
      <c r="V191" s="19">
        <f t="shared" si="15"/>
        <v>0</v>
      </c>
      <c r="W191" s="2"/>
      <c r="X191" s="2">
        <f t="shared" si="16"/>
        <v>4.84</v>
      </c>
      <c r="Y191" s="2"/>
      <c r="Z191" s="19">
        <f t="shared" si="17"/>
        <v>0</v>
      </c>
    </row>
    <row r="192" spans="1:26" s="24" customFormat="1" hidden="1" outlineLevel="1" x14ac:dyDescent="0.25">
      <c r="A192" s="44"/>
      <c r="B192" s="11" t="str">
        <f>CONCATENATE("          ", "5583", " - ", "FREIGHT-IN-COMPUTER EQUIPMENT")</f>
        <v xml:space="preserve">          5583 - FREIGHT-IN-COMPUTER EQUIPMENT</v>
      </c>
      <c r="C192" s="11"/>
      <c r="D192" s="2"/>
      <c r="E192" s="2"/>
      <c r="F192" s="19">
        <f t="shared" si="10"/>
        <v>0</v>
      </c>
      <c r="G192" s="2"/>
      <c r="H192" s="2"/>
      <c r="I192" s="2"/>
      <c r="J192" s="19">
        <f t="shared" si="11"/>
        <v>0</v>
      </c>
      <c r="K192" s="2"/>
      <c r="L192" s="2">
        <f t="shared" si="12"/>
        <v>0</v>
      </c>
      <c r="M192" s="2"/>
      <c r="N192" s="19">
        <f t="shared" si="13"/>
        <v>0</v>
      </c>
      <c r="O192" s="11"/>
      <c r="P192" s="2">
        <v>49.12</v>
      </c>
      <c r="Q192" s="2"/>
      <c r="R192" s="19">
        <f t="shared" si="14"/>
        <v>2.260292754175883E-6</v>
      </c>
      <c r="S192" s="2"/>
      <c r="T192" s="2"/>
      <c r="U192" s="2"/>
      <c r="V192" s="19">
        <f t="shared" si="15"/>
        <v>0</v>
      </c>
      <c r="W192" s="2"/>
      <c r="X192" s="2">
        <f t="shared" si="16"/>
        <v>49.12</v>
      </c>
      <c r="Y192" s="2"/>
      <c r="Z192" s="19">
        <f t="shared" si="17"/>
        <v>0</v>
      </c>
    </row>
    <row r="193" spans="1:26" s="24" customFormat="1" hidden="1" outlineLevel="1" x14ac:dyDescent="0.25">
      <c r="A193" s="44"/>
      <c r="B193" s="11" t="str">
        <f>CONCATENATE("          ", "5586", " - ", "FREIGHT-IN-COMPUTER SUPPLIES")</f>
        <v xml:space="preserve">          5586 - FREIGHT-IN-COMPUTER SUPPLIES</v>
      </c>
      <c r="C193" s="11"/>
      <c r="D193" s="2">
        <v>33.31</v>
      </c>
      <c r="E193" s="2"/>
      <c r="F193" s="19">
        <f t="shared" si="10"/>
        <v>9.11636869204828E-6</v>
      </c>
      <c r="G193" s="2"/>
      <c r="H193" s="2"/>
      <c r="I193" s="2"/>
      <c r="J193" s="19">
        <f t="shared" si="11"/>
        <v>0</v>
      </c>
      <c r="K193" s="2"/>
      <c r="L193" s="2">
        <f t="shared" si="12"/>
        <v>33.31</v>
      </c>
      <c r="M193" s="2"/>
      <c r="N193" s="19">
        <f t="shared" si="13"/>
        <v>0</v>
      </c>
      <c r="O193" s="11"/>
      <c r="P193" s="2">
        <v>195.82</v>
      </c>
      <c r="Q193" s="2"/>
      <c r="R193" s="19">
        <f t="shared" si="14"/>
        <v>9.0108006336058914E-6</v>
      </c>
      <c r="S193" s="2"/>
      <c r="T193" s="2"/>
      <c r="U193" s="2"/>
      <c r="V193" s="19">
        <f t="shared" si="15"/>
        <v>0</v>
      </c>
      <c r="W193" s="2"/>
      <c r="X193" s="2">
        <f t="shared" si="16"/>
        <v>195.82</v>
      </c>
      <c r="Y193" s="2"/>
      <c r="Z193" s="19">
        <f t="shared" si="17"/>
        <v>0</v>
      </c>
    </row>
    <row r="194" spans="1:26" s="24" customFormat="1" hidden="1" outlineLevel="1" x14ac:dyDescent="0.25">
      <c r="A194" s="44"/>
      <c r="B194" s="11" t="str">
        <f>CONCATENATE("          ", "5592", " - ", "FREIGHT-IN-GRAD MERCH")</f>
        <v xml:space="preserve">          5592 - FREIGHT-IN-GRAD MERCH</v>
      </c>
      <c r="C194" s="11"/>
      <c r="D194" s="2"/>
      <c r="E194" s="2"/>
      <c r="F194" s="19">
        <f t="shared" si="10"/>
        <v>0</v>
      </c>
      <c r="G194" s="2"/>
      <c r="H194" s="2"/>
      <c r="I194" s="2"/>
      <c r="J194" s="19">
        <f t="shared" si="11"/>
        <v>0</v>
      </c>
      <c r="K194" s="2"/>
      <c r="L194" s="2">
        <f t="shared" si="12"/>
        <v>0</v>
      </c>
      <c r="M194" s="2"/>
      <c r="N194" s="19">
        <f t="shared" si="13"/>
        <v>0</v>
      </c>
      <c r="O194" s="11"/>
      <c r="P194" s="2">
        <v>105.78</v>
      </c>
      <c r="Q194" s="2"/>
      <c r="R194" s="19">
        <f t="shared" si="14"/>
        <v>4.8675441273763216E-6</v>
      </c>
      <c r="S194" s="2"/>
      <c r="T194" s="2"/>
      <c r="U194" s="2"/>
      <c r="V194" s="19">
        <f t="shared" si="15"/>
        <v>0</v>
      </c>
      <c r="W194" s="2"/>
      <c r="X194" s="2">
        <f t="shared" si="16"/>
        <v>105.78</v>
      </c>
      <c r="Y194" s="2"/>
      <c r="Z194" s="19">
        <f t="shared" si="17"/>
        <v>0</v>
      </c>
    </row>
    <row r="195" spans="1:26" x14ac:dyDescent="0.25">
      <c r="A195" s="9"/>
      <c r="B195" s="10"/>
      <c r="C195" s="10"/>
      <c r="D195" s="3"/>
      <c r="E195" s="3"/>
      <c r="F195" s="8"/>
      <c r="G195" s="3"/>
      <c r="H195" s="3"/>
      <c r="I195" s="3"/>
      <c r="J195" s="8"/>
      <c r="K195" s="3"/>
      <c r="L195" s="3"/>
      <c r="M195" s="3"/>
      <c r="N195" s="8"/>
      <c r="O195" s="10"/>
      <c r="P195" s="3"/>
      <c r="Q195" s="3"/>
      <c r="R195" s="8"/>
      <c r="S195" s="3"/>
      <c r="T195" s="3"/>
      <c r="U195" s="3"/>
      <c r="V195" s="8"/>
      <c r="W195" s="3"/>
      <c r="X195" s="3"/>
      <c r="Y195" s="3"/>
      <c r="Z195" s="8"/>
    </row>
    <row r="196" spans="1:26" s="23" customFormat="1" x14ac:dyDescent="0.25">
      <c r="A196" s="10"/>
      <c r="B196" s="29" t="s">
        <v>6</v>
      </c>
      <c r="C196" s="29"/>
      <c r="D196" s="21">
        <f>D12-D134</f>
        <v>1880328.1900000016</v>
      </c>
      <c r="E196" s="14"/>
      <c r="F196" s="20">
        <f>IF(D$12=0,0,D196/D$12)</f>
        <v>0.5146131804890971</v>
      </c>
      <c r="G196" s="14"/>
      <c r="H196" s="21">
        <f>H12-H134</f>
        <v>1766295.3693600004</v>
      </c>
      <c r="I196" s="14"/>
      <c r="J196" s="20">
        <f>IF(H$12=0,0,H196/H$12)</f>
        <v>0.44576555359504078</v>
      </c>
      <c r="K196" s="16"/>
      <c r="L196" s="21">
        <f>+D196-H196</f>
        <v>114032.82064000121</v>
      </c>
      <c r="M196" s="16"/>
      <c r="N196" s="20">
        <f>IF(H196=0,0,L196/H196)</f>
        <v>6.4560448166333509E-2</v>
      </c>
      <c r="O196" s="28"/>
      <c r="P196" s="21">
        <f>P12-P134</f>
        <v>12076357.269999994</v>
      </c>
      <c r="Q196" s="14"/>
      <c r="R196" s="20">
        <f>IF(P$12=0,0,P196/P$12)</f>
        <v>0.55570241926344122</v>
      </c>
      <c r="S196" s="14"/>
      <c r="T196" s="21">
        <f>T12-T134</f>
        <v>12687411.240780002</v>
      </c>
      <c r="U196" s="14"/>
      <c r="V196" s="20">
        <f>IF(T$12=0,0,T196/T$12)</f>
        <v>0.55478701460899049</v>
      </c>
      <c r="W196" s="16"/>
      <c r="X196" s="21">
        <f>+P196-T196</f>
        <v>-611053.97078000754</v>
      </c>
      <c r="Y196" s="16"/>
      <c r="Z196" s="20">
        <f>IF(T196=0,0,X196/T196)</f>
        <v>-4.8162226255893073E-2</v>
      </c>
    </row>
    <row r="197" spans="1:26" x14ac:dyDescent="0.25">
      <c r="A197" s="9"/>
      <c r="B197" s="10"/>
      <c r="C197" s="9"/>
      <c r="D197" s="1"/>
      <c r="E197" s="1"/>
      <c r="F197" s="5"/>
      <c r="G197" s="1"/>
      <c r="H197" s="1"/>
      <c r="I197" s="1"/>
      <c r="J197" s="5"/>
      <c r="K197" s="1"/>
      <c r="L197" s="1"/>
      <c r="M197" s="1"/>
      <c r="N197" s="5"/>
      <c r="O197" s="36"/>
      <c r="P197" s="1"/>
      <c r="Q197" s="1"/>
      <c r="R197" s="5"/>
      <c r="S197" s="1"/>
      <c r="T197" s="1"/>
      <c r="U197" s="1"/>
      <c r="V197" s="5"/>
      <c r="W197" s="1"/>
      <c r="X197" s="1"/>
      <c r="Y197" s="1"/>
      <c r="Z197" s="5"/>
    </row>
    <row r="198" spans="1:26" s="23" customFormat="1" x14ac:dyDescent="0.25">
      <c r="A198" s="10"/>
      <c r="B198" s="28" t="s">
        <v>9</v>
      </c>
      <c r="C198" s="10"/>
      <c r="D198" s="22">
        <f>SUM(OSRRefD22x_0)</f>
        <v>1519145.6899999995</v>
      </c>
      <c r="E198" s="22"/>
      <c r="F198" s="35">
        <f t="shared" ref="F198:F209" si="18">IF(D$12=0,0,D198/D$12)</f>
        <v>0.41576380086989123</v>
      </c>
      <c r="G198" s="22"/>
      <c r="H198" s="22">
        <f>SUM(OSRRefH22x_0)</f>
        <v>1473861.9419493452</v>
      </c>
      <c r="I198" s="22"/>
      <c r="J198" s="35">
        <f t="shared" ref="J198:J209" si="19">IF(H$12=0,0,H198/H$12)</f>
        <v>0.37196320381781223</v>
      </c>
      <c r="K198" s="4"/>
      <c r="L198" s="22">
        <f t="shared" ref="L198:L209" si="20">+D198-H198</f>
        <v>45283.748050654307</v>
      </c>
      <c r="M198" s="4"/>
      <c r="N198" s="35">
        <f t="shared" ref="N198:N209" si="21">IF(H198=0,0,L198/H198)</f>
        <v>3.0724552118335826E-2</v>
      </c>
      <c r="O198" s="10"/>
      <c r="P198" s="22">
        <f>SUM(OSRRefP22x_0)</f>
        <v>10506273.269999996</v>
      </c>
      <c r="Q198" s="22"/>
      <c r="R198" s="35">
        <f t="shared" ref="R198:R209" si="22">IF(P$12=0,0,P198/P$12)</f>
        <v>0.48345385475514557</v>
      </c>
      <c r="S198" s="22"/>
      <c r="T198" s="22">
        <f>SUM(OSRRefT22x_0)</f>
        <v>10579965.370886097</v>
      </c>
      <c r="U198" s="22"/>
      <c r="V198" s="35">
        <f t="shared" ref="V198:V209" si="23">IF(T$12=0,0,T198/T$12)</f>
        <v>0.46263396774861248</v>
      </c>
      <c r="W198" s="4"/>
      <c r="X198" s="22">
        <f t="shared" ref="X198:X209" si="24">+P198-T198</f>
        <v>-73692.100886100903</v>
      </c>
      <c r="Y198" s="4"/>
      <c r="Z198" s="35">
        <f t="shared" ref="Z198:Z209" si="25">IF(T198=0,0,X198/T198)</f>
        <v>-6.9652497246244782E-3</v>
      </c>
    </row>
    <row r="199" spans="1:26" s="27" customFormat="1" outlineLevel="1" collapsed="1" x14ac:dyDescent="0.25">
      <c r="A199" s="26"/>
      <c r="B199" s="13" t="str">
        <f>CONCATENATE("     ","*Benefits                                         ")</f>
        <v xml:space="preserve">     *Benefits                                         </v>
      </c>
      <c r="C199" s="13"/>
      <c r="D199" s="1">
        <f>SUM(OSRRefD22_0x_0)</f>
        <v>230373.41</v>
      </c>
      <c r="E199" s="1"/>
      <c r="F199" s="5">
        <f t="shared" si="18"/>
        <v>6.3049202714031888E-2</v>
      </c>
      <c r="G199" s="1"/>
      <c r="H199" s="1">
        <f>SUM(OSRRefH22_0x_0)</f>
        <v>223886.15036140359</v>
      </c>
      <c r="I199" s="1"/>
      <c r="J199" s="5">
        <f t="shared" si="19"/>
        <v>5.6502856481062631E-2</v>
      </c>
      <c r="K199" s="1"/>
      <c r="L199" s="1">
        <f t="shared" si="20"/>
        <v>6487.2596385964134</v>
      </c>
      <c r="M199" s="1"/>
      <c r="N199" s="5">
        <f t="shared" si="21"/>
        <v>2.8975707644820766E-2</v>
      </c>
      <c r="O199" s="13"/>
      <c r="P199" s="1">
        <f>SUM(OSRRefP22_0x_0)</f>
        <v>1637853.95</v>
      </c>
      <c r="Q199" s="1"/>
      <c r="R199" s="5">
        <f t="shared" si="22"/>
        <v>7.5367048362853198E-2</v>
      </c>
      <c r="S199" s="1"/>
      <c r="T199" s="1">
        <f>SUM(OSRRefT22_0x_0)</f>
        <v>1542182.3416467353</v>
      </c>
      <c r="U199" s="1"/>
      <c r="V199" s="5">
        <f t="shared" si="23"/>
        <v>6.7435564361220682E-2</v>
      </c>
      <c r="W199" s="1"/>
      <c r="X199" s="1">
        <f t="shared" si="24"/>
        <v>95671.60835326463</v>
      </c>
      <c r="Y199" s="1"/>
      <c r="Z199" s="5">
        <f t="shared" si="25"/>
        <v>6.2036508764007063E-2</v>
      </c>
    </row>
    <row r="200" spans="1:26" s="24" customFormat="1" hidden="1" outlineLevel="2" x14ac:dyDescent="0.25">
      <c r="A200" s="25"/>
      <c r="B200" s="11" t="str">
        <f>CONCATENATE("          ", "6111", " - ", "F.I.C.A.")</f>
        <v xml:space="preserve">          6111 - F.I.C.A.</v>
      </c>
      <c r="C200" s="11"/>
      <c r="D200" s="7">
        <v>30976.83</v>
      </c>
      <c r="E200" s="2"/>
      <c r="F200" s="6">
        <f t="shared" si="18"/>
        <v>8.4778205701261464E-3</v>
      </c>
      <c r="G200" s="2"/>
      <c r="H200" s="7">
        <v>34896.512008706246</v>
      </c>
      <c r="I200" s="2"/>
      <c r="J200" s="6">
        <f t="shared" si="19"/>
        <v>8.8069432009740076E-3</v>
      </c>
      <c r="K200" s="2"/>
      <c r="L200" s="7">
        <f t="shared" si="20"/>
        <v>-3919.6820087062442</v>
      </c>
      <c r="M200" s="2"/>
      <c r="N200" s="6">
        <f t="shared" si="21"/>
        <v>-0.11232303124530992</v>
      </c>
      <c r="O200" s="11"/>
      <c r="P200" s="7">
        <v>283142.46000000002</v>
      </c>
      <c r="Q200" s="2"/>
      <c r="R200" s="6">
        <f t="shared" si="22"/>
        <v>1.3029007547588249E-2</v>
      </c>
      <c r="S200" s="2"/>
      <c r="T200" s="7">
        <v>255784.65178331849</v>
      </c>
      <c r="U200" s="2"/>
      <c r="V200" s="6">
        <f t="shared" si="23"/>
        <v>1.118478786984943E-2</v>
      </c>
      <c r="W200" s="2"/>
      <c r="X200" s="7">
        <f t="shared" si="24"/>
        <v>27357.808216681529</v>
      </c>
      <c r="Y200" s="2"/>
      <c r="Z200" s="6">
        <f t="shared" si="25"/>
        <v>0.10695641050369592</v>
      </c>
    </row>
    <row r="201" spans="1:26" s="24" customFormat="1" hidden="1" outlineLevel="2" x14ac:dyDescent="0.25">
      <c r="A201" s="25"/>
      <c r="B201" s="11" t="str">
        <f>CONCATENATE("          ", "6112", " - ", "COMPENSATION INSURANCE")</f>
        <v xml:space="preserve">          6112 - COMPENSATION INSURANCE</v>
      </c>
      <c r="C201" s="11"/>
      <c r="D201" s="7">
        <v>17348.929999999997</v>
      </c>
      <c r="E201" s="2"/>
      <c r="F201" s="6">
        <f t="shared" si="18"/>
        <v>4.7481009394337182E-3</v>
      </c>
      <c r="G201" s="2"/>
      <c r="H201" s="7">
        <v>22730.12015089038</v>
      </c>
      <c r="I201" s="2"/>
      <c r="J201" s="6">
        <f t="shared" si="19"/>
        <v>5.736472374954356E-3</v>
      </c>
      <c r="K201" s="2"/>
      <c r="L201" s="7">
        <f t="shared" si="20"/>
        <v>-5381.1901508903829</v>
      </c>
      <c r="M201" s="2"/>
      <c r="N201" s="6">
        <f t="shared" si="21"/>
        <v>-0.23674270594119987</v>
      </c>
      <c r="O201" s="11"/>
      <c r="P201" s="7">
        <v>123668.87999999999</v>
      </c>
      <c r="Q201" s="2"/>
      <c r="R201" s="6">
        <f t="shared" si="22"/>
        <v>5.6907140346304308E-3</v>
      </c>
      <c r="S201" s="2"/>
      <c r="T201" s="7">
        <v>162509.29113644036</v>
      </c>
      <c r="U201" s="2"/>
      <c r="V201" s="6">
        <f t="shared" si="23"/>
        <v>7.1061024794421548E-3</v>
      </c>
      <c r="W201" s="2"/>
      <c r="X201" s="7">
        <f t="shared" si="24"/>
        <v>-38840.411136440365</v>
      </c>
      <c r="Y201" s="2"/>
      <c r="Z201" s="6">
        <f t="shared" si="25"/>
        <v>-0.23900424932523115</v>
      </c>
    </row>
    <row r="202" spans="1:26" s="24" customFormat="1" hidden="1" outlineLevel="2" x14ac:dyDescent="0.25">
      <c r="A202" s="25"/>
      <c r="B202" s="11" t="str">
        <f>CONCATENATE("          ", "6113", " - ", "GROUP INSURANCE")</f>
        <v xml:space="preserve">          6113 - GROUP INSURANCE</v>
      </c>
      <c r="C202" s="11"/>
      <c r="D202" s="7">
        <v>101786.83</v>
      </c>
      <c r="E202" s="2"/>
      <c r="F202" s="6">
        <f t="shared" si="18"/>
        <v>2.7857288209992215E-2</v>
      </c>
      <c r="G202" s="2"/>
      <c r="H202" s="7">
        <v>98668.305769230778</v>
      </c>
      <c r="I202" s="2"/>
      <c r="J202" s="6">
        <f t="shared" si="19"/>
        <v>2.4901232662712974E-2</v>
      </c>
      <c r="K202" s="2"/>
      <c r="L202" s="7">
        <f t="shared" si="20"/>
        <v>3118.5242307692242</v>
      </c>
      <c r="M202" s="2"/>
      <c r="N202" s="6">
        <f t="shared" si="21"/>
        <v>3.1606139443226565E-2</v>
      </c>
      <c r="O202" s="11"/>
      <c r="P202" s="7">
        <v>670386.47</v>
      </c>
      <c r="Q202" s="2"/>
      <c r="R202" s="6">
        <f t="shared" si="22"/>
        <v>3.0848324117234281E-2</v>
      </c>
      <c r="S202" s="2"/>
      <c r="T202" s="7">
        <v>665759.35576923075</v>
      </c>
      <c r="U202" s="2"/>
      <c r="V202" s="6">
        <f t="shared" si="23"/>
        <v>2.911189985298443E-2</v>
      </c>
      <c r="W202" s="2"/>
      <c r="X202" s="7">
        <f t="shared" si="24"/>
        <v>4627.1142307692207</v>
      </c>
      <c r="Y202" s="2"/>
      <c r="Z202" s="6">
        <f t="shared" si="25"/>
        <v>6.9501302395111918E-3</v>
      </c>
    </row>
    <row r="203" spans="1:26" s="24" customFormat="1" hidden="1" outlineLevel="2" x14ac:dyDescent="0.25">
      <c r="A203" s="25"/>
      <c r="B203" s="11" t="str">
        <f>CONCATENATE("          ", "6114", " - ", "STATE UNEMPLOYMENT INSURANCE")</f>
        <v xml:space="preserve">          6114 - STATE UNEMPLOYMENT INSURANCE</v>
      </c>
      <c r="C203" s="11"/>
      <c r="D203" s="7">
        <v>1622.89</v>
      </c>
      <c r="E203" s="2"/>
      <c r="F203" s="6">
        <f t="shared" si="18"/>
        <v>4.4415681737130694E-4</v>
      </c>
      <c r="G203" s="2"/>
      <c r="H203" s="7">
        <v>2025.2299515434979</v>
      </c>
      <c r="I203" s="2"/>
      <c r="J203" s="6">
        <f t="shared" si="19"/>
        <v>5.1111369376128615E-4</v>
      </c>
      <c r="K203" s="2"/>
      <c r="L203" s="7">
        <f t="shared" si="20"/>
        <v>-402.33995154349782</v>
      </c>
      <c r="M203" s="2"/>
      <c r="N203" s="6">
        <f t="shared" si="21"/>
        <v>-0.19866383629022502</v>
      </c>
      <c r="O203" s="11"/>
      <c r="P203" s="7">
        <v>13802.67</v>
      </c>
      <c r="Q203" s="2"/>
      <c r="R203" s="6">
        <f t="shared" si="22"/>
        <v>6.351399631368248E-4</v>
      </c>
      <c r="S203" s="2"/>
      <c r="T203" s="7">
        <v>13804.706999465769</v>
      </c>
      <c r="U203" s="2"/>
      <c r="V203" s="6">
        <f t="shared" si="23"/>
        <v>6.0364340986826927E-4</v>
      </c>
      <c r="W203" s="2"/>
      <c r="X203" s="7">
        <f t="shared" si="24"/>
        <v>-2.0369994657685311</v>
      </c>
      <c r="Y203" s="2"/>
      <c r="Z203" s="6">
        <f t="shared" si="25"/>
        <v>-1.4755832672488892E-4</v>
      </c>
    </row>
    <row r="204" spans="1:26" s="24" customFormat="1" hidden="1" outlineLevel="2" x14ac:dyDescent="0.25">
      <c r="A204" s="25"/>
      <c r="B204" s="11" t="str">
        <f>CONCATENATE("          ", "6115", " - ", "P.E.R.S.")</f>
        <v xml:space="preserve">          6115 - P.E.R.S.</v>
      </c>
      <c r="C204" s="11"/>
      <c r="D204" s="7">
        <v>28486.74</v>
      </c>
      <c r="E204" s="2"/>
      <c r="F204" s="6">
        <f t="shared" si="18"/>
        <v>7.7963261685535705E-3</v>
      </c>
      <c r="G204" s="2"/>
      <c r="H204" s="7">
        <v>22982.178405750001</v>
      </c>
      <c r="I204" s="2"/>
      <c r="J204" s="6">
        <f t="shared" si="19"/>
        <v>5.8000851146267759E-3</v>
      </c>
      <c r="K204" s="2"/>
      <c r="L204" s="7">
        <f t="shared" si="20"/>
        <v>5504.5615942500008</v>
      </c>
      <c r="M204" s="2"/>
      <c r="N204" s="6">
        <f t="shared" si="21"/>
        <v>0.23951435312471481</v>
      </c>
      <c r="O204" s="11"/>
      <c r="P204" s="7">
        <v>154014.03</v>
      </c>
      <c r="Q204" s="2"/>
      <c r="R204" s="6">
        <f t="shared" si="22"/>
        <v>7.0870683235021801E-3</v>
      </c>
      <c r="S204" s="2"/>
      <c r="T204" s="7">
        <v>141875.39499365</v>
      </c>
      <c r="U204" s="2"/>
      <c r="V204" s="6">
        <f t="shared" si="23"/>
        <v>6.2038366488827868E-3</v>
      </c>
      <c r="W204" s="2"/>
      <c r="X204" s="7">
        <f t="shared" si="24"/>
        <v>12138.635006349999</v>
      </c>
      <c r="Y204" s="2"/>
      <c r="Z204" s="6">
        <f t="shared" si="25"/>
        <v>8.5558422634828935E-2</v>
      </c>
    </row>
    <row r="205" spans="1:26" s="24" customFormat="1" hidden="1" outlineLevel="2" x14ac:dyDescent="0.25">
      <c r="A205" s="25"/>
      <c r="B205" s="11" t="str">
        <f>CONCATENATE("          ", "6116", " - ", "EDUCATIONAL BENEFITS")</f>
        <v xml:space="preserve">          6116 - EDUCATIONAL BENEFITS</v>
      </c>
      <c r="C205" s="11"/>
      <c r="D205" s="7"/>
      <c r="E205" s="2"/>
      <c r="F205" s="6">
        <f t="shared" si="18"/>
        <v>0</v>
      </c>
      <c r="G205" s="2"/>
      <c r="H205" s="7">
        <v>0</v>
      </c>
      <c r="I205" s="2"/>
      <c r="J205" s="6">
        <f t="shared" si="19"/>
        <v>0</v>
      </c>
      <c r="K205" s="2"/>
      <c r="L205" s="7">
        <f t="shared" si="20"/>
        <v>0</v>
      </c>
      <c r="M205" s="2"/>
      <c r="N205" s="6">
        <f t="shared" si="21"/>
        <v>0</v>
      </c>
      <c r="O205" s="11"/>
      <c r="P205" s="7"/>
      <c r="Q205" s="2"/>
      <c r="R205" s="6">
        <f t="shared" si="22"/>
        <v>0</v>
      </c>
      <c r="S205" s="2"/>
      <c r="T205" s="7">
        <v>16000</v>
      </c>
      <c r="U205" s="2"/>
      <c r="V205" s="6">
        <f t="shared" si="23"/>
        <v>6.9963777994462876E-4</v>
      </c>
      <c r="W205" s="2"/>
      <c r="X205" s="7">
        <f t="shared" si="24"/>
        <v>-16000</v>
      </c>
      <c r="Y205" s="2"/>
      <c r="Z205" s="6">
        <f t="shared" si="25"/>
        <v>-1</v>
      </c>
    </row>
    <row r="206" spans="1:26" s="24" customFormat="1" hidden="1" outlineLevel="2" x14ac:dyDescent="0.25">
      <c r="A206" s="25"/>
      <c r="B206" s="11" t="str">
        <f>CONCATENATE("          ", "6117", " - ", "RETIREMENT STAFF HOURLY")</f>
        <v xml:space="preserve">          6117 - RETIREMENT STAFF HOURLY</v>
      </c>
      <c r="C206" s="11"/>
      <c r="D206" s="7">
        <v>2834.9</v>
      </c>
      <c r="E206" s="2"/>
      <c r="F206" s="6">
        <f t="shared" si="18"/>
        <v>7.7586291219116396E-4</v>
      </c>
      <c r="G206" s="2"/>
      <c r="H206" s="7"/>
      <c r="I206" s="2"/>
      <c r="J206" s="6">
        <f t="shared" si="19"/>
        <v>0</v>
      </c>
      <c r="K206" s="2"/>
      <c r="L206" s="7">
        <f t="shared" si="20"/>
        <v>2834.9</v>
      </c>
      <c r="M206" s="2"/>
      <c r="N206" s="6">
        <f t="shared" si="21"/>
        <v>0</v>
      </c>
      <c r="O206" s="11"/>
      <c r="P206" s="7">
        <v>15437.88</v>
      </c>
      <c r="Q206" s="2"/>
      <c r="R206" s="6">
        <f t="shared" si="22"/>
        <v>7.1038534820514615E-4</v>
      </c>
      <c r="S206" s="2"/>
      <c r="T206" s="7"/>
      <c r="U206" s="2"/>
      <c r="V206" s="6">
        <f t="shared" si="23"/>
        <v>0</v>
      </c>
      <c r="W206" s="2"/>
      <c r="X206" s="7">
        <f t="shared" si="24"/>
        <v>15437.88</v>
      </c>
      <c r="Y206" s="2"/>
      <c r="Z206" s="6">
        <f t="shared" si="25"/>
        <v>0</v>
      </c>
    </row>
    <row r="207" spans="1:26" s="24" customFormat="1" hidden="1" outlineLevel="2" x14ac:dyDescent="0.25">
      <c r="A207" s="25"/>
      <c r="B207" s="11" t="str">
        <f>CONCATENATE("          ", "6118", " - ", "VACATION")</f>
        <v xml:space="preserve">          6118 - VACATION</v>
      </c>
      <c r="C207" s="11"/>
      <c r="D207" s="7">
        <v>20348.5</v>
      </c>
      <c r="E207" s="2"/>
      <c r="F207" s="6">
        <f t="shared" si="18"/>
        <v>5.5690311717245403E-3</v>
      </c>
      <c r="G207" s="2"/>
      <c r="H207" s="7">
        <v>17441.663379057682</v>
      </c>
      <c r="I207" s="2"/>
      <c r="J207" s="6">
        <f t="shared" si="19"/>
        <v>4.4018077987721567E-3</v>
      </c>
      <c r="K207" s="2"/>
      <c r="L207" s="7">
        <f t="shared" si="20"/>
        <v>2906.8366209423184</v>
      </c>
      <c r="M207" s="2"/>
      <c r="N207" s="6">
        <f t="shared" si="21"/>
        <v>0.1666605161313098</v>
      </c>
      <c r="O207" s="11"/>
      <c r="P207" s="7">
        <v>166539</v>
      </c>
      <c r="Q207" s="2"/>
      <c r="R207" s="6">
        <f t="shared" si="22"/>
        <v>7.6634139859058916E-3</v>
      </c>
      <c r="S207" s="2"/>
      <c r="T207" s="7">
        <v>108531.51771415764</v>
      </c>
      <c r="U207" s="2"/>
      <c r="V207" s="6">
        <f t="shared" si="23"/>
        <v>4.7457968817221502E-3</v>
      </c>
      <c r="W207" s="2"/>
      <c r="X207" s="7">
        <f t="shared" si="24"/>
        <v>58007.482285842358</v>
      </c>
      <c r="Y207" s="2"/>
      <c r="Z207" s="6">
        <f t="shared" si="25"/>
        <v>0.53447591545359396</v>
      </c>
    </row>
    <row r="208" spans="1:26" s="24" customFormat="1" hidden="1" outlineLevel="2" x14ac:dyDescent="0.25">
      <c r="A208" s="25"/>
      <c r="B208" s="11" t="str">
        <f>CONCATENATE("          ", "6119", " - ", "SICK LEAVE")</f>
        <v xml:space="preserve">          6119 - SICK LEAVE</v>
      </c>
      <c r="C208" s="11"/>
      <c r="D208" s="7">
        <v>14835.249999999998</v>
      </c>
      <c r="E208" s="2"/>
      <c r="F208" s="6">
        <f t="shared" si="18"/>
        <v>4.0601503644163688E-3</v>
      </c>
      <c r="G208" s="2"/>
      <c r="H208" s="7">
        <v>20217.140696224982</v>
      </c>
      <c r="I208" s="2"/>
      <c r="J208" s="6">
        <f t="shared" si="19"/>
        <v>5.1022637951131603E-3</v>
      </c>
      <c r="K208" s="2"/>
      <c r="L208" s="7">
        <f t="shared" si="20"/>
        <v>-5381.8906962249839</v>
      </c>
      <c r="M208" s="2"/>
      <c r="N208" s="6">
        <f t="shared" si="21"/>
        <v>-0.26620434497099338</v>
      </c>
      <c r="O208" s="11"/>
      <c r="P208" s="7">
        <v>144358.72</v>
      </c>
      <c r="Q208" s="2"/>
      <c r="R208" s="6">
        <f t="shared" si="22"/>
        <v>6.6427721664923684E-3</v>
      </c>
      <c r="S208" s="2"/>
      <c r="T208" s="7">
        <v>143317.42325047214</v>
      </c>
      <c r="U208" s="2"/>
      <c r="V208" s="6">
        <f t="shared" si="23"/>
        <v>6.2668927393965661E-3</v>
      </c>
      <c r="W208" s="2"/>
      <c r="X208" s="7">
        <f t="shared" si="24"/>
        <v>1041.2967495278572</v>
      </c>
      <c r="Y208" s="2"/>
      <c r="Z208" s="6">
        <f t="shared" si="25"/>
        <v>7.2656675365144535E-3</v>
      </c>
    </row>
    <row r="209" spans="1:26" s="24" customFormat="1" hidden="1" outlineLevel="2" x14ac:dyDescent="0.25">
      <c r="A209" s="25"/>
      <c r="B209" s="11" t="str">
        <f>CONCATENATE("          ", "6156", " - ", "EMPLOYEE MEALS")</f>
        <v xml:space="preserve">          6156 - EMPLOYEE MEALS</v>
      </c>
      <c r="C209" s="11"/>
      <c r="D209" s="7">
        <v>12132.54</v>
      </c>
      <c r="E209" s="2"/>
      <c r="F209" s="6">
        <f t="shared" si="18"/>
        <v>3.3204655602228593E-3</v>
      </c>
      <c r="G209" s="2"/>
      <c r="H209" s="7">
        <v>4925</v>
      </c>
      <c r="I209" s="2"/>
      <c r="J209" s="6">
        <f t="shared" si="19"/>
        <v>1.2429378401479113E-3</v>
      </c>
      <c r="K209" s="2"/>
      <c r="L209" s="7">
        <f t="shared" si="20"/>
        <v>7207.5400000000009</v>
      </c>
      <c r="M209" s="2"/>
      <c r="N209" s="6">
        <f t="shared" si="21"/>
        <v>1.4634598984771576</v>
      </c>
      <c r="O209" s="11"/>
      <c r="P209" s="7">
        <v>66503.839999999997</v>
      </c>
      <c r="Q209" s="2"/>
      <c r="R209" s="6">
        <f t="shared" si="22"/>
        <v>3.0602228761578225E-3</v>
      </c>
      <c r="S209" s="2"/>
      <c r="T209" s="7">
        <v>34600</v>
      </c>
      <c r="U209" s="2"/>
      <c r="V209" s="6">
        <f t="shared" si="23"/>
        <v>1.5129666991302597E-3</v>
      </c>
      <c r="W209" s="2"/>
      <c r="X209" s="7">
        <f t="shared" si="24"/>
        <v>31903.839999999997</v>
      </c>
      <c r="Y209" s="2"/>
      <c r="Z209" s="6">
        <f t="shared" si="25"/>
        <v>0.92207630057803458</v>
      </c>
    </row>
    <row r="210" spans="1:26" s="27" customFormat="1" outlineLevel="1" collapsed="1" x14ac:dyDescent="0.25">
      <c r="A210" s="26"/>
      <c r="B210" s="13" t="str">
        <f>CONCATENATE("     ","*Payroll                                          ")</f>
        <v xml:space="preserve">     *Payroll                                          </v>
      </c>
      <c r="C210" s="13"/>
      <c r="D210" s="1">
        <f>SUM(OSRRefD22_1x_0)</f>
        <v>797690.43</v>
      </c>
      <c r="E210" s="1"/>
      <c r="F210" s="5">
        <f t="shared" ref="F210:F220" si="26">IF(D$12=0,0,D210/D$12)</f>
        <v>0.21831402167512851</v>
      </c>
      <c r="G210" s="1"/>
      <c r="H210" s="1">
        <f>SUM(OSRRefH22_1x_0)</f>
        <v>742691.29158794135</v>
      </c>
      <c r="I210" s="1"/>
      <c r="J210" s="5">
        <f t="shared" ref="J210:J220" si="27">IF(H$12=0,0,H210/H$12)</f>
        <v>0.18743535225644231</v>
      </c>
      <c r="K210" s="1"/>
      <c r="L210" s="1">
        <f t="shared" ref="L210:L220" si="28">+D210-H210</f>
        <v>54999.138412058703</v>
      </c>
      <c r="M210" s="1"/>
      <c r="N210" s="5">
        <f t="shared" ref="N210:N220" si="29">IF(H210=0,0,L210/H210)</f>
        <v>7.4053835065799087E-2</v>
      </c>
      <c r="O210" s="13"/>
      <c r="P210" s="1">
        <f>SUM(OSRRefP22_1x_0)</f>
        <v>5120552.4899999993</v>
      </c>
      <c r="Q210" s="1"/>
      <c r="R210" s="5">
        <f t="shared" ref="R210:R220" si="30">IF(P$12=0,0,P210/P$12)</f>
        <v>0.23562597089829548</v>
      </c>
      <c r="S210" s="1"/>
      <c r="T210" s="1">
        <f>SUM(OSRRefT22_1x_0)</f>
        <v>5061882.0292393612</v>
      </c>
      <c r="U210" s="1"/>
      <c r="V210" s="5">
        <f t="shared" ref="V210:V220" si="31">IF(T$12=0,0,T210/T$12)</f>
        <v>0.22134274407991494</v>
      </c>
      <c r="W210" s="1"/>
      <c r="X210" s="1">
        <f t="shared" ref="X210:X220" si="32">+P210-T210</f>
        <v>58670.460760638118</v>
      </c>
      <c r="Y210" s="1"/>
      <c r="Z210" s="5">
        <f t="shared" ref="Z210:Z220" si="33">IF(T210=0,0,X210/T210)</f>
        <v>1.1590641666821779E-2</v>
      </c>
    </row>
    <row r="211" spans="1:26" s="24" customFormat="1" hidden="1" outlineLevel="2" x14ac:dyDescent="0.25">
      <c r="A211" s="25"/>
      <c r="B211" s="11" t="str">
        <f>CONCATENATE("          ", "6001", " - ", "ADMINISTRATIVE SALARIES")</f>
        <v xml:space="preserve">          6001 - ADMINISTRATIVE SALARIES</v>
      </c>
      <c r="C211" s="11"/>
      <c r="D211" s="7">
        <v>41640.800000000003</v>
      </c>
      <c r="E211" s="2"/>
      <c r="F211" s="6">
        <f t="shared" si="26"/>
        <v>1.1396364017767759E-2</v>
      </c>
      <c r="G211" s="2"/>
      <c r="H211" s="7">
        <v>76318.393952307699</v>
      </c>
      <c r="I211" s="2"/>
      <c r="J211" s="6">
        <f t="shared" si="27"/>
        <v>1.9260714668556091E-2</v>
      </c>
      <c r="K211" s="2"/>
      <c r="L211" s="7">
        <f t="shared" si="28"/>
        <v>-34677.593952307696</v>
      </c>
      <c r="M211" s="2"/>
      <c r="N211" s="6">
        <f t="shared" si="29"/>
        <v>-0.45438055174455255</v>
      </c>
      <c r="O211" s="11"/>
      <c r="P211" s="7">
        <v>258469.55999999997</v>
      </c>
      <c r="Q211" s="2"/>
      <c r="R211" s="6">
        <f t="shared" si="30"/>
        <v>1.1893665994361331E-2</v>
      </c>
      <c r="S211" s="2"/>
      <c r="T211" s="7">
        <v>470658.4168543077</v>
      </c>
      <c r="U211" s="2"/>
      <c r="V211" s="6">
        <f t="shared" si="31"/>
        <v>2.0580650617512592E-2</v>
      </c>
      <c r="W211" s="2"/>
      <c r="X211" s="7">
        <f t="shared" si="32"/>
        <v>-212188.85685430773</v>
      </c>
      <c r="Y211" s="2"/>
      <c r="Z211" s="6">
        <f t="shared" si="33"/>
        <v>-0.45083408530647989</v>
      </c>
    </row>
    <row r="212" spans="1:26" s="24" customFormat="1" hidden="1" outlineLevel="2" x14ac:dyDescent="0.25">
      <c r="A212" s="25"/>
      <c r="B212" s="11" t="str">
        <f>CONCATENATE("          ", "6002", " - ", "STAFF SALARIES")</f>
        <v xml:space="preserve">          6002 - STAFF SALARIES</v>
      </c>
      <c r="C212" s="11"/>
      <c r="D212" s="7">
        <v>217651.09999999998</v>
      </c>
      <c r="E212" s="2"/>
      <c r="F212" s="6">
        <f t="shared" si="26"/>
        <v>5.9567327344036899E-2</v>
      </c>
      <c r="G212" s="2"/>
      <c r="H212" s="7">
        <v>168689.71953513453</v>
      </c>
      <c r="I212" s="2"/>
      <c r="J212" s="6">
        <f t="shared" si="27"/>
        <v>4.2572758508458278E-2</v>
      </c>
      <c r="K212" s="2"/>
      <c r="L212" s="7">
        <f t="shared" si="28"/>
        <v>48961.380464865448</v>
      </c>
      <c r="M212" s="2"/>
      <c r="N212" s="6">
        <f t="shared" si="29"/>
        <v>0.29024519454884634</v>
      </c>
      <c r="O212" s="11"/>
      <c r="P212" s="7">
        <v>1315464.5499999998</v>
      </c>
      <c r="Q212" s="2"/>
      <c r="R212" s="6">
        <f t="shared" si="30"/>
        <v>6.0532064143734486E-2</v>
      </c>
      <c r="S212" s="2"/>
      <c r="T212" s="7">
        <v>1041862.6931178345</v>
      </c>
      <c r="U212" s="2"/>
      <c r="V212" s="6">
        <f t="shared" si="31"/>
        <v>4.5557906351255867E-2</v>
      </c>
      <c r="W212" s="2"/>
      <c r="X212" s="7">
        <f t="shared" si="32"/>
        <v>273601.8568821653</v>
      </c>
      <c r="Y212" s="2"/>
      <c r="Z212" s="6">
        <f t="shared" si="33"/>
        <v>0.26260836354874739</v>
      </c>
    </row>
    <row r="213" spans="1:26" s="24" customFormat="1" hidden="1" outlineLevel="2" x14ac:dyDescent="0.25">
      <c r="A213" s="25"/>
      <c r="B213" s="11" t="str">
        <f>CONCATENATE("          ", "6003", " - ", "STAFF HOURLY-9 MONTH")</f>
        <v xml:space="preserve">          6003 - STAFF HOURLY-9 MONTH</v>
      </c>
      <c r="C213" s="11"/>
      <c r="D213" s="7"/>
      <c r="E213" s="2"/>
      <c r="F213" s="6">
        <f t="shared" si="26"/>
        <v>0</v>
      </c>
      <c r="G213" s="2"/>
      <c r="H213" s="7">
        <v>0</v>
      </c>
      <c r="I213" s="2"/>
      <c r="J213" s="6">
        <f t="shared" si="27"/>
        <v>0</v>
      </c>
      <c r="K213" s="2"/>
      <c r="L213" s="7">
        <f t="shared" si="28"/>
        <v>0</v>
      </c>
      <c r="M213" s="2"/>
      <c r="N213" s="6">
        <f t="shared" si="29"/>
        <v>0</v>
      </c>
      <c r="O213" s="11"/>
      <c r="P213" s="7"/>
      <c r="Q213" s="2"/>
      <c r="R213" s="6">
        <f t="shared" si="30"/>
        <v>0</v>
      </c>
      <c r="S213" s="2"/>
      <c r="T213" s="7">
        <v>0</v>
      </c>
      <c r="U213" s="2"/>
      <c r="V213" s="6">
        <f t="shared" si="31"/>
        <v>0</v>
      </c>
      <c r="W213" s="2"/>
      <c r="X213" s="7">
        <f t="shared" si="32"/>
        <v>0</v>
      </c>
      <c r="Y213" s="2"/>
      <c r="Z213" s="6">
        <f t="shared" si="33"/>
        <v>0</v>
      </c>
    </row>
    <row r="214" spans="1:26" s="24" customFormat="1" hidden="1" outlineLevel="2" x14ac:dyDescent="0.25">
      <c r="A214" s="25"/>
      <c r="B214" s="11" t="str">
        <f>CONCATENATE("          ", "6004", " - ", "STAFF HOURLY")</f>
        <v xml:space="preserve">          6004 - STAFF HOURLY</v>
      </c>
      <c r="C214" s="11"/>
      <c r="D214" s="7">
        <v>77455.44</v>
      </c>
      <c r="E214" s="2"/>
      <c r="F214" s="6">
        <f t="shared" si="26"/>
        <v>2.1198209193780369E-2</v>
      </c>
      <c r="G214" s="2"/>
      <c r="H214" s="7">
        <v>154213.48877999999</v>
      </c>
      <c r="I214" s="2"/>
      <c r="J214" s="6">
        <f t="shared" si="27"/>
        <v>3.8919346328098944E-2</v>
      </c>
      <c r="K214" s="2"/>
      <c r="L214" s="7">
        <f t="shared" si="28"/>
        <v>-76758.048779999983</v>
      </c>
      <c r="M214" s="2"/>
      <c r="N214" s="6">
        <f t="shared" si="29"/>
        <v>-0.49773887736566641</v>
      </c>
      <c r="O214" s="11"/>
      <c r="P214" s="7">
        <v>579019.56999999995</v>
      </c>
      <c r="Q214" s="2"/>
      <c r="R214" s="6">
        <f t="shared" si="30"/>
        <v>2.6644009336258864E-2</v>
      </c>
      <c r="S214" s="2"/>
      <c r="T214" s="7">
        <v>1111048.8150780001</v>
      </c>
      <c r="U214" s="2"/>
      <c r="V214" s="6">
        <f t="shared" si="31"/>
        <v>4.8583232899455146E-2</v>
      </c>
      <c r="W214" s="2"/>
      <c r="X214" s="7">
        <f t="shared" si="32"/>
        <v>-532029.24507800012</v>
      </c>
      <c r="Y214" s="2"/>
      <c r="Z214" s="6">
        <f t="shared" si="33"/>
        <v>-0.4788531681577371</v>
      </c>
    </row>
    <row r="215" spans="1:26" s="24" customFormat="1" hidden="1" outlineLevel="2" x14ac:dyDescent="0.25">
      <c r="A215" s="25"/>
      <c r="B215" s="11" t="str">
        <f>CONCATENATE("          ", "6005", " - ", "TEMPORARY WAGES-HOURLY")</f>
        <v xml:space="preserve">          6005 - TEMPORARY WAGES-HOURLY</v>
      </c>
      <c r="C215" s="11"/>
      <c r="D215" s="7">
        <v>83663.44</v>
      </c>
      <c r="E215" s="2"/>
      <c r="F215" s="6">
        <f t="shared" si="26"/>
        <v>2.2897231014261776E-2</v>
      </c>
      <c r="G215" s="2"/>
      <c r="H215" s="7">
        <v>48570.613883999999</v>
      </c>
      <c r="I215" s="2"/>
      <c r="J215" s="6">
        <f t="shared" si="27"/>
        <v>1.2257919576779108E-2</v>
      </c>
      <c r="K215" s="2"/>
      <c r="L215" s="7">
        <f t="shared" si="28"/>
        <v>35092.826116000004</v>
      </c>
      <c r="M215" s="2"/>
      <c r="N215" s="6">
        <f t="shared" si="29"/>
        <v>0.72251147987981656</v>
      </c>
      <c r="O215" s="11"/>
      <c r="P215" s="7">
        <v>846966.35</v>
      </c>
      <c r="Q215" s="2"/>
      <c r="R215" s="6">
        <f t="shared" si="30"/>
        <v>3.8973776545924162E-2</v>
      </c>
      <c r="S215" s="2"/>
      <c r="T215" s="7">
        <v>389651.26789800002</v>
      </c>
      <c r="U215" s="2"/>
      <c r="V215" s="6">
        <f t="shared" si="31"/>
        <v>1.7038421751547909E-2</v>
      </c>
      <c r="W215" s="2"/>
      <c r="X215" s="7">
        <f t="shared" si="32"/>
        <v>457315.08210199996</v>
      </c>
      <c r="Y215" s="2"/>
      <c r="Z215" s="6">
        <f t="shared" si="33"/>
        <v>1.173652236701338</v>
      </c>
    </row>
    <row r="216" spans="1:26" s="24" customFormat="1" hidden="1" outlineLevel="2" x14ac:dyDescent="0.25">
      <c r="A216" s="25"/>
      <c r="B216" s="11" t="str">
        <f>CONCATENATE("          ", "6006", " - ", "TEMPORARY PART TIME")</f>
        <v xml:space="preserve">          6006 - TEMPORARY PART TIME</v>
      </c>
      <c r="C216" s="11"/>
      <c r="D216" s="7">
        <v>2306.9899999999998</v>
      </c>
      <c r="E216" s="2"/>
      <c r="F216" s="6">
        <f t="shared" si="26"/>
        <v>6.3138311044336421E-4</v>
      </c>
      <c r="G216" s="2"/>
      <c r="H216" s="7">
        <v>0</v>
      </c>
      <c r="I216" s="2"/>
      <c r="J216" s="6">
        <f t="shared" si="27"/>
        <v>0</v>
      </c>
      <c r="K216" s="2"/>
      <c r="L216" s="7">
        <f t="shared" si="28"/>
        <v>2306.9899999999998</v>
      </c>
      <c r="M216" s="2"/>
      <c r="N216" s="6">
        <f t="shared" si="29"/>
        <v>0</v>
      </c>
      <c r="O216" s="11"/>
      <c r="P216" s="7">
        <v>81278.58</v>
      </c>
      <c r="Q216" s="2"/>
      <c r="R216" s="6">
        <f t="shared" si="30"/>
        <v>3.7400933518669552E-3</v>
      </c>
      <c r="S216" s="2"/>
      <c r="T216" s="7">
        <v>0</v>
      </c>
      <c r="U216" s="2"/>
      <c r="V216" s="6">
        <f t="shared" si="31"/>
        <v>0</v>
      </c>
      <c r="W216" s="2"/>
      <c r="X216" s="7">
        <f t="shared" si="32"/>
        <v>81278.58</v>
      </c>
      <c r="Y216" s="2"/>
      <c r="Z216" s="6">
        <f t="shared" si="33"/>
        <v>0</v>
      </c>
    </row>
    <row r="217" spans="1:26" s="24" customFormat="1" hidden="1" outlineLevel="2" x14ac:dyDescent="0.25">
      <c r="A217" s="25"/>
      <c r="B217" s="11" t="str">
        <f>CONCATENATE("          ", "6007", " - ", "STUDENT HOURLY")</f>
        <v xml:space="preserve">          6007 - STUDENT HOURLY</v>
      </c>
      <c r="C217" s="11"/>
      <c r="D217" s="7">
        <v>364457.77</v>
      </c>
      <c r="E217" s="2"/>
      <c r="F217" s="6">
        <f t="shared" si="26"/>
        <v>9.9745764154960462E-2</v>
      </c>
      <c r="G217" s="2"/>
      <c r="H217" s="7">
        <v>27758.320914</v>
      </c>
      <c r="I217" s="2"/>
      <c r="J217" s="6">
        <f t="shared" si="27"/>
        <v>7.0054553183715234E-3</v>
      </c>
      <c r="K217" s="2"/>
      <c r="L217" s="7">
        <f t="shared" si="28"/>
        <v>336699.44908600004</v>
      </c>
      <c r="M217" s="2"/>
      <c r="N217" s="6">
        <f t="shared" si="29"/>
        <v>12.12967636368036</v>
      </c>
      <c r="O217" s="11"/>
      <c r="P217" s="7">
        <v>1872921.45</v>
      </c>
      <c r="Q217" s="2"/>
      <c r="R217" s="6">
        <f t="shared" si="30"/>
        <v>8.6183851436799436E-2</v>
      </c>
      <c r="S217" s="2"/>
      <c r="T217" s="7">
        <v>524655.19352720003</v>
      </c>
      <c r="U217" s="2"/>
      <c r="V217" s="6">
        <f t="shared" si="31"/>
        <v>2.2941787177236862E-2</v>
      </c>
      <c r="W217" s="2"/>
      <c r="X217" s="7">
        <f t="shared" si="32"/>
        <v>1348266.2564727999</v>
      </c>
      <c r="Y217" s="2"/>
      <c r="Z217" s="6">
        <f t="shared" si="33"/>
        <v>2.5698139904201689</v>
      </c>
    </row>
    <row r="218" spans="1:26" s="24" customFormat="1" hidden="1" outlineLevel="2" x14ac:dyDescent="0.25">
      <c r="A218" s="25"/>
      <c r="B218" s="11" t="str">
        <f>CONCATENATE("          ", "6008", " - ", "STUDENT HOURLY-FICA EXEMPT")</f>
        <v xml:space="preserve">          6008 - STUDENT HOURLY-FICA EXEMPT</v>
      </c>
      <c r="C218" s="11"/>
      <c r="D218" s="7">
        <v>10514.89</v>
      </c>
      <c r="E218" s="2"/>
      <c r="F218" s="6">
        <f t="shared" si="26"/>
        <v>2.8777428398778604E-3</v>
      </c>
      <c r="G218" s="2"/>
      <c r="H218" s="7">
        <v>267140.75452249916</v>
      </c>
      <c r="I218" s="2"/>
      <c r="J218" s="6">
        <f t="shared" si="27"/>
        <v>6.7419157856178358E-2</v>
      </c>
      <c r="K218" s="2"/>
      <c r="L218" s="7">
        <f t="shared" si="28"/>
        <v>-256625.86452249915</v>
      </c>
      <c r="M218" s="2"/>
      <c r="N218" s="6">
        <f t="shared" si="29"/>
        <v>-0.96063913939752521</v>
      </c>
      <c r="O218" s="11"/>
      <c r="P218" s="7">
        <v>166432.43</v>
      </c>
      <c r="Q218" s="2"/>
      <c r="R218" s="6">
        <f t="shared" si="30"/>
        <v>7.658510089350261E-3</v>
      </c>
      <c r="S218" s="2"/>
      <c r="T218" s="7">
        <v>1524005.6427640191</v>
      </c>
      <c r="U218" s="2"/>
      <c r="V218" s="6">
        <f t="shared" si="31"/>
        <v>6.6640745282906588E-2</v>
      </c>
      <c r="W218" s="2"/>
      <c r="X218" s="7">
        <f t="shared" si="32"/>
        <v>-1357573.2127640191</v>
      </c>
      <c r="Y218" s="2"/>
      <c r="Z218" s="6">
        <f t="shared" si="33"/>
        <v>-0.89079277311719851</v>
      </c>
    </row>
    <row r="219" spans="1:26" s="24" customFormat="1" hidden="1" outlineLevel="2" x14ac:dyDescent="0.25">
      <c r="A219" s="25"/>
      <c r="B219" s="11" t="str">
        <f>CONCATENATE("          ", "6009", " - ", "TEMPORARY-SEASONAL")</f>
        <v xml:space="preserve">          6009 - TEMPORARY-SEASONAL</v>
      </c>
      <c r="C219" s="11"/>
      <c r="D219" s="7"/>
      <c r="E219" s="2"/>
      <c r="F219" s="6">
        <f t="shared" si="26"/>
        <v>0</v>
      </c>
      <c r="G219" s="2"/>
      <c r="H219" s="7">
        <v>0</v>
      </c>
      <c r="I219" s="2"/>
      <c r="J219" s="6">
        <f t="shared" si="27"/>
        <v>0</v>
      </c>
      <c r="K219" s="2"/>
      <c r="L219" s="7">
        <f t="shared" si="28"/>
        <v>0</v>
      </c>
      <c r="M219" s="2"/>
      <c r="N219" s="6">
        <f t="shared" si="29"/>
        <v>0</v>
      </c>
      <c r="O219" s="11"/>
      <c r="P219" s="7"/>
      <c r="Q219" s="2"/>
      <c r="R219" s="6">
        <f t="shared" si="30"/>
        <v>0</v>
      </c>
      <c r="S219" s="2"/>
      <c r="T219" s="7">
        <v>0</v>
      </c>
      <c r="U219" s="2"/>
      <c r="V219" s="6">
        <f t="shared" si="31"/>
        <v>0</v>
      </c>
      <c r="W219" s="2"/>
      <c r="X219" s="7">
        <f t="shared" si="32"/>
        <v>0</v>
      </c>
      <c r="Y219" s="2"/>
      <c r="Z219" s="6">
        <f t="shared" si="33"/>
        <v>0</v>
      </c>
    </row>
    <row r="220" spans="1:26" s="24" customFormat="1" hidden="1" outlineLevel="2" x14ac:dyDescent="0.25">
      <c r="A220" s="25"/>
      <c r="B220" s="11" t="str">
        <f>CONCATENATE("          ", "6010", " - ", "GRATUITY")</f>
        <v xml:space="preserve">          6010 - GRATUITY</v>
      </c>
      <c r="C220" s="11"/>
      <c r="D220" s="7"/>
      <c r="E220" s="2"/>
      <c r="F220" s="6">
        <f t="shared" si="26"/>
        <v>0</v>
      </c>
      <c r="G220" s="2"/>
      <c r="H220" s="7">
        <v>0</v>
      </c>
      <c r="I220" s="2"/>
      <c r="J220" s="6">
        <f t="shared" si="27"/>
        <v>0</v>
      </c>
      <c r="K220" s="2"/>
      <c r="L220" s="7">
        <f t="shared" si="28"/>
        <v>0</v>
      </c>
      <c r="M220" s="2"/>
      <c r="N220" s="6">
        <f t="shared" si="29"/>
        <v>0</v>
      </c>
      <c r="O220" s="11"/>
      <c r="P220" s="7"/>
      <c r="Q220" s="2"/>
      <c r="R220" s="6">
        <f t="shared" si="30"/>
        <v>0</v>
      </c>
      <c r="S220" s="2"/>
      <c r="T220" s="7">
        <v>0</v>
      </c>
      <c r="U220" s="2"/>
      <c r="V220" s="6">
        <f t="shared" si="31"/>
        <v>0</v>
      </c>
      <c r="W220" s="2"/>
      <c r="X220" s="7">
        <f t="shared" si="32"/>
        <v>0</v>
      </c>
      <c r="Y220" s="2"/>
      <c r="Z220" s="6">
        <f t="shared" si="33"/>
        <v>0</v>
      </c>
    </row>
    <row r="221" spans="1:26" s="27" customFormat="1" outlineLevel="1" collapsed="1" x14ac:dyDescent="0.25">
      <c r="A221" s="26"/>
      <c r="B221" s="13" t="str">
        <f>CONCATENATE("     ","Advertising/Promo                                 ")</f>
        <v xml:space="preserve">     Advertising/Promo                                 </v>
      </c>
      <c r="C221" s="13"/>
      <c r="D221" s="1">
        <f>SUM(OSRRefD22_2x_0)</f>
        <v>8233.6</v>
      </c>
      <c r="E221" s="1"/>
      <c r="F221" s="5">
        <f t="shared" ref="F221:F225" si="34">IF(D$12=0,0,D221/D$12)</f>
        <v>2.2533933732467345E-3</v>
      </c>
      <c r="G221" s="1"/>
      <c r="H221" s="1">
        <f>SUM(OSRRefH22_2x_0)</f>
        <v>12285</v>
      </c>
      <c r="I221" s="1"/>
      <c r="J221" s="5">
        <f t="shared" ref="J221:J225" si="35">IF(H$12=0,0,H221/H$12)</f>
        <v>3.1004043383181905E-3</v>
      </c>
      <c r="K221" s="1"/>
      <c r="L221" s="1">
        <f t="shared" ref="L221:L225" si="36">+D221-H221</f>
        <v>-4051.3999999999996</v>
      </c>
      <c r="M221" s="1"/>
      <c r="N221" s="5">
        <f t="shared" ref="N221:N225" si="37">IF(H221=0,0,L221/H221)</f>
        <v>-0.32978428978428975</v>
      </c>
      <c r="O221" s="13"/>
      <c r="P221" s="1">
        <f>SUM(OSRRefP22_2x_0)</f>
        <v>77153.919999999998</v>
      </c>
      <c r="Q221" s="1"/>
      <c r="R221" s="5">
        <f t="shared" ref="R221:R225" si="38">IF(P$12=0,0,P221/P$12)</f>
        <v>3.5502941028555729E-3</v>
      </c>
      <c r="S221" s="1"/>
      <c r="T221" s="1">
        <f>SUM(OSRRefT22_2x_0)</f>
        <v>80695</v>
      </c>
      <c r="U221" s="1"/>
      <c r="V221" s="5">
        <f t="shared" ref="V221:V225" si="39">IF(T$12=0,0,T221/T$12)</f>
        <v>3.5285794157894888E-3</v>
      </c>
      <c r="W221" s="1"/>
      <c r="X221" s="1">
        <f t="shared" ref="X221:X225" si="40">+P221-T221</f>
        <v>-3541.0800000000017</v>
      </c>
      <c r="Y221" s="1"/>
      <c r="Z221" s="5">
        <f t="shared" ref="Z221:Z225" si="41">IF(T221=0,0,X221/T221)</f>
        <v>-4.3882272755437164E-2</v>
      </c>
    </row>
    <row r="222" spans="1:26" s="24" customFormat="1" hidden="1" outlineLevel="2" x14ac:dyDescent="0.25">
      <c r="A222" s="25"/>
      <c r="B222" s="11" t="str">
        <f>CONCATENATE("          ", "6362", " - ", "ADVERTISING EXPENSE")</f>
        <v xml:space="preserve">          6362 - ADVERTISING EXPENSE</v>
      </c>
      <c r="C222" s="11"/>
      <c r="D222" s="7">
        <v>8233.6</v>
      </c>
      <c r="E222" s="2"/>
      <c r="F222" s="6">
        <f t="shared" si="34"/>
        <v>2.2533933732467345E-3</v>
      </c>
      <c r="G222" s="2"/>
      <c r="H222" s="7">
        <v>12285</v>
      </c>
      <c r="I222" s="2"/>
      <c r="J222" s="6">
        <f t="shared" si="35"/>
        <v>3.1004043383181905E-3</v>
      </c>
      <c r="K222" s="2"/>
      <c r="L222" s="7">
        <f t="shared" si="36"/>
        <v>-4051.3999999999996</v>
      </c>
      <c r="M222" s="2"/>
      <c r="N222" s="6">
        <f t="shared" si="37"/>
        <v>-0.32978428978428975</v>
      </c>
      <c r="O222" s="11"/>
      <c r="P222" s="7">
        <v>77153.919999999998</v>
      </c>
      <c r="Q222" s="2"/>
      <c r="R222" s="6">
        <f t="shared" si="38"/>
        <v>3.5502941028555729E-3</v>
      </c>
      <c r="S222" s="2"/>
      <c r="T222" s="7">
        <v>80695</v>
      </c>
      <c r="U222" s="2"/>
      <c r="V222" s="6">
        <f t="shared" si="39"/>
        <v>3.5285794157894888E-3</v>
      </c>
      <c r="W222" s="2"/>
      <c r="X222" s="7">
        <f t="shared" si="40"/>
        <v>-3541.0800000000017</v>
      </c>
      <c r="Y222" s="2"/>
      <c r="Z222" s="6">
        <f t="shared" si="41"/>
        <v>-4.3882272755437164E-2</v>
      </c>
    </row>
    <row r="223" spans="1:26" s="27" customFormat="1" outlineLevel="1" collapsed="1" x14ac:dyDescent="0.25">
      <c r="A223" s="26"/>
      <c r="B223" s="13" t="str">
        <f>CONCATENATE("     ","Bad Debts/Over/Short                              ")</f>
        <v xml:space="preserve">     Bad Debts/Over/Short                              </v>
      </c>
      <c r="C223" s="13"/>
      <c r="D223" s="1">
        <f>SUM(OSRRefD22_3x_0)</f>
        <v>-542.87</v>
      </c>
      <c r="E223" s="1"/>
      <c r="F223" s="5">
        <f t="shared" si="34"/>
        <v>-1.4857409402138245E-4</v>
      </c>
      <c r="G223" s="1"/>
      <c r="H223" s="1">
        <f>SUM(OSRRefH22_3x_0)</f>
        <v>402</v>
      </c>
      <c r="I223" s="1"/>
      <c r="J223" s="5">
        <f t="shared" si="35"/>
        <v>1.0145401253593103E-4</v>
      </c>
      <c r="K223" s="1"/>
      <c r="L223" s="1">
        <f t="shared" si="36"/>
        <v>-944.87</v>
      </c>
      <c r="M223" s="1"/>
      <c r="N223" s="5">
        <f t="shared" si="37"/>
        <v>-2.3504228855721392</v>
      </c>
      <c r="O223" s="13"/>
      <c r="P223" s="1">
        <f>SUM(OSRRefP22_3x_0)</f>
        <v>-738.72</v>
      </c>
      <c r="Q223" s="1"/>
      <c r="R223" s="5">
        <f t="shared" si="38"/>
        <v>-3.39927415180132E-5</v>
      </c>
      <c r="S223" s="1"/>
      <c r="T223" s="1">
        <f>SUM(OSRRefT22_3x_0)</f>
        <v>2726</v>
      </c>
      <c r="U223" s="1"/>
      <c r="V223" s="5">
        <f t="shared" si="39"/>
        <v>1.1920078675806614E-4</v>
      </c>
      <c r="W223" s="1"/>
      <c r="X223" s="1">
        <f t="shared" si="40"/>
        <v>-3464.7200000000003</v>
      </c>
      <c r="Y223" s="1"/>
      <c r="Z223" s="5">
        <f t="shared" si="41"/>
        <v>-1.2709904622157007</v>
      </c>
    </row>
    <row r="224" spans="1:26" s="24" customFormat="1" hidden="1" outlineLevel="2" x14ac:dyDescent="0.25">
      <c r="A224" s="25"/>
      <c r="B224" s="11" t="str">
        <f>CONCATENATE("          ", "6272", " - ", "CASH (OVER/SHORT)")</f>
        <v xml:space="preserve">          6272 - CASH (OVER/SHORT)</v>
      </c>
      <c r="C224" s="11"/>
      <c r="D224" s="7">
        <v>-542.87</v>
      </c>
      <c r="E224" s="2"/>
      <c r="F224" s="6">
        <f t="shared" si="34"/>
        <v>-1.4857409402138245E-4</v>
      </c>
      <c r="G224" s="2"/>
      <c r="H224" s="7">
        <v>342</v>
      </c>
      <c r="I224" s="2"/>
      <c r="J224" s="6">
        <f t="shared" si="35"/>
        <v>8.6311622605195055E-5</v>
      </c>
      <c r="K224" s="2"/>
      <c r="L224" s="7">
        <f t="shared" si="36"/>
        <v>-884.87</v>
      </c>
      <c r="M224" s="2"/>
      <c r="N224" s="6">
        <f t="shared" si="37"/>
        <v>-2.5873391812865498</v>
      </c>
      <c r="O224" s="11"/>
      <c r="P224" s="7">
        <v>-783.52</v>
      </c>
      <c r="Q224" s="2"/>
      <c r="R224" s="6">
        <f t="shared" si="38"/>
        <v>-3.6054246310095439E-5</v>
      </c>
      <c r="S224" s="2"/>
      <c r="T224" s="7">
        <v>2356</v>
      </c>
      <c r="U224" s="2"/>
      <c r="V224" s="6">
        <f t="shared" si="39"/>
        <v>1.0302166309684658E-4</v>
      </c>
      <c r="W224" s="2"/>
      <c r="X224" s="7">
        <f t="shared" si="40"/>
        <v>-3139.52</v>
      </c>
      <c r="Y224" s="2"/>
      <c r="Z224" s="6">
        <f t="shared" si="41"/>
        <v>-1.3325636672325976</v>
      </c>
    </row>
    <row r="225" spans="1:26" s="24" customFormat="1" hidden="1" outlineLevel="2" x14ac:dyDescent="0.25">
      <c r="A225" s="25"/>
      <c r="B225" s="11" t="str">
        <f>CONCATENATE("          ", "6342", " - ", "BAD DEBT")</f>
        <v xml:space="preserve">          6342 - BAD DEBT</v>
      </c>
      <c r="C225" s="11"/>
      <c r="D225" s="7"/>
      <c r="E225" s="2"/>
      <c r="F225" s="6">
        <f t="shared" si="34"/>
        <v>0</v>
      </c>
      <c r="G225" s="2"/>
      <c r="H225" s="7">
        <v>60</v>
      </c>
      <c r="I225" s="2"/>
      <c r="J225" s="6">
        <f t="shared" si="35"/>
        <v>1.5142389930735973E-5</v>
      </c>
      <c r="K225" s="2"/>
      <c r="L225" s="7">
        <f t="shared" si="36"/>
        <v>-60</v>
      </c>
      <c r="M225" s="2"/>
      <c r="N225" s="6">
        <f t="shared" si="37"/>
        <v>-1</v>
      </c>
      <c r="O225" s="11"/>
      <c r="P225" s="7">
        <v>44.8</v>
      </c>
      <c r="Q225" s="2"/>
      <c r="R225" s="6">
        <f t="shared" si="38"/>
        <v>2.0615047920822385E-6</v>
      </c>
      <c r="S225" s="2"/>
      <c r="T225" s="7">
        <v>370</v>
      </c>
      <c r="U225" s="2"/>
      <c r="V225" s="6">
        <f t="shared" si="39"/>
        <v>1.6179123661219542E-5</v>
      </c>
      <c r="W225" s="2"/>
      <c r="X225" s="7">
        <f t="shared" si="40"/>
        <v>-325.2</v>
      </c>
      <c r="Y225" s="2"/>
      <c r="Z225" s="6">
        <f t="shared" si="41"/>
        <v>-0.87891891891891893</v>
      </c>
    </row>
    <row r="226" spans="1:26" s="27" customFormat="1" outlineLevel="1" collapsed="1" x14ac:dyDescent="0.25">
      <c r="A226" s="26"/>
      <c r="B226" s="13" t="str">
        <f>CONCATENATE("     ","Bank/card Fees                                    ")</f>
        <v xml:space="preserve">     Bank/card Fees                                    </v>
      </c>
      <c r="C226" s="13"/>
      <c r="D226" s="1">
        <f>SUM(OSRRefD22_4x_0)</f>
        <v>45882.86</v>
      </c>
      <c r="E226" s="1"/>
      <c r="F226" s="5">
        <f t="shared" ref="F226:F232" si="42">IF(D$12=0,0,D226/D$12)</f>
        <v>1.2557342191703224E-2</v>
      </c>
      <c r="G226" s="1"/>
      <c r="H226" s="1">
        <f>SUM(OSRRefH22_4x_0)</f>
        <v>29868</v>
      </c>
      <c r="I226" s="1"/>
      <c r="J226" s="5">
        <f t="shared" ref="J226:J232" si="43">IF(H$12=0,0,H226/H$12)</f>
        <v>7.5378817075203676E-3</v>
      </c>
      <c r="K226" s="1"/>
      <c r="L226" s="1">
        <f t="shared" ref="L226:L232" si="44">+D226-H226</f>
        <v>16014.86</v>
      </c>
      <c r="M226" s="1"/>
      <c r="N226" s="5">
        <f t="shared" ref="N226:N232" si="45">IF(H226=0,0,L226/H226)</f>
        <v>0.53618789339761619</v>
      </c>
      <c r="O226" s="13"/>
      <c r="P226" s="1">
        <f>SUM(OSRRefP22_4x_0)</f>
        <v>312860.84999999998</v>
      </c>
      <c r="Q226" s="1"/>
      <c r="R226" s="5">
        <f t="shared" ref="R226:R232" si="46">IF(P$12=0,0,P226/P$12)</f>
        <v>1.439652101629291E-2</v>
      </c>
      <c r="S226" s="1"/>
      <c r="T226" s="1">
        <f>SUM(OSRRefT22_4x_0)</f>
        <v>267645</v>
      </c>
      <c r="U226" s="1"/>
      <c r="V226" s="5">
        <f t="shared" ref="V226:V232" si="47">IF(T$12=0,0,T226/T$12)</f>
        <v>1.170340960083001E-2</v>
      </c>
      <c r="W226" s="1"/>
      <c r="X226" s="1">
        <f t="shared" ref="X226:X232" si="48">+P226-T226</f>
        <v>45215.849999999977</v>
      </c>
      <c r="Y226" s="1"/>
      <c r="Z226" s="5">
        <f t="shared" ref="Z226:Z232" si="49">IF(T226=0,0,X226/T226)</f>
        <v>0.16893964019503438</v>
      </c>
    </row>
    <row r="227" spans="1:26" s="24" customFormat="1" hidden="1" outlineLevel="2" x14ac:dyDescent="0.25">
      <c r="A227" s="25"/>
      <c r="B227" s="11" t="str">
        <f>CONCATENATE("          ", "6381", " - ", "BANK/CREDIT CARD FEES")</f>
        <v xml:space="preserve">          6381 - BANK/CREDIT CARD FEES</v>
      </c>
      <c r="C227" s="11"/>
      <c r="D227" s="7">
        <v>45882.86</v>
      </c>
      <c r="E227" s="2"/>
      <c r="F227" s="6">
        <f t="shared" si="42"/>
        <v>1.2557342191703224E-2</v>
      </c>
      <c r="G227" s="2"/>
      <c r="H227" s="7">
        <v>29868</v>
      </c>
      <c r="I227" s="2"/>
      <c r="J227" s="6">
        <f t="shared" si="43"/>
        <v>7.5378817075203676E-3</v>
      </c>
      <c r="K227" s="2"/>
      <c r="L227" s="7">
        <f t="shared" si="44"/>
        <v>16014.86</v>
      </c>
      <c r="M227" s="2"/>
      <c r="N227" s="6">
        <f t="shared" si="45"/>
        <v>0.53618789339761619</v>
      </c>
      <c r="O227" s="11"/>
      <c r="P227" s="7">
        <v>312860.84999999998</v>
      </c>
      <c r="Q227" s="2"/>
      <c r="R227" s="6">
        <f t="shared" si="46"/>
        <v>1.439652101629291E-2</v>
      </c>
      <c r="S227" s="2"/>
      <c r="T227" s="7">
        <v>267645</v>
      </c>
      <c r="U227" s="2"/>
      <c r="V227" s="6">
        <f t="shared" si="47"/>
        <v>1.170340960083001E-2</v>
      </c>
      <c r="W227" s="2"/>
      <c r="X227" s="7">
        <f t="shared" si="48"/>
        <v>45215.849999999977</v>
      </c>
      <c r="Y227" s="2"/>
      <c r="Z227" s="6">
        <f t="shared" si="49"/>
        <v>0.16893964019503438</v>
      </c>
    </row>
    <row r="228" spans="1:26" s="27" customFormat="1" outlineLevel="1" collapsed="1" x14ac:dyDescent="0.25">
      <c r="A228" s="26"/>
      <c r="B228" s="13" t="str">
        <f>CONCATENATE("     ","Depreciation                                      ")</f>
        <v xml:space="preserve">     Depreciation                                      </v>
      </c>
      <c r="C228" s="13"/>
      <c r="D228" s="1">
        <f>SUM(OSRRefD22_5x_0)</f>
        <v>79350.27</v>
      </c>
      <c r="E228" s="1"/>
      <c r="F228" s="5">
        <f t="shared" si="42"/>
        <v>2.1716791267894865E-2</v>
      </c>
      <c r="G228" s="1"/>
      <c r="H228" s="1">
        <f>SUM(OSRRefH22_5x_0)</f>
        <v>85493</v>
      </c>
      <c r="I228" s="1"/>
      <c r="J228" s="5">
        <f t="shared" si="43"/>
        <v>2.1576139039140178E-2</v>
      </c>
      <c r="K228" s="1"/>
      <c r="L228" s="1">
        <f t="shared" si="44"/>
        <v>-6142.7299999999959</v>
      </c>
      <c r="M228" s="1"/>
      <c r="N228" s="5">
        <f t="shared" si="45"/>
        <v>-7.1850677833272855E-2</v>
      </c>
      <c r="O228" s="13"/>
      <c r="P228" s="1">
        <f>SUM(OSRRefP22_5x_0)</f>
        <v>548012.54</v>
      </c>
      <c r="Q228" s="1"/>
      <c r="R228" s="5">
        <f t="shared" si="46"/>
        <v>2.5217198154713381E-2</v>
      </c>
      <c r="S228" s="1"/>
      <c r="T228" s="1">
        <f>SUM(OSRRefT22_5x_0)</f>
        <v>571912</v>
      </c>
      <c r="U228" s="1"/>
      <c r="V228" s="5">
        <f t="shared" si="47"/>
        <v>2.5008202625230784E-2</v>
      </c>
      <c r="W228" s="1"/>
      <c r="X228" s="1">
        <f t="shared" si="48"/>
        <v>-23899.459999999963</v>
      </c>
      <c r="Y228" s="1"/>
      <c r="Z228" s="5">
        <f t="shared" si="49"/>
        <v>-4.1788701758312403E-2</v>
      </c>
    </row>
    <row r="229" spans="1:26" s="24" customFormat="1" hidden="1" outlineLevel="2" x14ac:dyDescent="0.25">
      <c r="A229" s="25"/>
      <c r="B229" s="11" t="str">
        <f>CONCATENATE("          ", "6321", " - ", "BUILDING DEPRECIATION")</f>
        <v xml:space="preserve">          6321 - BUILDING DEPRECIATION</v>
      </c>
      <c r="C229" s="11"/>
      <c r="D229" s="7">
        <v>45519.990000000005</v>
      </c>
      <c r="E229" s="2"/>
      <c r="F229" s="6">
        <f t="shared" si="42"/>
        <v>1.2458030972631368E-2</v>
      </c>
      <c r="G229" s="2"/>
      <c r="H229" s="7">
        <v>44515</v>
      </c>
      <c r="I229" s="2"/>
      <c r="J229" s="6">
        <f t="shared" si="43"/>
        <v>1.1234391462778531E-2</v>
      </c>
      <c r="K229" s="2"/>
      <c r="L229" s="7">
        <f t="shared" si="44"/>
        <v>1004.9900000000052</v>
      </c>
      <c r="M229" s="2"/>
      <c r="N229" s="6">
        <f t="shared" si="45"/>
        <v>2.2576434909581156E-2</v>
      </c>
      <c r="O229" s="11"/>
      <c r="P229" s="7">
        <v>318639.93</v>
      </c>
      <c r="Q229" s="2"/>
      <c r="R229" s="6">
        <f t="shared" si="46"/>
        <v>1.4662449612583684E-2</v>
      </c>
      <c r="S229" s="2"/>
      <c r="T229" s="7">
        <v>312019</v>
      </c>
      <c r="U229" s="2"/>
      <c r="V229" s="6">
        <f t="shared" si="47"/>
        <v>1.3643767528783947E-2</v>
      </c>
      <c r="W229" s="2"/>
      <c r="X229" s="7">
        <f t="shared" si="48"/>
        <v>6620.929999999993</v>
      </c>
      <c r="Y229" s="2"/>
      <c r="Z229" s="6">
        <f t="shared" si="49"/>
        <v>2.1219637265679311E-2</v>
      </c>
    </row>
    <row r="230" spans="1:26" s="24" customFormat="1" hidden="1" outlineLevel="2" x14ac:dyDescent="0.25">
      <c r="A230" s="25"/>
      <c r="B230" s="11" t="str">
        <f>CONCATENATE("          ", "6322", " - ", "EQUIPMENT DEPRECIATION EXPENSE")</f>
        <v xml:space="preserve">          6322 - EQUIPMENT DEPRECIATION EXPENSE</v>
      </c>
      <c r="C230" s="11"/>
      <c r="D230" s="7">
        <v>33406.03</v>
      </c>
      <c r="E230" s="2"/>
      <c r="F230" s="6">
        <f t="shared" si="42"/>
        <v>9.1426504358338521E-3</v>
      </c>
      <c r="G230" s="2"/>
      <c r="H230" s="7">
        <v>31525</v>
      </c>
      <c r="I230" s="2"/>
      <c r="J230" s="6">
        <f t="shared" si="43"/>
        <v>7.9560640427741927E-3</v>
      </c>
      <c r="K230" s="2"/>
      <c r="L230" s="7">
        <f t="shared" si="44"/>
        <v>1881.0299999999988</v>
      </c>
      <c r="M230" s="2"/>
      <c r="N230" s="6">
        <f t="shared" si="45"/>
        <v>5.966788263283105E-2</v>
      </c>
      <c r="O230" s="11"/>
      <c r="P230" s="7">
        <v>226402.86000000002</v>
      </c>
      <c r="Q230" s="2"/>
      <c r="R230" s="6">
        <f t="shared" si="46"/>
        <v>1.0418093322123309E-2</v>
      </c>
      <c r="S230" s="2"/>
      <c r="T230" s="7">
        <v>220675</v>
      </c>
      <c r="U230" s="2"/>
      <c r="V230" s="6">
        <f t="shared" si="47"/>
        <v>9.6495354430800595E-3</v>
      </c>
      <c r="W230" s="2"/>
      <c r="X230" s="7">
        <f t="shared" si="48"/>
        <v>5727.8600000000151</v>
      </c>
      <c r="Y230" s="2"/>
      <c r="Z230" s="6">
        <f t="shared" si="49"/>
        <v>2.5956089271553257E-2</v>
      </c>
    </row>
    <row r="231" spans="1:26" s="24" customFormat="1" hidden="1" outlineLevel="2" x14ac:dyDescent="0.25">
      <c r="A231" s="25"/>
      <c r="B231" s="11" t="str">
        <f>CONCATENATE("          ", "6324", " - ", "FURNITURE + FIXT DEPRECIATION")</f>
        <v xml:space="preserve">          6324 - FURNITURE + FIXT DEPRECIATION</v>
      </c>
      <c r="C231" s="11"/>
      <c r="D231" s="7"/>
      <c r="E231" s="2"/>
      <c r="F231" s="6">
        <f t="shared" si="42"/>
        <v>0</v>
      </c>
      <c r="G231" s="2"/>
      <c r="H231" s="7">
        <v>6946</v>
      </c>
      <c r="I231" s="2"/>
      <c r="J231" s="6">
        <f t="shared" si="43"/>
        <v>1.7529840076482013E-3</v>
      </c>
      <c r="K231" s="2"/>
      <c r="L231" s="7">
        <f t="shared" si="44"/>
        <v>-6946</v>
      </c>
      <c r="M231" s="2"/>
      <c r="N231" s="6">
        <f t="shared" si="45"/>
        <v>-1</v>
      </c>
      <c r="O231" s="11"/>
      <c r="P231" s="7"/>
      <c r="Q231" s="2"/>
      <c r="R231" s="6">
        <f t="shared" si="46"/>
        <v>0</v>
      </c>
      <c r="S231" s="2"/>
      <c r="T231" s="7">
        <v>27918</v>
      </c>
      <c r="U231" s="2"/>
      <c r="V231" s="6">
        <f t="shared" si="47"/>
        <v>1.2207804712808842E-3</v>
      </c>
      <c r="W231" s="2"/>
      <c r="X231" s="7">
        <f t="shared" si="48"/>
        <v>-27918</v>
      </c>
      <c r="Y231" s="2"/>
      <c r="Z231" s="6">
        <f t="shared" si="49"/>
        <v>-1</v>
      </c>
    </row>
    <row r="232" spans="1:26" s="24" customFormat="1" hidden="1" outlineLevel="2" x14ac:dyDescent="0.25">
      <c r="A232" s="25"/>
      <c r="B232" s="11" t="str">
        <f>CONCATENATE("          ", "6326", " - ", "VEHICLES DEPRECIATION EXPENSE")</f>
        <v xml:space="preserve">          6326 - VEHICLES DEPRECIATION EXPENSE</v>
      </c>
      <c r="C232" s="11"/>
      <c r="D232" s="7">
        <v>424.25</v>
      </c>
      <c r="E232" s="2"/>
      <c r="F232" s="6">
        <f t="shared" si="42"/>
        <v>1.1610985942964524E-4</v>
      </c>
      <c r="G232" s="2"/>
      <c r="H232" s="7">
        <v>2507</v>
      </c>
      <c r="I232" s="2"/>
      <c r="J232" s="6">
        <f t="shared" si="43"/>
        <v>6.3269952593925148E-4</v>
      </c>
      <c r="K232" s="2"/>
      <c r="L232" s="7">
        <f t="shared" si="44"/>
        <v>-2082.75</v>
      </c>
      <c r="M232" s="2"/>
      <c r="N232" s="6">
        <f t="shared" si="45"/>
        <v>-0.83077383326685283</v>
      </c>
      <c r="O232" s="11"/>
      <c r="P232" s="7">
        <v>2969.75</v>
      </c>
      <c r="Q232" s="2"/>
      <c r="R232" s="6">
        <f t="shared" si="46"/>
        <v>1.3665522000638901E-4</v>
      </c>
      <c r="S232" s="2"/>
      <c r="T232" s="7">
        <v>11300</v>
      </c>
      <c r="U232" s="2"/>
      <c r="V232" s="6">
        <f t="shared" si="47"/>
        <v>4.9411918208589411E-4</v>
      </c>
      <c r="W232" s="2"/>
      <c r="X232" s="7">
        <f t="shared" si="48"/>
        <v>-8330.25</v>
      </c>
      <c r="Y232" s="2"/>
      <c r="Z232" s="6">
        <f t="shared" si="49"/>
        <v>-0.73719026548672562</v>
      </c>
    </row>
    <row r="233" spans="1:26" s="27" customFormat="1" outlineLevel="1" collapsed="1" x14ac:dyDescent="0.25">
      <c r="A233" s="26"/>
      <c r="B233" s="13" t="str">
        <f>CONCATENATE("     ","Discounts and Markdowns                           ")</f>
        <v xml:space="preserve">     Discounts and Markdowns                           </v>
      </c>
      <c r="C233" s="13"/>
      <c r="D233" s="1">
        <f>SUM(OSRRefD22_6x_0)</f>
        <v>38428.730000000003</v>
      </c>
      <c r="E233" s="1"/>
      <c r="F233" s="5">
        <f t="shared" ref="F233:F235" si="50">IF(D$12=0,0,D233/D$12)</f>
        <v>1.0517276224772637E-2</v>
      </c>
      <c r="G233" s="1"/>
      <c r="H233" s="1">
        <f>SUM(OSRRefH22_6x_0)</f>
        <v>39925</v>
      </c>
      <c r="I233" s="1"/>
      <c r="J233" s="5">
        <f t="shared" ref="J233:J235" si="51">IF(H$12=0,0,H233/H$12)</f>
        <v>1.0075998633077229E-2</v>
      </c>
      <c r="K233" s="1"/>
      <c r="L233" s="1">
        <f t="shared" ref="L233:L235" si="52">+D233-H233</f>
        <v>-1496.2699999999968</v>
      </c>
      <c r="M233" s="1"/>
      <c r="N233" s="5">
        <f t="shared" ref="N233:N235" si="53">IF(H233=0,0,L233/H233)</f>
        <v>-3.7477019411396285E-2</v>
      </c>
      <c r="O233" s="13"/>
      <c r="P233" s="1">
        <f>SUM(OSRRefP22_6x_0)</f>
        <v>275480.09999999998</v>
      </c>
      <c r="Q233" s="1"/>
      <c r="R233" s="5">
        <f t="shared" ref="R233:R235" si="54">IF(P$12=0,0,P233/P$12)</f>
        <v>1.2676418443600318E-2</v>
      </c>
      <c r="S233" s="1"/>
      <c r="T233" s="1">
        <f>SUM(OSRRefT22_6x_0)</f>
        <v>246975</v>
      </c>
      <c r="U233" s="1"/>
      <c r="V233" s="5">
        <f t="shared" ref="V233:V235" si="55">IF(T$12=0,0,T233/T$12)</f>
        <v>1.0799565043864043E-2</v>
      </c>
      <c r="W233" s="1"/>
      <c r="X233" s="1">
        <f t="shared" ref="X233:X235" si="56">+P233-T233</f>
        <v>28505.099999999977</v>
      </c>
      <c r="Y233" s="1"/>
      <c r="Z233" s="5">
        <f t="shared" ref="Z233:Z235" si="57">IF(T233=0,0,X233/T233)</f>
        <v>0.11541694503492247</v>
      </c>
    </row>
    <row r="234" spans="1:26" s="24" customFormat="1" hidden="1" outlineLevel="2" x14ac:dyDescent="0.25">
      <c r="A234" s="25"/>
      <c r="B234" s="11" t="str">
        <f>CONCATENATE("          ", "6382", " - ", "DISCOUNTS/MARK DOWNS")</f>
        <v xml:space="preserve">          6382 - DISCOUNTS/MARK DOWNS</v>
      </c>
      <c r="C234" s="11"/>
      <c r="D234" s="7">
        <v>38849.230000000003</v>
      </c>
      <c r="E234" s="2"/>
      <c r="F234" s="6">
        <f t="shared" si="50"/>
        <v>1.0632359774307501E-2</v>
      </c>
      <c r="G234" s="2"/>
      <c r="H234" s="7">
        <v>39925</v>
      </c>
      <c r="I234" s="2"/>
      <c r="J234" s="6">
        <f t="shared" si="51"/>
        <v>1.0075998633077229E-2</v>
      </c>
      <c r="K234" s="2"/>
      <c r="L234" s="7">
        <f t="shared" si="52"/>
        <v>-1075.7699999999968</v>
      </c>
      <c r="M234" s="2"/>
      <c r="N234" s="6">
        <f t="shared" si="53"/>
        <v>-2.6944771446462037E-2</v>
      </c>
      <c r="O234" s="11"/>
      <c r="P234" s="7">
        <v>278387.09999999998</v>
      </c>
      <c r="Q234" s="2"/>
      <c r="R234" s="6">
        <f t="shared" si="54"/>
        <v>1.2810186176425833E-2</v>
      </c>
      <c r="S234" s="2"/>
      <c r="T234" s="7">
        <v>246975</v>
      </c>
      <c r="U234" s="2"/>
      <c r="V234" s="6">
        <f t="shared" si="55"/>
        <v>1.0799565043864043E-2</v>
      </c>
      <c r="W234" s="2"/>
      <c r="X234" s="7">
        <f t="shared" si="56"/>
        <v>31412.099999999977</v>
      </c>
      <c r="Y234" s="2"/>
      <c r="Z234" s="6">
        <f t="shared" si="57"/>
        <v>0.12718736714242324</v>
      </c>
    </row>
    <row r="235" spans="1:26" s="24" customFormat="1" hidden="1" outlineLevel="2" x14ac:dyDescent="0.25">
      <c r="A235" s="25"/>
      <c r="B235" s="11" t="str">
        <f>CONCATENATE("          ", "9175", " - ", "EARNED DISCOUNTS")</f>
        <v xml:space="preserve">          9175 - EARNED DISCOUNTS</v>
      </c>
      <c r="C235" s="11"/>
      <c r="D235" s="7">
        <v>-420.5</v>
      </c>
      <c r="E235" s="2"/>
      <c r="F235" s="6">
        <f t="shared" si="50"/>
        <v>-1.1508354953486347E-4</v>
      </c>
      <c r="G235" s="2"/>
      <c r="H235" s="7"/>
      <c r="I235" s="2"/>
      <c r="J235" s="6">
        <f t="shared" si="51"/>
        <v>0</v>
      </c>
      <c r="K235" s="2"/>
      <c r="L235" s="7">
        <f t="shared" si="52"/>
        <v>-420.5</v>
      </c>
      <c r="M235" s="2"/>
      <c r="N235" s="6">
        <f t="shared" si="53"/>
        <v>0</v>
      </c>
      <c r="O235" s="11"/>
      <c r="P235" s="7">
        <v>-2907</v>
      </c>
      <c r="Q235" s="2"/>
      <c r="R235" s="6">
        <f t="shared" si="54"/>
        <v>-1.3376773282551489E-4</v>
      </c>
      <c r="S235" s="2"/>
      <c r="T235" s="7"/>
      <c r="U235" s="2"/>
      <c r="V235" s="6">
        <f t="shared" si="55"/>
        <v>0</v>
      </c>
      <c r="W235" s="2"/>
      <c r="X235" s="7">
        <f t="shared" si="56"/>
        <v>-2907</v>
      </c>
      <c r="Y235" s="2"/>
      <c r="Z235" s="6">
        <f t="shared" si="57"/>
        <v>0</v>
      </c>
    </row>
    <row r="236" spans="1:26" s="27" customFormat="1" outlineLevel="1" collapsed="1" x14ac:dyDescent="0.25">
      <c r="A236" s="26"/>
      <c r="B236" s="13" t="str">
        <f>CONCATENATE("     ","Donations                                         ")</f>
        <v xml:space="preserve">     Donations                                         </v>
      </c>
      <c r="C236" s="13"/>
      <c r="D236" s="1">
        <f>SUM(OSRRefD22_7x_0)</f>
        <v>9545.3799999999992</v>
      </c>
      <c r="E236" s="1"/>
      <c r="F236" s="5">
        <f t="shared" ref="F236:F239" si="58">IF(D$12=0,0,D236/D$12)</f>
        <v>2.6124047849205587E-3</v>
      </c>
      <c r="G236" s="1"/>
      <c r="H236" s="1">
        <f>SUM(OSRRefH22_7x_0)</f>
        <v>11039</v>
      </c>
      <c r="I236" s="1"/>
      <c r="J236" s="5">
        <f t="shared" ref="J236:J239" si="59">IF(H$12=0,0,H236/H$12)</f>
        <v>2.785947374089907E-3</v>
      </c>
      <c r="K236" s="1"/>
      <c r="L236" s="1">
        <f t="shared" ref="L236:L239" si="60">+D236-H236</f>
        <v>-1493.6200000000008</v>
      </c>
      <c r="M236" s="1"/>
      <c r="N236" s="5">
        <f t="shared" ref="N236:N239" si="61">IF(H236=0,0,L236/H236)</f>
        <v>-0.13530392245674433</v>
      </c>
      <c r="O236" s="13"/>
      <c r="P236" s="1">
        <f>SUM(OSRRefP22_7x_0)</f>
        <v>96954.11</v>
      </c>
      <c r="Q236" s="1"/>
      <c r="R236" s="5">
        <f t="shared" ref="R236:R239" si="62">IF(P$12=0,0,P236/P$12)</f>
        <v>4.4614143387738505E-3</v>
      </c>
      <c r="S236" s="1"/>
      <c r="T236" s="1">
        <f>SUM(OSRRefT22_7x_0)</f>
        <v>90854</v>
      </c>
      <c r="U236" s="1"/>
      <c r="V236" s="5">
        <f t="shared" ref="V236:V239" si="63">IF(T$12=0,0,T236/T$12)</f>
        <v>3.9728056786930812E-3</v>
      </c>
      <c r="W236" s="1"/>
      <c r="X236" s="1">
        <f t="shared" ref="X236:X239" si="64">+P236-T236</f>
        <v>6100.1100000000006</v>
      </c>
      <c r="Y236" s="1"/>
      <c r="Z236" s="5">
        <f t="shared" ref="Z236:Z239" si="65">IF(T236=0,0,X236/T236)</f>
        <v>6.7141897990182053E-2</v>
      </c>
    </row>
    <row r="237" spans="1:26" s="24" customFormat="1" hidden="1" outlineLevel="2" x14ac:dyDescent="0.25">
      <c r="A237" s="25"/>
      <c r="B237" s="11" t="str">
        <f>CONCATENATE("          ", "6395", " - ", "DONATION-OFF CAMPUS")</f>
        <v xml:space="preserve">          6395 - DONATION-OFF CAMPUS</v>
      </c>
      <c r="C237" s="11"/>
      <c r="D237" s="7"/>
      <c r="E237" s="2"/>
      <c r="F237" s="6">
        <f t="shared" si="58"/>
        <v>0</v>
      </c>
      <c r="G237" s="2"/>
      <c r="H237" s="7">
        <v>1025</v>
      </c>
      <c r="I237" s="2"/>
      <c r="J237" s="6">
        <f t="shared" si="59"/>
        <v>2.586824946500729E-4</v>
      </c>
      <c r="K237" s="2"/>
      <c r="L237" s="7">
        <f t="shared" si="60"/>
        <v>-1025</v>
      </c>
      <c r="M237" s="2"/>
      <c r="N237" s="6">
        <f t="shared" si="61"/>
        <v>-1</v>
      </c>
      <c r="O237" s="11"/>
      <c r="P237" s="7"/>
      <c r="Q237" s="2"/>
      <c r="R237" s="6">
        <f t="shared" si="62"/>
        <v>0</v>
      </c>
      <c r="S237" s="2"/>
      <c r="T237" s="7">
        <v>7250</v>
      </c>
      <c r="U237" s="2"/>
      <c r="V237" s="6">
        <f t="shared" si="63"/>
        <v>3.1702336903740994E-4</v>
      </c>
      <c r="W237" s="2"/>
      <c r="X237" s="7">
        <f t="shared" si="64"/>
        <v>-7250</v>
      </c>
      <c r="Y237" s="2"/>
      <c r="Z237" s="6">
        <f t="shared" si="65"/>
        <v>-1</v>
      </c>
    </row>
    <row r="238" spans="1:26" s="24" customFormat="1" hidden="1" outlineLevel="2" x14ac:dyDescent="0.25">
      <c r="A238" s="25"/>
      <c r="B238" s="11" t="str">
        <f>CONCATENATE("          ", "6396", " - ", "COUPONS-CHARTROOM")</f>
        <v xml:space="preserve">          6396 - COUPONS-CHARTROOM</v>
      </c>
      <c r="C238" s="11"/>
      <c r="D238" s="7"/>
      <c r="E238" s="2"/>
      <c r="F238" s="6">
        <f t="shared" si="58"/>
        <v>0</v>
      </c>
      <c r="G238" s="2"/>
      <c r="H238" s="7">
        <v>100</v>
      </c>
      <c r="I238" s="2"/>
      <c r="J238" s="6">
        <f t="shared" si="59"/>
        <v>2.5237316551226623E-5</v>
      </c>
      <c r="K238" s="2"/>
      <c r="L238" s="7">
        <f t="shared" si="60"/>
        <v>-100</v>
      </c>
      <c r="M238" s="2"/>
      <c r="N238" s="6">
        <f t="shared" si="61"/>
        <v>-1</v>
      </c>
      <c r="O238" s="11"/>
      <c r="P238" s="7"/>
      <c r="Q238" s="2"/>
      <c r="R238" s="6">
        <f t="shared" si="62"/>
        <v>0</v>
      </c>
      <c r="S238" s="2"/>
      <c r="T238" s="7">
        <v>700</v>
      </c>
      <c r="U238" s="2"/>
      <c r="V238" s="6">
        <f t="shared" si="63"/>
        <v>3.060915287257751E-5</v>
      </c>
      <c r="W238" s="2"/>
      <c r="X238" s="7">
        <f t="shared" si="64"/>
        <v>-700</v>
      </c>
      <c r="Y238" s="2"/>
      <c r="Z238" s="6">
        <f t="shared" si="65"/>
        <v>-1</v>
      </c>
    </row>
    <row r="239" spans="1:26" s="24" customFormat="1" hidden="1" outlineLevel="2" x14ac:dyDescent="0.25">
      <c r="A239" s="25"/>
      <c r="B239" s="11" t="str">
        <f>CONCATENATE("          ", "6399", " - ", "DONATION-ON CAMPUS")</f>
        <v xml:space="preserve">          6399 - DONATION-ON CAMPUS</v>
      </c>
      <c r="C239" s="11"/>
      <c r="D239" s="7">
        <v>9545.3799999999992</v>
      </c>
      <c r="E239" s="2"/>
      <c r="F239" s="6">
        <f t="shared" si="58"/>
        <v>2.6124047849205587E-3</v>
      </c>
      <c r="G239" s="2"/>
      <c r="H239" s="7">
        <v>9914</v>
      </c>
      <c r="I239" s="2"/>
      <c r="J239" s="6">
        <f t="shared" si="59"/>
        <v>2.5020275628886072E-3</v>
      </c>
      <c r="K239" s="2"/>
      <c r="L239" s="7">
        <f t="shared" si="60"/>
        <v>-368.6200000000008</v>
      </c>
      <c r="M239" s="2"/>
      <c r="N239" s="6">
        <f t="shared" si="61"/>
        <v>-3.7181763163203631E-2</v>
      </c>
      <c r="O239" s="11"/>
      <c r="P239" s="7">
        <v>96954.11</v>
      </c>
      <c r="Q239" s="2"/>
      <c r="R239" s="6">
        <f t="shared" si="62"/>
        <v>4.4614143387738505E-3</v>
      </c>
      <c r="S239" s="2"/>
      <c r="T239" s="7">
        <v>82904</v>
      </c>
      <c r="U239" s="2"/>
      <c r="V239" s="6">
        <f t="shared" si="63"/>
        <v>3.6251731567830941E-3</v>
      </c>
      <c r="W239" s="2"/>
      <c r="X239" s="7">
        <f t="shared" si="64"/>
        <v>14050.11</v>
      </c>
      <c r="Y239" s="2"/>
      <c r="Z239" s="6">
        <f t="shared" si="65"/>
        <v>0.16947445237865483</v>
      </c>
    </row>
    <row r="240" spans="1:26" s="27" customFormat="1" outlineLevel="1" collapsed="1" x14ac:dyDescent="0.25">
      <c r="A240" s="26"/>
      <c r="B240" s="13" t="str">
        <f>CONCATENATE("     ","Employees' Appreciation                           ")</f>
        <v xml:space="preserve">     Employees' Appreciation                           </v>
      </c>
      <c r="C240" s="13"/>
      <c r="D240" s="1">
        <f>SUM(OSRRefD22_8x_0)</f>
        <v>817.44</v>
      </c>
      <c r="E240" s="1"/>
      <c r="F240" s="5">
        <f t="shared" ref="F240:F246" si="66">IF(D$12=0,0,D240/D$12)</f>
        <v>2.2371913610411129E-4</v>
      </c>
      <c r="G240" s="1"/>
      <c r="H240" s="1">
        <f>SUM(OSRRefH22_8x_0)</f>
        <v>1935</v>
      </c>
      <c r="I240" s="1"/>
      <c r="J240" s="5">
        <f t="shared" ref="J240:J246" si="67">IF(H$12=0,0,H240/H$12)</f>
        <v>4.883420752662352E-4</v>
      </c>
      <c r="K240" s="1"/>
      <c r="L240" s="1">
        <f t="shared" ref="L240:L246" si="68">+D240-H240</f>
        <v>-1117.56</v>
      </c>
      <c r="M240" s="1"/>
      <c r="N240" s="5">
        <f t="shared" ref="N240:N246" si="69">IF(H240=0,0,L240/H240)</f>
        <v>-0.57755038759689925</v>
      </c>
      <c r="O240" s="13"/>
      <c r="P240" s="1">
        <f>SUM(OSRRefP22_8x_0)</f>
        <v>4566.1899999999996</v>
      </c>
      <c r="Q240" s="1"/>
      <c r="R240" s="5">
        <f t="shared" ref="R240:R246" si="70">IF(P$12=0,0,P240/P$12)</f>
        <v>2.1011657514638385E-4</v>
      </c>
      <c r="S240" s="1"/>
      <c r="T240" s="1">
        <f>SUM(OSRRefT22_8x_0)</f>
        <v>14715</v>
      </c>
      <c r="U240" s="1"/>
      <c r="V240" s="5">
        <f t="shared" ref="V240:V246" si="71">IF(T$12=0,0,T240/T$12)</f>
        <v>6.4344812074282581E-4</v>
      </c>
      <c r="W240" s="1"/>
      <c r="X240" s="1">
        <f t="shared" ref="X240:X246" si="72">+P240-T240</f>
        <v>-10148.810000000001</v>
      </c>
      <c r="Y240" s="1"/>
      <c r="Z240" s="5">
        <f t="shared" ref="Z240:Z246" si="73">IF(T240=0,0,X240/T240)</f>
        <v>-0.68969147128780162</v>
      </c>
    </row>
    <row r="241" spans="1:26" s="24" customFormat="1" hidden="1" outlineLevel="2" x14ac:dyDescent="0.25">
      <c r="A241" s="25"/>
      <c r="B241" s="11" t="str">
        <f>CONCATENATE("          ", "6277", " - ", "EMPLOYEE APPRECIATION")</f>
        <v xml:space="preserve">          6277 - EMPLOYEE APPRECIATION</v>
      </c>
      <c r="C241" s="11"/>
      <c r="D241" s="7">
        <v>817.44</v>
      </c>
      <c r="E241" s="2"/>
      <c r="F241" s="6">
        <f t="shared" si="66"/>
        <v>2.2371913610411129E-4</v>
      </c>
      <c r="G241" s="2"/>
      <c r="H241" s="7">
        <v>1935</v>
      </c>
      <c r="I241" s="2"/>
      <c r="J241" s="6">
        <f t="shared" si="67"/>
        <v>4.883420752662352E-4</v>
      </c>
      <c r="K241" s="2"/>
      <c r="L241" s="7">
        <f t="shared" si="68"/>
        <v>-1117.56</v>
      </c>
      <c r="M241" s="2"/>
      <c r="N241" s="6">
        <f t="shared" si="69"/>
        <v>-0.57755038759689925</v>
      </c>
      <c r="O241" s="11"/>
      <c r="P241" s="7">
        <v>4566.1899999999996</v>
      </c>
      <c r="Q241" s="2"/>
      <c r="R241" s="6">
        <f t="shared" si="70"/>
        <v>2.1011657514638385E-4</v>
      </c>
      <c r="S241" s="2"/>
      <c r="T241" s="7">
        <v>14715</v>
      </c>
      <c r="U241" s="2"/>
      <c r="V241" s="6">
        <f t="shared" si="71"/>
        <v>6.4344812074282581E-4</v>
      </c>
      <c r="W241" s="2"/>
      <c r="X241" s="7">
        <f t="shared" si="72"/>
        <v>-10148.810000000001</v>
      </c>
      <c r="Y241" s="2"/>
      <c r="Z241" s="6">
        <f t="shared" si="73"/>
        <v>-0.68969147128780162</v>
      </c>
    </row>
    <row r="242" spans="1:26" s="27" customFormat="1" outlineLevel="1" collapsed="1" x14ac:dyDescent="0.25">
      <c r="A242" s="26"/>
      <c r="B242" s="13" t="str">
        <f>CONCATENATE("     ","Equipment Rental                                  ")</f>
        <v xml:space="preserve">     Equipment Rental                                  </v>
      </c>
      <c r="C242" s="13"/>
      <c r="D242" s="1">
        <f>SUM(OSRRefD22_9x_0)</f>
        <v>7272.72</v>
      </c>
      <c r="E242" s="1"/>
      <c r="F242" s="5">
        <f t="shared" si="66"/>
        <v>1.9904171994606238E-3</v>
      </c>
      <c r="G242" s="1"/>
      <c r="H242" s="1">
        <f>SUM(OSRRefH22_9x_0)</f>
        <v>5370</v>
      </c>
      <c r="I242" s="1"/>
      <c r="J242" s="5">
        <f t="shared" si="67"/>
        <v>1.3552438988008696E-3</v>
      </c>
      <c r="K242" s="1"/>
      <c r="L242" s="1">
        <f t="shared" si="68"/>
        <v>1902.7200000000003</v>
      </c>
      <c r="M242" s="1"/>
      <c r="N242" s="5">
        <f t="shared" si="69"/>
        <v>0.35432402234636878</v>
      </c>
      <c r="O242" s="13"/>
      <c r="P242" s="1">
        <f>SUM(OSRRefP22_9x_0)</f>
        <v>36709.46</v>
      </c>
      <c r="Q242" s="1"/>
      <c r="R242" s="5">
        <f t="shared" si="70"/>
        <v>1.6892126719810546E-3</v>
      </c>
      <c r="S242" s="1"/>
      <c r="T242" s="1">
        <f>SUM(OSRRefT22_9x_0)</f>
        <v>38466</v>
      </c>
      <c r="U242" s="1"/>
      <c r="V242" s="5">
        <f t="shared" si="71"/>
        <v>1.6820166777093807E-3</v>
      </c>
      <c r="W242" s="1"/>
      <c r="X242" s="1">
        <f t="shared" si="72"/>
        <v>-1756.5400000000009</v>
      </c>
      <c r="Y242" s="1"/>
      <c r="Z242" s="5">
        <f t="shared" si="73"/>
        <v>-4.5664742889824805E-2</v>
      </c>
    </row>
    <row r="243" spans="1:26" s="24" customFormat="1" hidden="1" outlineLevel="2" x14ac:dyDescent="0.25">
      <c r="A243" s="25"/>
      <c r="B243" s="11" t="str">
        <f>CONCATENATE("          ", "6351", " - ", "EQUIPMENT RENTAL")</f>
        <v xml:space="preserve">          6351 - EQUIPMENT RENTAL</v>
      </c>
      <c r="C243" s="11"/>
      <c r="D243" s="7">
        <v>7272.72</v>
      </c>
      <c r="E243" s="2"/>
      <c r="F243" s="6">
        <f t="shared" si="66"/>
        <v>1.9904171994606238E-3</v>
      </c>
      <c r="G243" s="2"/>
      <c r="H243" s="7">
        <v>5370</v>
      </c>
      <c r="I243" s="2"/>
      <c r="J243" s="6">
        <f t="shared" si="67"/>
        <v>1.3552438988008696E-3</v>
      </c>
      <c r="K243" s="2"/>
      <c r="L243" s="7">
        <f t="shared" si="68"/>
        <v>1902.7200000000003</v>
      </c>
      <c r="M243" s="2"/>
      <c r="N243" s="6">
        <f t="shared" si="69"/>
        <v>0.35432402234636878</v>
      </c>
      <c r="O243" s="11"/>
      <c r="P243" s="7">
        <v>36709.46</v>
      </c>
      <c r="Q243" s="2"/>
      <c r="R243" s="6">
        <f t="shared" si="70"/>
        <v>1.6892126719810546E-3</v>
      </c>
      <c r="S243" s="2"/>
      <c r="T243" s="7">
        <v>38466</v>
      </c>
      <c r="U243" s="2"/>
      <c r="V243" s="6">
        <f t="shared" si="71"/>
        <v>1.6820166777093807E-3</v>
      </c>
      <c r="W243" s="2"/>
      <c r="X243" s="7">
        <f t="shared" si="72"/>
        <v>-1756.5400000000009</v>
      </c>
      <c r="Y243" s="2"/>
      <c r="Z243" s="6">
        <f t="shared" si="73"/>
        <v>-4.5664742889824805E-2</v>
      </c>
    </row>
    <row r="244" spans="1:26" s="27" customFormat="1" outlineLevel="1" collapsed="1" x14ac:dyDescent="0.25">
      <c r="A244" s="26"/>
      <c r="B244" s="13" t="str">
        <f>CONCATENATE("     ","Freight out/Postage                               ")</f>
        <v xml:space="preserve">     Freight out/Postage                               </v>
      </c>
      <c r="C244" s="13"/>
      <c r="D244" s="1">
        <f>SUM(OSRRefD22_10x_0)</f>
        <v>-13208.339999999997</v>
      </c>
      <c r="E244" s="1"/>
      <c r="F244" s="5">
        <f t="shared" si="66"/>
        <v>-3.614893342837855E-3</v>
      </c>
      <c r="G244" s="1"/>
      <c r="H244" s="1">
        <f>SUM(OSRRefH22_10x_0)</f>
        <v>-23174</v>
      </c>
      <c r="I244" s="1"/>
      <c r="J244" s="5">
        <f t="shared" si="67"/>
        <v>-5.8484957375812578E-3</v>
      </c>
      <c r="K244" s="1"/>
      <c r="L244" s="1">
        <f t="shared" si="68"/>
        <v>9965.6600000000035</v>
      </c>
      <c r="M244" s="1"/>
      <c r="N244" s="5">
        <f t="shared" si="69"/>
        <v>-0.43003624751877118</v>
      </c>
      <c r="O244" s="13"/>
      <c r="P244" s="1">
        <f>SUM(OSRRefP22_10x_0)</f>
        <v>-6382.4599999999991</v>
      </c>
      <c r="Q244" s="1"/>
      <c r="R244" s="5">
        <f t="shared" si="70"/>
        <v>-2.9369356864449112E-4</v>
      </c>
      <c r="S244" s="1"/>
      <c r="T244" s="1">
        <f>SUM(OSRRefT22_10x_0)</f>
        <v>-52918</v>
      </c>
      <c r="U244" s="1"/>
      <c r="V244" s="5">
        <f t="shared" si="71"/>
        <v>-2.3139645024443669E-3</v>
      </c>
      <c r="W244" s="1"/>
      <c r="X244" s="1">
        <f t="shared" si="72"/>
        <v>46535.54</v>
      </c>
      <c r="Y244" s="1"/>
      <c r="Z244" s="5">
        <f t="shared" si="73"/>
        <v>-0.87938962167882384</v>
      </c>
    </row>
    <row r="245" spans="1:26" s="24" customFormat="1" hidden="1" outlineLevel="2" x14ac:dyDescent="0.25">
      <c r="A245" s="25"/>
      <c r="B245" s="11" t="str">
        <f>CONCATENATE("          ", "6305", " - ", "FREIGHT OUT")</f>
        <v xml:space="preserve">          6305 - FREIGHT OUT</v>
      </c>
      <c r="C245" s="11"/>
      <c r="D245" s="7">
        <v>2315.63</v>
      </c>
      <c r="E245" s="2"/>
      <c r="F245" s="6">
        <f t="shared" si="66"/>
        <v>6.3374772844094151E-4</v>
      </c>
      <c r="G245" s="2"/>
      <c r="H245" s="7">
        <v>-23225</v>
      </c>
      <c r="I245" s="2"/>
      <c r="J245" s="6">
        <f t="shared" si="67"/>
        <v>-5.8613667690223829E-3</v>
      </c>
      <c r="K245" s="2"/>
      <c r="L245" s="7">
        <f t="shared" si="68"/>
        <v>25540.63</v>
      </c>
      <c r="M245" s="2"/>
      <c r="N245" s="6">
        <f t="shared" si="69"/>
        <v>-1.0997041980624327</v>
      </c>
      <c r="O245" s="11"/>
      <c r="P245" s="7">
        <v>37295.35</v>
      </c>
      <c r="Q245" s="2"/>
      <c r="R245" s="6">
        <f t="shared" si="70"/>
        <v>1.7161728291826856E-3</v>
      </c>
      <c r="S245" s="2"/>
      <c r="T245" s="7">
        <v>-53275</v>
      </c>
      <c r="U245" s="2"/>
      <c r="V245" s="6">
        <f t="shared" si="71"/>
        <v>-2.329575170409381E-3</v>
      </c>
      <c r="W245" s="2"/>
      <c r="X245" s="7">
        <f t="shared" si="72"/>
        <v>90570.35</v>
      </c>
      <c r="Y245" s="2"/>
      <c r="Z245" s="6">
        <f t="shared" si="73"/>
        <v>-1.7000534960112623</v>
      </c>
    </row>
    <row r="246" spans="1:26" s="24" customFormat="1" hidden="1" outlineLevel="2" x14ac:dyDescent="0.25">
      <c r="A246" s="25"/>
      <c r="B246" s="11" t="str">
        <f>CONCATENATE("          ", "6307", " - ", "POSTAGE")</f>
        <v xml:space="preserve">          6307 - POSTAGE</v>
      </c>
      <c r="C246" s="11"/>
      <c r="D246" s="7">
        <v>-15523.969999999998</v>
      </c>
      <c r="E246" s="2"/>
      <c r="F246" s="6">
        <f t="shared" si="66"/>
        <v>-4.2486410712787963E-3</v>
      </c>
      <c r="G246" s="2"/>
      <c r="H246" s="7">
        <v>51</v>
      </c>
      <c r="I246" s="2"/>
      <c r="J246" s="6">
        <f t="shared" si="67"/>
        <v>1.2871031441125578E-5</v>
      </c>
      <c r="K246" s="2"/>
      <c r="L246" s="7">
        <f t="shared" si="68"/>
        <v>-15574.969999999998</v>
      </c>
      <c r="M246" s="2"/>
      <c r="N246" s="6">
        <f t="shared" si="69"/>
        <v>-305.39156862745091</v>
      </c>
      <c r="O246" s="11"/>
      <c r="P246" s="7">
        <v>-43677.81</v>
      </c>
      <c r="Q246" s="2"/>
      <c r="R246" s="6">
        <f t="shared" si="70"/>
        <v>-2.0098663978271765E-3</v>
      </c>
      <c r="S246" s="2"/>
      <c r="T246" s="7">
        <v>357</v>
      </c>
      <c r="U246" s="2"/>
      <c r="V246" s="6">
        <f t="shared" si="71"/>
        <v>1.5610667965014529E-5</v>
      </c>
      <c r="W246" s="2"/>
      <c r="X246" s="7">
        <f t="shared" si="72"/>
        <v>-44034.81</v>
      </c>
      <c r="Y246" s="2"/>
      <c r="Z246" s="6">
        <f t="shared" si="73"/>
        <v>-123.34680672268907</v>
      </c>
    </row>
    <row r="247" spans="1:26" s="27" customFormat="1" outlineLevel="1" collapsed="1" x14ac:dyDescent="0.25">
      <c r="A247" s="26"/>
      <c r="B247" s="13" t="str">
        <f>CONCATENATE("     ","General                                           ")</f>
        <v xml:space="preserve">     General                                           </v>
      </c>
      <c r="C247" s="13"/>
      <c r="D247" s="1">
        <f>SUM(OSRRefD22_11x_0)</f>
        <v>14384</v>
      </c>
      <c r="E247" s="1"/>
      <c r="F247" s="5">
        <f t="shared" ref="F247:F249" si="74">IF(D$12=0,0,D247/D$12)</f>
        <v>3.9366510737442947E-3</v>
      </c>
      <c r="G247" s="1"/>
      <c r="H247" s="1">
        <f>SUM(OSRRefH22_11x_0)</f>
        <v>5647</v>
      </c>
      <c r="I247" s="1"/>
      <c r="J247" s="5">
        <f t="shared" ref="J247:J249" si="75">IF(H$12=0,0,H247/H$12)</f>
        <v>1.4251512656477674E-3</v>
      </c>
      <c r="K247" s="1"/>
      <c r="L247" s="1">
        <f t="shared" ref="L247:L249" si="76">+D247-H247</f>
        <v>8737</v>
      </c>
      <c r="M247" s="1"/>
      <c r="N247" s="5">
        <f t="shared" ref="N247:N249" si="77">IF(H247=0,0,L247/H247)</f>
        <v>1.5471931999291659</v>
      </c>
      <c r="O247" s="13"/>
      <c r="P247" s="1">
        <f>SUM(OSRRefP22_11x_0)</f>
        <v>92846.71</v>
      </c>
      <c r="Q247" s="1"/>
      <c r="R247" s="5">
        <f t="shared" ref="R247:R249" si="78">IF(P$12=0,0,P247/P$12)</f>
        <v>4.2724093212962036E-3</v>
      </c>
      <c r="S247" s="1"/>
      <c r="T247" s="1">
        <f>SUM(OSRRefT22_11x_0)</f>
        <v>68839</v>
      </c>
      <c r="U247" s="1"/>
      <c r="V247" s="5">
        <f t="shared" ref="V247:V249" si="79">IF(T$12=0,0,T247/T$12)</f>
        <v>3.010147820850519E-3</v>
      </c>
      <c r="W247" s="1"/>
      <c r="X247" s="1">
        <f t="shared" ref="X247:X249" si="80">+P247-T247</f>
        <v>24007.710000000006</v>
      </c>
      <c r="Y247" s="1"/>
      <c r="Z247" s="5">
        <f t="shared" ref="Z247:Z249" si="81">IF(T247=0,0,X247/T247)</f>
        <v>0.34875157977309384</v>
      </c>
    </row>
    <row r="248" spans="1:26" s="24" customFormat="1" hidden="1" outlineLevel="2" x14ac:dyDescent="0.25">
      <c r="A248" s="25"/>
      <c r="B248" s="11" t="str">
        <f>CONCATENATE("          ", "6269", " - ", "ENTERTAINMENT")</f>
        <v xml:space="preserve">          6269 - ENTERTAINMENT</v>
      </c>
      <c r="C248" s="11"/>
      <c r="D248" s="7"/>
      <c r="E248" s="2"/>
      <c r="F248" s="6">
        <f t="shared" si="74"/>
        <v>0</v>
      </c>
      <c r="G248" s="2"/>
      <c r="H248" s="7">
        <v>350</v>
      </c>
      <c r="I248" s="2"/>
      <c r="J248" s="6">
        <f t="shared" si="75"/>
        <v>8.8330607929293186E-5</v>
      </c>
      <c r="K248" s="2"/>
      <c r="L248" s="7">
        <f t="shared" si="76"/>
        <v>-350</v>
      </c>
      <c r="M248" s="2"/>
      <c r="N248" s="6">
        <f t="shared" si="77"/>
        <v>-1</v>
      </c>
      <c r="O248" s="11"/>
      <c r="P248" s="7">
        <v>7350</v>
      </c>
      <c r="Q248" s="2"/>
      <c r="R248" s="6">
        <f t="shared" si="78"/>
        <v>3.3821562995099225E-4</v>
      </c>
      <c r="S248" s="2"/>
      <c r="T248" s="7">
        <v>4700</v>
      </c>
      <c r="U248" s="2"/>
      <c r="V248" s="6">
        <f t="shared" si="79"/>
        <v>2.0551859785873471E-4</v>
      </c>
      <c r="W248" s="2"/>
      <c r="X248" s="7">
        <f t="shared" si="80"/>
        <v>2650</v>
      </c>
      <c r="Y248" s="2"/>
      <c r="Z248" s="6">
        <f t="shared" si="81"/>
        <v>0.56382978723404253</v>
      </c>
    </row>
    <row r="249" spans="1:26" s="24" customFormat="1" hidden="1" outlineLevel="2" x14ac:dyDescent="0.25">
      <c r="A249" s="25"/>
      <c r="B249" s="11" t="str">
        <f>CONCATENATE("          ", "6279", " - ", "GENERAL EXPENSE")</f>
        <v xml:space="preserve">          6279 - GENERAL EXPENSE</v>
      </c>
      <c r="C249" s="11"/>
      <c r="D249" s="7">
        <v>14384</v>
      </c>
      <c r="E249" s="2"/>
      <c r="F249" s="6">
        <f t="shared" si="74"/>
        <v>3.9366510737442947E-3</v>
      </c>
      <c r="G249" s="2"/>
      <c r="H249" s="7">
        <v>5297</v>
      </c>
      <c r="I249" s="2"/>
      <c r="J249" s="6">
        <f t="shared" si="75"/>
        <v>1.3368206577184742E-3</v>
      </c>
      <c r="K249" s="2"/>
      <c r="L249" s="7">
        <f t="shared" si="76"/>
        <v>9087</v>
      </c>
      <c r="M249" s="2"/>
      <c r="N249" s="6">
        <f t="shared" si="77"/>
        <v>1.7154993392486313</v>
      </c>
      <c r="O249" s="11"/>
      <c r="P249" s="7">
        <v>85496.71</v>
      </c>
      <c r="Q249" s="2"/>
      <c r="R249" s="6">
        <f t="shared" si="78"/>
        <v>3.934193691345211E-3</v>
      </c>
      <c r="S249" s="2"/>
      <c r="T249" s="7">
        <v>64139.000000000007</v>
      </c>
      <c r="U249" s="2"/>
      <c r="V249" s="6">
        <f t="shared" si="79"/>
        <v>2.8046292229917846E-3</v>
      </c>
      <c r="W249" s="2"/>
      <c r="X249" s="7">
        <f t="shared" si="80"/>
        <v>21357.71</v>
      </c>
      <c r="Y249" s="2"/>
      <c r="Z249" s="6">
        <f t="shared" si="81"/>
        <v>0.33299100391337561</v>
      </c>
    </row>
    <row r="250" spans="1:26" s="27" customFormat="1" outlineLevel="1" collapsed="1" x14ac:dyDescent="0.25">
      <c r="A250" s="26"/>
      <c r="B250" s="13" t="str">
        <f>CONCATENATE("     ","Insurance                                         ")</f>
        <v xml:space="preserve">     Insurance                                         </v>
      </c>
      <c r="C250" s="13"/>
      <c r="D250" s="1">
        <f>SUM(OSRRefD22_12x_0)</f>
        <v>8563.32</v>
      </c>
      <c r="E250" s="1"/>
      <c r="F250" s="5">
        <f t="shared" ref="F250:F266" si="82">IF(D$12=0,0,D250/D$12)</f>
        <v>2.3436320128487204E-3</v>
      </c>
      <c r="G250" s="1"/>
      <c r="H250" s="1">
        <f>SUM(OSRRefH22_12x_0)</f>
        <v>8081</v>
      </c>
      <c r="I250" s="1"/>
      <c r="J250" s="5">
        <f t="shared" ref="J250:J266" si="83">IF(H$12=0,0,H250/H$12)</f>
        <v>2.0394275505046236E-3</v>
      </c>
      <c r="K250" s="1"/>
      <c r="L250" s="1">
        <f t="shared" ref="L250:L266" si="84">+D250-H250</f>
        <v>482.31999999999971</v>
      </c>
      <c r="M250" s="1"/>
      <c r="N250" s="5">
        <f t="shared" ref="N250:N266" si="85">IF(H250=0,0,L250/H250)</f>
        <v>5.9685682465041419E-2</v>
      </c>
      <c r="O250" s="13"/>
      <c r="P250" s="1">
        <f>SUM(OSRRefP22_12x_0)</f>
        <v>59943.239999999991</v>
      </c>
      <c r="Q250" s="1"/>
      <c r="R250" s="5">
        <f t="shared" ref="R250:R266" si="86">IF(P$12=0,0,P250/P$12)</f>
        <v>2.7583320650208863E-3</v>
      </c>
      <c r="S250" s="1"/>
      <c r="T250" s="1">
        <f>SUM(OSRRefT22_12x_0)</f>
        <v>56567</v>
      </c>
      <c r="U250" s="1"/>
      <c r="V250" s="5">
        <f t="shared" ref="V250:V266" si="87">IF(T$12=0,0,T250/T$12)</f>
        <v>2.4735256436329888E-3</v>
      </c>
      <c r="W250" s="1"/>
      <c r="X250" s="1">
        <f t="shared" ref="X250:X266" si="88">+P250-T250</f>
        <v>3376.2399999999907</v>
      </c>
      <c r="Y250" s="1"/>
      <c r="Z250" s="5">
        <f t="shared" ref="Z250:Z266" si="89">IF(T250=0,0,X250/T250)</f>
        <v>5.9685682465041294E-2</v>
      </c>
    </row>
    <row r="251" spans="1:26" s="24" customFormat="1" hidden="1" outlineLevel="2" x14ac:dyDescent="0.25">
      <c r="A251" s="25"/>
      <c r="B251" s="11" t="str">
        <f>CONCATENATE("          ", "6314", " - ", "LIABILITY INSURANCE")</f>
        <v xml:space="preserve">          6314 - LIABILITY INSURANCE</v>
      </c>
      <c r="C251" s="11"/>
      <c r="D251" s="7">
        <v>8563.32</v>
      </c>
      <c r="E251" s="2"/>
      <c r="F251" s="6">
        <f t="shared" si="82"/>
        <v>2.3436320128487204E-3</v>
      </c>
      <c r="G251" s="2"/>
      <c r="H251" s="7">
        <v>8081</v>
      </c>
      <c r="I251" s="2"/>
      <c r="J251" s="6">
        <f t="shared" si="83"/>
        <v>2.0394275505046236E-3</v>
      </c>
      <c r="K251" s="2"/>
      <c r="L251" s="7">
        <f t="shared" si="84"/>
        <v>482.31999999999971</v>
      </c>
      <c r="M251" s="2"/>
      <c r="N251" s="6">
        <f t="shared" si="85"/>
        <v>5.9685682465041419E-2</v>
      </c>
      <c r="O251" s="11"/>
      <c r="P251" s="7">
        <v>59943.239999999991</v>
      </c>
      <c r="Q251" s="2"/>
      <c r="R251" s="6">
        <f t="shared" si="86"/>
        <v>2.7583320650208863E-3</v>
      </c>
      <c r="S251" s="2"/>
      <c r="T251" s="7">
        <v>56567</v>
      </c>
      <c r="U251" s="2"/>
      <c r="V251" s="6">
        <f t="shared" si="87"/>
        <v>2.4735256436329888E-3</v>
      </c>
      <c r="W251" s="2"/>
      <c r="X251" s="7">
        <f t="shared" si="88"/>
        <v>3376.2399999999907</v>
      </c>
      <c r="Y251" s="2"/>
      <c r="Z251" s="6">
        <f t="shared" si="89"/>
        <v>5.9685682465041294E-2</v>
      </c>
    </row>
    <row r="252" spans="1:26" s="27" customFormat="1" outlineLevel="1" collapsed="1" x14ac:dyDescent="0.25">
      <c r="A252" s="26"/>
      <c r="B252" s="13" t="str">
        <f>CONCATENATE("     ","Interest                                          ")</f>
        <v xml:space="preserve">     Interest                                          </v>
      </c>
      <c r="C252" s="13"/>
      <c r="D252" s="1">
        <f>SUM(OSRRefD22_13x_0)</f>
        <v>11929</v>
      </c>
      <c r="E252" s="1"/>
      <c r="F252" s="5">
        <f t="shared" si="82"/>
        <v>3.2647601959604903E-3</v>
      </c>
      <c r="G252" s="1"/>
      <c r="H252" s="1">
        <f>SUM(OSRRefH22_13x_0)</f>
        <v>11929</v>
      </c>
      <c r="I252" s="1"/>
      <c r="J252" s="5">
        <f t="shared" si="83"/>
        <v>3.0105594913958237E-3</v>
      </c>
      <c r="K252" s="1"/>
      <c r="L252" s="1">
        <f t="shared" si="84"/>
        <v>0</v>
      </c>
      <c r="M252" s="1"/>
      <c r="N252" s="5">
        <f t="shared" si="85"/>
        <v>0</v>
      </c>
      <c r="O252" s="13"/>
      <c r="P252" s="1">
        <f>SUM(OSRRefP22_13x_0)</f>
        <v>82904</v>
      </c>
      <c r="Q252" s="1"/>
      <c r="R252" s="5">
        <f t="shared" si="86"/>
        <v>3.8148882429193281E-3</v>
      </c>
      <c r="S252" s="1"/>
      <c r="T252" s="1">
        <f>SUM(OSRRefT22_13x_0)</f>
        <v>83503</v>
      </c>
      <c r="U252" s="1"/>
      <c r="V252" s="5">
        <f t="shared" si="87"/>
        <v>3.6513658461697711E-3</v>
      </c>
      <c r="W252" s="1"/>
      <c r="X252" s="1">
        <f t="shared" si="88"/>
        <v>-599</v>
      </c>
      <c r="Y252" s="1"/>
      <c r="Z252" s="5">
        <f t="shared" si="89"/>
        <v>-7.1733949678454666E-3</v>
      </c>
    </row>
    <row r="253" spans="1:26" s="24" customFormat="1" hidden="1" outlineLevel="2" x14ac:dyDescent="0.25">
      <c r="A253" s="25"/>
      <c r="B253" s="11" t="str">
        <f>CONCATENATE("          ", "6401", " - ", "INTEREST EXPENSE")</f>
        <v xml:space="preserve">          6401 - INTEREST EXPENSE</v>
      </c>
      <c r="C253" s="11"/>
      <c r="D253" s="7">
        <v>11929</v>
      </c>
      <c r="E253" s="2"/>
      <c r="F253" s="6">
        <f t="shared" si="82"/>
        <v>3.2647601959604903E-3</v>
      </c>
      <c r="G253" s="2"/>
      <c r="H253" s="7">
        <v>11929</v>
      </c>
      <c r="I253" s="2"/>
      <c r="J253" s="6">
        <f t="shared" si="83"/>
        <v>3.0105594913958237E-3</v>
      </c>
      <c r="K253" s="2"/>
      <c r="L253" s="7">
        <f t="shared" si="84"/>
        <v>0</v>
      </c>
      <c r="M253" s="2"/>
      <c r="N253" s="6">
        <f t="shared" si="85"/>
        <v>0</v>
      </c>
      <c r="O253" s="11"/>
      <c r="P253" s="7">
        <v>82904</v>
      </c>
      <c r="Q253" s="2"/>
      <c r="R253" s="6">
        <f t="shared" si="86"/>
        <v>3.8148882429193281E-3</v>
      </c>
      <c r="S253" s="2"/>
      <c r="T253" s="7">
        <v>83503</v>
      </c>
      <c r="U253" s="2"/>
      <c r="V253" s="6">
        <f t="shared" si="87"/>
        <v>3.6513658461697711E-3</v>
      </c>
      <c r="W253" s="2"/>
      <c r="X253" s="7">
        <f t="shared" si="88"/>
        <v>-599</v>
      </c>
      <c r="Y253" s="2"/>
      <c r="Z253" s="6">
        <f t="shared" si="89"/>
        <v>-7.1733949678454666E-3</v>
      </c>
    </row>
    <row r="254" spans="1:26" s="27" customFormat="1" outlineLevel="1" collapsed="1" x14ac:dyDescent="0.25">
      <c r="A254" s="26"/>
      <c r="B254" s="13" t="str">
        <f>CONCATENATE("     ","Inventory Adjustment                              ")</f>
        <v xml:space="preserve">     Inventory Adjustment                              </v>
      </c>
      <c r="C254" s="13"/>
      <c r="D254" s="1">
        <f>SUM(OSRRefD22_14x_0)</f>
        <v>4250</v>
      </c>
      <c r="E254" s="1"/>
      <c r="F254" s="5">
        <f t="shared" si="82"/>
        <v>1.1631512140860159E-3</v>
      </c>
      <c r="G254" s="1"/>
      <c r="H254" s="1">
        <f>SUM(OSRRefH22_14x_0)</f>
        <v>4250</v>
      </c>
      <c r="I254" s="1"/>
      <c r="J254" s="5">
        <f t="shared" si="83"/>
        <v>1.0725859534271315E-3</v>
      </c>
      <c r="K254" s="1"/>
      <c r="L254" s="1">
        <f t="shared" si="84"/>
        <v>0</v>
      </c>
      <c r="M254" s="1"/>
      <c r="N254" s="5">
        <f t="shared" si="85"/>
        <v>0</v>
      </c>
      <c r="O254" s="13"/>
      <c r="P254" s="1">
        <f>SUM(OSRRefP22_14x_0)</f>
        <v>35450</v>
      </c>
      <c r="Q254" s="1"/>
      <c r="R254" s="5">
        <f t="shared" si="86"/>
        <v>1.6312576981990035E-3</v>
      </c>
      <c r="S254" s="1"/>
      <c r="T254" s="1">
        <f>SUM(OSRRefT22_14x_0)</f>
        <v>35450</v>
      </c>
      <c r="U254" s="1"/>
      <c r="V254" s="5">
        <f t="shared" si="87"/>
        <v>1.5501349561898182E-3</v>
      </c>
      <c r="W254" s="1"/>
      <c r="X254" s="1">
        <f t="shared" si="88"/>
        <v>0</v>
      </c>
      <c r="Y254" s="1"/>
      <c r="Z254" s="5">
        <f t="shared" si="89"/>
        <v>0</v>
      </c>
    </row>
    <row r="255" spans="1:26" s="24" customFormat="1" hidden="1" outlineLevel="2" x14ac:dyDescent="0.25">
      <c r="A255" s="25"/>
      <c r="B255" s="11" t="str">
        <f>CONCATENATE("          ", "6408", " - ", "INVENTORY ADJUSTMENT")</f>
        <v xml:space="preserve">          6408 - INVENTORY ADJUSTMENT</v>
      </c>
      <c r="C255" s="11"/>
      <c r="D255" s="7">
        <v>4250</v>
      </c>
      <c r="E255" s="2"/>
      <c r="F255" s="6">
        <f t="shared" si="82"/>
        <v>1.1631512140860159E-3</v>
      </c>
      <c r="G255" s="2"/>
      <c r="H255" s="7">
        <v>4250</v>
      </c>
      <c r="I255" s="2"/>
      <c r="J255" s="6">
        <f t="shared" si="83"/>
        <v>1.0725859534271315E-3</v>
      </c>
      <c r="K255" s="2"/>
      <c r="L255" s="7">
        <f t="shared" si="84"/>
        <v>0</v>
      </c>
      <c r="M255" s="2"/>
      <c r="N255" s="6">
        <f t="shared" si="85"/>
        <v>0</v>
      </c>
      <c r="O255" s="11"/>
      <c r="P255" s="7">
        <v>35450</v>
      </c>
      <c r="Q255" s="2"/>
      <c r="R255" s="6">
        <f t="shared" si="86"/>
        <v>1.6312576981990035E-3</v>
      </c>
      <c r="S255" s="2"/>
      <c r="T255" s="7">
        <v>35450</v>
      </c>
      <c r="U255" s="2"/>
      <c r="V255" s="6">
        <f t="shared" si="87"/>
        <v>1.5501349561898182E-3</v>
      </c>
      <c r="W255" s="2"/>
      <c r="X255" s="7">
        <f t="shared" si="88"/>
        <v>0</v>
      </c>
      <c r="Y255" s="2"/>
      <c r="Z255" s="6">
        <f t="shared" si="89"/>
        <v>0</v>
      </c>
    </row>
    <row r="256" spans="1:26" s="27" customFormat="1" outlineLevel="1" collapsed="1" x14ac:dyDescent="0.25">
      <c r="A256" s="26"/>
      <c r="B256" s="13" t="str">
        <f>CONCATENATE("     ","Professional Services                             ")</f>
        <v xml:space="preserve">     Professional Services                             </v>
      </c>
      <c r="C256" s="13"/>
      <c r="D256" s="1">
        <f>SUM(OSRRefD22_15x_0)</f>
        <v>0</v>
      </c>
      <c r="E256" s="1"/>
      <c r="F256" s="5">
        <f t="shared" si="82"/>
        <v>0</v>
      </c>
      <c r="G256" s="1"/>
      <c r="H256" s="1">
        <f>SUM(OSRRefH22_15x_0)</f>
        <v>1665</v>
      </c>
      <c r="I256" s="1"/>
      <c r="J256" s="5">
        <f t="shared" si="83"/>
        <v>4.2020132057792329E-4</v>
      </c>
      <c r="K256" s="1"/>
      <c r="L256" s="1">
        <f t="shared" si="84"/>
        <v>-1665</v>
      </c>
      <c r="M256" s="1"/>
      <c r="N256" s="5">
        <f t="shared" si="85"/>
        <v>-1</v>
      </c>
      <c r="O256" s="13"/>
      <c r="P256" s="1">
        <f>SUM(OSRRefP22_15x_0)</f>
        <v>6324.56</v>
      </c>
      <c r="Q256" s="1"/>
      <c r="R256" s="5">
        <f t="shared" si="86"/>
        <v>2.9102925776365276E-4</v>
      </c>
      <c r="S256" s="1"/>
      <c r="T256" s="1">
        <f>SUM(OSRRefT22_15x_0)</f>
        <v>12805</v>
      </c>
      <c r="U256" s="1"/>
      <c r="V256" s="5">
        <f t="shared" si="87"/>
        <v>5.599288607619357E-4</v>
      </c>
      <c r="W256" s="1"/>
      <c r="X256" s="1">
        <f t="shared" si="88"/>
        <v>-6480.44</v>
      </c>
      <c r="Y256" s="1"/>
      <c r="Z256" s="5">
        <f t="shared" si="89"/>
        <v>-0.50608668488871533</v>
      </c>
    </row>
    <row r="257" spans="1:26" s="24" customFormat="1" hidden="1" outlineLevel="2" x14ac:dyDescent="0.25">
      <c r="A257" s="25"/>
      <c r="B257" s="11" t="str">
        <f>CONCATENATE("          ", "6336", " - ", "PROFESSIONAL SERVICES")</f>
        <v xml:space="preserve">          6336 - PROFESSIONAL SERVICES</v>
      </c>
      <c r="C257" s="11"/>
      <c r="D257" s="7"/>
      <c r="E257" s="2"/>
      <c r="F257" s="6">
        <f t="shared" si="82"/>
        <v>0</v>
      </c>
      <c r="G257" s="2"/>
      <c r="H257" s="7">
        <v>1665</v>
      </c>
      <c r="I257" s="2"/>
      <c r="J257" s="6">
        <f t="shared" si="83"/>
        <v>4.2020132057792329E-4</v>
      </c>
      <c r="K257" s="2"/>
      <c r="L257" s="7">
        <f t="shared" si="84"/>
        <v>-1665</v>
      </c>
      <c r="M257" s="2"/>
      <c r="N257" s="6">
        <f t="shared" si="85"/>
        <v>-1</v>
      </c>
      <c r="O257" s="11"/>
      <c r="P257" s="7">
        <v>6324.56</v>
      </c>
      <c r="Q257" s="2"/>
      <c r="R257" s="6">
        <f t="shared" si="86"/>
        <v>2.9102925776365276E-4</v>
      </c>
      <c r="S257" s="2"/>
      <c r="T257" s="7">
        <v>12805</v>
      </c>
      <c r="U257" s="2"/>
      <c r="V257" s="6">
        <f t="shared" si="87"/>
        <v>5.599288607619357E-4</v>
      </c>
      <c r="W257" s="2"/>
      <c r="X257" s="7">
        <f t="shared" si="88"/>
        <v>-6480.44</v>
      </c>
      <c r="Y257" s="2"/>
      <c r="Z257" s="6">
        <f t="shared" si="89"/>
        <v>-0.50608668488871533</v>
      </c>
    </row>
    <row r="258" spans="1:26" s="27" customFormat="1" outlineLevel="1" collapsed="1" x14ac:dyDescent="0.25">
      <c r="A258" s="26"/>
      <c r="B258" s="13" t="str">
        <f>CONCATENATE("     ","R/H Commissions                                   ")</f>
        <v xml:space="preserve">     R/H Commissions                                   </v>
      </c>
      <c r="C258" s="13"/>
      <c r="D258" s="1">
        <f>SUM(OSRRefD22_16x_0)</f>
        <v>52199.14</v>
      </c>
      <c r="E258" s="1"/>
      <c r="F258" s="5">
        <f t="shared" si="82"/>
        <v>1.4285998368293158E-2</v>
      </c>
      <c r="G258" s="1"/>
      <c r="H258" s="1">
        <f>SUM(OSRRefH22_16x_0)</f>
        <v>48062</v>
      </c>
      <c r="I258" s="1"/>
      <c r="J258" s="5">
        <f t="shared" si="83"/>
        <v>1.212955908085054E-2</v>
      </c>
      <c r="K258" s="1"/>
      <c r="L258" s="1">
        <f t="shared" si="84"/>
        <v>4137.1399999999994</v>
      </c>
      <c r="M258" s="1"/>
      <c r="N258" s="5">
        <f t="shared" si="85"/>
        <v>8.607923099330031E-2</v>
      </c>
      <c r="O258" s="13"/>
      <c r="P258" s="1">
        <f>SUM(OSRRefP22_16x_0)</f>
        <v>523790.01000000007</v>
      </c>
      <c r="Q258" s="1"/>
      <c r="R258" s="5">
        <f t="shared" si="86"/>
        <v>2.4102580706692051E-2</v>
      </c>
      <c r="S258" s="1"/>
      <c r="T258" s="1">
        <f>SUM(OSRRefT22_16x_0)</f>
        <v>531964</v>
      </c>
      <c r="U258" s="1"/>
      <c r="V258" s="5">
        <f t="shared" si="87"/>
        <v>2.3261381998154033E-2</v>
      </c>
      <c r="W258" s="1"/>
      <c r="X258" s="1">
        <f t="shared" si="88"/>
        <v>-8173.9899999999325</v>
      </c>
      <c r="Y258" s="1"/>
      <c r="Z258" s="5">
        <f t="shared" si="89"/>
        <v>-1.5365682640178532E-2</v>
      </c>
    </row>
    <row r="259" spans="1:26" s="24" customFormat="1" hidden="1" outlineLevel="2" x14ac:dyDescent="0.25">
      <c r="A259" s="25"/>
      <c r="B259" s="11" t="str">
        <f>CONCATENATE("          ", "6387", " - ", "COMMISSION DUE HOUSING")</f>
        <v xml:space="preserve">          6387 - COMMISSION DUE HOUSING</v>
      </c>
      <c r="C259" s="11"/>
      <c r="D259" s="7">
        <v>52199.14</v>
      </c>
      <c r="E259" s="2"/>
      <c r="F259" s="6">
        <f t="shared" si="82"/>
        <v>1.4285998368293158E-2</v>
      </c>
      <c r="G259" s="2"/>
      <c r="H259" s="7">
        <v>48062</v>
      </c>
      <c r="I259" s="2"/>
      <c r="J259" s="6">
        <f t="shared" si="83"/>
        <v>1.212955908085054E-2</v>
      </c>
      <c r="K259" s="2"/>
      <c r="L259" s="7">
        <f t="shared" si="84"/>
        <v>4137.1399999999994</v>
      </c>
      <c r="M259" s="2"/>
      <c r="N259" s="6">
        <f t="shared" si="85"/>
        <v>8.607923099330031E-2</v>
      </c>
      <c r="O259" s="11"/>
      <c r="P259" s="7">
        <v>523790.01000000007</v>
      </c>
      <c r="Q259" s="2"/>
      <c r="R259" s="6">
        <f t="shared" si="86"/>
        <v>2.4102580706692051E-2</v>
      </c>
      <c r="S259" s="2"/>
      <c r="T259" s="7">
        <v>531964</v>
      </c>
      <c r="U259" s="2"/>
      <c r="V259" s="6">
        <f t="shared" si="87"/>
        <v>2.3261381998154033E-2</v>
      </c>
      <c r="W259" s="2"/>
      <c r="X259" s="7">
        <f t="shared" si="88"/>
        <v>-8173.9899999999325</v>
      </c>
      <c r="Y259" s="2"/>
      <c r="Z259" s="6">
        <f t="shared" si="89"/>
        <v>-1.5365682640178532E-2</v>
      </c>
    </row>
    <row r="260" spans="1:26" s="27" customFormat="1" outlineLevel="1" collapsed="1" x14ac:dyDescent="0.25">
      <c r="A260" s="26"/>
      <c r="B260" s="13" t="str">
        <f>CONCATENATE("     ","Rent                                              ")</f>
        <v xml:space="preserve">     Rent                                              </v>
      </c>
      <c r="C260" s="13"/>
      <c r="D260" s="1">
        <f>SUM(OSRRefD22_17x_0)</f>
        <v>9900</v>
      </c>
      <c r="E260" s="1"/>
      <c r="F260" s="5">
        <f t="shared" si="82"/>
        <v>2.709458122223896E-3</v>
      </c>
      <c r="G260" s="1"/>
      <c r="H260" s="1">
        <f>SUM(OSRRefH22_17x_0)</f>
        <v>10200</v>
      </c>
      <c r="I260" s="1"/>
      <c r="J260" s="5">
        <f t="shared" si="83"/>
        <v>2.5742062882251155E-3</v>
      </c>
      <c r="K260" s="1"/>
      <c r="L260" s="1">
        <f t="shared" si="84"/>
        <v>-300</v>
      </c>
      <c r="M260" s="1"/>
      <c r="N260" s="5">
        <f t="shared" si="85"/>
        <v>-2.9411764705882353E-2</v>
      </c>
      <c r="O260" s="13"/>
      <c r="P260" s="1">
        <f>SUM(OSRRefP22_17x_0)</f>
        <v>69300</v>
      </c>
      <c r="Q260" s="1"/>
      <c r="R260" s="5">
        <f t="shared" si="86"/>
        <v>3.1888902252522129E-3</v>
      </c>
      <c r="S260" s="1"/>
      <c r="T260" s="1">
        <f>SUM(OSRRefT22_17x_0)</f>
        <v>71400</v>
      </c>
      <c r="U260" s="1"/>
      <c r="V260" s="5">
        <f t="shared" si="87"/>
        <v>3.1221335930029059E-3</v>
      </c>
      <c r="W260" s="1"/>
      <c r="X260" s="1">
        <f t="shared" si="88"/>
        <v>-2100</v>
      </c>
      <c r="Y260" s="1"/>
      <c r="Z260" s="5">
        <f t="shared" si="89"/>
        <v>-2.9411764705882353E-2</v>
      </c>
    </row>
    <row r="261" spans="1:26" s="24" customFormat="1" hidden="1" outlineLevel="2" x14ac:dyDescent="0.25">
      <c r="A261" s="25"/>
      <c r="B261" s="11" t="str">
        <f>CONCATENATE("          ", "6273", " - ", "RENT")</f>
        <v xml:space="preserve">          6273 - RENT</v>
      </c>
      <c r="C261" s="11"/>
      <c r="D261" s="7">
        <v>9900</v>
      </c>
      <c r="E261" s="2"/>
      <c r="F261" s="6">
        <f t="shared" si="82"/>
        <v>2.709458122223896E-3</v>
      </c>
      <c r="G261" s="2"/>
      <c r="H261" s="7">
        <v>10200</v>
      </c>
      <c r="I261" s="2"/>
      <c r="J261" s="6">
        <f t="shared" si="83"/>
        <v>2.5742062882251155E-3</v>
      </c>
      <c r="K261" s="2"/>
      <c r="L261" s="7">
        <f t="shared" si="84"/>
        <v>-300</v>
      </c>
      <c r="M261" s="2"/>
      <c r="N261" s="6">
        <f t="shared" si="85"/>
        <v>-2.9411764705882353E-2</v>
      </c>
      <c r="O261" s="11"/>
      <c r="P261" s="7">
        <v>69300</v>
      </c>
      <c r="Q261" s="2"/>
      <c r="R261" s="6">
        <f t="shared" si="86"/>
        <v>3.1888902252522129E-3</v>
      </c>
      <c r="S261" s="2"/>
      <c r="T261" s="7">
        <v>71400</v>
      </c>
      <c r="U261" s="2"/>
      <c r="V261" s="6">
        <f t="shared" si="87"/>
        <v>3.1221335930029059E-3</v>
      </c>
      <c r="W261" s="2"/>
      <c r="X261" s="7">
        <f t="shared" si="88"/>
        <v>-2100</v>
      </c>
      <c r="Y261" s="2"/>
      <c r="Z261" s="6">
        <f t="shared" si="89"/>
        <v>-2.9411764705882353E-2</v>
      </c>
    </row>
    <row r="262" spans="1:26" s="27" customFormat="1" outlineLevel="1" collapsed="1" x14ac:dyDescent="0.25">
      <c r="A262" s="26"/>
      <c r="B262" s="13" t="str">
        <f>CONCATENATE("     ","Repair and Maintenance                            ")</f>
        <v xml:space="preserve">     Repair and Maintenance                            </v>
      </c>
      <c r="C262" s="13"/>
      <c r="D262" s="1">
        <f>SUM(OSRRefD22_18x_0)</f>
        <v>52367.28</v>
      </c>
      <c r="E262" s="1"/>
      <c r="F262" s="5">
        <f t="shared" si="82"/>
        <v>1.4332015367148785E-2</v>
      </c>
      <c r="G262" s="1"/>
      <c r="H262" s="1">
        <f>SUM(OSRRefH22_18x_0)</f>
        <v>35215</v>
      </c>
      <c r="I262" s="1"/>
      <c r="J262" s="5">
        <f t="shared" si="83"/>
        <v>8.8873210235144561E-3</v>
      </c>
      <c r="K262" s="1"/>
      <c r="L262" s="1">
        <f t="shared" si="84"/>
        <v>17152.28</v>
      </c>
      <c r="M262" s="1"/>
      <c r="N262" s="5">
        <f t="shared" si="85"/>
        <v>0.48707312224904159</v>
      </c>
      <c r="O262" s="13"/>
      <c r="P262" s="1">
        <f>SUM(OSRRefP22_18x_0)</f>
        <v>318115.18999999994</v>
      </c>
      <c r="Q262" s="1"/>
      <c r="R262" s="5">
        <f t="shared" si="86"/>
        <v>1.463830331739178E-2</v>
      </c>
      <c r="S262" s="1"/>
      <c r="T262" s="1">
        <f>SUM(OSRRefT22_18x_0)</f>
        <v>465074</v>
      </c>
      <c r="U262" s="1"/>
      <c r="V262" s="5">
        <f t="shared" si="87"/>
        <v>2.0336458804373018E-2</v>
      </c>
      <c r="W262" s="1"/>
      <c r="X262" s="1">
        <f t="shared" si="88"/>
        <v>-146958.81000000006</v>
      </c>
      <c r="Y262" s="1"/>
      <c r="Z262" s="5">
        <f t="shared" si="89"/>
        <v>-0.31599016500599919</v>
      </c>
    </row>
    <row r="263" spans="1:26" s="24" customFormat="1" hidden="1" outlineLevel="2" x14ac:dyDescent="0.25">
      <c r="A263" s="25"/>
      <c r="B263" s="11" t="str">
        <f>CONCATENATE("          ", "6371", " - ", "COMPUTER SOFTWARE MAINTENANCE")</f>
        <v xml:space="preserve">          6371 - COMPUTER SOFTWARE MAINTENANCE</v>
      </c>
      <c r="C263" s="11"/>
      <c r="D263" s="7">
        <v>601</v>
      </c>
      <c r="E263" s="2"/>
      <c r="F263" s="6">
        <f t="shared" si="82"/>
        <v>1.6448326580369307E-4</v>
      </c>
      <c r="G263" s="2"/>
      <c r="H263" s="7">
        <v>1997</v>
      </c>
      <c r="I263" s="2"/>
      <c r="J263" s="6">
        <f t="shared" si="83"/>
        <v>5.0398921152799568E-4</v>
      </c>
      <c r="K263" s="2"/>
      <c r="L263" s="7">
        <f t="shared" si="84"/>
        <v>-1396</v>
      </c>
      <c r="M263" s="2"/>
      <c r="N263" s="6">
        <f t="shared" si="85"/>
        <v>-0.6990485728592889</v>
      </c>
      <c r="O263" s="11"/>
      <c r="P263" s="7">
        <v>50054.259999999995</v>
      </c>
      <c r="Q263" s="2"/>
      <c r="R263" s="6">
        <f t="shared" si="86"/>
        <v>2.3032834119225513E-3</v>
      </c>
      <c r="S263" s="2"/>
      <c r="T263" s="7">
        <v>185814</v>
      </c>
      <c r="U263" s="2"/>
      <c r="V263" s="6">
        <f t="shared" si="87"/>
        <v>8.1251559026644538E-3</v>
      </c>
      <c r="W263" s="2"/>
      <c r="X263" s="7">
        <f t="shared" si="88"/>
        <v>-135759.74</v>
      </c>
      <c r="Y263" s="2"/>
      <c r="Z263" s="6">
        <f t="shared" si="89"/>
        <v>-0.73062169696578294</v>
      </c>
    </row>
    <row r="264" spans="1:26" s="24" customFormat="1" hidden="1" outlineLevel="2" x14ac:dyDescent="0.25">
      <c r="A264" s="25"/>
      <c r="B264" s="11" t="str">
        <f>CONCATENATE("          ", "6372", " - ", "COMPUTER HARDWARE MAINTENANCE")</f>
        <v xml:space="preserve">          6372 - COMPUTER HARDWARE MAINTENANCE</v>
      </c>
      <c r="C264" s="11"/>
      <c r="D264" s="7">
        <v>52.31</v>
      </c>
      <c r="E264" s="2"/>
      <c r="F264" s="6">
        <f t="shared" si="82"/>
        <v>1.4316338825609293E-5</v>
      </c>
      <c r="G264" s="2"/>
      <c r="H264" s="7">
        <v>2000</v>
      </c>
      <c r="I264" s="2"/>
      <c r="J264" s="6">
        <f t="shared" si="83"/>
        <v>5.0474633102453247E-4</v>
      </c>
      <c r="K264" s="2"/>
      <c r="L264" s="7">
        <f t="shared" si="84"/>
        <v>-1947.69</v>
      </c>
      <c r="M264" s="2"/>
      <c r="N264" s="6">
        <f t="shared" si="85"/>
        <v>-0.97384500000000007</v>
      </c>
      <c r="O264" s="11"/>
      <c r="P264" s="7">
        <v>52.31</v>
      </c>
      <c r="Q264" s="2"/>
      <c r="R264" s="6">
        <f t="shared" si="86"/>
        <v>2.4070829391478105E-6</v>
      </c>
      <c r="S264" s="2"/>
      <c r="T264" s="7">
        <v>16340</v>
      </c>
      <c r="U264" s="2"/>
      <c r="V264" s="6">
        <f t="shared" si="87"/>
        <v>7.1450508276845218E-4</v>
      </c>
      <c r="W264" s="2"/>
      <c r="X264" s="7">
        <f t="shared" si="88"/>
        <v>-16287.69</v>
      </c>
      <c r="Y264" s="2"/>
      <c r="Z264" s="6">
        <f t="shared" si="89"/>
        <v>-0.99679865361077113</v>
      </c>
    </row>
    <row r="265" spans="1:26" s="24" customFormat="1" hidden="1" outlineLevel="2" x14ac:dyDescent="0.25">
      <c r="A265" s="25"/>
      <c r="B265" s="11" t="str">
        <f>CONCATENATE("          ", "6373", " - ", "MAINTENANCE CONTRACTS")</f>
        <v xml:space="preserve">          6373 - MAINTENANCE CONTRACTS</v>
      </c>
      <c r="C265" s="11"/>
      <c r="D265" s="7">
        <v>19640.11</v>
      </c>
      <c r="E265" s="2"/>
      <c r="F265" s="6">
        <f t="shared" si="82"/>
        <v>5.375157127360683E-3</v>
      </c>
      <c r="G265" s="2"/>
      <c r="H265" s="7">
        <v>9270</v>
      </c>
      <c r="I265" s="2"/>
      <c r="J265" s="6">
        <f t="shared" si="83"/>
        <v>2.3394992442987081E-3</v>
      </c>
      <c r="K265" s="2"/>
      <c r="L265" s="7">
        <f t="shared" si="84"/>
        <v>10370.11</v>
      </c>
      <c r="M265" s="2"/>
      <c r="N265" s="6">
        <f t="shared" si="85"/>
        <v>1.1186742179072278</v>
      </c>
      <c r="O265" s="11"/>
      <c r="P265" s="7">
        <v>118724.55999999998</v>
      </c>
      <c r="Q265" s="2"/>
      <c r="R265" s="6">
        <f t="shared" si="86"/>
        <v>5.4631975307556967E-3</v>
      </c>
      <c r="S265" s="2"/>
      <c r="T265" s="7">
        <v>69211</v>
      </c>
      <c r="U265" s="2"/>
      <c r="V265" s="6">
        <f t="shared" si="87"/>
        <v>3.0264143992342315E-3</v>
      </c>
      <c r="W265" s="2"/>
      <c r="X265" s="7">
        <f t="shared" si="88"/>
        <v>49513.559999999983</v>
      </c>
      <c r="Y265" s="2"/>
      <c r="Z265" s="6">
        <f t="shared" si="89"/>
        <v>0.71540015315484506</v>
      </c>
    </row>
    <row r="266" spans="1:26" s="24" customFormat="1" hidden="1" outlineLevel="2" x14ac:dyDescent="0.25">
      <c r="A266" s="25"/>
      <c r="B266" s="11" t="str">
        <f>CONCATENATE("          ", "6375", " - ", "OUTSIDE REPAIRS &amp; MAINTENANCE")</f>
        <v xml:space="preserve">          6375 - OUTSIDE REPAIRS &amp; MAINTENANCE</v>
      </c>
      <c r="C266" s="11"/>
      <c r="D266" s="7">
        <v>32073.859999999997</v>
      </c>
      <c r="E266" s="2"/>
      <c r="F266" s="6">
        <f t="shared" si="82"/>
        <v>8.7780586351588006E-3</v>
      </c>
      <c r="G266" s="2"/>
      <c r="H266" s="7">
        <v>21948</v>
      </c>
      <c r="I266" s="2"/>
      <c r="J266" s="6">
        <f t="shared" si="83"/>
        <v>5.5390862366632189E-3</v>
      </c>
      <c r="K266" s="2"/>
      <c r="L266" s="7">
        <f t="shared" si="84"/>
        <v>10125.859999999997</v>
      </c>
      <c r="M266" s="2"/>
      <c r="N266" s="6">
        <f t="shared" si="85"/>
        <v>0.46135684344815003</v>
      </c>
      <c r="O266" s="11"/>
      <c r="P266" s="7">
        <v>149284.06</v>
      </c>
      <c r="Q266" s="2"/>
      <c r="R266" s="6">
        <f t="shared" si="86"/>
        <v>6.8694152917743844E-3</v>
      </c>
      <c r="S266" s="2"/>
      <c r="T266" s="7">
        <v>193709</v>
      </c>
      <c r="U266" s="2"/>
      <c r="V266" s="6">
        <f t="shared" si="87"/>
        <v>8.4703834197058809E-3</v>
      </c>
      <c r="W266" s="2"/>
      <c r="X266" s="7">
        <f t="shared" si="88"/>
        <v>-44424.94</v>
      </c>
      <c r="Y266" s="2"/>
      <c r="Z266" s="6">
        <f t="shared" si="89"/>
        <v>-0.22933854389832173</v>
      </c>
    </row>
    <row r="267" spans="1:26" s="27" customFormat="1" outlineLevel="1" collapsed="1" x14ac:dyDescent="0.25">
      <c r="A267" s="26"/>
      <c r="B267" s="13" t="str">
        <f>CONCATENATE("     ","Royalty &amp; Commissions                             ")</f>
        <v xml:space="preserve">     Royalty &amp; Commissions                             </v>
      </c>
      <c r="C267" s="13"/>
      <c r="D267" s="1">
        <f>SUM(OSRRefD22_19x_0)</f>
        <v>34451.32</v>
      </c>
      <c r="E267" s="1"/>
      <c r="F267" s="5">
        <f t="shared" ref="F267:F271" si="90">IF(D$12=0,0,D267/D$12)</f>
        <v>9.4287281611449038E-3</v>
      </c>
      <c r="G267" s="1"/>
      <c r="H267" s="1">
        <f>SUM(OSRRefH22_19x_0)</f>
        <v>41632</v>
      </c>
      <c r="I267" s="1"/>
      <c r="J267" s="5">
        <f t="shared" ref="J267:J271" si="91">IF(H$12=0,0,H267/H$12)</f>
        <v>1.0506799626606668E-2</v>
      </c>
      <c r="K267" s="1"/>
      <c r="L267" s="1">
        <f t="shared" ref="L267:L271" si="92">+D267-H267</f>
        <v>-7180.68</v>
      </c>
      <c r="M267" s="1"/>
      <c r="N267" s="5">
        <f t="shared" ref="N267:N271" si="93">IF(H267=0,0,L267/H267)</f>
        <v>-0.17247982321291316</v>
      </c>
      <c r="O267" s="13"/>
      <c r="P267" s="1">
        <f>SUM(OSRRefP22_19x_0)</f>
        <v>246949.06</v>
      </c>
      <c r="Q267" s="1"/>
      <c r="R267" s="5">
        <f t="shared" ref="R267:R271" si="94">IF(P$12=0,0,P267/P$12)</f>
        <v>1.1363541754245631E-2</v>
      </c>
      <c r="S267" s="1"/>
      <c r="T267" s="1">
        <f>SUM(OSRRefT22_19x_0)</f>
        <v>284205</v>
      </c>
      <c r="U267" s="1"/>
      <c r="V267" s="5">
        <f t="shared" ref="V267:V271" si="95">IF(T$12=0,0,T267/T$12)</f>
        <v>1.2427534703072701E-2</v>
      </c>
      <c r="W267" s="1"/>
      <c r="X267" s="1">
        <f t="shared" ref="X267:X271" si="96">+P267-T267</f>
        <v>-37255.94</v>
      </c>
      <c r="Y267" s="1"/>
      <c r="Z267" s="5">
        <f t="shared" ref="Z267:Z271" si="97">IF(T267=0,0,X267/T267)</f>
        <v>-0.1310882637532767</v>
      </c>
    </row>
    <row r="268" spans="1:26" s="24" customFormat="1" hidden="1" outlineLevel="2" x14ac:dyDescent="0.25">
      <c r="A268" s="25"/>
      <c r="B268" s="11" t="str">
        <f>CONCATENATE("          ", "6252", " - ", "ROYALTY DUE CSTV")</f>
        <v xml:space="preserve">          6252 - ROYALTY DUE CSTV</v>
      </c>
      <c r="C268" s="11"/>
      <c r="D268" s="7"/>
      <c r="E268" s="2"/>
      <c r="F268" s="6">
        <f t="shared" si="90"/>
        <v>0</v>
      </c>
      <c r="G268" s="2"/>
      <c r="H268" s="7">
        <v>1085</v>
      </c>
      <c r="I268" s="2"/>
      <c r="J268" s="6">
        <f t="shared" si="91"/>
        <v>2.7382488458080887E-4</v>
      </c>
      <c r="K268" s="2"/>
      <c r="L268" s="7">
        <f t="shared" si="92"/>
        <v>-1085</v>
      </c>
      <c r="M268" s="2"/>
      <c r="N268" s="6">
        <f t="shared" si="93"/>
        <v>-1</v>
      </c>
      <c r="O268" s="11"/>
      <c r="P268" s="7"/>
      <c r="Q268" s="2"/>
      <c r="R268" s="6">
        <f t="shared" si="94"/>
        <v>0</v>
      </c>
      <c r="S268" s="2"/>
      <c r="T268" s="7">
        <v>7595</v>
      </c>
      <c r="U268" s="2"/>
      <c r="V268" s="6">
        <f t="shared" si="95"/>
        <v>3.3210930866746596E-4</v>
      </c>
      <c r="W268" s="2"/>
      <c r="X268" s="7">
        <f t="shared" si="96"/>
        <v>-7595</v>
      </c>
      <c r="Y268" s="2"/>
      <c r="Z268" s="6">
        <f t="shared" si="97"/>
        <v>-1</v>
      </c>
    </row>
    <row r="269" spans="1:26" s="24" customFormat="1" hidden="1" outlineLevel="2" x14ac:dyDescent="0.25">
      <c r="A269" s="25"/>
      <c r="B269" s="11" t="str">
        <f>CONCATENATE("          ", "6253", " - ", "ROYALTY DUE ATHLETICS-LRG")</f>
        <v xml:space="preserve">          6253 - ROYALTY DUE ATHLETICS-LRG</v>
      </c>
      <c r="C269" s="11"/>
      <c r="D269" s="7"/>
      <c r="E269" s="2"/>
      <c r="F269" s="6">
        <f t="shared" si="90"/>
        <v>0</v>
      </c>
      <c r="G269" s="2"/>
      <c r="H269" s="7">
        <v>19700</v>
      </c>
      <c r="I269" s="2"/>
      <c r="J269" s="6">
        <f t="shared" si="91"/>
        <v>4.971751360591645E-3</v>
      </c>
      <c r="K269" s="2"/>
      <c r="L269" s="7">
        <f t="shared" si="92"/>
        <v>-19700</v>
      </c>
      <c r="M269" s="2"/>
      <c r="N269" s="6">
        <f t="shared" si="93"/>
        <v>-1</v>
      </c>
      <c r="O269" s="11"/>
      <c r="P269" s="7">
        <v>4366.95</v>
      </c>
      <c r="Q269" s="2"/>
      <c r="R269" s="6">
        <f t="shared" si="94"/>
        <v>2.0094840070945382E-4</v>
      </c>
      <c r="S269" s="2"/>
      <c r="T269" s="7">
        <v>76900</v>
      </c>
      <c r="U269" s="2"/>
      <c r="V269" s="6">
        <f t="shared" si="95"/>
        <v>3.3626340798588723E-3</v>
      </c>
      <c r="W269" s="2"/>
      <c r="X269" s="7">
        <f t="shared" si="96"/>
        <v>-72533.05</v>
      </c>
      <c r="Y269" s="2"/>
      <c r="Z269" s="6">
        <f t="shared" si="97"/>
        <v>-0.94321261378413523</v>
      </c>
    </row>
    <row r="270" spans="1:26" s="24" customFormat="1" hidden="1" outlineLevel="2" x14ac:dyDescent="0.25">
      <c r="A270" s="25"/>
      <c r="B270" s="11" t="str">
        <f>CONCATENATE("          ", "6254", " - ", "ROYALTY &amp; COMMISSIONS")</f>
        <v xml:space="preserve">          6254 - ROYALTY &amp; COMMISSIONS</v>
      </c>
      <c r="C270" s="11"/>
      <c r="D270" s="7">
        <v>18402.18</v>
      </c>
      <c r="E270" s="2"/>
      <c r="F270" s="6">
        <f t="shared" si="90"/>
        <v>5.0363571785480947E-3</v>
      </c>
      <c r="G270" s="2"/>
      <c r="H270" s="7">
        <v>11700</v>
      </c>
      <c r="I270" s="2"/>
      <c r="J270" s="6">
        <f t="shared" si="91"/>
        <v>2.9527660364935147E-3</v>
      </c>
      <c r="K270" s="2"/>
      <c r="L270" s="7">
        <f t="shared" si="92"/>
        <v>6702.18</v>
      </c>
      <c r="M270" s="2"/>
      <c r="N270" s="6">
        <f t="shared" si="93"/>
        <v>0.57283589743589747</v>
      </c>
      <c r="O270" s="11"/>
      <c r="P270" s="7">
        <v>97327.87</v>
      </c>
      <c r="Q270" s="2"/>
      <c r="R270" s="6">
        <f t="shared" si="94"/>
        <v>4.4786131787535079E-3</v>
      </c>
      <c r="S270" s="2"/>
      <c r="T270" s="7">
        <v>87017</v>
      </c>
      <c r="U270" s="2"/>
      <c r="V270" s="6">
        <f t="shared" si="95"/>
        <v>3.8050237935901101E-3</v>
      </c>
      <c r="W270" s="2"/>
      <c r="X270" s="7">
        <f t="shared" si="96"/>
        <v>10310.869999999995</v>
      </c>
      <c r="Y270" s="2"/>
      <c r="Z270" s="6">
        <f t="shared" si="97"/>
        <v>0.11849259340128936</v>
      </c>
    </row>
    <row r="271" spans="1:26" s="24" customFormat="1" hidden="1" outlineLevel="2" x14ac:dyDescent="0.25">
      <c r="A271" s="25"/>
      <c r="B271" s="11" t="str">
        <f>CONCATENATE("          ", "6259", " - ", "ROYALTY &amp; COMMISSIONS")</f>
        <v xml:space="preserve">          6259 - ROYALTY &amp; COMMISSIONS</v>
      </c>
      <c r="C271" s="11"/>
      <c r="D271" s="7">
        <v>16049.14</v>
      </c>
      <c r="E271" s="2"/>
      <c r="F271" s="6">
        <f t="shared" si="90"/>
        <v>4.3923709825968099E-3</v>
      </c>
      <c r="G271" s="2"/>
      <c r="H271" s="7">
        <v>9147</v>
      </c>
      <c r="I271" s="2"/>
      <c r="J271" s="6">
        <f t="shared" si="91"/>
        <v>2.3084573449406991E-3</v>
      </c>
      <c r="K271" s="2"/>
      <c r="L271" s="7">
        <f t="shared" si="92"/>
        <v>6902.1399999999994</v>
      </c>
      <c r="M271" s="2"/>
      <c r="N271" s="6">
        <f t="shared" si="93"/>
        <v>0.7545796435989941</v>
      </c>
      <c r="O271" s="11"/>
      <c r="P271" s="7">
        <v>145254.24</v>
      </c>
      <c r="Q271" s="2"/>
      <c r="R271" s="6">
        <f t="shared" si="94"/>
        <v>6.6839801747826683E-3</v>
      </c>
      <c r="S271" s="2"/>
      <c r="T271" s="7">
        <v>112693</v>
      </c>
      <c r="U271" s="2"/>
      <c r="V271" s="6">
        <f t="shared" si="95"/>
        <v>4.9277675209562534E-3</v>
      </c>
      <c r="W271" s="2"/>
      <c r="X271" s="7">
        <f t="shared" si="96"/>
        <v>32561.239999999991</v>
      </c>
      <c r="Y271" s="2"/>
      <c r="Z271" s="6">
        <f t="shared" si="97"/>
        <v>0.28893755601501414</v>
      </c>
    </row>
    <row r="272" spans="1:26" s="27" customFormat="1" outlineLevel="1" collapsed="1" x14ac:dyDescent="0.25">
      <c r="A272" s="26"/>
      <c r="B272" s="13" t="str">
        <f>CONCATENATE("     ","Services                                          ")</f>
        <v xml:space="preserve">     Services                                          </v>
      </c>
      <c r="C272" s="13"/>
      <c r="D272" s="1">
        <f>SUM(OSRRefD22_20x_0)</f>
        <v>47808.850000000006</v>
      </c>
      <c r="E272" s="1"/>
      <c r="F272" s="5">
        <f t="shared" ref="F272:F278" si="98">IF(D$12=0,0,D272/D$12)</f>
        <v>1.308445221683676E-2</v>
      </c>
      <c r="G272" s="1"/>
      <c r="H272" s="1">
        <f>SUM(OSRRefH22_20x_0)</f>
        <v>49343.5</v>
      </c>
      <c r="I272" s="1"/>
      <c r="J272" s="5">
        <f t="shared" ref="J272:J278" si="99">IF(H$12=0,0,H272/H$12)</f>
        <v>1.2452975292454508E-2</v>
      </c>
      <c r="K272" s="1"/>
      <c r="L272" s="1">
        <f t="shared" ref="L272:L278" si="100">+D272-H272</f>
        <v>-1534.6499999999942</v>
      </c>
      <c r="M272" s="1"/>
      <c r="N272" s="5">
        <f t="shared" ref="N272:N278" si="101">IF(H272=0,0,L272/H272)</f>
        <v>-3.110136086819934E-2</v>
      </c>
      <c r="O272" s="13"/>
      <c r="P272" s="1">
        <f>SUM(OSRRefP22_20x_0)</f>
        <v>330791.76</v>
      </c>
      <c r="Q272" s="1"/>
      <c r="R272" s="5">
        <f t="shared" ref="R272:R278" si="102">IF(P$12=0,0,P272/P$12)</f>
        <v>1.5221624964761557E-2</v>
      </c>
      <c r="S272" s="1"/>
      <c r="T272" s="1">
        <f>SUM(OSRRefT22_20x_0)</f>
        <v>326451.5</v>
      </c>
      <c r="U272" s="1"/>
      <c r="V272" s="5">
        <f t="shared" ref="V272:V278" si="103">IF(T$12=0,0,T272/T$12)</f>
        <v>1.4274862669974624E-2</v>
      </c>
      <c r="W272" s="1"/>
      <c r="X272" s="1">
        <f t="shared" ref="X272:X278" si="104">+P272-T272</f>
        <v>4340.2600000000093</v>
      </c>
      <c r="Y272" s="1"/>
      <c r="Z272" s="5">
        <f t="shared" ref="Z272:Z278" si="105">IF(T272=0,0,X272/T272)</f>
        <v>1.3295267444015449E-2</v>
      </c>
    </row>
    <row r="273" spans="1:26" s="24" customFormat="1" hidden="1" outlineLevel="2" x14ac:dyDescent="0.25">
      <c r="A273" s="25"/>
      <c r="B273" s="11" t="str">
        <f>CONCATENATE("          ", "6281", " - ", "STORAGE FEE")</f>
        <v xml:space="preserve">          6281 - STORAGE FEE</v>
      </c>
      <c r="C273" s="11"/>
      <c r="D273" s="7"/>
      <c r="E273" s="2"/>
      <c r="F273" s="6">
        <f t="shared" si="98"/>
        <v>0</v>
      </c>
      <c r="G273" s="2"/>
      <c r="H273" s="7"/>
      <c r="I273" s="2"/>
      <c r="J273" s="6">
        <f t="shared" si="99"/>
        <v>0</v>
      </c>
      <c r="K273" s="2"/>
      <c r="L273" s="7">
        <f t="shared" si="100"/>
        <v>0</v>
      </c>
      <c r="M273" s="2"/>
      <c r="N273" s="6">
        <f t="shared" si="101"/>
        <v>0</v>
      </c>
      <c r="O273" s="11"/>
      <c r="P273" s="7"/>
      <c r="Q273" s="2"/>
      <c r="R273" s="6">
        <f t="shared" si="102"/>
        <v>0</v>
      </c>
      <c r="S273" s="2"/>
      <c r="T273" s="7">
        <v>0</v>
      </c>
      <c r="U273" s="2"/>
      <c r="V273" s="6">
        <f t="shared" si="103"/>
        <v>0</v>
      </c>
      <c r="W273" s="2"/>
      <c r="X273" s="7">
        <f t="shared" si="104"/>
        <v>0</v>
      </c>
      <c r="Y273" s="2"/>
      <c r="Z273" s="6">
        <f t="shared" si="105"/>
        <v>0</v>
      </c>
    </row>
    <row r="274" spans="1:26" s="24" customFormat="1" hidden="1" outlineLevel="2" x14ac:dyDescent="0.25">
      <c r="A274" s="25"/>
      <c r="B274" s="11" t="str">
        <f>CONCATENATE("          ", "6282", " - ", "JANITORIAL/EXTERMINATOR EXPENS")</f>
        <v xml:space="preserve">          6282 - JANITORIAL/EXTERMINATOR EXPENS</v>
      </c>
      <c r="C274" s="11"/>
      <c r="D274" s="7">
        <v>1722.29</v>
      </c>
      <c r="E274" s="2"/>
      <c r="F274" s="6">
        <f t="shared" si="98"/>
        <v>4.7136087164898925E-4</v>
      </c>
      <c r="G274" s="2"/>
      <c r="H274" s="7">
        <v>3366</v>
      </c>
      <c r="I274" s="2"/>
      <c r="J274" s="6">
        <f t="shared" si="99"/>
        <v>8.4948807511428818E-4</v>
      </c>
      <c r="K274" s="2"/>
      <c r="L274" s="7">
        <f t="shared" si="100"/>
        <v>-1643.71</v>
      </c>
      <c r="M274" s="2"/>
      <c r="N274" s="6">
        <f t="shared" si="101"/>
        <v>-0.48832739156268568</v>
      </c>
      <c r="O274" s="11"/>
      <c r="P274" s="7">
        <v>27244.01</v>
      </c>
      <c r="Q274" s="2"/>
      <c r="R274" s="6">
        <f t="shared" si="102"/>
        <v>1.2536530618423309E-3</v>
      </c>
      <c r="S274" s="2"/>
      <c r="T274" s="7">
        <v>24208</v>
      </c>
      <c r="U274" s="2"/>
      <c r="V274" s="6">
        <f t="shared" si="103"/>
        <v>1.0585519610562233E-3</v>
      </c>
      <c r="W274" s="2"/>
      <c r="X274" s="7">
        <f t="shared" si="104"/>
        <v>3036.0099999999984</v>
      </c>
      <c r="Y274" s="2"/>
      <c r="Z274" s="6">
        <f t="shared" si="105"/>
        <v>0.12541349966953066</v>
      </c>
    </row>
    <row r="275" spans="1:26" s="24" customFormat="1" hidden="1" outlineLevel="2" x14ac:dyDescent="0.25">
      <c r="A275" s="25"/>
      <c r="B275" s="11" t="str">
        <f>CONCATENATE("          ", "6283", " - ", "PLANT SERVICE")</f>
        <v xml:space="preserve">          6283 - PLANT SERVICE</v>
      </c>
      <c r="C275" s="11"/>
      <c r="D275" s="7"/>
      <c r="E275" s="2"/>
      <c r="F275" s="6">
        <f t="shared" si="98"/>
        <v>0</v>
      </c>
      <c r="G275" s="2"/>
      <c r="H275" s="7">
        <v>245</v>
      </c>
      <c r="I275" s="2"/>
      <c r="J275" s="6">
        <f t="shared" si="99"/>
        <v>6.1831425550505233E-5</v>
      </c>
      <c r="K275" s="2"/>
      <c r="L275" s="7">
        <f t="shared" si="100"/>
        <v>-245</v>
      </c>
      <c r="M275" s="2"/>
      <c r="N275" s="6">
        <f t="shared" si="101"/>
        <v>-1</v>
      </c>
      <c r="O275" s="11"/>
      <c r="P275" s="7">
        <v>1341.1</v>
      </c>
      <c r="Q275" s="2"/>
      <c r="R275" s="6">
        <f t="shared" si="102"/>
        <v>6.1711698139765405E-5</v>
      </c>
      <c r="S275" s="2"/>
      <c r="T275" s="7">
        <v>1680</v>
      </c>
      <c r="U275" s="2"/>
      <c r="V275" s="6">
        <f t="shared" si="103"/>
        <v>7.3461966894186021E-5</v>
      </c>
      <c r="W275" s="2"/>
      <c r="X275" s="7">
        <f t="shared" si="104"/>
        <v>-338.90000000000009</v>
      </c>
      <c r="Y275" s="2"/>
      <c r="Z275" s="6">
        <f t="shared" si="105"/>
        <v>-0.20172619047619053</v>
      </c>
    </row>
    <row r="276" spans="1:26" s="24" customFormat="1" hidden="1" outlineLevel="2" x14ac:dyDescent="0.25">
      <c r="A276" s="25"/>
      <c r="B276" s="11" t="str">
        <f>CONCATENATE("          ", "6284", " - ", "TRASH REMOVAL EXPENSE")</f>
        <v xml:space="preserve">          6284 - TRASH REMOVAL EXPENSE</v>
      </c>
      <c r="C276" s="11"/>
      <c r="D276" s="7">
        <v>5553.82</v>
      </c>
      <c r="E276" s="2"/>
      <c r="F276" s="6">
        <f t="shared" si="98"/>
        <v>1.5199841119565168E-3</v>
      </c>
      <c r="G276" s="2"/>
      <c r="H276" s="7">
        <v>4277.5</v>
      </c>
      <c r="I276" s="2"/>
      <c r="J276" s="6">
        <f t="shared" si="99"/>
        <v>1.0795262154787188E-3</v>
      </c>
      <c r="K276" s="2"/>
      <c r="L276" s="7">
        <f t="shared" si="100"/>
        <v>1276.3199999999997</v>
      </c>
      <c r="M276" s="2"/>
      <c r="N276" s="6">
        <f t="shared" si="101"/>
        <v>0.29837989479836347</v>
      </c>
      <c r="O276" s="11"/>
      <c r="P276" s="7">
        <v>30988.739999999998</v>
      </c>
      <c r="Q276" s="2"/>
      <c r="R276" s="6">
        <f t="shared" si="102"/>
        <v>1.4259695538078247E-3</v>
      </c>
      <c r="S276" s="2"/>
      <c r="T276" s="7">
        <v>29892.499999999996</v>
      </c>
      <c r="U276" s="2"/>
      <c r="V276" s="6">
        <f t="shared" si="103"/>
        <v>1.307120146062176E-3</v>
      </c>
      <c r="W276" s="2"/>
      <c r="X276" s="7">
        <f t="shared" si="104"/>
        <v>1096.2400000000016</v>
      </c>
      <c r="Y276" s="2"/>
      <c r="Z276" s="6">
        <f t="shared" si="105"/>
        <v>3.6672743999330994E-2</v>
      </c>
    </row>
    <row r="277" spans="1:26" s="24" customFormat="1" hidden="1" outlineLevel="2" x14ac:dyDescent="0.25">
      <c r="A277" s="25"/>
      <c r="B277" s="11" t="str">
        <f>CONCATENATE("          ", "6285", " - ", "JANITORIAL SERVICES")</f>
        <v xml:space="preserve">          6285 - JANITORIAL SERVICES</v>
      </c>
      <c r="C277" s="11"/>
      <c r="D277" s="7">
        <v>32988.080000000002</v>
      </c>
      <c r="E277" s="2"/>
      <c r="F277" s="6">
        <f t="shared" si="98"/>
        <v>9.02826477702744E-3</v>
      </c>
      <c r="G277" s="2"/>
      <c r="H277" s="7">
        <v>33170</v>
      </c>
      <c r="I277" s="2"/>
      <c r="J277" s="6">
        <f t="shared" si="99"/>
        <v>8.3712179000418711E-3</v>
      </c>
      <c r="K277" s="2"/>
      <c r="L277" s="7">
        <f t="shared" si="100"/>
        <v>-181.91999999999825</v>
      </c>
      <c r="M277" s="2"/>
      <c r="N277" s="6">
        <f t="shared" si="101"/>
        <v>-5.4844739222188197E-3</v>
      </c>
      <c r="O277" s="11"/>
      <c r="P277" s="7">
        <v>211813.22</v>
      </c>
      <c r="Q277" s="2"/>
      <c r="R277" s="6">
        <f t="shared" si="102"/>
        <v>9.7467403584011042E-3</v>
      </c>
      <c r="S277" s="2"/>
      <c r="T277" s="7">
        <v>210364</v>
      </c>
      <c r="U277" s="2"/>
      <c r="V277" s="6">
        <f t="shared" si="103"/>
        <v>9.1986626212669925E-3</v>
      </c>
      <c r="W277" s="2"/>
      <c r="X277" s="7">
        <f t="shared" si="104"/>
        <v>1449.2200000000012</v>
      </c>
      <c r="Y277" s="2"/>
      <c r="Z277" s="6">
        <f t="shared" si="105"/>
        <v>6.8891065011123633E-3</v>
      </c>
    </row>
    <row r="278" spans="1:26" s="24" customFormat="1" hidden="1" outlineLevel="2" x14ac:dyDescent="0.25">
      <c r="A278" s="25"/>
      <c r="B278" s="11" t="str">
        <f>CONCATENATE("          ", "6286", " - ", "LAUNDRY EXPENSE")</f>
        <v xml:space="preserve">          6286 - LAUNDRY EXPENSE</v>
      </c>
      <c r="C278" s="11"/>
      <c r="D278" s="7">
        <v>7544.66</v>
      </c>
      <c r="E278" s="2"/>
      <c r="F278" s="6">
        <f t="shared" si="98"/>
        <v>2.064842456203812E-3</v>
      </c>
      <c r="G278" s="2"/>
      <c r="H278" s="7">
        <v>8285</v>
      </c>
      <c r="I278" s="2"/>
      <c r="J278" s="6">
        <f t="shared" si="99"/>
        <v>2.0909116762691258E-3</v>
      </c>
      <c r="K278" s="2"/>
      <c r="L278" s="7">
        <f t="shared" si="100"/>
        <v>-740.34000000000015</v>
      </c>
      <c r="M278" s="2"/>
      <c r="N278" s="6">
        <f t="shared" si="101"/>
        <v>-8.935908267954136E-2</v>
      </c>
      <c r="O278" s="11"/>
      <c r="P278" s="7">
        <v>59404.69</v>
      </c>
      <c r="Q278" s="2"/>
      <c r="R278" s="6">
        <f t="shared" si="102"/>
        <v>2.733550292570532E-3</v>
      </c>
      <c r="S278" s="2"/>
      <c r="T278" s="7">
        <v>60307.000000000007</v>
      </c>
      <c r="U278" s="2"/>
      <c r="V278" s="6">
        <f t="shared" si="103"/>
        <v>2.6370659746950461E-3</v>
      </c>
      <c r="W278" s="2"/>
      <c r="X278" s="7">
        <f t="shared" si="104"/>
        <v>-902.31000000000495</v>
      </c>
      <c r="Y278" s="2"/>
      <c r="Z278" s="6">
        <f t="shared" si="105"/>
        <v>-1.4961944716202179E-2</v>
      </c>
    </row>
    <row r="279" spans="1:26" s="27" customFormat="1" outlineLevel="1" collapsed="1" x14ac:dyDescent="0.25">
      <c r="A279" s="26"/>
      <c r="B279" s="13" t="str">
        <f>CONCATENATE("     ","Subscriptions &amp; Dues                              ")</f>
        <v xml:space="preserve">     Subscriptions &amp; Dues                              </v>
      </c>
      <c r="C279" s="13"/>
      <c r="D279" s="1">
        <f>SUM(OSRRefD22_21x_0)</f>
        <v>1920.48</v>
      </c>
      <c r="E279" s="1"/>
      <c r="F279" s="5">
        <f t="shared" ref="F279:F281" si="106">IF(D$12=0,0,D279/D$12)</f>
        <v>5.256020337948028E-4</v>
      </c>
      <c r="G279" s="1"/>
      <c r="H279" s="1">
        <f>SUM(OSRRefH22_21x_0)</f>
        <v>3564</v>
      </c>
      <c r="I279" s="1"/>
      <c r="J279" s="5">
        <f t="shared" ref="J279:J281" si="107">IF(H$12=0,0,H279/H$12)</f>
        <v>8.9945796188571679E-4</v>
      </c>
      <c r="K279" s="1"/>
      <c r="L279" s="1">
        <f t="shared" ref="L279:L281" si="108">+D279-H279</f>
        <v>-1643.52</v>
      </c>
      <c r="M279" s="1"/>
      <c r="N279" s="5">
        <f t="shared" ref="N279:N281" si="109">IF(H279=0,0,L279/H279)</f>
        <v>-0.46114478114478114</v>
      </c>
      <c r="O279" s="13"/>
      <c r="P279" s="1">
        <f>SUM(OSRRefP22_21x_0)</f>
        <v>6721.24</v>
      </c>
      <c r="Q279" s="1"/>
      <c r="R279" s="5">
        <f t="shared" ref="R279:R281" si="110">IF(P$12=0,0,P279/P$12)</f>
        <v>3.0928277831997376E-4</v>
      </c>
      <c r="S279" s="1"/>
      <c r="T279" s="1">
        <f>SUM(OSRRefT22_21x_0)</f>
        <v>20563</v>
      </c>
      <c r="U279" s="1"/>
      <c r="V279" s="5">
        <f t="shared" ref="V279:V281" si="111">IF(T$12=0,0,T279/T$12)</f>
        <v>8.9916572931258759E-4</v>
      </c>
      <c r="W279" s="1"/>
      <c r="X279" s="1">
        <f t="shared" ref="X279:X281" si="112">+P279-T279</f>
        <v>-13841.76</v>
      </c>
      <c r="Y279" s="1"/>
      <c r="Z279" s="5">
        <f t="shared" ref="Z279:Z281" si="113">IF(T279=0,0,X279/T279)</f>
        <v>-0.6731391333949327</v>
      </c>
    </row>
    <row r="280" spans="1:26" s="24" customFormat="1" hidden="1" outlineLevel="2" x14ac:dyDescent="0.25">
      <c r="A280" s="25"/>
      <c r="B280" s="11" t="str">
        <f>CONCATENATE("          ", "6258", " - ", "MEMBERSHIP DUES")</f>
        <v xml:space="preserve">          6258 - MEMBERSHIP DUES</v>
      </c>
      <c r="C280" s="11"/>
      <c r="D280" s="7">
        <v>1214.3</v>
      </c>
      <c r="E280" s="2"/>
      <c r="F280" s="6">
        <f t="shared" si="106"/>
        <v>3.3233282806227035E-4</v>
      </c>
      <c r="G280" s="2"/>
      <c r="H280" s="7">
        <v>2700</v>
      </c>
      <c r="I280" s="2"/>
      <c r="J280" s="6">
        <f t="shared" si="107"/>
        <v>6.8140754688311884E-4</v>
      </c>
      <c r="K280" s="2"/>
      <c r="L280" s="7">
        <f t="shared" si="108"/>
        <v>-1485.7</v>
      </c>
      <c r="M280" s="2"/>
      <c r="N280" s="6">
        <f t="shared" si="109"/>
        <v>-0.55025925925925923</v>
      </c>
      <c r="O280" s="11"/>
      <c r="P280" s="7">
        <v>1621.7</v>
      </c>
      <c r="Q280" s="2"/>
      <c r="R280" s="6">
        <f t="shared" si="110"/>
        <v>7.4623712529459067E-5</v>
      </c>
      <c r="S280" s="2"/>
      <c r="T280" s="7">
        <v>13840</v>
      </c>
      <c r="U280" s="2"/>
      <c r="V280" s="6">
        <f t="shared" si="111"/>
        <v>6.0518667965210387E-4</v>
      </c>
      <c r="W280" s="2"/>
      <c r="X280" s="7">
        <f t="shared" si="112"/>
        <v>-12218.3</v>
      </c>
      <c r="Y280" s="2"/>
      <c r="Z280" s="6">
        <f t="shared" si="113"/>
        <v>-0.88282514450867045</v>
      </c>
    </row>
    <row r="281" spans="1:26" s="24" customFormat="1" hidden="1" outlineLevel="2" x14ac:dyDescent="0.25">
      <c r="A281" s="25"/>
      <c r="B281" s="11" t="str">
        <f>CONCATENATE("          ", "6275", " - ", "SUBSCRIPTIONS")</f>
        <v xml:space="preserve">          6275 - SUBSCRIPTIONS</v>
      </c>
      <c r="C281" s="11"/>
      <c r="D281" s="7">
        <v>706.18</v>
      </c>
      <c r="E281" s="2"/>
      <c r="F281" s="6">
        <f t="shared" si="106"/>
        <v>1.9326920573253239E-4</v>
      </c>
      <c r="G281" s="2"/>
      <c r="H281" s="7">
        <v>864</v>
      </c>
      <c r="I281" s="2"/>
      <c r="J281" s="6">
        <f t="shared" si="107"/>
        <v>2.1805041500259803E-4</v>
      </c>
      <c r="K281" s="2"/>
      <c r="L281" s="7">
        <f t="shared" si="108"/>
        <v>-157.82000000000005</v>
      </c>
      <c r="M281" s="2"/>
      <c r="N281" s="6">
        <f t="shared" si="109"/>
        <v>-0.18266203703703709</v>
      </c>
      <c r="O281" s="11"/>
      <c r="P281" s="7">
        <v>5099.54</v>
      </c>
      <c r="Q281" s="2"/>
      <c r="R281" s="6">
        <f t="shared" si="110"/>
        <v>2.3465906579051471E-4</v>
      </c>
      <c r="S281" s="2"/>
      <c r="T281" s="7">
        <v>6723</v>
      </c>
      <c r="U281" s="2"/>
      <c r="V281" s="6">
        <f t="shared" si="111"/>
        <v>2.9397904966048372E-4</v>
      </c>
      <c r="W281" s="2"/>
      <c r="X281" s="7">
        <f t="shared" si="112"/>
        <v>-1623.46</v>
      </c>
      <c r="Y281" s="2"/>
      <c r="Z281" s="6">
        <f t="shared" si="113"/>
        <v>-0.24147850661906886</v>
      </c>
    </row>
    <row r="282" spans="1:26" s="27" customFormat="1" outlineLevel="1" collapsed="1" x14ac:dyDescent="0.25">
      <c r="A282" s="26"/>
      <c r="B282" s="13" t="str">
        <f>CONCATENATE("     ","Supplies                                          ")</f>
        <v xml:space="preserve">     Supplies                                          </v>
      </c>
      <c r="C282" s="13"/>
      <c r="D282" s="1">
        <f>SUM(OSRRefD22_22x_0)</f>
        <v>45327.42</v>
      </c>
      <c r="E282" s="1"/>
      <c r="F282" s="5">
        <f t="shared" ref="F282:F292" si="114">IF(D$12=0,0,D282/D$12)</f>
        <v>1.2405327906914532E-2</v>
      </c>
      <c r="G282" s="1"/>
      <c r="H282" s="1">
        <f>SUM(OSRRefH22_22x_0)</f>
        <v>77666</v>
      </c>
      <c r="I282" s="1"/>
      <c r="J282" s="5">
        <f t="shared" ref="J282:J292" si="115">IF(H$12=0,0,H282/H$12)</f>
        <v>1.9600814272675668E-2</v>
      </c>
      <c r="K282" s="1"/>
      <c r="L282" s="1">
        <f t="shared" ref="L282:L292" si="116">+D282-H282</f>
        <v>-32338.58</v>
      </c>
      <c r="M282" s="1"/>
      <c r="N282" s="5">
        <f t="shared" ref="N282:N292" si="117">IF(H282=0,0,L282/H282)</f>
        <v>-0.4163801406020653</v>
      </c>
      <c r="O282" s="13"/>
      <c r="P282" s="1">
        <f>SUM(OSRRefP22_22x_0)</f>
        <v>406239.97999999992</v>
      </c>
      <c r="Q282" s="1"/>
      <c r="R282" s="5">
        <f t="shared" ref="R282:R292" si="118">IF(P$12=0,0,P282/P$12)</f>
        <v>1.8693430033602514E-2</v>
      </c>
      <c r="S282" s="1"/>
      <c r="T282" s="1">
        <f>SUM(OSRRefT22_22x_0)</f>
        <v>473970.5</v>
      </c>
      <c r="U282" s="1"/>
      <c r="V282" s="5">
        <f t="shared" ref="V282:V292" si="119">IF(T$12=0,0,T282/T$12)</f>
        <v>2.0725479273702854E-2</v>
      </c>
      <c r="W282" s="1"/>
      <c r="X282" s="1">
        <f t="shared" ref="X282:X292" si="120">+P282-T282</f>
        <v>-67730.520000000077</v>
      </c>
      <c r="Y282" s="1"/>
      <c r="Z282" s="5">
        <f t="shared" ref="Z282:Z292" si="121">IF(T282=0,0,X282/T282)</f>
        <v>-0.14290028598826315</v>
      </c>
    </row>
    <row r="283" spans="1:26" s="24" customFormat="1" hidden="1" outlineLevel="2" x14ac:dyDescent="0.25">
      <c r="A283" s="25"/>
      <c r="B283" s="11" t="str">
        <f>CONCATENATE("          ", "6234", " - ", "EXPENDABLE SUPPLIES &amp; EQUIPMEN")</f>
        <v xml:space="preserve">          6234 - EXPENDABLE SUPPLIES &amp; EQUIPMEN</v>
      </c>
      <c r="C283" s="11"/>
      <c r="D283" s="7">
        <v>2346.9899999999998</v>
      </c>
      <c r="E283" s="2"/>
      <c r="F283" s="6">
        <f t="shared" si="114"/>
        <v>6.4233041598770314E-4</v>
      </c>
      <c r="G283" s="2"/>
      <c r="H283" s="7">
        <v>10150</v>
      </c>
      <c r="I283" s="2"/>
      <c r="J283" s="6">
        <f t="shared" si="115"/>
        <v>2.5615876299495024E-3</v>
      </c>
      <c r="K283" s="2"/>
      <c r="L283" s="7">
        <f t="shared" si="116"/>
        <v>-7803.01</v>
      </c>
      <c r="M283" s="2"/>
      <c r="N283" s="6">
        <f t="shared" si="117"/>
        <v>-0.76876945812807884</v>
      </c>
      <c r="O283" s="11"/>
      <c r="P283" s="7">
        <v>17978.190000000002</v>
      </c>
      <c r="Q283" s="2"/>
      <c r="R283" s="6">
        <f t="shared" si="118"/>
        <v>8.2727957227600414E-4</v>
      </c>
      <c r="S283" s="2"/>
      <c r="T283" s="7">
        <v>62900</v>
      </c>
      <c r="U283" s="2"/>
      <c r="V283" s="6">
        <f t="shared" si="119"/>
        <v>2.7504510224073218E-3</v>
      </c>
      <c r="W283" s="2"/>
      <c r="X283" s="7">
        <f t="shared" si="120"/>
        <v>-44921.81</v>
      </c>
      <c r="Y283" s="2"/>
      <c r="Z283" s="6">
        <f t="shared" si="121"/>
        <v>-0.71417821939586645</v>
      </c>
    </row>
    <row r="284" spans="1:26" s="24" customFormat="1" hidden="1" outlineLevel="2" x14ac:dyDescent="0.25">
      <c r="A284" s="25"/>
      <c r="B284" s="11" t="str">
        <f>CONCATENATE("          ", "6237", " - ", "JANITORIAL SUPPLIES")</f>
        <v xml:space="preserve">          6237 - JANITORIAL SUPPLIES</v>
      </c>
      <c r="C284" s="11"/>
      <c r="D284" s="7">
        <v>13291.59</v>
      </c>
      <c r="E284" s="2"/>
      <c r="F284" s="6">
        <f t="shared" si="114"/>
        <v>3.6376774225020114E-3</v>
      </c>
      <c r="G284" s="2"/>
      <c r="H284" s="7">
        <v>14751</v>
      </c>
      <c r="I284" s="2"/>
      <c r="J284" s="6">
        <f t="shared" si="115"/>
        <v>3.722756564471439E-3</v>
      </c>
      <c r="K284" s="2"/>
      <c r="L284" s="7">
        <f t="shared" si="116"/>
        <v>-1459.4099999999999</v>
      </c>
      <c r="M284" s="2"/>
      <c r="N284" s="6">
        <f t="shared" si="117"/>
        <v>-9.8936343298759402E-2</v>
      </c>
      <c r="O284" s="11"/>
      <c r="P284" s="7">
        <v>99474.17</v>
      </c>
      <c r="Q284" s="2"/>
      <c r="R284" s="6">
        <f t="shared" si="118"/>
        <v>4.5773767442723939E-3</v>
      </c>
      <c r="S284" s="2"/>
      <c r="T284" s="7">
        <v>100042</v>
      </c>
      <c r="U284" s="2"/>
      <c r="V284" s="6">
        <f t="shared" si="119"/>
        <v>4.3745726738262849E-3</v>
      </c>
      <c r="W284" s="2"/>
      <c r="X284" s="7">
        <f t="shared" si="120"/>
        <v>-567.83000000000175</v>
      </c>
      <c r="Y284" s="2"/>
      <c r="Z284" s="6">
        <f t="shared" si="121"/>
        <v>-5.6759161152316199E-3</v>
      </c>
    </row>
    <row r="285" spans="1:26" s="24" customFormat="1" hidden="1" outlineLevel="2" x14ac:dyDescent="0.25">
      <c r="A285" s="25"/>
      <c r="B285" s="11" t="str">
        <f>CONCATENATE("          ", "6239", " - ", "KITCHEN SUPPLIES")</f>
        <v xml:space="preserve">          6239 - KITCHEN SUPPLIES</v>
      </c>
      <c r="C285" s="11"/>
      <c r="D285" s="7">
        <v>5781.44</v>
      </c>
      <c r="E285" s="2"/>
      <c r="F285" s="6">
        <f t="shared" si="114"/>
        <v>1.5822797541565777E-3</v>
      </c>
      <c r="G285" s="2"/>
      <c r="H285" s="7">
        <v>6737</v>
      </c>
      <c r="I285" s="2"/>
      <c r="J285" s="6">
        <f t="shared" si="115"/>
        <v>1.7002380160561375E-3</v>
      </c>
      <c r="K285" s="2"/>
      <c r="L285" s="7">
        <f t="shared" si="116"/>
        <v>-955.5600000000004</v>
      </c>
      <c r="M285" s="2"/>
      <c r="N285" s="6">
        <f t="shared" si="117"/>
        <v>-0.14183761318094112</v>
      </c>
      <c r="O285" s="11"/>
      <c r="P285" s="7">
        <v>60843.469999999994</v>
      </c>
      <c r="Q285" s="2"/>
      <c r="R285" s="6">
        <f t="shared" si="118"/>
        <v>2.799756807408748E-3</v>
      </c>
      <c r="S285" s="2"/>
      <c r="T285" s="7">
        <v>52514.71</v>
      </c>
      <c r="U285" s="2"/>
      <c r="V285" s="6">
        <f t="shared" si="119"/>
        <v>2.2963296949272496E-3</v>
      </c>
      <c r="W285" s="2"/>
      <c r="X285" s="7">
        <f t="shared" si="120"/>
        <v>8328.7599999999948</v>
      </c>
      <c r="Y285" s="2"/>
      <c r="Z285" s="6">
        <f t="shared" si="121"/>
        <v>0.15859860979904478</v>
      </c>
    </row>
    <row r="286" spans="1:26" s="24" customFormat="1" hidden="1" outlineLevel="2" x14ac:dyDescent="0.25">
      <c r="A286" s="25"/>
      <c r="B286" s="11" t="str">
        <f>CONCATENATE("          ", "6241", " - ", "OFFICE EXPENSE")</f>
        <v xml:space="preserve">          6241 - OFFICE EXPENSE</v>
      </c>
      <c r="C286" s="11"/>
      <c r="D286" s="7">
        <v>5040.93</v>
      </c>
      <c r="E286" s="2"/>
      <c r="F286" s="6">
        <f t="shared" si="114"/>
        <v>1.3796150234406167E-3</v>
      </c>
      <c r="G286" s="2"/>
      <c r="H286" s="7">
        <v>4199</v>
      </c>
      <c r="I286" s="2"/>
      <c r="J286" s="6">
        <f t="shared" si="115"/>
        <v>1.059714921986006E-3</v>
      </c>
      <c r="K286" s="2"/>
      <c r="L286" s="7">
        <f t="shared" si="116"/>
        <v>841.93000000000029</v>
      </c>
      <c r="M286" s="2"/>
      <c r="N286" s="6">
        <f t="shared" si="117"/>
        <v>0.20050726363419868</v>
      </c>
      <c r="O286" s="11"/>
      <c r="P286" s="7">
        <v>84370.4</v>
      </c>
      <c r="Q286" s="2"/>
      <c r="R286" s="6">
        <f t="shared" si="118"/>
        <v>3.8823657122744482E-3</v>
      </c>
      <c r="S286" s="2"/>
      <c r="T286" s="7">
        <v>28780.25</v>
      </c>
      <c r="U286" s="2"/>
      <c r="V286" s="6">
        <f t="shared" si="119"/>
        <v>1.2584843885157127E-3</v>
      </c>
      <c r="W286" s="2"/>
      <c r="X286" s="7">
        <f t="shared" si="120"/>
        <v>55590.149999999994</v>
      </c>
      <c r="Y286" s="2"/>
      <c r="Z286" s="6">
        <f t="shared" si="121"/>
        <v>1.9315381207598958</v>
      </c>
    </row>
    <row r="287" spans="1:26" s="24" customFormat="1" hidden="1" outlineLevel="2" x14ac:dyDescent="0.25">
      <c r="A287" s="25"/>
      <c r="B287" s="11" t="str">
        <f>CONCATENATE("          ", "6243", " - ", "PAPER SUPPLIES")</f>
        <v xml:space="preserve">          6243 - PAPER SUPPLIES</v>
      </c>
      <c r="C287" s="11"/>
      <c r="D287" s="7">
        <v>12048.35</v>
      </c>
      <c r="E287" s="2"/>
      <c r="F287" s="6">
        <f t="shared" si="114"/>
        <v>3.2974242188784117E-3</v>
      </c>
      <c r="G287" s="2"/>
      <c r="H287" s="7">
        <v>11204</v>
      </c>
      <c r="I287" s="2"/>
      <c r="J287" s="6">
        <f t="shared" si="115"/>
        <v>2.8275889463994308E-3</v>
      </c>
      <c r="K287" s="2"/>
      <c r="L287" s="7">
        <f t="shared" si="116"/>
        <v>844.35000000000036</v>
      </c>
      <c r="M287" s="2"/>
      <c r="N287" s="6">
        <f t="shared" si="117"/>
        <v>7.5361478043555905E-2</v>
      </c>
      <c r="O287" s="11"/>
      <c r="P287" s="7">
        <v>81638.67</v>
      </c>
      <c r="Q287" s="2"/>
      <c r="R287" s="6">
        <f t="shared" si="118"/>
        <v>3.756663156790636E-3</v>
      </c>
      <c r="S287" s="2"/>
      <c r="T287" s="7">
        <v>75388.51999999999</v>
      </c>
      <c r="U287" s="2"/>
      <c r="V287" s="6">
        <f t="shared" si="119"/>
        <v>3.2965410478819524E-3</v>
      </c>
      <c r="W287" s="2"/>
      <c r="X287" s="7">
        <f t="shared" si="120"/>
        <v>6250.1500000000087</v>
      </c>
      <c r="Y287" s="2"/>
      <c r="Z287" s="6">
        <f t="shared" si="121"/>
        <v>8.2905858876126101E-2</v>
      </c>
    </row>
    <row r="288" spans="1:26" s="24" customFormat="1" hidden="1" outlineLevel="2" x14ac:dyDescent="0.25">
      <c r="A288" s="25"/>
      <c r="B288" s="11" t="str">
        <f>CONCATENATE("          ", "6244", " - ", "SAFETY SUPPLY EXPENSE")</f>
        <v xml:space="preserve">          6244 - SAFETY SUPPLY EXPENSE</v>
      </c>
      <c r="C288" s="11"/>
      <c r="D288" s="7"/>
      <c r="E288" s="2"/>
      <c r="F288" s="6">
        <f t="shared" si="114"/>
        <v>0</v>
      </c>
      <c r="G288" s="2"/>
      <c r="H288" s="7">
        <v>235</v>
      </c>
      <c r="I288" s="2"/>
      <c r="J288" s="6">
        <f t="shared" si="115"/>
        <v>5.9307693895382566E-5</v>
      </c>
      <c r="K288" s="2"/>
      <c r="L288" s="7">
        <f t="shared" si="116"/>
        <v>-235</v>
      </c>
      <c r="M288" s="2"/>
      <c r="N288" s="6">
        <f t="shared" si="117"/>
        <v>-1</v>
      </c>
      <c r="O288" s="11"/>
      <c r="P288" s="7"/>
      <c r="Q288" s="2"/>
      <c r="R288" s="6">
        <f t="shared" si="118"/>
        <v>0</v>
      </c>
      <c r="S288" s="2"/>
      <c r="T288" s="7">
        <v>1675</v>
      </c>
      <c r="U288" s="2"/>
      <c r="V288" s="6">
        <f t="shared" si="119"/>
        <v>7.3243330087953326E-5</v>
      </c>
      <c r="W288" s="2"/>
      <c r="X288" s="7">
        <f t="shared" si="120"/>
        <v>-1675</v>
      </c>
      <c r="Y288" s="2"/>
      <c r="Z288" s="6">
        <f t="shared" si="121"/>
        <v>-1</v>
      </c>
    </row>
    <row r="289" spans="1:26" s="24" customFormat="1" hidden="1" outlineLevel="2" x14ac:dyDescent="0.25">
      <c r="A289" s="25"/>
      <c r="B289" s="11" t="str">
        <f>CONCATENATE("          ", "6245", " - ", "PRINTING")</f>
        <v xml:space="preserve">          6245 - PRINTING</v>
      </c>
      <c r="C289" s="11"/>
      <c r="D289" s="7">
        <v>1269.46</v>
      </c>
      <c r="E289" s="2"/>
      <c r="F289" s="6">
        <f t="shared" si="114"/>
        <v>3.4742916240791384E-4</v>
      </c>
      <c r="G289" s="2"/>
      <c r="H289" s="7">
        <v>1260</v>
      </c>
      <c r="I289" s="2"/>
      <c r="J289" s="6">
        <f t="shared" si="115"/>
        <v>3.1799018854545544E-4</v>
      </c>
      <c r="K289" s="2"/>
      <c r="L289" s="7">
        <f t="shared" si="116"/>
        <v>9.4600000000000364</v>
      </c>
      <c r="M289" s="2"/>
      <c r="N289" s="6">
        <f t="shared" si="117"/>
        <v>7.5079365079365372E-3</v>
      </c>
      <c r="O289" s="11"/>
      <c r="P289" s="7">
        <v>8688.18</v>
      </c>
      <c r="Q289" s="2"/>
      <c r="R289" s="6">
        <f t="shared" si="118"/>
        <v>3.9979296215341661E-4</v>
      </c>
      <c r="S289" s="2"/>
      <c r="T289" s="7">
        <v>4960</v>
      </c>
      <c r="U289" s="2"/>
      <c r="V289" s="6">
        <f t="shared" si="119"/>
        <v>2.1688771178283493E-4</v>
      </c>
      <c r="W289" s="2"/>
      <c r="X289" s="7">
        <f t="shared" si="120"/>
        <v>3728.1800000000003</v>
      </c>
      <c r="Y289" s="2"/>
      <c r="Z289" s="6">
        <f t="shared" si="121"/>
        <v>0.75164919354838711</v>
      </c>
    </row>
    <row r="290" spans="1:26" s="24" customFormat="1" hidden="1" outlineLevel="2" x14ac:dyDescent="0.25">
      <c r="A290" s="25"/>
      <c r="B290" s="11" t="str">
        <f>CONCATENATE("          ", "6246", " - ", "REPLACEMENTS")</f>
        <v xml:space="preserve">          6246 - REPLACEMENTS</v>
      </c>
      <c r="C290" s="11"/>
      <c r="D290" s="7"/>
      <c r="E290" s="2"/>
      <c r="F290" s="6">
        <f t="shared" si="114"/>
        <v>0</v>
      </c>
      <c r="G290" s="2"/>
      <c r="H290" s="7"/>
      <c r="I290" s="2"/>
      <c r="J290" s="6">
        <f t="shared" si="115"/>
        <v>0</v>
      </c>
      <c r="K290" s="2"/>
      <c r="L290" s="7">
        <f t="shared" si="116"/>
        <v>0</v>
      </c>
      <c r="M290" s="2"/>
      <c r="N290" s="6">
        <f t="shared" si="117"/>
        <v>0</v>
      </c>
      <c r="O290" s="11"/>
      <c r="P290" s="7"/>
      <c r="Q290" s="2"/>
      <c r="R290" s="6">
        <f t="shared" si="118"/>
        <v>0</v>
      </c>
      <c r="S290" s="2"/>
      <c r="T290" s="7">
        <v>2400</v>
      </c>
      <c r="U290" s="2"/>
      <c r="V290" s="6">
        <f t="shared" si="119"/>
        <v>1.0494566699169432E-4</v>
      </c>
      <c r="W290" s="2"/>
      <c r="X290" s="7">
        <f t="shared" si="120"/>
        <v>-2400</v>
      </c>
      <c r="Y290" s="2"/>
      <c r="Z290" s="6">
        <f t="shared" si="121"/>
        <v>-1</v>
      </c>
    </row>
    <row r="291" spans="1:26" s="24" customFormat="1" hidden="1" outlineLevel="2" x14ac:dyDescent="0.25">
      <c r="A291" s="25"/>
      <c r="B291" s="11" t="str">
        <f>CONCATENATE("          ", "6247", " - ", "STORE SUPPLIES")</f>
        <v xml:space="preserve">          6247 - STORE SUPPLIES</v>
      </c>
      <c r="C291" s="11"/>
      <c r="D291" s="7">
        <v>3210.7</v>
      </c>
      <c r="E291" s="2"/>
      <c r="F291" s="6">
        <f t="shared" si="114"/>
        <v>8.7871284778022853E-4</v>
      </c>
      <c r="G291" s="2"/>
      <c r="H291" s="7">
        <v>20555</v>
      </c>
      <c r="I291" s="2"/>
      <c r="J291" s="6">
        <f t="shared" si="115"/>
        <v>5.1875304171046322E-3</v>
      </c>
      <c r="K291" s="2"/>
      <c r="L291" s="7">
        <f t="shared" si="116"/>
        <v>-17344.3</v>
      </c>
      <c r="M291" s="2"/>
      <c r="N291" s="6">
        <f t="shared" si="117"/>
        <v>-0.84379956215032836</v>
      </c>
      <c r="O291" s="11"/>
      <c r="P291" s="7">
        <v>51060.54</v>
      </c>
      <c r="Q291" s="2"/>
      <c r="R291" s="6">
        <f t="shared" si="118"/>
        <v>2.3495881226854201E-3</v>
      </c>
      <c r="S291" s="2"/>
      <c r="T291" s="7">
        <v>113035.02</v>
      </c>
      <c r="U291" s="2"/>
      <c r="V291" s="6">
        <f t="shared" si="119"/>
        <v>4.9427231530497946E-3</v>
      </c>
      <c r="W291" s="2"/>
      <c r="X291" s="7">
        <f t="shared" si="120"/>
        <v>-61974.48</v>
      </c>
      <c r="Y291" s="2"/>
      <c r="Z291" s="6">
        <f t="shared" si="121"/>
        <v>-0.5482768083731927</v>
      </c>
    </row>
    <row r="292" spans="1:26" s="24" customFormat="1" hidden="1" outlineLevel="2" x14ac:dyDescent="0.25">
      <c r="A292" s="25"/>
      <c r="B292" s="11" t="str">
        <f>CONCATENATE("          ", "6248", " - ", "UNIFORMS")</f>
        <v xml:space="preserve">          6248 - UNIFORMS</v>
      </c>
      <c r="C292" s="11"/>
      <c r="D292" s="7">
        <v>2337.96</v>
      </c>
      <c r="E292" s="2"/>
      <c r="F292" s="6">
        <f t="shared" si="114"/>
        <v>6.398590617610687E-4</v>
      </c>
      <c r="G292" s="2"/>
      <c r="H292" s="7">
        <v>8575</v>
      </c>
      <c r="I292" s="2"/>
      <c r="J292" s="6">
        <f t="shared" si="115"/>
        <v>2.164099894267683E-3</v>
      </c>
      <c r="K292" s="2"/>
      <c r="L292" s="7">
        <f t="shared" si="116"/>
        <v>-6237.04</v>
      </c>
      <c r="M292" s="2"/>
      <c r="N292" s="6">
        <f t="shared" si="117"/>
        <v>-0.72735160349854222</v>
      </c>
      <c r="O292" s="11"/>
      <c r="P292" s="7">
        <v>2186.36</v>
      </c>
      <c r="Q292" s="2"/>
      <c r="R292" s="6">
        <f t="shared" si="118"/>
        <v>1.0060695574144918E-4</v>
      </c>
      <c r="S292" s="2"/>
      <c r="T292" s="7">
        <v>32275</v>
      </c>
      <c r="U292" s="2"/>
      <c r="V292" s="6">
        <f t="shared" si="119"/>
        <v>1.4113005842320558E-3</v>
      </c>
      <c r="W292" s="2"/>
      <c r="X292" s="7">
        <f t="shared" si="120"/>
        <v>-30088.639999999999</v>
      </c>
      <c r="Y292" s="2"/>
      <c r="Z292" s="6">
        <f t="shared" si="121"/>
        <v>-0.93225840433772267</v>
      </c>
    </row>
    <row r="293" spans="1:26" s="27" customFormat="1" outlineLevel="1" collapsed="1" x14ac:dyDescent="0.25">
      <c r="A293" s="26"/>
      <c r="B293" s="13" t="str">
        <f>CONCATENATE("     ","Telephone/Data Lines                              ")</f>
        <v xml:space="preserve">     Telephone/Data Lines                              </v>
      </c>
      <c r="C293" s="13"/>
      <c r="D293" s="1">
        <f>SUM(OSRRefD22_23x_0)</f>
        <v>7077.25</v>
      </c>
      <c r="E293" s="1"/>
      <c r="F293" s="5">
        <f t="shared" ref="F293:F295" si="122">IF(D$12=0,0,D293/D$12)</f>
        <v>1.9369204540918251E-3</v>
      </c>
      <c r="G293" s="1"/>
      <c r="H293" s="1">
        <f>SUM(OSRRefH22_23x_0)</f>
        <v>6764</v>
      </c>
      <c r="I293" s="1"/>
      <c r="J293" s="5">
        <f t="shared" ref="J293:J295" si="123">IF(H$12=0,0,H293/H$12)</f>
        <v>1.7070520915249687E-3</v>
      </c>
      <c r="K293" s="1"/>
      <c r="L293" s="1">
        <f t="shared" ref="L293:L295" si="124">+D293-H293</f>
        <v>313.25</v>
      </c>
      <c r="M293" s="1"/>
      <c r="N293" s="5">
        <f t="shared" ref="N293:N295" si="125">IF(H293=0,0,L293/H293)</f>
        <v>4.63113542282673E-2</v>
      </c>
      <c r="O293" s="13"/>
      <c r="P293" s="1">
        <f>SUM(OSRRefP22_23x_0)</f>
        <v>42035.839999999997</v>
      </c>
      <c r="Q293" s="1"/>
      <c r="R293" s="5">
        <f t="shared" ref="R293:R295" si="126">IF(P$12=0,0,P293/P$12)</f>
        <v>1.9343099464107644E-3</v>
      </c>
      <c r="S293" s="1"/>
      <c r="T293" s="1">
        <f>SUM(OSRRefT22_23x_0)</f>
        <v>46404</v>
      </c>
      <c r="U293" s="1"/>
      <c r="V293" s="5">
        <f t="shared" ref="V293:V295" si="127">IF(T$12=0,0,T293/T$12)</f>
        <v>2.0291244712844097E-3</v>
      </c>
      <c r="W293" s="1"/>
      <c r="X293" s="1">
        <f t="shared" ref="X293:X295" si="128">+P293-T293</f>
        <v>-4368.1600000000035</v>
      </c>
      <c r="Y293" s="1"/>
      <c r="Z293" s="5">
        <f t="shared" ref="Z293:Z295" si="129">IF(T293=0,0,X293/T293)</f>
        <v>-9.4133264373760961E-2</v>
      </c>
    </row>
    <row r="294" spans="1:26" s="24" customFormat="1" hidden="1" outlineLevel="2" x14ac:dyDescent="0.25">
      <c r="A294" s="25"/>
      <c r="B294" s="11" t="str">
        <f>CONCATENATE("          ", "6303", " - ", "DATA PHONE LINES")</f>
        <v xml:space="preserve">          6303 - DATA PHONE LINES</v>
      </c>
      <c r="C294" s="11"/>
      <c r="D294" s="7">
        <v>295</v>
      </c>
      <c r="E294" s="2"/>
      <c r="F294" s="6">
        <f t="shared" si="122"/>
        <v>8.073637838949993E-5</v>
      </c>
      <c r="G294" s="2"/>
      <c r="H294" s="7">
        <v>1876</v>
      </c>
      <c r="I294" s="2"/>
      <c r="J294" s="6">
        <f t="shared" si="123"/>
        <v>4.7345205850101146E-4</v>
      </c>
      <c r="K294" s="2"/>
      <c r="L294" s="7">
        <f t="shared" si="124"/>
        <v>-1581</v>
      </c>
      <c r="M294" s="2"/>
      <c r="N294" s="6">
        <f t="shared" si="125"/>
        <v>-0.84275053304904046</v>
      </c>
      <c r="O294" s="11"/>
      <c r="P294" s="7">
        <v>2065</v>
      </c>
      <c r="Q294" s="2"/>
      <c r="R294" s="6">
        <f t="shared" si="126"/>
        <v>9.5022486510040681E-5</v>
      </c>
      <c r="S294" s="2"/>
      <c r="T294" s="7">
        <v>13413</v>
      </c>
      <c r="U294" s="2"/>
      <c r="V294" s="6">
        <f t="shared" si="127"/>
        <v>5.865150963998316E-4</v>
      </c>
      <c r="W294" s="2"/>
      <c r="X294" s="7">
        <f t="shared" si="128"/>
        <v>-11348</v>
      </c>
      <c r="Y294" s="2"/>
      <c r="Z294" s="6">
        <f t="shared" si="129"/>
        <v>-0.84604488183105941</v>
      </c>
    </row>
    <row r="295" spans="1:26" s="24" customFormat="1" hidden="1" outlineLevel="2" x14ac:dyDescent="0.25">
      <c r="A295" s="25"/>
      <c r="B295" s="11" t="str">
        <f>CONCATENATE("          ", "6309", " - ", "TELEPHONE")</f>
        <v xml:space="preserve">          6309 - TELEPHONE</v>
      </c>
      <c r="C295" s="11"/>
      <c r="D295" s="7">
        <v>6782.25</v>
      </c>
      <c r="E295" s="2"/>
      <c r="F295" s="6">
        <f t="shared" si="122"/>
        <v>1.8561840757023251E-3</v>
      </c>
      <c r="G295" s="2"/>
      <c r="H295" s="7">
        <v>4888</v>
      </c>
      <c r="I295" s="2"/>
      <c r="J295" s="6">
        <f t="shared" si="123"/>
        <v>1.2336000330239573E-3</v>
      </c>
      <c r="K295" s="2"/>
      <c r="L295" s="7">
        <f t="shared" si="124"/>
        <v>1894.25</v>
      </c>
      <c r="M295" s="2"/>
      <c r="N295" s="6">
        <f t="shared" si="125"/>
        <v>0.38753068739770868</v>
      </c>
      <c r="O295" s="11"/>
      <c r="P295" s="7">
        <v>39970.839999999997</v>
      </c>
      <c r="Q295" s="2"/>
      <c r="R295" s="6">
        <f t="shared" si="126"/>
        <v>1.8392874599007236E-3</v>
      </c>
      <c r="S295" s="2"/>
      <c r="T295" s="7">
        <v>32991</v>
      </c>
      <c r="U295" s="2"/>
      <c r="V295" s="6">
        <f t="shared" si="127"/>
        <v>1.4426093748845781E-3</v>
      </c>
      <c r="W295" s="2"/>
      <c r="X295" s="7">
        <f t="shared" si="128"/>
        <v>6979.8399999999965</v>
      </c>
      <c r="Y295" s="2"/>
      <c r="Z295" s="6">
        <f t="shared" si="129"/>
        <v>0.21156800339486517</v>
      </c>
    </row>
    <row r="296" spans="1:26" s="27" customFormat="1" outlineLevel="1" collapsed="1" x14ac:dyDescent="0.25">
      <c r="A296" s="26"/>
      <c r="B296" s="13" t="str">
        <f>CONCATENATE("     ","Training                                          ")</f>
        <v xml:space="preserve">     Training                                          </v>
      </c>
      <c r="C296" s="13"/>
      <c r="D296" s="1">
        <f>SUM(OSRRefD22_24x_0)</f>
        <v>2329.41</v>
      </c>
      <c r="E296" s="1"/>
      <c r="F296" s="5">
        <f t="shared" ref="F296:F301" si="130">IF(D$12=0,0,D296/D$12)</f>
        <v>6.3751907520096613E-4</v>
      </c>
      <c r="G296" s="1"/>
      <c r="H296" s="1">
        <f>SUM(OSRRefH22_24x_0)</f>
        <v>9894</v>
      </c>
      <c r="I296" s="1"/>
      <c r="J296" s="5">
        <f t="shared" ref="J296:J301" si="131">IF(H$12=0,0,H296/H$12)</f>
        <v>2.4969800995783623E-3</v>
      </c>
      <c r="K296" s="1"/>
      <c r="L296" s="1">
        <f t="shared" ref="L296:L301" si="132">+D296-H296</f>
        <v>-7564.59</v>
      </c>
      <c r="M296" s="1"/>
      <c r="N296" s="5">
        <f t="shared" ref="N296:N301" si="133">IF(H296=0,0,L296/H296)</f>
        <v>-0.76456337174044875</v>
      </c>
      <c r="O296" s="13"/>
      <c r="P296" s="1">
        <f>SUM(OSRRefP22_24x_0)</f>
        <v>18725.72</v>
      </c>
      <c r="Q296" s="1"/>
      <c r="R296" s="5">
        <f t="shared" ref="R296:R301" si="134">IF(P$12=0,0,P296/P$12)</f>
        <v>8.6167771239263884E-4</v>
      </c>
      <c r="S296" s="1"/>
      <c r="T296" s="1">
        <f>SUM(OSRRefT22_24x_0)</f>
        <v>43192</v>
      </c>
      <c r="U296" s="1"/>
      <c r="V296" s="5">
        <f t="shared" ref="V296:V301" si="135">IF(T$12=0,0,T296/T$12)</f>
        <v>1.8886721869605255E-3</v>
      </c>
      <c r="W296" s="1"/>
      <c r="X296" s="1">
        <f t="shared" ref="X296:X301" si="136">+P296-T296</f>
        <v>-24466.28</v>
      </c>
      <c r="Y296" s="1"/>
      <c r="Z296" s="5">
        <f t="shared" ref="Z296:Z301" si="137">IF(T296=0,0,X296/T296)</f>
        <v>-0.56645397295795519</v>
      </c>
    </row>
    <row r="297" spans="1:26" s="24" customFormat="1" hidden="1" outlineLevel="2" x14ac:dyDescent="0.25">
      <c r="A297" s="25"/>
      <c r="B297" s="11" t="str">
        <f>CONCATENATE("          ", "6376", " - ", "TRAINING")</f>
        <v xml:space="preserve">          6376 - TRAINING</v>
      </c>
      <c r="C297" s="11"/>
      <c r="D297" s="7">
        <v>2329.41</v>
      </c>
      <c r="E297" s="2"/>
      <c r="F297" s="6">
        <f t="shared" si="130"/>
        <v>6.3751907520096613E-4</v>
      </c>
      <c r="G297" s="2"/>
      <c r="H297" s="7">
        <v>9894</v>
      </c>
      <c r="I297" s="2"/>
      <c r="J297" s="6">
        <f t="shared" si="131"/>
        <v>2.4969800995783623E-3</v>
      </c>
      <c r="K297" s="2"/>
      <c r="L297" s="7">
        <f t="shared" si="132"/>
        <v>-7564.59</v>
      </c>
      <c r="M297" s="2"/>
      <c r="N297" s="6">
        <f t="shared" si="133"/>
        <v>-0.76456337174044875</v>
      </c>
      <c r="O297" s="11"/>
      <c r="P297" s="7">
        <v>18725.72</v>
      </c>
      <c r="Q297" s="2"/>
      <c r="R297" s="6">
        <f t="shared" si="134"/>
        <v>8.6167771239263884E-4</v>
      </c>
      <c r="S297" s="2"/>
      <c r="T297" s="7">
        <v>43192</v>
      </c>
      <c r="U297" s="2"/>
      <c r="V297" s="6">
        <f t="shared" si="135"/>
        <v>1.8886721869605255E-3</v>
      </c>
      <c r="W297" s="2"/>
      <c r="X297" s="7">
        <f t="shared" si="136"/>
        <v>-24466.28</v>
      </c>
      <c r="Y297" s="2"/>
      <c r="Z297" s="6">
        <f t="shared" si="137"/>
        <v>-0.56645397295795519</v>
      </c>
    </row>
    <row r="298" spans="1:26" s="27" customFormat="1" outlineLevel="1" collapsed="1" x14ac:dyDescent="0.25">
      <c r="A298" s="26"/>
      <c r="B298" s="13" t="str">
        <f>CONCATENATE("     ","Travel                                            ")</f>
        <v xml:space="preserve">     Travel                                            </v>
      </c>
      <c r="C298" s="13"/>
      <c r="D298" s="1">
        <f>SUM(OSRRefD22_25x_0)</f>
        <v>-191.55000000000004</v>
      </c>
      <c r="E298" s="1"/>
      <c r="F298" s="5">
        <f t="shared" si="130"/>
        <v>-5.2423909425453268E-5</v>
      </c>
      <c r="G298" s="1"/>
      <c r="H298" s="1">
        <f>SUM(OSRRefH22_25x_0)</f>
        <v>1510</v>
      </c>
      <c r="I298" s="1"/>
      <c r="J298" s="5">
        <f t="shared" si="131"/>
        <v>3.8108347992352198E-4</v>
      </c>
      <c r="K298" s="1"/>
      <c r="L298" s="1">
        <f t="shared" si="132"/>
        <v>-1701.55</v>
      </c>
      <c r="M298" s="1"/>
      <c r="N298" s="5">
        <f t="shared" si="133"/>
        <v>-1.1268543046357615</v>
      </c>
      <c r="O298" s="13"/>
      <c r="P298" s="1">
        <f>SUM(OSRRefP22_25x_0)</f>
        <v>5755.59</v>
      </c>
      <c r="Q298" s="1"/>
      <c r="R298" s="5">
        <f t="shared" si="134"/>
        <v>2.6484768674688865E-4</v>
      </c>
      <c r="S298" s="1"/>
      <c r="T298" s="1">
        <f>SUM(OSRRefT22_25x_0)</f>
        <v>13730</v>
      </c>
      <c r="U298" s="1"/>
      <c r="V298" s="5">
        <f t="shared" si="135"/>
        <v>6.0037666991498461E-4</v>
      </c>
      <c r="W298" s="1"/>
      <c r="X298" s="1">
        <f t="shared" si="136"/>
        <v>-7974.41</v>
      </c>
      <c r="Y298" s="1"/>
      <c r="Z298" s="5">
        <f t="shared" si="137"/>
        <v>-0.58080189366351054</v>
      </c>
    </row>
    <row r="299" spans="1:26" s="24" customFormat="1" hidden="1" outlineLevel="2" x14ac:dyDescent="0.25">
      <c r="A299" s="25"/>
      <c r="B299" s="11" t="str">
        <f>CONCATENATE("          ", "6292", " - ", "TRAVEL/CONFERENCE")</f>
        <v xml:space="preserve">          6292 - TRAVEL/CONFERENCE</v>
      </c>
      <c r="C299" s="11"/>
      <c r="D299" s="7">
        <v>176.42</v>
      </c>
      <c r="E299" s="2"/>
      <c r="F299" s="6">
        <f t="shared" si="130"/>
        <v>4.8283091103307039E-5</v>
      </c>
      <c r="G299" s="2"/>
      <c r="H299" s="7">
        <v>1300</v>
      </c>
      <c r="I299" s="2"/>
      <c r="J299" s="6">
        <f t="shared" si="131"/>
        <v>3.280851151659461E-4</v>
      </c>
      <c r="K299" s="2"/>
      <c r="L299" s="7">
        <f t="shared" si="132"/>
        <v>-1123.58</v>
      </c>
      <c r="M299" s="2"/>
      <c r="N299" s="6">
        <f t="shared" si="133"/>
        <v>-0.86429230769230758</v>
      </c>
      <c r="O299" s="11"/>
      <c r="P299" s="7">
        <v>4228.84</v>
      </c>
      <c r="Q299" s="2"/>
      <c r="R299" s="6">
        <f t="shared" si="134"/>
        <v>1.9459316796761281E-4</v>
      </c>
      <c r="S299" s="2"/>
      <c r="T299" s="7">
        <v>11800</v>
      </c>
      <c r="U299" s="2"/>
      <c r="V299" s="6">
        <f t="shared" si="135"/>
        <v>5.1598286270916377E-4</v>
      </c>
      <c r="W299" s="2"/>
      <c r="X299" s="7">
        <f t="shared" si="136"/>
        <v>-7571.16</v>
      </c>
      <c r="Y299" s="2"/>
      <c r="Z299" s="6">
        <f t="shared" si="137"/>
        <v>-0.64162372881355934</v>
      </c>
    </row>
    <row r="300" spans="1:26" s="24" customFormat="1" hidden="1" outlineLevel="2" x14ac:dyDescent="0.25">
      <c r="A300" s="25"/>
      <c r="B300" s="11" t="str">
        <f>CONCATENATE("          ", "6294", " - ", "TRAVEL OPERATIONAL")</f>
        <v xml:space="preserve">          6294 - TRAVEL OPERATIONAL</v>
      </c>
      <c r="C300" s="11"/>
      <c r="D300" s="7">
        <v>-506.75</v>
      </c>
      <c r="E300" s="2"/>
      <c r="F300" s="6">
        <f t="shared" si="130"/>
        <v>-1.3868867711484438E-4</v>
      </c>
      <c r="G300" s="2"/>
      <c r="H300" s="7">
        <v>100</v>
      </c>
      <c r="I300" s="2"/>
      <c r="J300" s="6">
        <f t="shared" si="131"/>
        <v>2.5237316551226623E-5</v>
      </c>
      <c r="K300" s="2"/>
      <c r="L300" s="7">
        <f t="shared" si="132"/>
        <v>-606.75</v>
      </c>
      <c r="M300" s="2"/>
      <c r="N300" s="6">
        <f t="shared" si="133"/>
        <v>-6.0674999999999999</v>
      </c>
      <c r="O300" s="11"/>
      <c r="P300" s="7">
        <v>357.68</v>
      </c>
      <c r="Q300" s="2"/>
      <c r="R300" s="6">
        <f t="shared" si="134"/>
        <v>1.6458907009642303E-5</v>
      </c>
      <c r="S300" s="2"/>
      <c r="T300" s="7">
        <v>710</v>
      </c>
      <c r="U300" s="2"/>
      <c r="V300" s="6">
        <f t="shared" si="135"/>
        <v>3.10464264850429E-5</v>
      </c>
      <c r="W300" s="2"/>
      <c r="X300" s="7">
        <f t="shared" si="136"/>
        <v>-352.32</v>
      </c>
      <c r="Y300" s="2"/>
      <c r="Z300" s="6">
        <f t="shared" si="137"/>
        <v>-0.49622535211267604</v>
      </c>
    </row>
    <row r="301" spans="1:26" s="24" customFormat="1" hidden="1" outlineLevel="2" x14ac:dyDescent="0.25">
      <c r="A301" s="25"/>
      <c r="B301" s="11" t="str">
        <f>CONCATENATE("          ", "6298", " - ", "VEHICLE MILEAGE")</f>
        <v xml:space="preserve">          6298 - VEHICLE MILEAGE</v>
      </c>
      <c r="C301" s="11"/>
      <c r="D301" s="7">
        <v>138.78</v>
      </c>
      <c r="E301" s="2"/>
      <c r="F301" s="6">
        <f t="shared" si="130"/>
        <v>3.7981676586084069E-5</v>
      </c>
      <c r="G301" s="2"/>
      <c r="H301" s="7">
        <v>110</v>
      </c>
      <c r="I301" s="2"/>
      <c r="J301" s="6">
        <f t="shared" si="131"/>
        <v>2.7761048206349286E-5</v>
      </c>
      <c r="K301" s="2"/>
      <c r="L301" s="7">
        <f t="shared" si="132"/>
        <v>28.78</v>
      </c>
      <c r="M301" s="2"/>
      <c r="N301" s="6">
        <f t="shared" si="133"/>
        <v>0.26163636363636367</v>
      </c>
      <c r="O301" s="11"/>
      <c r="P301" s="7">
        <v>1169.07</v>
      </c>
      <c r="Q301" s="2"/>
      <c r="R301" s="6">
        <f t="shared" si="134"/>
        <v>5.3795611769633537E-5</v>
      </c>
      <c r="S301" s="2"/>
      <c r="T301" s="7">
        <v>1220</v>
      </c>
      <c r="U301" s="2"/>
      <c r="V301" s="6">
        <f t="shared" si="135"/>
        <v>5.3347380720777945E-5</v>
      </c>
      <c r="W301" s="2"/>
      <c r="X301" s="7">
        <f t="shared" si="136"/>
        <v>-50.930000000000064</v>
      </c>
      <c r="Y301" s="2"/>
      <c r="Z301" s="6">
        <f t="shared" si="137"/>
        <v>-4.1745901639344316E-2</v>
      </c>
    </row>
    <row r="302" spans="1:26" s="27" customFormat="1" outlineLevel="1" collapsed="1" x14ac:dyDescent="0.25">
      <c r="A302" s="26"/>
      <c r="B302" s="13" t="str">
        <f>CONCATENATE("     ","Utilities                                         ")</f>
        <v xml:space="preserve">     Utilities                                         </v>
      </c>
      <c r="C302" s="13"/>
      <c r="D302" s="1">
        <f>SUM(OSRRefD22_26x_0)</f>
        <v>22986.14</v>
      </c>
      <c r="E302" s="1"/>
      <c r="F302" s="5">
        <f t="shared" ref="F302:F303" si="138">IF(D$12=0,0,D302/D$12)</f>
        <v>6.2909074466237962E-3</v>
      </c>
      <c r="G302" s="1"/>
      <c r="H302" s="1">
        <f>SUM(OSRRefH22_26x_0)</f>
        <v>28719</v>
      </c>
      <c r="I302" s="1"/>
      <c r="J302" s="5">
        <f t="shared" ref="J302:J303" si="139">IF(H$12=0,0,H302/H$12)</f>
        <v>7.2479049403467739E-3</v>
      </c>
      <c r="K302" s="1"/>
      <c r="L302" s="1">
        <f t="shared" ref="L302:L303" si="140">+D302-H302</f>
        <v>-5732.8600000000006</v>
      </c>
      <c r="M302" s="1"/>
      <c r="N302" s="5">
        <f t="shared" ref="N302:N303" si="141">IF(H302=0,0,L302/H302)</f>
        <v>-0.19961906751627845</v>
      </c>
      <c r="O302" s="13"/>
      <c r="P302" s="1">
        <f>SUM(OSRRefP22_26x_0)</f>
        <v>157357.94</v>
      </c>
      <c r="Q302" s="1"/>
      <c r="R302" s="5">
        <f t="shared" ref="R302:R303" si="142">IF(P$12=0,0,P302/P$12)</f>
        <v>7.2409407897810127E-3</v>
      </c>
      <c r="S302" s="1"/>
      <c r="T302" s="1">
        <f>SUM(OSRRefT22_26x_0)</f>
        <v>180713</v>
      </c>
      <c r="U302" s="1"/>
      <c r="V302" s="5">
        <f t="shared" ref="V302:V303" si="143">IF(T$12=0,0,T302/T$12)</f>
        <v>7.9021026329458566E-3</v>
      </c>
      <c r="W302" s="1"/>
      <c r="X302" s="1">
        <f t="shared" ref="X302:X303" si="144">+P302-T302</f>
        <v>-23355.059999999998</v>
      </c>
      <c r="Y302" s="1"/>
      <c r="Z302" s="5">
        <f t="shared" ref="Z302:Z303" si="145">IF(T302=0,0,X302/T302)</f>
        <v>-0.12923840564873582</v>
      </c>
    </row>
    <row r="303" spans="1:26" s="24" customFormat="1" hidden="1" outlineLevel="2" x14ac:dyDescent="0.25">
      <c r="A303" s="25"/>
      <c r="B303" s="11" t="str">
        <f>CONCATENATE("          ", "6274", " - ", "UTILITIES")</f>
        <v xml:space="preserve">          6274 - UTILITIES</v>
      </c>
      <c r="C303" s="11"/>
      <c r="D303" s="7">
        <v>22986.14</v>
      </c>
      <c r="E303" s="2"/>
      <c r="F303" s="6">
        <f t="shared" si="138"/>
        <v>6.2909074466237962E-3</v>
      </c>
      <c r="G303" s="2"/>
      <c r="H303" s="7">
        <v>28719</v>
      </c>
      <c r="I303" s="2"/>
      <c r="J303" s="6">
        <f t="shared" si="139"/>
        <v>7.2479049403467739E-3</v>
      </c>
      <c r="K303" s="2"/>
      <c r="L303" s="7">
        <f t="shared" si="140"/>
        <v>-5732.8600000000006</v>
      </c>
      <c r="M303" s="2"/>
      <c r="N303" s="6">
        <f t="shared" si="141"/>
        <v>-0.19961906751627845</v>
      </c>
      <c r="O303" s="11"/>
      <c r="P303" s="7">
        <v>157357.94</v>
      </c>
      <c r="Q303" s="2"/>
      <c r="R303" s="6">
        <f t="shared" si="142"/>
        <v>7.2409407897810127E-3</v>
      </c>
      <c r="S303" s="2"/>
      <c r="T303" s="7">
        <v>180713</v>
      </c>
      <c r="U303" s="2"/>
      <c r="V303" s="6">
        <f t="shared" si="143"/>
        <v>7.9021026329458566E-3</v>
      </c>
      <c r="W303" s="2"/>
      <c r="X303" s="7">
        <f t="shared" si="144"/>
        <v>-23355.059999999998</v>
      </c>
      <c r="Y303" s="2"/>
      <c r="Z303" s="6">
        <f t="shared" si="145"/>
        <v>-0.12923840564873582</v>
      </c>
    </row>
    <row r="304" spans="1:26" s="53" customFormat="1" x14ac:dyDescent="0.25">
      <c r="A304" s="36"/>
      <c r="B304" s="36"/>
      <c r="C304" s="36"/>
      <c r="D304" s="1"/>
      <c r="E304" s="1"/>
      <c r="F304" s="5"/>
      <c r="G304" s="1"/>
      <c r="H304" s="1"/>
      <c r="I304" s="1"/>
      <c r="J304" s="5"/>
      <c r="K304" s="1"/>
      <c r="L304" s="1"/>
      <c r="M304" s="1"/>
      <c r="N304" s="5"/>
      <c r="O304" s="36"/>
      <c r="P304" s="1"/>
      <c r="Q304" s="1"/>
      <c r="R304" s="5"/>
      <c r="S304" s="1"/>
      <c r="T304" s="1"/>
      <c r="U304" s="1"/>
      <c r="V304" s="5"/>
      <c r="W304" s="1"/>
      <c r="X304" s="1"/>
      <c r="Y304" s="1"/>
      <c r="Z304" s="5"/>
    </row>
    <row r="305" spans="1:26" s="23" customFormat="1" collapsed="1" x14ac:dyDescent="0.25">
      <c r="A305" s="10"/>
      <c r="B305" s="28" t="s">
        <v>0</v>
      </c>
      <c r="C305" s="10"/>
      <c r="D305" s="4">
        <f>SUM(OSRRefD25x_0)</f>
        <v>118231.34000000001</v>
      </c>
      <c r="E305" s="4"/>
      <c r="F305" s="12">
        <f t="shared" ref="F305:F318" si="146">IF(D$12=0,0,D305/D$12)</f>
        <v>3.2357865097415658E-2</v>
      </c>
      <c r="G305" s="4"/>
      <c r="H305" s="4">
        <f>SUM(OSRRefH25x_0)</f>
        <v>117729</v>
      </c>
      <c r="I305" s="4"/>
      <c r="J305" s="12">
        <f t="shared" ref="J305:J318" si="147">IF(H$12=0,0,H305/H$12)</f>
        <v>2.9711640402593591E-2</v>
      </c>
      <c r="K305" s="4"/>
      <c r="L305" s="4">
        <f t="shared" ref="L305:L318" si="148">+D305-H305</f>
        <v>502.34000000001106</v>
      </c>
      <c r="M305" s="4"/>
      <c r="N305" s="12">
        <f t="shared" ref="N305:N318" si="149">IF(H305=0,0,L305/H305)</f>
        <v>4.2669180915493295E-3</v>
      </c>
      <c r="O305" s="10"/>
      <c r="P305" s="4">
        <f>SUM(OSRRefP25x_0)</f>
        <v>1077123.2</v>
      </c>
      <c r="Q305" s="4"/>
      <c r="R305" s="12">
        <f t="shared" ref="R305:R318" si="150">IF(P$12=0,0,P305/P$12)</f>
        <v>4.9564612465690966E-2</v>
      </c>
      <c r="S305" s="4"/>
      <c r="T305" s="4">
        <f>SUM(OSRRefT25x_0)</f>
        <v>1032949</v>
      </c>
      <c r="U305" s="4"/>
      <c r="V305" s="12">
        <f t="shared" ref="V305:V318" si="151">IF(T$12=0,0,T305/T$12)</f>
        <v>4.5168134072251523E-2</v>
      </c>
      <c r="W305" s="4"/>
      <c r="X305" s="4">
        <f t="shared" ref="X305:X318" si="152">+P305-T305</f>
        <v>44174.199999999953</v>
      </c>
      <c r="Y305" s="4"/>
      <c r="Z305" s="12">
        <f t="shared" ref="Z305:Z318" si="153">IF(T305=0,0,X305/T305)</f>
        <v>4.2765131676394431E-2</v>
      </c>
    </row>
    <row r="306" spans="1:26" s="24" customFormat="1" hidden="1" outlineLevel="1" x14ac:dyDescent="0.25">
      <c r="A306" s="44"/>
      <c r="B306" s="11" t="str">
        <f>CONCATENATE("          ", "4098", " - ", "TAXABLE SALES-GRAD RENTALS")</f>
        <v xml:space="preserve">          4098 - TAXABLE SALES-GRAD RENTALS</v>
      </c>
      <c r="C306" s="11"/>
      <c r="D306" s="2">
        <f>--320</f>
        <v>320</v>
      </c>
      <c r="E306" s="2"/>
      <c r="F306" s="19">
        <f t="shared" si="146"/>
        <v>8.7578444354711793E-5</v>
      </c>
      <c r="G306" s="2"/>
      <c r="H306" s="2"/>
      <c r="I306" s="2"/>
      <c r="J306" s="19">
        <f t="shared" si="147"/>
        <v>0</v>
      </c>
      <c r="K306" s="2"/>
      <c r="L306" s="2">
        <f t="shared" si="148"/>
        <v>320</v>
      </c>
      <c r="M306" s="2"/>
      <c r="N306" s="19">
        <f t="shared" si="149"/>
        <v>0</v>
      </c>
      <c r="O306" s="11"/>
      <c r="P306" s="2">
        <f>--1946.85</f>
        <v>1946.85</v>
      </c>
      <c r="Q306" s="2"/>
      <c r="R306" s="19">
        <f t="shared" si="150"/>
        <v>8.9585727778243435E-5</v>
      </c>
      <c r="S306" s="2"/>
      <c r="T306" s="2"/>
      <c r="U306" s="2"/>
      <c r="V306" s="19">
        <f t="shared" si="151"/>
        <v>0</v>
      </c>
      <c r="W306" s="2"/>
      <c r="X306" s="2">
        <f t="shared" si="152"/>
        <v>1946.85</v>
      </c>
      <c r="Y306" s="2"/>
      <c r="Z306" s="19">
        <f t="shared" si="153"/>
        <v>0</v>
      </c>
    </row>
    <row r="307" spans="1:26" s="24" customFormat="1" hidden="1" outlineLevel="1" x14ac:dyDescent="0.25">
      <c r="A307" s="44"/>
      <c r="B307" s="11" t="str">
        <f>CONCATENATE("          ", "4187", " - ", "NON-TAXABLE SALES-COMPUTER REP")</f>
        <v xml:space="preserve">          4187 - NON-TAXABLE SALES-COMPUTER REP</v>
      </c>
      <c r="C307" s="11"/>
      <c r="D307" s="2">
        <f>--1922.01</f>
        <v>1922.01</v>
      </c>
      <c r="E307" s="2"/>
      <c r="F307" s="19">
        <f t="shared" si="146"/>
        <v>5.2602076823187371E-4</v>
      </c>
      <c r="G307" s="2"/>
      <c r="H307" s="2"/>
      <c r="I307" s="2"/>
      <c r="J307" s="19">
        <f t="shared" si="147"/>
        <v>0</v>
      </c>
      <c r="K307" s="2"/>
      <c r="L307" s="2">
        <f t="shared" si="148"/>
        <v>1922.01</v>
      </c>
      <c r="M307" s="2"/>
      <c r="N307" s="19">
        <f t="shared" si="149"/>
        <v>0</v>
      </c>
      <c r="O307" s="11"/>
      <c r="P307" s="2">
        <f>--15110.93</f>
        <v>15110.93</v>
      </c>
      <c r="Q307" s="2"/>
      <c r="R307" s="19">
        <f t="shared" si="150"/>
        <v>6.9534050463882283E-4</v>
      </c>
      <c r="S307" s="2"/>
      <c r="T307" s="2"/>
      <c r="U307" s="2"/>
      <c r="V307" s="19">
        <f t="shared" si="151"/>
        <v>0</v>
      </c>
      <c r="W307" s="2"/>
      <c r="X307" s="2">
        <f t="shared" si="152"/>
        <v>15110.93</v>
      </c>
      <c r="Y307" s="2"/>
      <c r="Z307" s="19">
        <f t="shared" si="153"/>
        <v>0</v>
      </c>
    </row>
    <row r="308" spans="1:26" s="24" customFormat="1" hidden="1" outlineLevel="1" x14ac:dyDescent="0.25">
      <c r="A308" s="44"/>
      <c r="B308" s="11" t="str">
        <f>CONCATENATE("          ", "4197", " - ", "NON-TAXABLE SALES-RETURNED CHE")</f>
        <v xml:space="preserve">          4197 - NON-TAXABLE SALES-RETURNED CHE</v>
      </c>
      <c r="C308" s="11"/>
      <c r="D308" s="2">
        <f>0</f>
        <v>0</v>
      </c>
      <c r="E308" s="2"/>
      <c r="F308" s="19">
        <f t="shared" si="146"/>
        <v>0</v>
      </c>
      <c r="G308" s="2"/>
      <c r="H308" s="2"/>
      <c r="I308" s="2"/>
      <c r="J308" s="19">
        <f t="shared" si="147"/>
        <v>0</v>
      </c>
      <c r="K308" s="2"/>
      <c r="L308" s="2">
        <f t="shared" si="148"/>
        <v>0</v>
      </c>
      <c r="M308" s="2"/>
      <c r="N308" s="19">
        <f t="shared" si="149"/>
        <v>0</v>
      </c>
      <c r="O308" s="11"/>
      <c r="P308" s="2">
        <f>--30</f>
        <v>30</v>
      </c>
      <c r="Q308" s="2"/>
      <c r="R308" s="19">
        <f t="shared" si="150"/>
        <v>1.3804719589836419E-6</v>
      </c>
      <c r="S308" s="2"/>
      <c r="T308" s="2"/>
      <c r="U308" s="2"/>
      <c r="V308" s="19">
        <f t="shared" si="151"/>
        <v>0</v>
      </c>
      <c r="W308" s="2"/>
      <c r="X308" s="2">
        <f t="shared" si="152"/>
        <v>30</v>
      </c>
      <c r="Y308" s="2"/>
      <c r="Z308" s="19">
        <f t="shared" si="153"/>
        <v>0</v>
      </c>
    </row>
    <row r="309" spans="1:26" s="24" customFormat="1" hidden="1" outlineLevel="1" x14ac:dyDescent="0.25">
      <c r="A309" s="44"/>
      <c r="B309" s="11" t="str">
        <f>CONCATENATE("          ", "4198", " - ", "NON-TAXABLE SALES-GRAD RENTALS")</f>
        <v xml:space="preserve">          4198 - NON-TAXABLE SALES-GRAD RENTALS</v>
      </c>
      <c r="C309" s="11"/>
      <c r="D309" s="2">
        <f>--3237.1</f>
        <v>3237.1</v>
      </c>
      <c r="E309" s="2"/>
      <c r="F309" s="19">
        <f t="shared" si="146"/>
        <v>8.859380694394922E-4</v>
      </c>
      <c r="G309" s="2"/>
      <c r="H309" s="2"/>
      <c r="I309" s="2"/>
      <c r="J309" s="19">
        <f t="shared" si="147"/>
        <v>0</v>
      </c>
      <c r="K309" s="2"/>
      <c r="L309" s="2">
        <f t="shared" si="148"/>
        <v>3237.1</v>
      </c>
      <c r="M309" s="2"/>
      <c r="N309" s="19">
        <f t="shared" si="149"/>
        <v>0</v>
      </c>
      <c r="O309" s="11"/>
      <c r="P309" s="2">
        <f>--3732.1</f>
        <v>3732.1</v>
      </c>
      <c r="Q309" s="2"/>
      <c r="R309" s="19">
        <f t="shared" si="150"/>
        <v>1.7173531327076166E-4</v>
      </c>
      <c r="S309" s="2"/>
      <c r="T309" s="2"/>
      <c r="U309" s="2"/>
      <c r="V309" s="19">
        <f t="shared" si="151"/>
        <v>0</v>
      </c>
      <c r="W309" s="2"/>
      <c r="X309" s="2">
        <f t="shared" si="152"/>
        <v>3732.1</v>
      </c>
      <c r="Y309" s="2"/>
      <c r="Z309" s="19">
        <f t="shared" si="153"/>
        <v>0</v>
      </c>
    </row>
    <row r="310" spans="1:26" s="24" customFormat="1" hidden="1" outlineLevel="1" x14ac:dyDescent="0.25">
      <c r="A310" s="44"/>
      <c r="B310" s="11" t="str">
        <f>CONCATENATE("          ", "4387", " - ", "SALES RETURN NON TAXABLE-COMPU")</f>
        <v xml:space="preserve">          4387 - SALES RETURN NON TAXABLE-COMPU</v>
      </c>
      <c r="C310" s="11"/>
      <c r="D310" s="2">
        <f t="shared" ref="D310:D311" si="154">0</f>
        <v>0</v>
      </c>
      <c r="E310" s="2"/>
      <c r="F310" s="19">
        <f t="shared" si="146"/>
        <v>0</v>
      </c>
      <c r="G310" s="2"/>
      <c r="H310" s="2"/>
      <c r="I310" s="2"/>
      <c r="J310" s="19">
        <f t="shared" si="147"/>
        <v>0</v>
      </c>
      <c r="K310" s="2"/>
      <c r="L310" s="2">
        <f t="shared" si="148"/>
        <v>0</v>
      </c>
      <c r="M310" s="2"/>
      <c r="N310" s="19">
        <f t="shared" si="149"/>
        <v>0</v>
      </c>
      <c r="O310" s="11"/>
      <c r="P310" s="2">
        <f>-7889</f>
        <v>-7889</v>
      </c>
      <c r="Q310" s="2"/>
      <c r="R310" s="19">
        <f t="shared" si="150"/>
        <v>-3.6301810948073172E-4</v>
      </c>
      <c r="S310" s="2"/>
      <c r="T310" s="2"/>
      <c r="U310" s="2"/>
      <c r="V310" s="19">
        <f t="shared" si="151"/>
        <v>0</v>
      </c>
      <c r="W310" s="2"/>
      <c r="X310" s="2">
        <f t="shared" si="152"/>
        <v>-7889</v>
      </c>
      <c r="Y310" s="2"/>
      <c r="Z310" s="19">
        <f t="shared" si="153"/>
        <v>0</v>
      </c>
    </row>
    <row r="311" spans="1:26" s="24" customFormat="1" hidden="1" outlineLevel="1" x14ac:dyDescent="0.25">
      <c r="A311" s="44"/>
      <c r="B311" s="11" t="str">
        <f>CONCATENATE("          ", "5087", " - ", "PURCHASES @ COST-COMPUTER REPA")</f>
        <v xml:space="preserve">          5087 - PURCHASES @ COST-COMPUTER REPA</v>
      </c>
      <c r="C311" s="11"/>
      <c r="D311" s="2">
        <f t="shared" si="154"/>
        <v>0</v>
      </c>
      <c r="E311" s="2"/>
      <c r="F311" s="19">
        <f t="shared" si="146"/>
        <v>0</v>
      </c>
      <c r="G311" s="2"/>
      <c r="H311" s="2"/>
      <c r="I311" s="2"/>
      <c r="J311" s="19">
        <f t="shared" si="147"/>
        <v>0</v>
      </c>
      <c r="K311" s="2"/>
      <c r="L311" s="2">
        <f t="shared" si="148"/>
        <v>0</v>
      </c>
      <c r="M311" s="2"/>
      <c r="N311" s="19">
        <f t="shared" si="149"/>
        <v>0</v>
      </c>
      <c r="O311" s="11"/>
      <c r="P311" s="2">
        <f>-56.72</f>
        <v>-56.72</v>
      </c>
      <c r="Q311" s="2"/>
      <c r="R311" s="19">
        <f t="shared" si="150"/>
        <v>-2.6100123171184056E-6</v>
      </c>
      <c r="S311" s="2"/>
      <c r="T311" s="2"/>
      <c r="U311" s="2"/>
      <c r="V311" s="19">
        <f t="shared" si="151"/>
        <v>0</v>
      </c>
      <c r="W311" s="2"/>
      <c r="X311" s="2">
        <f t="shared" si="152"/>
        <v>-56.72</v>
      </c>
      <c r="Y311" s="2"/>
      <c r="Z311" s="19">
        <f t="shared" si="153"/>
        <v>0</v>
      </c>
    </row>
    <row r="312" spans="1:26" s="24" customFormat="1" hidden="1" outlineLevel="1" x14ac:dyDescent="0.25">
      <c r="A312" s="44"/>
      <c r="B312" s="11" t="str">
        <f>CONCATENATE("          ", "9150", " - ", "MISC. INCOME")</f>
        <v xml:space="preserve">          9150 - MISC. INCOME</v>
      </c>
      <c r="C312" s="11"/>
      <c r="D312" s="2">
        <f>--95475.46</f>
        <v>95475.46</v>
      </c>
      <c r="E312" s="2"/>
      <c r="F312" s="19">
        <f t="shared" si="146"/>
        <v>2.6129975815157851E-2</v>
      </c>
      <c r="G312" s="2"/>
      <c r="H312" s="2">
        <v>63652.999999999993</v>
      </c>
      <c r="I312" s="2"/>
      <c r="J312" s="19">
        <f t="shared" si="147"/>
        <v>1.6064309104352279E-2</v>
      </c>
      <c r="K312" s="2"/>
      <c r="L312" s="2">
        <f t="shared" si="148"/>
        <v>31822.460000000014</v>
      </c>
      <c r="M312" s="2"/>
      <c r="N312" s="19">
        <f t="shared" si="149"/>
        <v>0.49993653087835638</v>
      </c>
      <c r="O312" s="11"/>
      <c r="P312" s="2">
        <f>--539751.19</f>
        <v>539751.18999999994</v>
      </c>
      <c r="Q312" s="2"/>
      <c r="R312" s="19">
        <f t="shared" si="150"/>
        <v>2.4837046087435061E-2</v>
      </c>
      <c r="S312" s="2"/>
      <c r="T312" s="2">
        <v>464756</v>
      </c>
      <c r="U312" s="2"/>
      <c r="V312" s="19">
        <f t="shared" si="151"/>
        <v>2.032255350349662E-2</v>
      </c>
      <c r="W312" s="2"/>
      <c r="X312" s="2">
        <f t="shared" si="152"/>
        <v>74995.189999999944</v>
      </c>
      <c r="Y312" s="2"/>
      <c r="Z312" s="19">
        <f t="shared" si="153"/>
        <v>0.16136465155909754</v>
      </c>
    </row>
    <row r="313" spans="1:26" s="24" customFormat="1" hidden="1" outlineLevel="1" x14ac:dyDescent="0.25">
      <c r="A313" s="44"/>
      <c r="B313" s="11" t="str">
        <f>CONCATENATE("          ", "9151", " - ", "MISC. INCOME")</f>
        <v xml:space="preserve">          9151 - MISC. INCOME</v>
      </c>
      <c r="C313" s="11"/>
      <c r="D313" s="2">
        <f>-1539.13</f>
        <v>-1539.13</v>
      </c>
      <c r="E313" s="2"/>
      <c r="F313" s="19">
        <f t="shared" si="146"/>
        <v>-4.2123315956146113E-4</v>
      </c>
      <c r="G313" s="2"/>
      <c r="H313" s="2">
        <v>31776</v>
      </c>
      <c r="I313" s="2"/>
      <c r="J313" s="19">
        <f t="shared" si="147"/>
        <v>8.019409707317772E-3</v>
      </c>
      <c r="K313" s="2"/>
      <c r="L313" s="2">
        <f t="shared" si="148"/>
        <v>-33315.129999999997</v>
      </c>
      <c r="M313" s="2"/>
      <c r="N313" s="19">
        <f t="shared" si="149"/>
        <v>-1.0484368705941591</v>
      </c>
      <c r="O313" s="11"/>
      <c r="P313" s="2">
        <f>--85953.38</f>
        <v>85953.38</v>
      </c>
      <c r="Q313" s="2"/>
      <c r="R313" s="19">
        <f t="shared" si="150"/>
        <v>3.9552076956621794E-3</v>
      </c>
      <c r="S313" s="2"/>
      <c r="T313" s="2">
        <v>354443</v>
      </c>
      <c r="U313" s="2"/>
      <c r="V313" s="19">
        <f t="shared" si="151"/>
        <v>1.5498857102307129E-2</v>
      </c>
      <c r="W313" s="2"/>
      <c r="X313" s="2">
        <f t="shared" si="152"/>
        <v>-268489.62</v>
      </c>
      <c r="Y313" s="2"/>
      <c r="Z313" s="19">
        <f t="shared" si="153"/>
        <v>-0.75749731268497333</v>
      </c>
    </row>
    <row r="314" spans="1:26" s="24" customFormat="1" hidden="1" outlineLevel="1" x14ac:dyDescent="0.25">
      <c r="A314" s="44"/>
      <c r="B314" s="11" t="str">
        <f>CONCATENATE("          ", "9152", " - ", "MISC. INCOME")</f>
        <v xml:space="preserve">          9152 - MISC. INCOME</v>
      </c>
      <c r="C314" s="11"/>
      <c r="D314" s="2">
        <f>--469.1</f>
        <v>469.1</v>
      </c>
      <c r="E314" s="2"/>
      <c r="F314" s="19">
        <f t="shared" si="146"/>
        <v>1.2838452577123533E-4</v>
      </c>
      <c r="G314" s="2"/>
      <c r="H314" s="2"/>
      <c r="I314" s="2"/>
      <c r="J314" s="19">
        <f t="shared" si="147"/>
        <v>0</v>
      </c>
      <c r="K314" s="2"/>
      <c r="L314" s="2">
        <f t="shared" si="148"/>
        <v>469.1</v>
      </c>
      <c r="M314" s="2"/>
      <c r="N314" s="19">
        <f t="shared" si="149"/>
        <v>0</v>
      </c>
      <c r="O314" s="11"/>
      <c r="P314" s="2">
        <f>--4699.86</f>
        <v>4699.8599999999997</v>
      </c>
      <c r="Q314" s="2"/>
      <c r="R314" s="19">
        <f t="shared" si="150"/>
        <v>2.1626749803829528E-4</v>
      </c>
      <c r="S314" s="2"/>
      <c r="T314" s="2"/>
      <c r="U314" s="2"/>
      <c r="V314" s="19">
        <f t="shared" si="151"/>
        <v>0</v>
      </c>
      <c r="W314" s="2"/>
      <c r="X314" s="2">
        <f t="shared" si="152"/>
        <v>4699.8599999999997</v>
      </c>
      <c r="Y314" s="2"/>
      <c r="Z314" s="19">
        <f t="shared" si="153"/>
        <v>0</v>
      </c>
    </row>
    <row r="315" spans="1:26" s="24" customFormat="1" hidden="1" outlineLevel="1" x14ac:dyDescent="0.25">
      <c r="A315" s="44"/>
      <c r="B315" s="11" t="str">
        <f>CONCATENATE("          ", "9153", " - ", "MISC. INCOME")</f>
        <v xml:space="preserve">          9153 - MISC. INCOME</v>
      </c>
      <c r="C315" s="11"/>
      <c r="D315" s="2">
        <f>0</f>
        <v>0</v>
      </c>
      <c r="E315" s="2"/>
      <c r="F315" s="19">
        <f t="shared" si="146"/>
        <v>0</v>
      </c>
      <c r="G315" s="2"/>
      <c r="H315" s="2"/>
      <c r="I315" s="2"/>
      <c r="J315" s="19">
        <f t="shared" si="147"/>
        <v>0</v>
      </c>
      <c r="K315" s="2"/>
      <c r="L315" s="2">
        <f t="shared" si="148"/>
        <v>0</v>
      </c>
      <c r="M315" s="2"/>
      <c r="N315" s="19">
        <f t="shared" si="149"/>
        <v>0</v>
      </c>
      <c r="O315" s="11"/>
      <c r="P315" s="2">
        <f>--450</f>
        <v>450</v>
      </c>
      <c r="Q315" s="2"/>
      <c r="R315" s="19">
        <f t="shared" si="150"/>
        <v>2.0707079384754629E-5</v>
      </c>
      <c r="S315" s="2"/>
      <c r="T315" s="2"/>
      <c r="U315" s="2"/>
      <c r="V315" s="19">
        <f t="shared" si="151"/>
        <v>0</v>
      </c>
      <c r="W315" s="2"/>
      <c r="X315" s="2">
        <f t="shared" si="152"/>
        <v>450</v>
      </c>
      <c r="Y315" s="2"/>
      <c r="Z315" s="19">
        <f t="shared" si="153"/>
        <v>0</v>
      </c>
    </row>
    <row r="316" spans="1:26" s="24" customFormat="1" hidden="1" outlineLevel="1" x14ac:dyDescent="0.25">
      <c r="A316" s="44"/>
      <c r="B316" s="11" t="str">
        <f>CONCATENATE("          ", "9160", " - ", "MISC. INCOME")</f>
        <v xml:space="preserve">          9160 - MISC. INCOME</v>
      </c>
      <c r="C316" s="11"/>
      <c r="D316" s="2">
        <f>--18346.8</f>
        <v>18346.8</v>
      </c>
      <c r="E316" s="2"/>
      <c r="F316" s="19">
        <f t="shared" si="146"/>
        <v>5.0212006340219564E-3</v>
      </c>
      <c r="G316" s="2"/>
      <c r="H316" s="2">
        <v>22300</v>
      </c>
      <c r="I316" s="2"/>
      <c r="J316" s="19">
        <f t="shared" si="147"/>
        <v>5.6279215909235368E-3</v>
      </c>
      <c r="K316" s="2"/>
      <c r="L316" s="2">
        <f t="shared" si="148"/>
        <v>-3953.2000000000007</v>
      </c>
      <c r="M316" s="2"/>
      <c r="N316" s="19">
        <f t="shared" si="149"/>
        <v>-0.17727354260089689</v>
      </c>
      <c r="O316" s="11"/>
      <c r="P316" s="2">
        <f>--144872</f>
        <v>144872</v>
      </c>
      <c r="Q316" s="2"/>
      <c r="R316" s="19">
        <f t="shared" si="150"/>
        <v>6.6663911213959391E-3</v>
      </c>
      <c r="S316" s="2"/>
      <c r="T316" s="2">
        <v>213750</v>
      </c>
      <c r="U316" s="2"/>
      <c r="V316" s="19">
        <f t="shared" si="151"/>
        <v>9.3467234664477757E-3</v>
      </c>
      <c r="W316" s="2"/>
      <c r="X316" s="2">
        <f t="shared" si="152"/>
        <v>-68878</v>
      </c>
      <c r="Y316" s="2"/>
      <c r="Z316" s="19">
        <f t="shared" si="153"/>
        <v>-0.32223625730994154</v>
      </c>
    </row>
    <row r="317" spans="1:26" s="24" customFormat="1" hidden="1" outlineLevel="1" x14ac:dyDescent="0.25">
      <c r="A317" s="44"/>
      <c r="B317" s="11" t="str">
        <f>CONCATENATE("          ", "9163", " - ", "MISC. INCOME")</f>
        <v xml:space="preserve">          9163 - MISC. INCOME</v>
      </c>
      <c r="C317" s="11"/>
      <c r="D317" s="2">
        <f t="shared" ref="D317:D318" si="155">0</f>
        <v>0</v>
      </c>
      <c r="E317" s="2"/>
      <c r="F317" s="19">
        <f t="shared" si="146"/>
        <v>0</v>
      </c>
      <c r="G317" s="2"/>
      <c r="H317" s="2"/>
      <c r="I317" s="2"/>
      <c r="J317" s="19">
        <f t="shared" si="147"/>
        <v>0</v>
      </c>
      <c r="K317" s="2"/>
      <c r="L317" s="2">
        <f t="shared" si="148"/>
        <v>0</v>
      </c>
      <c r="M317" s="2"/>
      <c r="N317" s="19">
        <f t="shared" si="149"/>
        <v>0</v>
      </c>
      <c r="O317" s="11"/>
      <c r="P317" s="2">
        <f>--61106.55</f>
        <v>61106.55</v>
      </c>
      <c r="Q317" s="2"/>
      <c r="R317" s="19">
        <f t="shared" si="150"/>
        <v>2.8118626261743954E-3</v>
      </c>
      <c r="S317" s="2"/>
      <c r="T317" s="2"/>
      <c r="U317" s="2"/>
      <c r="V317" s="19">
        <f t="shared" si="151"/>
        <v>0</v>
      </c>
      <c r="W317" s="2"/>
      <c r="X317" s="2">
        <f t="shared" si="152"/>
        <v>61106.55</v>
      </c>
      <c r="Y317" s="2"/>
      <c r="Z317" s="19">
        <f t="shared" si="153"/>
        <v>0</v>
      </c>
    </row>
    <row r="318" spans="1:26" s="24" customFormat="1" hidden="1" outlineLevel="1" x14ac:dyDescent="0.25">
      <c r="A318" s="44"/>
      <c r="B318" s="11" t="str">
        <f>CONCATENATE("          ", "9165", " - ", "OTHER INCOME")</f>
        <v xml:space="preserve">          9165 - OTHER INCOME</v>
      </c>
      <c r="C318" s="11"/>
      <c r="D318" s="2">
        <f t="shared" si="155"/>
        <v>0</v>
      </c>
      <c r="E318" s="2"/>
      <c r="F318" s="19">
        <f t="shared" si="146"/>
        <v>0</v>
      </c>
      <c r="G318" s="2"/>
      <c r="H318" s="2"/>
      <c r="I318" s="2"/>
      <c r="J318" s="19">
        <f t="shared" si="147"/>
        <v>0</v>
      </c>
      <c r="K318" s="2"/>
      <c r="L318" s="2">
        <f t="shared" si="148"/>
        <v>0</v>
      </c>
      <c r="M318" s="2"/>
      <c r="N318" s="19">
        <f t="shared" si="149"/>
        <v>0</v>
      </c>
      <c r="O318" s="11"/>
      <c r="P318" s="2">
        <f>--227416.06</f>
        <v>227416.06</v>
      </c>
      <c r="Q318" s="2"/>
      <c r="R318" s="19">
        <f t="shared" si="150"/>
        <v>1.0464716461751381E-2</v>
      </c>
      <c r="S318" s="2"/>
      <c r="T318" s="2"/>
      <c r="U318" s="2"/>
      <c r="V318" s="19">
        <f t="shared" si="151"/>
        <v>0</v>
      </c>
      <c r="W318" s="2"/>
      <c r="X318" s="2">
        <f t="shared" si="152"/>
        <v>227416.06</v>
      </c>
      <c r="Y318" s="2"/>
      <c r="Z318" s="19">
        <f t="shared" si="153"/>
        <v>0</v>
      </c>
    </row>
    <row r="319" spans="1:26" x14ac:dyDescent="0.25">
      <c r="A319" s="9"/>
      <c r="B319" s="10"/>
      <c r="C319" s="10"/>
      <c r="D319" s="3"/>
      <c r="E319" s="3"/>
      <c r="F319" s="8"/>
      <c r="G319" s="3"/>
      <c r="H319" s="3"/>
      <c r="I319" s="3"/>
      <c r="J319" s="8"/>
      <c r="K319" s="3"/>
      <c r="L319" s="3"/>
      <c r="M319" s="3"/>
      <c r="N319" s="8"/>
      <c r="O319" s="10"/>
      <c r="P319" s="3"/>
      <c r="Q319" s="3"/>
      <c r="R319" s="8"/>
      <c r="S319" s="3"/>
      <c r="T319" s="3"/>
      <c r="U319" s="3"/>
      <c r="V319" s="8"/>
      <c r="W319" s="3"/>
      <c r="X319" s="3"/>
      <c r="Y319" s="3"/>
      <c r="Z319" s="8"/>
    </row>
    <row r="320" spans="1:26" s="23" customFormat="1" x14ac:dyDescent="0.25">
      <c r="A320" s="10"/>
      <c r="B320" s="29" t="s">
        <v>3</v>
      </c>
      <c r="C320" s="29"/>
      <c r="D320" s="21">
        <f>+D196-D198+D305</f>
        <v>479413.84000000212</v>
      </c>
      <c r="E320" s="14"/>
      <c r="F320" s="20">
        <f>IF(D$12=0,0,D320/D$12)</f>
        <v>0.13120724471662151</v>
      </c>
      <c r="G320" s="14"/>
      <c r="H320" s="21">
        <f>+H196-H198+H305</f>
        <v>410162.42741065519</v>
      </c>
      <c r="I320" s="14"/>
      <c r="J320" s="20">
        <f>IF(H$12=0,0,H320/H$12)</f>
        <v>0.10351399017982217</v>
      </c>
      <c r="K320" s="16"/>
      <c r="L320" s="21">
        <f>+D320-H320</f>
        <v>69251.412589346932</v>
      </c>
      <c r="M320" s="16"/>
      <c r="N320" s="20">
        <f>IF(H320=0,0,L320/H320)</f>
        <v>0.16883899636182989</v>
      </c>
      <c r="O320" s="28"/>
      <c r="P320" s="21">
        <f>+P196-P198+P305</f>
        <v>2647207.1999999983</v>
      </c>
      <c r="Q320" s="14"/>
      <c r="R320" s="20">
        <f>IF(P$12=0,0,P320/P$12)</f>
        <v>0.12181317697398664</v>
      </c>
      <c r="S320" s="14"/>
      <c r="T320" s="21">
        <f>+T196-T198+T305</f>
        <v>3140394.8698939048</v>
      </c>
      <c r="U320" s="14"/>
      <c r="V320" s="20">
        <f>IF(T$12=0,0,T320/T$12)</f>
        <v>0.13732118093262957</v>
      </c>
      <c r="W320" s="16"/>
      <c r="X320" s="21">
        <f>+P320-T320</f>
        <v>-493187.66989390645</v>
      </c>
      <c r="Y320" s="16"/>
      <c r="Z320" s="20">
        <f>IF(T320=0,0,X320/T320)</f>
        <v>-0.15704638758073386</v>
      </c>
    </row>
    <row r="321" spans="1:26" x14ac:dyDescent="0.25">
      <c r="A321" s="9"/>
      <c r="B321" s="10"/>
      <c r="C321" s="9"/>
      <c r="D321" s="3"/>
      <c r="E321" s="3"/>
      <c r="F321" s="8"/>
      <c r="G321" s="3"/>
      <c r="H321" s="3"/>
      <c r="I321" s="3"/>
      <c r="J321" s="8"/>
      <c r="K321" s="3"/>
      <c r="L321" s="3"/>
      <c r="M321" s="3"/>
      <c r="N321" s="8"/>
      <c r="P321" s="3"/>
      <c r="Q321" s="3"/>
      <c r="R321" s="8"/>
      <c r="S321" s="3"/>
      <c r="T321" s="3"/>
      <c r="U321" s="3"/>
      <c r="V321" s="8"/>
      <c r="W321" s="3"/>
      <c r="X321" s="3"/>
      <c r="Y321" s="3"/>
      <c r="Z321" s="8"/>
    </row>
    <row r="322" spans="1:26" s="23" customFormat="1" x14ac:dyDescent="0.25">
      <c r="A322" s="52"/>
      <c r="B322" s="10" t="s">
        <v>14</v>
      </c>
      <c r="C322" s="10"/>
      <c r="D322" s="4">
        <v>313763.34000000003</v>
      </c>
      <c r="E322" s="4"/>
      <c r="F322" s="12">
        <f>IF(D$12=0,0,D322/D$12)</f>
        <v>8.5871578789807862E-2</v>
      </c>
      <c r="G322" s="4"/>
      <c r="H322" s="4">
        <v>380274</v>
      </c>
      <c r="I322" s="4"/>
      <c r="J322" s="12">
        <f>IF(H$12=0,0,H322/H$12)</f>
        <v>9.5970953142011525E-2</v>
      </c>
      <c r="K322" s="4"/>
      <c r="L322" s="4">
        <f>+D322-H322</f>
        <v>-66510.659999999974</v>
      </c>
      <c r="M322" s="4"/>
      <c r="N322" s="12">
        <f>IF(H322=0,0,L322/H322)</f>
        <v>-0.17490193912810231</v>
      </c>
      <c r="O322" s="10"/>
      <c r="P322" s="4">
        <v>2266308.3199999998</v>
      </c>
      <c r="Q322" s="4"/>
      <c r="R322" s="12">
        <f>IF(P$12=0,0,P322/P$12)</f>
        <v>0.10428583620571087</v>
      </c>
      <c r="S322" s="4"/>
      <c r="T322" s="4">
        <v>2815695</v>
      </c>
      <c r="U322" s="4"/>
      <c r="V322" s="12">
        <f>IF(T$12=0,0,T322/T$12)</f>
        <v>0.12312291242507448</v>
      </c>
      <c r="W322" s="4"/>
      <c r="X322" s="4">
        <f>+P322-T322</f>
        <v>-549386.68000000017</v>
      </c>
      <c r="Y322" s="4"/>
      <c r="Z322" s="12">
        <f>IF(T322=0,0,X322/T322)</f>
        <v>-0.19511583463407797</v>
      </c>
    </row>
    <row r="323" spans="1:26" x14ac:dyDescent="0.25">
      <c r="A323" s="9"/>
      <c r="B323" s="10"/>
      <c r="C323" s="10"/>
      <c r="D323" s="3"/>
      <c r="E323" s="3"/>
      <c r="F323" s="8"/>
      <c r="G323" s="3"/>
      <c r="H323" s="3"/>
      <c r="I323" s="3"/>
      <c r="J323" s="8"/>
      <c r="K323" s="3"/>
      <c r="L323" s="3"/>
      <c r="M323" s="3"/>
      <c r="N323" s="8"/>
      <c r="O323" s="10"/>
      <c r="P323" s="3"/>
      <c r="Q323" s="3"/>
      <c r="R323" s="8"/>
      <c r="S323" s="3"/>
      <c r="T323" s="3"/>
      <c r="U323" s="3"/>
      <c r="V323" s="8"/>
      <c r="W323" s="3"/>
      <c r="X323" s="3"/>
      <c r="Y323" s="3"/>
      <c r="Z323" s="8"/>
    </row>
    <row r="324" spans="1:26" s="23" customFormat="1" ht="15.75" thickBot="1" x14ac:dyDescent="0.3">
      <c r="A324" s="10"/>
      <c r="B324" s="29" t="s">
        <v>4</v>
      </c>
      <c r="C324" s="29"/>
      <c r="D324" s="34">
        <f>+D320-D322</f>
        <v>165650.5000000021</v>
      </c>
      <c r="E324" s="14"/>
      <c r="F324" s="32">
        <f>IF(D$12=0,0,D324/D$12)</f>
        <v>4.5335665926813651E-2</v>
      </c>
      <c r="G324" s="14"/>
      <c r="H324" s="34">
        <f>+H320-H322</f>
        <v>29888.427410655189</v>
      </c>
      <c r="I324" s="14"/>
      <c r="J324" s="32">
        <f>IF(H$12=0,0,H324/H$12)</f>
        <v>7.5430370378106373E-3</v>
      </c>
      <c r="K324" s="16"/>
      <c r="L324" s="34">
        <f>D324-H324</f>
        <v>135762.07258934691</v>
      </c>
      <c r="M324" s="16"/>
      <c r="N324" s="32">
        <f>IF(H324=0,0,L324/H324)</f>
        <v>4.5422956090673372</v>
      </c>
      <c r="O324" s="28"/>
      <c r="P324" s="34">
        <f>+P320-P322</f>
        <v>380898.87999999849</v>
      </c>
      <c r="Q324" s="14"/>
      <c r="R324" s="32">
        <f>IF(P$12=0,0,P324/P$12)</f>
        <v>1.7527340768275768E-2</v>
      </c>
      <c r="S324" s="14"/>
      <c r="T324" s="34">
        <f>+T320-T322</f>
        <v>324699.86989390478</v>
      </c>
      <c r="U324" s="14"/>
      <c r="V324" s="32">
        <f>IF(T$12=0,0,T324/T$12)</f>
        <v>1.4198268507555085E-2</v>
      </c>
      <c r="W324" s="16"/>
      <c r="X324" s="34">
        <f>P324-T324</f>
        <v>56199.010106093716</v>
      </c>
      <c r="Y324" s="16"/>
      <c r="Z324" s="32">
        <f>IF(T324=0,0,X324/T324)</f>
        <v>0.17307986641465753</v>
      </c>
    </row>
    <row r="325" spans="1:26" ht="15.75" thickTop="1" x14ac:dyDescent="0.25">
      <c r="A325" s="9"/>
      <c r="B325" s="9"/>
      <c r="C325" s="9"/>
      <c r="D325" s="3"/>
      <c r="E325" s="3"/>
      <c r="F325" s="8"/>
      <c r="G325" s="3"/>
      <c r="H325" s="3"/>
      <c r="I325" s="3"/>
      <c r="J325" s="8"/>
      <c r="K325" s="3"/>
      <c r="L325" s="3"/>
      <c r="M325" s="3"/>
      <c r="N325" s="8"/>
      <c r="P325" s="3"/>
      <c r="Q325" s="3"/>
      <c r="R325" s="8"/>
      <c r="S325" s="3"/>
      <c r="T325" s="3"/>
      <c r="U325" s="3"/>
      <c r="V325" s="8"/>
      <c r="W325" s="3"/>
      <c r="X325" s="3"/>
      <c r="Y325" s="3"/>
      <c r="Z325" s="8"/>
    </row>
    <row r="326" spans="1:26" s="23" customFormat="1" x14ac:dyDescent="0.25">
      <c r="A326" s="52"/>
      <c r="B326" s="10" t="s">
        <v>2</v>
      </c>
      <c r="C326" s="10"/>
      <c r="D326" s="4">
        <f>-115087.38</f>
        <v>-115087.38</v>
      </c>
      <c r="E326" s="4"/>
      <c r="F326" s="12">
        <f t="shared" ref="F326:F327" si="156">IF(D$12=0,0,D326/D$12)</f>
        <v>-3.1497417828936156E-2</v>
      </c>
      <c r="G326" s="4"/>
      <c r="H326" s="4">
        <f t="shared" ref="H326:H327" si="157">--25000</f>
        <v>25000</v>
      </c>
      <c r="I326" s="4"/>
      <c r="J326" s="12">
        <f t="shared" ref="J326:J327" si="158">IF(H$12=0,0,H326/H$12)</f>
        <v>6.3093291378066556E-3</v>
      </c>
      <c r="K326" s="4"/>
      <c r="L326" s="4">
        <f t="shared" ref="L326:L327" si="159">+D326-H326</f>
        <v>-140087.38</v>
      </c>
      <c r="M326" s="4"/>
      <c r="N326" s="12">
        <f t="shared" ref="N326:N327" si="160">IF(H326=0,0,L326/H326)</f>
        <v>-5.6034952000000002</v>
      </c>
      <c r="O326" s="10"/>
      <c r="P326" s="4">
        <f>--409123.52</f>
        <v>409123.52</v>
      </c>
      <c r="Q326" s="4"/>
      <c r="R326" s="12">
        <f t="shared" ref="R326:R327" si="161">IF(P$12=0,0,P326/P$12)</f>
        <v>1.8826118237356106E-2</v>
      </c>
      <c r="S326" s="4"/>
      <c r="T326" s="4">
        <f>--175000</f>
        <v>175000</v>
      </c>
      <c r="U326" s="4"/>
      <c r="V326" s="12">
        <f t="shared" ref="V326:V327" si="162">IF(T$12=0,0,T326/T$12)</f>
        <v>7.6522882181443777E-3</v>
      </c>
      <c r="W326" s="4"/>
      <c r="X326" s="4">
        <f t="shared" ref="X326:X327" si="163">+P326-T326</f>
        <v>234123.52000000002</v>
      </c>
      <c r="Y326" s="4"/>
      <c r="Z326" s="12">
        <f t="shared" ref="Z326:Z327" si="164">IF(T326=0,0,X326/T326)</f>
        <v>1.3378486857142857</v>
      </c>
    </row>
    <row r="327" spans="1:26" s="23" customFormat="1" x14ac:dyDescent="0.25">
      <c r="A327" s="52"/>
      <c r="B327" s="10" t="s">
        <v>1</v>
      </c>
      <c r="C327" s="10"/>
      <c r="D327" s="4">
        <f>--12580.13</f>
        <v>12580.13</v>
      </c>
      <c r="E327" s="4"/>
      <c r="F327" s="12">
        <f t="shared" si="156"/>
        <v>3.4429631724376261E-3</v>
      </c>
      <c r="G327" s="4"/>
      <c r="H327" s="4">
        <f t="shared" si="157"/>
        <v>25000</v>
      </c>
      <c r="I327" s="4"/>
      <c r="J327" s="12">
        <f t="shared" si="158"/>
        <v>6.3093291378066556E-3</v>
      </c>
      <c r="K327" s="4"/>
      <c r="L327" s="4">
        <f t="shared" si="159"/>
        <v>-12419.87</v>
      </c>
      <c r="M327" s="4"/>
      <c r="N327" s="12">
        <f t="shared" si="160"/>
        <v>-0.49679480000000004</v>
      </c>
      <c r="O327" s="10"/>
      <c r="P327" s="4">
        <f>--171645.07</f>
        <v>171645.07</v>
      </c>
      <c r="Q327" s="4"/>
      <c r="R327" s="12">
        <f t="shared" si="161"/>
        <v>7.8983735344261459E-3</v>
      </c>
      <c r="S327" s="4"/>
      <c r="T327" s="4">
        <f>--165000</f>
        <v>165000</v>
      </c>
      <c r="U327" s="4"/>
      <c r="V327" s="12">
        <f t="shared" si="162"/>
        <v>7.2150146056789849E-3</v>
      </c>
      <c r="W327" s="4"/>
      <c r="X327" s="4">
        <f t="shared" si="163"/>
        <v>6645.070000000007</v>
      </c>
      <c r="Y327" s="4"/>
      <c r="Z327" s="12">
        <f t="shared" si="164"/>
        <v>4.027315151515156E-2</v>
      </c>
    </row>
    <row r="328" spans="1:26" x14ac:dyDescent="0.25">
      <c r="A328" s="9"/>
      <c r="B328" s="9"/>
      <c r="C328" s="9"/>
      <c r="D328" s="3"/>
      <c r="E328" s="3"/>
      <c r="F328" s="8"/>
      <c r="G328" s="3"/>
      <c r="H328" s="3"/>
      <c r="I328" s="3"/>
      <c r="J328" s="8"/>
      <c r="K328" s="3"/>
      <c r="L328" s="3"/>
      <c r="M328" s="3"/>
      <c r="N328" s="8"/>
      <c r="P328" s="3"/>
      <c r="Q328" s="3"/>
      <c r="R328" s="8"/>
      <c r="S328" s="3"/>
      <c r="T328" s="3"/>
      <c r="U328" s="3"/>
      <c r="V328" s="8"/>
      <c r="W328" s="3"/>
      <c r="X328" s="3"/>
      <c r="Y328" s="3"/>
      <c r="Z328" s="8"/>
    </row>
    <row r="329" spans="1:26" s="23" customFormat="1" ht="15.75" thickBot="1" x14ac:dyDescent="0.3">
      <c r="A329" s="10"/>
      <c r="B329" s="29" t="s">
        <v>5</v>
      </c>
      <c r="C329" s="29"/>
      <c r="D329" s="31">
        <f>SUM(D324:D328)</f>
        <v>63143.250000002088</v>
      </c>
      <c r="E329" s="14"/>
      <c r="F329" s="30">
        <f>IF(D$12=0,0,D329/D$12)</f>
        <v>1.7281211270315119E-2</v>
      </c>
      <c r="G329" s="14"/>
      <c r="H329" s="31">
        <f>SUM(H324:H328)</f>
        <v>79888.427410655189</v>
      </c>
      <c r="I329" s="14"/>
      <c r="J329" s="30">
        <f>IF(H$12=0,0,H329/H$12)</f>
        <v>2.0161695313423947E-2</v>
      </c>
      <c r="K329" s="16"/>
      <c r="L329" s="31">
        <f>+D329-H329</f>
        <v>-16745.177410653101</v>
      </c>
      <c r="M329" s="16"/>
      <c r="N329" s="30">
        <f>IF(H329=0,0,L329/H329)</f>
        <v>-0.20960704764629901</v>
      </c>
      <c r="O329" s="28"/>
      <c r="P329" s="31">
        <f>SUM(P324:P328)</f>
        <v>961667.46999999858</v>
      </c>
      <c r="Q329" s="14"/>
      <c r="R329" s="30">
        <f>IF(P$12=0,0,P329/P$12)</f>
        <v>4.4251832540058024E-2</v>
      </c>
      <c r="S329" s="14"/>
      <c r="T329" s="31">
        <f>SUM(T324:T328)</f>
        <v>664699.86989390478</v>
      </c>
      <c r="U329" s="14"/>
      <c r="V329" s="30">
        <f>IF(T$12=0,0,T329/T$12)</f>
        <v>2.9065571331378447E-2</v>
      </c>
      <c r="W329" s="16"/>
      <c r="X329" s="31">
        <f>+P329-T329</f>
        <v>296967.6001060938</v>
      </c>
      <c r="Y329" s="16"/>
      <c r="Z329" s="30">
        <f>IF(T329=0,0,X329/T329)</f>
        <v>0.44676945724917005</v>
      </c>
    </row>
    <row r="330" spans="1:26" ht="15.75" thickTop="1" x14ac:dyDescent="0.25">
      <c r="A330" s="9"/>
      <c r="C330" s="9"/>
      <c r="D330" s="18"/>
      <c r="E330" s="18"/>
      <c r="G330" s="18"/>
      <c r="H330" s="18"/>
      <c r="I330" s="18"/>
      <c r="J330" s="43"/>
      <c r="K330" s="18"/>
      <c r="L330" s="18"/>
      <c r="M330" s="18"/>
      <c r="P330" s="18"/>
      <c r="Q330" s="18"/>
      <c r="R330" s="43"/>
      <c r="S330" s="18"/>
      <c r="T330" s="18"/>
      <c r="U330" s="18"/>
      <c r="V330" s="43"/>
      <c r="W330" s="18"/>
      <c r="X330" s="18"/>
    </row>
    <row r="331" spans="1:26" x14ac:dyDescent="0.25">
      <c r="A331" s="9"/>
      <c r="B331" s="63">
        <v>43879.545579664351</v>
      </c>
      <c r="D331" s="18"/>
      <c r="E331" s="18"/>
      <c r="G331" s="18"/>
      <c r="H331" s="18"/>
      <c r="I331" s="18"/>
      <c r="J331" s="43"/>
      <c r="K331" s="18"/>
      <c r="L331" s="18"/>
      <c r="M331" s="18"/>
      <c r="P331" s="18"/>
      <c r="Q331" s="18"/>
      <c r="R331" s="43"/>
      <c r="S331" s="18"/>
      <c r="T331" s="18"/>
      <c r="U331" s="18"/>
      <c r="V331" s="43"/>
      <c r="W331" s="18"/>
      <c r="X331" s="18"/>
    </row>
    <row r="332" spans="1:26" x14ac:dyDescent="0.25">
      <c r="A332" s="9"/>
      <c r="B332" s="57" t="s">
        <v>314</v>
      </c>
      <c r="D332" s="18"/>
      <c r="E332" s="18"/>
      <c r="G332" s="18"/>
      <c r="H332" s="18"/>
      <c r="I332" s="18"/>
      <c r="J332" s="43"/>
      <c r="K332" s="18"/>
      <c r="L332" s="18"/>
      <c r="M332" s="18"/>
      <c r="P332" s="18"/>
      <c r="Q332" s="18"/>
      <c r="R332" s="43"/>
      <c r="S332" s="18"/>
      <c r="T332" s="18"/>
      <c r="U332" s="18"/>
      <c r="V332" s="43"/>
      <c r="W332" s="18"/>
      <c r="X332" s="18"/>
    </row>
    <row r="333" spans="1:26" x14ac:dyDescent="0.25">
      <c r="A333" s="9"/>
      <c r="B333" s="60"/>
      <c r="D333" s="18"/>
      <c r="E333" s="18"/>
      <c r="G333" s="18"/>
      <c r="H333" s="18"/>
      <c r="I333" s="18"/>
      <c r="J333" s="43"/>
      <c r="K333" s="18"/>
      <c r="L333" s="18"/>
      <c r="M333" s="18"/>
      <c r="P333" s="18"/>
      <c r="Q333" s="18"/>
      <c r="R333" s="43"/>
      <c r="S333" s="18"/>
      <c r="T333" s="18"/>
      <c r="U333" s="18"/>
      <c r="V333" s="43"/>
      <c r="W333" s="18"/>
      <c r="X333" s="18"/>
    </row>
    <row r="334" spans="1:26" x14ac:dyDescent="0.25">
      <c r="D334" s="18"/>
      <c r="E334" s="18"/>
      <c r="G334" s="18"/>
      <c r="H334" s="18"/>
      <c r="I334" s="18"/>
      <c r="J334" s="43"/>
      <c r="K334" s="18"/>
      <c r="L334" s="18"/>
      <c r="M334" s="18"/>
      <c r="P334" s="18"/>
      <c r="Q334" s="18"/>
      <c r="R334" s="43"/>
      <c r="S334" s="18"/>
      <c r="T334" s="18"/>
      <c r="U334" s="18"/>
      <c r="V334" s="43"/>
      <c r="W334" s="18"/>
      <c r="X334" s="18"/>
    </row>
  </sheetData>
  <pageMargins left="0.25" right="0.25" top="0.75" bottom="0.75" header="0.3" footer="0.3"/>
  <pageSetup scale="55" fitToWidth="2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301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301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302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302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298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298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311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311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299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SUM(0)</f>
        <v>0</v>
      </c>
      <c r="E18" s="22"/>
      <c r="F18" s="35">
        <f>IF(D$12=0,0,D18/D$12)</f>
        <v>0</v>
      </c>
      <c r="G18" s="22"/>
      <c r="H18" s="22">
        <f>SUM(0)</f>
        <v>0</v>
      </c>
      <c r="I18" s="22"/>
      <c r="J18" s="35">
        <f>IF(H$12=0,0,H18/H$12)</f>
        <v>0</v>
      </c>
      <c r="K18" s="4"/>
      <c r="L18" s="22">
        <f>+D18-H18</f>
        <v>0</v>
      </c>
      <c r="M18" s="4"/>
      <c r="N18" s="35">
        <f>IF(H18=0,0,L18/H18)</f>
        <v>0</v>
      </c>
      <c r="O18" s="10"/>
      <c r="P18" s="22">
        <f>SUM(0)</f>
        <v>0</v>
      </c>
      <c r="Q18" s="22"/>
      <c r="R18" s="35">
        <f>IF(P$12=0,0,P18/P$12)</f>
        <v>0</v>
      </c>
      <c r="S18" s="22"/>
      <c r="T18" s="22">
        <f>SUM(0)</f>
        <v>0</v>
      </c>
      <c r="U18" s="22"/>
      <c r="V18" s="35">
        <f>IF(T$12=0,0,T18/T$12)</f>
        <v>0</v>
      </c>
      <c r="W18" s="4"/>
      <c r="X18" s="22">
        <f>+P18-T18</f>
        <v>0</v>
      </c>
      <c r="Y18" s="4"/>
      <c r="Z18" s="35">
        <f>IF(T18=0,0,X18/T18)</f>
        <v>0</v>
      </c>
    </row>
    <row r="19" spans="1:26" s="5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1">
        <f>+D16-D18+D20</f>
        <v>0</v>
      </c>
      <c r="E22" s="14"/>
      <c r="F22" s="20">
        <f>IF(D$12=0,0,D22/D$12)</f>
        <v>0</v>
      </c>
      <c r="G22" s="14"/>
      <c r="H22" s="21">
        <f>+H16-H18+H20</f>
        <v>0</v>
      </c>
      <c r="I22" s="14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8"/>
      <c r="P22" s="21">
        <f>+P16-P18+P20</f>
        <v>0</v>
      </c>
      <c r="Q22" s="14"/>
      <c r="R22" s="20">
        <f>IF(P$12=0,0,P22/P$12)</f>
        <v>0</v>
      </c>
      <c r="S22" s="14"/>
      <c r="T22" s="21">
        <f>+T16-T18+T20</f>
        <v>0</v>
      </c>
      <c r="U22" s="14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4">
        <f>+D22-D24</f>
        <v>0</v>
      </c>
      <c r="E26" s="14"/>
      <c r="F26" s="32">
        <f>IF(D$12=0,0,D26/D$12)</f>
        <v>0</v>
      </c>
      <c r="G26" s="14"/>
      <c r="H26" s="34">
        <f>+H22-H24</f>
        <v>0</v>
      </c>
      <c r="I26" s="14"/>
      <c r="J26" s="32">
        <f>IF(H$12=0,0,H26/H$12)</f>
        <v>0</v>
      </c>
      <c r="K26" s="16"/>
      <c r="L26" s="34">
        <f>D26-H26</f>
        <v>0</v>
      </c>
      <c r="M26" s="16"/>
      <c r="N26" s="32">
        <f>IF(H26=0,0,L26/H26)</f>
        <v>0</v>
      </c>
      <c r="O26" s="28"/>
      <c r="P26" s="34">
        <f>+P22-P24</f>
        <v>0</v>
      </c>
      <c r="Q26" s="14"/>
      <c r="R26" s="32">
        <f>IF(P$12=0,0,P26/P$12)</f>
        <v>0</v>
      </c>
      <c r="S26" s="14"/>
      <c r="T26" s="34">
        <f>+T22-T24</f>
        <v>0</v>
      </c>
      <c r="U26" s="14"/>
      <c r="V26" s="32">
        <f>IF(T$12=0,0,T26/T$12)</f>
        <v>0</v>
      </c>
      <c r="W26" s="16"/>
      <c r="X26" s="34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-115087.38</f>
        <v>-115087.38</v>
      </c>
      <c r="E28" s="4"/>
      <c r="F28" s="12">
        <f t="shared" ref="F28:F29" si="0">IF(D$12=0,0,D28/D$12)</f>
        <v>0</v>
      </c>
      <c r="G28" s="4"/>
      <c r="H28" s="4">
        <f t="shared" ref="H28:H29" si="1">--25000</f>
        <v>25000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-140087.38</v>
      </c>
      <c r="M28" s="4"/>
      <c r="N28" s="12">
        <f t="shared" ref="N28:N29" si="4">IF(H28=0,0,L28/H28)</f>
        <v>-5.6034952000000002</v>
      </c>
      <c r="O28" s="10"/>
      <c r="P28" s="4">
        <f>--409123.52</f>
        <v>409123.52</v>
      </c>
      <c r="Q28" s="4"/>
      <c r="R28" s="12">
        <f t="shared" ref="R28:R29" si="5">IF(P$12=0,0,P28/P$12)</f>
        <v>0</v>
      </c>
      <c r="S28" s="4"/>
      <c r="T28" s="4">
        <f>--175000</f>
        <v>175000</v>
      </c>
      <c r="U28" s="4"/>
      <c r="V28" s="12">
        <f t="shared" ref="V28:V29" si="6">IF(T$12=0,0,T28/T$12)</f>
        <v>0</v>
      </c>
      <c r="W28" s="4"/>
      <c r="X28" s="4">
        <f t="shared" ref="X28:X29" si="7">+P28-T28</f>
        <v>234123.52000000002</v>
      </c>
      <c r="Y28" s="4"/>
      <c r="Z28" s="12">
        <f t="shared" ref="Z28:Z29" si="8">IF(T28=0,0,X28/T28)</f>
        <v>1.3378486857142857</v>
      </c>
    </row>
    <row r="29" spans="1:26" s="23" customFormat="1" x14ac:dyDescent="0.25">
      <c r="A29" s="52"/>
      <c r="B29" s="10" t="s">
        <v>1</v>
      </c>
      <c r="C29" s="10"/>
      <c r="D29" s="4">
        <f>--12580.13</f>
        <v>12580.13</v>
      </c>
      <c r="E29" s="4"/>
      <c r="F29" s="12">
        <f t="shared" si="0"/>
        <v>0</v>
      </c>
      <c r="G29" s="4"/>
      <c r="H29" s="4">
        <f t="shared" si="1"/>
        <v>25000</v>
      </c>
      <c r="I29" s="4"/>
      <c r="J29" s="12">
        <f t="shared" si="2"/>
        <v>0</v>
      </c>
      <c r="K29" s="4"/>
      <c r="L29" s="4">
        <f t="shared" si="3"/>
        <v>-12419.87</v>
      </c>
      <c r="M29" s="4"/>
      <c r="N29" s="12">
        <f t="shared" si="4"/>
        <v>-0.49679480000000004</v>
      </c>
      <c r="O29" s="10"/>
      <c r="P29" s="4">
        <f>--171645.07</f>
        <v>171645.07</v>
      </c>
      <c r="Q29" s="4"/>
      <c r="R29" s="12">
        <f t="shared" si="5"/>
        <v>0</v>
      </c>
      <c r="S29" s="4"/>
      <c r="T29" s="4">
        <f>--165000</f>
        <v>165000</v>
      </c>
      <c r="U29" s="4"/>
      <c r="V29" s="12">
        <f t="shared" si="6"/>
        <v>0</v>
      </c>
      <c r="W29" s="4"/>
      <c r="X29" s="4">
        <f t="shared" si="7"/>
        <v>6645.070000000007</v>
      </c>
      <c r="Y29" s="4"/>
      <c r="Z29" s="12">
        <f t="shared" si="8"/>
        <v>4.027315151515156E-2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1">
        <f>SUM(D26:D30)</f>
        <v>-102507.25</v>
      </c>
      <c r="E31" s="14"/>
      <c r="F31" s="30">
        <f>IF(D$12=0,0,D31/D$12)</f>
        <v>0</v>
      </c>
      <c r="G31" s="14"/>
      <c r="H31" s="31">
        <f>SUM(H26:H30)</f>
        <v>50000</v>
      </c>
      <c r="I31" s="14"/>
      <c r="J31" s="30">
        <f>IF(H$12=0,0,H31/H$12)</f>
        <v>0</v>
      </c>
      <c r="K31" s="16"/>
      <c r="L31" s="31">
        <f>+D31-H31</f>
        <v>-152507.25</v>
      </c>
      <c r="M31" s="16"/>
      <c r="N31" s="30">
        <f>IF(H31=0,0,L31/H31)</f>
        <v>-3.0501450000000001</v>
      </c>
      <c r="O31" s="28"/>
      <c r="P31" s="31">
        <f>SUM(P26:P30)</f>
        <v>580768.59000000008</v>
      </c>
      <c r="Q31" s="14"/>
      <c r="R31" s="30">
        <f>IF(P$12=0,0,P31/P$12)</f>
        <v>0</v>
      </c>
      <c r="S31" s="14"/>
      <c r="T31" s="31">
        <f>SUM(T26:T30)</f>
        <v>340000</v>
      </c>
      <c r="U31" s="14"/>
      <c r="V31" s="30">
        <f>IF(T$12=0,0,T31/T$12)</f>
        <v>0</v>
      </c>
      <c r="W31" s="16"/>
      <c r="X31" s="31">
        <f>+P31-T31</f>
        <v>240768.59000000008</v>
      </c>
      <c r="Y31" s="16"/>
      <c r="Z31" s="30">
        <f>IF(T31=0,0,X31/T31)</f>
        <v>0.70814291176470612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3">
        <v>43879.545607789354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7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0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","100", " - ", "Corporate")</f>
        <v>Department 100 - Corporate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SUM(0)</f>
        <v>0</v>
      </c>
      <c r="E18" s="22"/>
      <c r="F18" s="35">
        <f>IF(D$12=0,0,D18/D$12)</f>
        <v>0</v>
      </c>
      <c r="G18" s="22"/>
      <c r="H18" s="22">
        <f>SUM(0)</f>
        <v>0</v>
      </c>
      <c r="I18" s="22"/>
      <c r="J18" s="35">
        <f>IF(H$12=0,0,H18/H$12)</f>
        <v>0</v>
      </c>
      <c r="K18" s="4"/>
      <c r="L18" s="22">
        <f>+D18-H18</f>
        <v>0</v>
      </c>
      <c r="M18" s="4"/>
      <c r="N18" s="35">
        <f>IF(H18=0,0,L18/H18)</f>
        <v>0</v>
      </c>
      <c r="O18" s="10"/>
      <c r="P18" s="22">
        <f>SUM(0)</f>
        <v>0</v>
      </c>
      <c r="Q18" s="22"/>
      <c r="R18" s="35">
        <f>IF(P$12=0,0,P18/P$12)</f>
        <v>0</v>
      </c>
      <c r="S18" s="22"/>
      <c r="T18" s="22">
        <f>SUM(0)</f>
        <v>0</v>
      </c>
      <c r="U18" s="22"/>
      <c r="V18" s="35">
        <f>IF(T$12=0,0,T18/T$12)</f>
        <v>0</v>
      </c>
      <c r="W18" s="4"/>
      <c r="X18" s="22">
        <f>+P18-T18</f>
        <v>0</v>
      </c>
      <c r="Y18" s="4"/>
      <c r="Z18" s="35">
        <f>IF(T18=0,0,X18/T18)</f>
        <v>0</v>
      </c>
    </row>
    <row r="19" spans="1:26" s="5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1">
        <f>+D16-D18+D20</f>
        <v>0</v>
      </c>
      <c r="E22" s="14"/>
      <c r="F22" s="20">
        <f>IF(D$12=0,0,D22/D$12)</f>
        <v>0</v>
      </c>
      <c r="G22" s="14"/>
      <c r="H22" s="21">
        <f>+H16-H18+H20</f>
        <v>0</v>
      </c>
      <c r="I22" s="14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8"/>
      <c r="P22" s="21">
        <f>+P16-P18+P20</f>
        <v>0</v>
      </c>
      <c r="Q22" s="14"/>
      <c r="R22" s="20">
        <f>IF(P$12=0,0,P22/P$12)</f>
        <v>0</v>
      </c>
      <c r="S22" s="14"/>
      <c r="T22" s="21">
        <f>+T16-T18+T20</f>
        <v>0</v>
      </c>
      <c r="U22" s="14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4">
        <f>+D22-D24</f>
        <v>0</v>
      </c>
      <c r="E26" s="14"/>
      <c r="F26" s="32">
        <f>IF(D$12=0,0,D26/D$12)</f>
        <v>0</v>
      </c>
      <c r="G26" s="14"/>
      <c r="H26" s="34">
        <f>+H22-H24</f>
        <v>0</v>
      </c>
      <c r="I26" s="14"/>
      <c r="J26" s="32">
        <f>IF(H$12=0,0,H26/H$12)</f>
        <v>0</v>
      </c>
      <c r="K26" s="16"/>
      <c r="L26" s="34">
        <f>D26-H26</f>
        <v>0</v>
      </c>
      <c r="M26" s="16"/>
      <c r="N26" s="32">
        <f>IF(H26=0,0,L26/H26)</f>
        <v>0</v>
      </c>
      <c r="O26" s="28"/>
      <c r="P26" s="34">
        <f>+P22-P24</f>
        <v>0</v>
      </c>
      <c r="Q26" s="14"/>
      <c r="R26" s="32">
        <f>IF(P$12=0,0,P26/P$12)</f>
        <v>0</v>
      </c>
      <c r="S26" s="14"/>
      <c r="T26" s="34">
        <f>+T22-T24</f>
        <v>0</v>
      </c>
      <c r="U26" s="14"/>
      <c r="V26" s="32">
        <f>IF(T$12=0,0,T26/T$12)</f>
        <v>0</v>
      </c>
      <c r="W26" s="16"/>
      <c r="X26" s="34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-115087.38</f>
        <v>-115087.38</v>
      </c>
      <c r="E28" s="4"/>
      <c r="F28" s="12">
        <f t="shared" ref="F28:F29" si="0">IF(D$12=0,0,D28/D$12)</f>
        <v>0</v>
      </c>
      <c r="G28" s="4"/>
      <c r="H28" s="4">
        <f t="shared" ref="H28:H29" si="1">--25000</f>
        <v>25000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-140087.38</v>
      </c>
      <c r="M28" s="4"/>
      <c r="N28" s="12">
        <f t="shared" ref="N28:N29" si="4">IF(H28=0,0,L28/H28)</f>
        <v>-5.6034952000000002</v>
      </c>
      <c r="O28" s="10"/>
      <c r="P28" s="4">
        <f>--409123.52</f>
        <v>409123.52</v>
      </c>
      <c r="Q28" s="4"/>
      <c r="R28" s="12">
        <f t="shared" ref="R28:R29" si="5">IF(P$12=0,0,P28/P$12)</f>
        <v>0</v>
      </c>
      <c r="S28" s="4"/>
      <c r="T28" s="4">
        <f>--175000</f>
        <v>175000</v>
      </c>
      <c r="U28" s="4"/>
      <c r="V28" s="12">
        <f t="shared" ref="V28:V29" si="6">IF(T$12=0,0,T28/T$12)</f>
        <v>0</v>
      </c>
      <c r="W28" s="4"/>
      <c r="X28" s="4">
        <f t="shared" ref="X28:X29" si="7">+P28-T28</f>
        <v>234123.52000000002</v>
      </c>
      <c r="Y28" s="4"/>
      <c r="Z28" s="12">
        <f t="shared" ref="Z28:Z29" si="8">IF(T28=0,0,X28/T28)</f>
        <v>1.3378486857142857</v>
      </c>
    </row>
    <row r="29" spans="1:26" s="23" customFormat="1" x14ac:dyDescent="0.25">
      <c r="A29" s="52"/>
      <c r="B29" s="10" t="s">
        <v>1</v>
      </c>
      <c r="C29" s="10"/>
      <c r="D29" s="4">
        <f>--12580.13</f>
        <v>12580.13</v>
      </c>
      <c r="E29" s="4"/>
      <c r="F29" s="12">
        <f t="shared" si="0"/>
        <v>0</v>
      </c>
      <c r="G29" s="4"/>
      <c r="H29" s="4">
        <f t="shared" si="1"/>
        <v>25000</v>
      </c>
      <c r="I29" s="4"/>
      <c r="J29" s="12">
        <f t="shared" si="2"/>
        <v>0</v>
      </c>
      <c r="K29" s="4"/>
      <c r="L29" s="4">
        <f t="shared" si="3"/>
        <v>-12419.87</v>
      </c>
      <c r="M29" s="4"/>
      <c r="N29" s="12">
        <f t="shared" si="4"/>
        <v>-0.49679480000000004</v>
      </c>
      <c r="O29" s="10"/>
      <c r="P29" s="4">
        <f>--171645.07</f>
        <v>171645.07</v>
      </c>
      <c r="Q29" s="4"/>
      <c r="R29" s="12">
        <f t="shared" si="5"/>
        <v>0</v>
      </c>
      <c r="S29" s="4"/>
      <c r="T29" s="4">
        <f>--165000</f>
        <v>165000</v>
      </c>
      <c r="U29" s="4"/>
      <c r="V29" s="12">
        <f t="shared" si="6"/>
        <v>0</v>
      </c>
      <c r="W29" s="4"/>
      <c r="X29" s="4">
        <f t="shared" si="7"/>
        <v>6645.070000000007</v>
      </c>
      <c r="Y29" s="4"/>
      <c r="Z29" s="12">
        <f t="shared" si="8"/>
        <v>4.027315151515156E-2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1">
        <f>SUM(D26:D30)</f>
        <v>-102507.25</v>
      </c>
      <c r="E31" s="14"/>
      <c r="F31" s="30">
        <f>IF(D$12=0,0,D31/D$12)</f>
        <v>0</v>
      </c>
      <c r="G31" s="14"/>
      <c r="H31" s="31">
        <f>SUM(H26:H30)</f>
        <v>50000</v>
      </c>
      <c r="I31" s="14"/>
      <c r="J31" s="30">
        <f>IF(H$12=0,0,H31/H$12)</f>
        <v>0</v>
      </c>
      <c r="K31" s="16"/>
      <c r="L31" s="31">
        <f>+D31-H31</f>
        <v>-152507.25</v>
      </c>
      <c r="M31" s="16"/>
      <c r="N31" s="30">
        <f>IF(H31=0,0,L31/H31)</f>
        <v>-3.0501450000000001</v>
      </c>
      <c r="O31" s="28"/>
      <c r="P31" s="31">
        <f>SUM(P26:P30)</f>
        <v>580768.59000000008</v>
      </c>
      <c r="Q31" s="14"/>
      <c r="R31" s="30">
        <f>IF(P$12=0,0,P31/P$12)</f>
        <v>0</v>
      </c>
      <c r="S31" s="14"/>
      <c r="T31" s="31">
        <f>SUM(T26:T30)</f>
        <v>340000</v>
      </c>
      <c r="U31" s="14"/>
      <c r="V31" s="30">
        <f>IF(T$12=0,0,T31/T$12)</f>
        <v>0</v>
      </c>
      <c r="W31" s="16"/>
      <c r="X31" s="31">
        <f>+P31-T31</f>
        <v>240768.59000000008</v>
      </c>
      <c r="Y31" s="16"/>
      <c r="Z31" s="30">
        <f>IF(T31=0,0,X31/T31)</f>
        <v>0.70814291176470612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3">
        <v>43879.545929131942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7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0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297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300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200</v>
      </c>
      <c r="U12" s="4"/>
      <c r="V12" s="12"/>
      <c r="W12" s="4"/>
      <c r="X12" s="4">
        <f t="shared" ref="X12:X13" si="2">+P12-T12</f>
        <v>-200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200</v>
      </c>
      <c r="U13" s="2"/>
      <c r="V13" s="19"/>
      <c r="W13" s="2"/>
      <c r="X13" s="2">
        <f t="shared" si="2"/>
        <v>-200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1">
        <f>D12-D15</f>
        <v>0</v>
      </c>
      <c r="E17" s="14"/>
      <c r="F17" s="20">
        <f>IF(D$12=0,0,D17/D$12)</f>
        <v>0</v>
      </c>
      <c r="G17" s="14"/>
      <c r="H17" s="21">
        <f>H12-H15</f>
        <v>0</v>
      </c>
      <c r="I17" s="14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8"/>
      <c r="P17" s="21">
        <f>P12-P15</f>
        <v>0</v>
      </c>
      <c r="Q17" s="14"/>
      <c r="R17" s="20">
        <f>IF(P$12=0,0,P17/P$12)</f>
        <v>0</v>
      </c>
      <c r="S17" s="14"/>
      <c r="T17" s="21">
        <f>T12-T15</f>
        <v>200</v>
      </c>
      <c r="U17" s="14"/>
      <c r="V17" s="20">
        <f>IF(T$12=0,0,T17/T$12)</f>
        <v>1</v>
      </c>
      <c r="W17" s="16"/>
      <c r="X17" s="21">
        <f>+P17-T17</f>
        <v>-200</v>
      </c>
      <c r="Y17" s="16"/>
      <c r="Z17" s="20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313763.34000000003</v>
      </c>
      <c r="E19" s="22"/>
      <c r="F19" s="35">
        <f t="shared" ref="F19:F31" si="4">IF(D$12=0,0,D19/D$12)</f>
        <v>0</v>
      </c>
      <c r="G19" s="22"/>
      <c r="H19" s="22">
        <f>SUM(OSRRefH22x_0)</f>
        <v>380275.81973415078</v>
      </c>
      <c r="I19" s="22"/>
      <c r="J19" s="35">
        <f t="shared" ref="J19:J31" si="5">IF(H$12=0,0,H19/H$12)</f>
        <v>0</v>
      </c>
      <c r="K19" s="4"/>
      <c r="L19" s="22">
        <f t="shared" ref="L19:L31" si="6">+D19-H19</f>
        <v>-66512.479734150751</v>
      </c>
      <c r="M19" s="4"/>
      <c r="N19" s="35">
        <f t="shared" ref="N19:N31" si="7">IF(H19=0,0,L19/H19)</f>
        <v>-0.17490588747044014</v>
      </c>
      <c r="O19" s="10"/>
      <c r="P19" s="22">
        <f>SUM(OSRRefP22x_0)</f>
        <v>2266308.3200000003</v>
      </c>
      <c r="Q19" s="22"/>
      <c r="R19" s="35">
        <f t="shared" ref="R19:R31" si="8">IF(P$12=0,0,P19/P$12)</f>
        <v>0</v>
      </c>
      <c r="S19" s="22"/>
      <c r="T19" s="22">
        <f>SUM(OSRRefT22x_0)</f>
        <v>2815698.8675541999</v>
      </c>
      <c r="U19" s="22"/>
      <c r="V19" s="35">
        <f t="shared" ref="V19:V31" si="9">IF(T$12=0,0,T19/T$12)</f>
        <v>14078.494337770999</v>
      </c>
      <c r="W19" s="4"/>
      <c r="X19" s="22">
        <f t="shared" ref="X19:X31" si="10">+P19-T19</f>
        <v>-549390.54755419958</v>
      </c>
      <c r="Y19" s="4"/>
      <c r="Z19" s="35">
        <f t="shared" ref="Z19:Z31" si="11">IF(T19=0,0,X19/T19)</f>
        <v>-0.1951169401973076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90999.07</v>
      </c>
      <c r="E20" s="1"/>
      <c r="F20" s="5">
        <f t="shared" si="4"/>
        <v>0</v>
      </c>
      <c r="G20" s="1"/>
      <c r="H20" s="1">
        <f>SUM(OSRRefH22_0x_0)</f>
        <v>107713.94678799696</v>
      </c>
      <c r="I20" s="1"/>
      <c r="J20" s="5">
        <f t="shared" si="5"/>
        <v>0</v>
      </c>
      <c r="K20" s="1"/>
      <c r="L20" s="1">
        <f t="shared" si="6"/>
        <v>-16714.876787996953</v>
      </c>
      <c r="M20" s="1"/>
      <c r="N20" s="5">
        <f t="shared" si="7"/>
        <v>-0.15517838948836629</v>
      </c>
      <c r="O20" s="13"/>
      <c r="P20" s="1">
        <f>SUM(OSRRefP22_0x_0)</f>
        <v>646414.62</v>
      </c>
      <c r="Q20" s="1"/>
      <c r="R20" s="5">
        <f t="shared" si="8"/>
        <v>0</v>
      </c>
      <c r="S20" s="1"/>
      <c r="T20" s="1">
        <f>SUM(OSRRefT22_0x_0)</f>
        <v>715978.90808804636</v>
      </c>
      <c r="U20" s="1"/>
      <c r="V20" s="5">
        <f t="shared" si="9"/>
        <v>3579.8945404402316</v>
      </c>
      <c r="W20" s="1"/>
      <c r="X20" s="1">
        <f t="shared" si="10"/>
        <v>-69564.288088046364</v>
      </c>
      <c r="Y20" s="1"/>
      <c r="Z20" s="5">
        <f t="shared" si="11"/>
        <v>-9.715968906655531E-2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7">
        <v>8130.22</v>
      </c>
      <c r="E21" s="2"/>
      <c r="F21" s="6">
        <f t="shared" si="4"/>
        <v>0</v>
      </c>
      <c r="G21" s="2"/>
      <c r="H21" s="7">
        <v>12137.363547881547</v>
      </c>
      <c r="I21" s="2"/>
      <c r="J21" s="6">
        <f t="shared" si="5"/>
        <v>0</v>
      </c>
      <c r="K21" s="2"/>
      <c r="L21" s="7">
        <f t="shared" si="6"/>
        <v>-4007.1435478815465</v>
      </c>
      <c r="M21" s="2"/>
      <c r="N21" s="6">
        <f t="shared" si="7"/>
        <v>-0.33014942100675171</v>
      </c>
      <c r="O21" s="11"/>
      <c r="P21" s="7">
        <v>67434.720000000001</v>
      </c>
      <c r="Q21" s="2"/>
      <c r="R21" s="6">
        <f t="shared" si="8"/>
        <v>0</v>
      </c>
      <c r="S21" s="2"/>
      <c r="T21" s="7">
        <v>74521.698994715538</v>
      </c>
      <c r="U21" s="2"/>
      <c r="V21" s="6">
        <f t="shared" si="9"/>
        <v>372.60849497357771</v>
      </c>
      <c r="W21" s="2"/>
      <c r="X21" s="7">
        <f t="shared" si="10"/>
        <v>-7086.9789947155368</v>
      </c>
      <c r="Y21" s="2"/>
      <c r="Z21" s="6">
        <f t="shared" si="11"/>
        <v>-9.5099535978347555E-2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7">
        <v>685.56</v>
      </c>
      <c r="E22" s="2"/>
      <c r="F22" s="6">
        <f t="shared" si="4"/>
        <v>0</v>
      </c>
      <c r="G22" s="2"/>
      <c r="H22" s="7">
        <v>934.88090048461595</v>
      </c>
      <c r="I22" s="2"/>
      <c r="J22" s="6">
        <f t="shared" si="5"/>
        <v>0</v>
      </c>
      <c r="K22" s="2"/>
      <c r="L22" s="7">
        <f t="shared" si="6"/>
        <v>-249.320900484616</v>
      </c>
      <c r="M22" s="2"/>
      <c r="N22" s="6">
        <f t="shared" si="7"/>
        <v>-0.26668733991182736</v>
      </c>
      <c r="O22" s="11"/>
      <c r="P22" s="7">
        <v>4624.88</v>
      </c>
      <c r="Q22" s="2"/>
      <c r="R22" s="6">
        <f t="shared" si="8"/>
        <v>0</v>
      </c>
      <c r="S22" s="2"/>
      <c r="T22" s="7">
        <v>5763.2715360046195</v>
      </c>
      <c r="U22" s="2"/>
      <c r="V22" s="6">
        <f t="shared" si="9"/>
        <v>28.816357680023099</v>
      </c>
      <c r="W22" s="2"/>
      <c r="X22" s="7">
        <f t="shared" si="10"/>
        <v>-1138.3915360046194</v>
      </c>
      <c r="Y22" s="2"/>
      <c r="Z22" s="6">
        <f t="shared" si="11"/>
        <v>-0.19752523005254891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7">
        <v>23281.510000000002</v>
      </c>
      <c r="E23" s="2"/>
      <c r="F23" s="6">
        <f t="shared" si="4"/>
        <v>0</v>
      </c>
      <c r="G23" s="2"/>
      <c r="H23" s="7">
        <v>28552.23076923077</v>
      </c>
      <c r="I23" s="2"/>
      <c r="J23" s="6">
        <f t="shared" si="5"/>
        <v>0</v>
      </c>
      <c r="K23" s="2"/>
      <c r="L23" s="7">
        <f t="shared" si="6"/>
        <v>-5270.7207692307675</v>
      </c>
      <c r="M23" s="2"/>
      <c r="N23" s="6">
        <f t="shared" si="7"/>
        <v>-0.18459926342815725</v>
      </c>
      <c r="O23" s="11"/>
      <c r="P23" s="7">
        <v>158596.09</v>
      </c>
      <c r="Q23" s="2"/>
      <c r="R23" s="6">
        <f t="shared" si="8"/>
        <v>0</v>
      </c>
      <c r="S23" s="2"/>
      <c r="T23" s="7">
        <v>192416.84615384616</v>
      </c>
      <c r="U23" s="2"/>
      <c r="V23" s="6">
        <f t="shared" si="9"/>
        <v>962.08423076923077</v>
      </c>
      <c r="W23" s="2"/>
      <c r="X23" s="7">
        <f t="shared" si="10"/>
        <v>-33820.75615384616</v>
      </c>
      <c r="Y23" s="2"/>
      <c r="Z23" s="6">
        <f t="shared" si="11"/>
        <v>-0.17576816598898468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311.75</v>
      </c>
      <c r="E24" s="2"/>
      <c r="F24" s="6">
        <f t="shared" si="4"/>
        <v>0</v>
      </c>
      <c r="G24" s="2"/>
      <c r="H24" s="7">
        <v>456.78139640000001</v>
      </c>
      <c r="I24" s="2"/>
      <c r="J24" s="6">
        <f t="shared" si="5"/>
        <v>0</v>
      </c>
      <c r="K24" s="2"/>
      <c r="L24" s="7">
        <f t="shared" si="6"/>
        <v>-145.03139640000001</v>
      </c>
      <c r="M24" s="2"/>
      <c r="N24" s="6">
        <f t="shared" si="7"/>
        <v>-0.31750723112417895</v>
      </c>
      <c r="O24" s="11"/>
      <c r="P24" s="7">
        <v>2830.81</v>
      </c>
      <c r="Q24" s="2"/>
      <c r="R24" s="6">
        <f t="shared" si="8"/>
        <v>0</v>
      </c>
      <c r="S24" s="2"/>
      <c r="T24" s="7">
        <v>2806.8169746799999</v>
      </c>
      <c r="U24" s="2"/>
      <c r="V24" s="6">
        <f t="shared" si="9"/>
        <v>14.034084873399999</v>
      </c>
      <c r="W24" s="2"/>
      <c r="X24" s="7">
        <f t="shared" si="10"/>
        <v>23.993025320000015</v>
      </c>
      <c r="Y24" s="2"/>
      <c r="Z24" s="6">
        <f t="shared" si="11"/>
        <v>8.5481260575372628E-3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7">
        <v>10419.530000000001</v>
      </c>
      <c r="E25" s="2"/>
      <c r="F25" s="6">
        <f t="shared" si="4"/>
        <v>0</v>
      </c>
      <c r="G25" s="2"/>
      <c r="H25" s="7">
        <v>10121.390306692316</v>
      </c>
      <c r="I25" s="2"/>
      <c r="J25" s="6">
        <f t="shared" si="5"/>
        <v>0</v>
      </c>
      <c r="K25" s="2"/>
      <c r="L25" s="7">
        <f t="shared" si="6"/>
        <v>298.13969330768487</v>
      </c>
      <c r="M25" s="2"/>
      <c r="N25" s="6">
        <f t="shared" si="7"/>
        <v>2.945639722149173E-2</v>
      </c>
      <c r="O25" s="11"/>
      <c r="P25" s="7">
        <v>63927.539999999994</v>
      </c>
      <c r="Q25" s="2"/>
      <c r="R25" s="6">
        <f t="shared" si="8"/>
        <v>0</v>
      </c>
      <c r="S25" s="2"/>
      <c r="T25" s="7">
        <v>62752.619901492333</v>
      </c>
      <c r="U25" s="2"/>
      <c r="V25" s="6">
        <f t="shared" si="9"/>
        <v>313.76309950746167</v>
      </c>
      <c r="W25" s="2"/>
      <c r="X25" s="7">
        <f t="shared" si="10"/>
        <v>1174.9200985076604</v>
      </c>
      <c r="Y25" s="2"/>
      <c r="Z25" s="6">
        <f t="shared" si="11"/>
        <v>1.8723044557375036E-2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7">
        <v>2231.94</v>
      </c>
      <c r="E26" s="2"/>
      <c r="F26" s="6">
        <f t="shared" si="4"/>
        <v>0</v>
      </c>
      <c r="G26" s="2"/>
      <c r="H26" s="7">
        <v>500</v>
      </c>
      <c r="I26" s="2"/>
      <c r="J26" s="6">
        <f t="shared" si="5"/>
        <v>0</v>
      </c>
      <c r="K26" s="2"/>
      <c r="L26" s="7">
        <f t="shared" si="6"/>
        <v>1731.94</v>
      </c>
      <c r="M26" s="2"/>
      <c r="N26" s="6">
        <f t="shared" si="7"/>
        <v>3.4638800000000001</v>
      </c>
      <c r="O26" s="11"/>
      <c r="P26" s="7">
        <v>4337.88</v>
      </c>
      <c r="Q26" s="2"/>
      <c r="R26" s="6">
        <f t="shared" si="8"/>
        <v>0</v>
      </c>
      <c r="S26" s="2"/>
      <c r="T26" s="7">
        <v>3500</v>
      </c>
      <c r="U26" s="2"/>
      <c r="V26" s="6">
        <f t="shared" si="9"/>
        <v>17.5</v>
      </c>
      <c r="W26" s="2"/>
      <c r="X26" s="7">
        <f t="shared" si="10"/>
        <v>837.88000000000011</v>
      </c>
      <c r="Y26" s="2"/>
      <c r="Z26" s="6">
        <f t="shared" si="11"/>
        <v>0.23939428571428575</v>
      </c>
    </row>
    <row r="27" spans="1:26" s="24" customFormat="1" hidden="1" outlineLevel="2" x14ac:dyDescent="0.25">
      <c r="A27" s="25"/>
      <c r="B27" s="11" t="str">
        <f>CONCATENATE("          ", "6117", " - ", "RETIREMENT STAFF HOURLY")</f>
        <v xml:space="preserve">          6117 - RETIREMENT STAFF HOURLY</v>
      </c>
      <c r="C27" s="11"/>
      <c r="D27" s="7">
        <v>1296.51</v>
      </c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1296.51</v>
      </c>
      <c r="M27" s="2"/>
      <c r="N27" s="6">
        <f t="shared" si="7"/>
        <v>0</v>
      </c>
      <c r="O27" s="11"/>
      <c r="P27" s="7">
        <v>6455.96</v>
      </c>
      <c r="Q27" s="2"/>
      <c r="R27" s="6">
        <f t="shared" si="8"/>
        <v>0</v>
      </c>
      <c r="S27" s="2"/>
      <c r="T27" s="7"/>
      <c r="U27" s="2"/>
      <c r="V27" s="6">
        <f t="shared" si="9"/>
        <v>0</v>
      </c>
      <c r="W27" s="2"/>
      <c r="X27" s="7">
        <f t="shared" si="10"/>
        <v>6455.96</v>
      </c>
      <c r="Y27" s="2"/>
      <c r="Z27" s="6">
        <f t="shared" si="11"/>
        <v>0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7">
        <v>6824.16</v>
      </c>
      <c r="E28" s="2"/>
      <c r="F28" s="6">
        <f t="shared" si="4"/>
        <v>0</v>
      </c>
      <c r="G28" s="2"/>
      <c r="H28" s="7">
        <v>8570.1444980769284</v>
      </c>
      <c r="I28" s="2"/>
      <c r="J28" s="6">
        <f t="shared" si="5"/>
        <v>0</v>
      </c>
      <c r="K28" s="2"/>
      <c r="L28" s="7">
        <f t="shared" si="6"/>
        <v>-1745.9844980769285</v>
      </c>
      <c r="M28" s="2"/>
      <c r="N28" s="6">
        <f t="shared" si="7"/>
        <v>-0.20372871174677551</v>
      </c>
      <c r="O28" s="11"/>
      <c r="P28" s="7">
        <v>61838.360000000008</v>
      </c>
      <c r="Q28" s="2"/>
      <c r="R28" s="6">
        <f t="shared" si="8"/>
        <v>0</v>
      </c>
      <c r="S28" s="2"/>
      <c r="T28" s="7">
        <v>53033.955888076947</v>
      </c>
      <c r="U28" s="2"/>
      <c r="V28" s="6">
        <f t="shared" si="9"/>
        <v>265.16977944038473</v>
      </c>
      <c r="W28" s="2"/>
      <c r="X28" s="7">
        <f t="shared" si="10"/>
        <v>8804.4041119230606</v>
      </c>
      <c r="Y28" s="2"/>
      <c r="Z28" s="6">
        <f t="shared" si="11"/>
        <v>0.16601447062527086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7">
        <v>4396.97</v>
      </c>
      <c r="E29" s="2"/>
      <c r="F29" s="6">
        <f t="shared" si="4"/>
        <v>0</v>
      </c>
      <c r="G29" s="2"/>
      <c r="H29" s="7">
        <v>6091.155369230778</v>
      </c>
      <c r="I29" s="2"/>
      <c r="J29" s="6">
        <f t="shared" si="5"/>
        <v>0</v>
      </c>
      <c r="K29" s="2"/>
      <c r="L29" s="7">
        <f t="shared" si="6"/>
        <v>-1694.1853692307777</v>
      </c>
      <c r="M29" s="2"/>
      <c r="N29" s="6">
        <f t="shared" si="7"/>
        <v>-0.27813859055194778</v>
      </c>
      <c r="O29" s="11"/>
      <c r="P29" s="7">
        <v>52828.89</v>
      </c>
      <c r="Q29" s="2"/>
      <c r="R29" s="6">
        <f t="shared" si="8"/>
        <v>0</v>
      </c>
      <c r="S29" s="2"/>
      <c r="T29" s="7">
        <v>37433.698639230795</v>
      </c>
      <c r="U29" s="2"/>
      <c r="V29" s="6">
        <f t="shared" si="9"/>
        <v>187.16849319615397</v>
      </c>
      <c r="W29" s="2"/>
      <c r="X29" s="7">
        <f t="shared" si="10"/>
        <v>15395.191360769204</v>
      </c>
      <c r="Y29" s="2"/>
      <c r="Z29" s="6">
        <f t="shared" si="11"/>
        <v>0.41126556873637188</v>
      </c>
    </row>
    <row r="30" spans="1:26" s="24" customFormat="1" hidden="1" outlineLevel="2" x14ac:dyDescent="0.25">
      <c r="A30" s="25"/>
      <c r="B30" s="11" t="str">
        <f>CONCATENATE("          ", "6120", " - ", "RETIREES HEALTH INSURANCE")</f>
        <v xml:space="preserve">          6120 - RETIREES HEALTH INSURANCE</v>
      </c>
      <c r="C30" s="11"/>
      <c r="D30" s="7">
        <v>30653.37</v>
      </c>
      <c r="E30" s="2"/>
      <c r="F30" s="6">
        <f t="shared" si="4"/>
        <v>0</v>
      </c>
      <c r="G30" s="2"/>
      <c r="H30" s="7">
        <v>39000</v>
      </c>
      <c r="I30" s="2"/>
      <c r="J30" s="6">
        <f t="shared" si="5"/>
        <v>0</v>
      </c>
      <c r="K30" s="2"/>
      <c r="L30" s="7">
        <f t="shared" si="6"/>
        <v>-8346.630000000001</v>
      </c>
      <c r="M30" s="2"/>
      <c r="N30" s="6">
        <f t="shared" si="7"/>
        <v>-0.21401615384615388</v>
      </c>
      <c r="O30" s="11"/>
      <c r="P30" s="7">
        <v>206278.25</v>
      </c>
      <c r="Q30" s="2"/>
      <c r="R30" s="6">
        <f t="shared" si="8"/>
        <v>0</v>
      </c>
      <c r="S30" s="2"/>
      <c r="T30" s="7">
        <v>274300</v>
      </c>
      <c r="U30" s="2"/>
      <c r="V30" s="6">
        <f t="shared" si="9"/>
        <v>1371.5</v>
      </c>
      <c r="W30" s="2"/>
      <c r="X30" s="7">
        <f t="shared" si="10"/>
        <v>-68021.75</v>
      </c>
      <c r="Y30" s="2"/>
      <c r="Z30" s="6">
        <f t="shared" si="11"/>
        <v>-0.24798304775792929</v>
      </c>
    </row>
    <row r="31" spans="1:26" s="24" customFormat="1" hidden="1" outlineLevel="2" x14ac:dyDescent="0.25">
      <c r="A31" s="25"/>
      <c r="B31" s="11" t="str">
        <f>CONCATENATE("          ", "6156", " - ", "EMPLOYEE MEALS")</f>
        <v xml:space="preserve">          6156 - EMPLOYEE MEALS</v>
      </c>
      <c r="C31" s="11"/>
      <c r="D31" s="7">
        <v>2767.55</v>
      </c>
      <c r="E31" s="2"/>
      <c r="F31" s="6">
        <f t="shared" si="4"/>
        <v>0</v>
      </c>
      <c r="G31" s="2"/>
      <c r="H31" s="7">
        <v>1350</v>
      </c>
      <c r="I31" s="2"/>
      <c r="J31" s="6">
        <f t="shared" si="5"/>
        <v>0</v>
      </c>
      <c r="K31" s="2"/>
      <c r="L31" s="7">
        <f t="shared" si="6"/>
        <v>1417.5500000000002</v>
      </c>
      <c r="M31" s="2"/>
      <c r="N31" s="6">
        <f t="shared" si="7"/>
        <v>1.0500370370370371</v>
      </c>
      <c r="O31" s="11"/>
      <c r="P31" s="7">
        <v>17261.240000000002</v>
      </c>
      <c r="Q31" s="2"/>
      <c r="R31" s="6">
        <f t="shared" si="8"/>
        <v>0</v>
      </c>
      <c r="S31" s="2"/>
      <c r="T31" s="7">
        <v>9450</v>
      </c>
      <c r="U31" s="2"/>
      <c r="V31" s="6">
        <f t="shared" si="9"/>
        <v>47.25</v>
      </c>
      <c r="W31" s="2"/>
      <c r="X31" s="7">
        <f t="shared" si="10"/>
        <v>7811.2400000000016</v>
      </c>
      <c r="Y31" s="2"/>
      <c r="Z31" s="6">
        <f t="shared" si="11"/>
        <v>0.82658624338624354</v>
      </c>
    </row>
    <row r="32" spans="1:26" s="27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143849.26999999999</v>
      </c>
      <c r="E32" s="1"/>
      <c r="F32" s="5">
        <f t="shared" ref="F32:F42" si="12">IF(D$12=0,0,D32/D$12)</f>
        <v>0</v>
      </c>
      <c r="G32" s="1"/>
      <c r="H32" s="1">
        <f>SUM(OSRRefH22_1x_0)</f>
        <v>162986.8729461538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-19137.602946153813</v>
      </c>
      <c r="M32" s="1"/>
      <c r="N32" s="5">
        <f t="shared" ref="N32:N42" si="15">IF(H32=0,0,L32/H32)</f>
        <v>-0.11741806318645262</v>
      </c>
      <c r="O32" s="13"/>
      <c r="P32" s="1">
        <f>SUM(OSRRefP22_1x_0)</f>
        <v>794220.2699999999</v>
      </c>
      <c r="Q32" s="1"/>
      <c r="R32" s="5">
        <f t="shared" ref="R32:R42" si="16">IF(P$12=0,0,P32/P$12)</f>
        <v>0</v>
      </c>
      <c r="S32" s="1"/>
      <c r="T32" s="1">
        <f>SUM(OSRRefT22_1x_0)</f>
        <v>1001327.9594661533</v>
      </c>
      <c r="U32" s="1"/>
      <c r="V32" s="5">
        <f t="shared" ref="V32:V42" si="17">IF(T$12=0,0,T32/T$12)</f>
        <v>5006.6397973307667</v>
      </c>
      <c r="W32" s="1"/>
      <c r="X32" s="1">
        <f t="shared" ref="X32:X42" si="18">+P32-T32</f>
        <v>-207107.68946615339</v>
      </c>
      <c r="Y32" s="1"/>
      <c r="Z32" s="5">
        <f t="shared" ref="Z32:Z42" si="19">IF(T32=0,0,X32/T32)</f>
        <v>-0.20683302359455788</v>
      </c>
    </row>
    <row r="33" spans="1:26" s="24" customFormat="1" hidden="1" outlineLevel="2" x14ac:dyDescent="0.25">
      <c r="A33" s="25"/>
      <c r="B33" s="11" t="str">
        <f>CONCATENATE("          ", "6001", " - ", "ADMINISTRATIVE SALARIES")</f>
        <v xml:space="preserve">          6001 - ADMINISTRATIVE SALARIES</v>
      </c>
      <c r="C33" s="11"/>
      <c r="D33" s="7">
        <v>26771.230000000003</v>
      </c>
      <c r="E33" s="2"/>
      <c r="F33" s="6">
        <f t="shared" si="12"/>
        <v>0</v>
      </c>
      <c r="G33" s="2"/>
      <c r="H33" s="7">
        <v>53370.193580769221</v>
      </c>
      <c r="I33" s="2"/>
      <c r="J33" s="6">
        <f t="shared" si="13"/>
        <v>0</v>
      </c>
      <c r="K33" s="2"/>
      <c r="L33" s="7">
        <f t="shared" si="14"/>
        <v>-26598.963580769218</v>
      </c>
      <c r="M33" s="2"/>
      <c r="N33" s="6">
        <f t="shared" si="15"/>
        <v>-0.49838611772158853</v>
      </c>
      <c r="O33" s="11"/>
      <c r="P33" s="7">
        <v>174900.28999999998</v>
      </c>
      <c r="Q33" s="2"/>
      <c r="R33" s="6">
        <f t="shared" si="16"/>
        <v>0</v>
      </c>
      <c r="S33" s="2"/>
      <c r="T33" s="7">
        <v>330895.20020076906</v>
      </c>
      <c r="U33" s="2"/>
      <c r="V33" s="6">
        <f t="shared" si="17"/>
        <v>1654.4760010038453</v>
      </c>
      <c r="W33" s="2"/>
      <c r="X33" s="7">
        <f t="shared" si="18"/>
        <v>-155994.91020076908</v>
      </c>
      <c r="Y33" s="2"/>
      <c r="Z33" s="6">
        <f t="shared" si="19"/>
        <v>-0.47143297970511489</v>
      </c>
    </row>
    <row r="34" spans="1:26" s="24" customFormat="1" hidden="1" outlineLevel="2" x14ac:dyDescent="0.25">
      <c r="A34" s="25"/>
      <c r="B34" s="11" t="str">
        <f>CONCATENATE("          ", "6002", " - ", "STAFF SALARIES")</f>
        <v xml:space="preserve">          6002 - STAFF SALARIES</v>
      </c>
      <c r="C34" s="11"/>
      <c r="D34" s="7">
        <v>58219.619999999995</v>
      </c>
      <c r="E34" s="2"/>
      <c r="F34" s="6">
        <f t="shared" si="12"/>
        <v>0</v>
      </c>
      <c r="G34" s="2"/>
      <c r="H34" s="7">
        <v>55245.196865384591</v>
      </c>
      <c r="I34" s="2"/>
      <c r="J34" s="6">
        <f t="shared" si="13"/>
        <v>0</v>
      </c>
      <c r="K34" s="2"/>
      <c r="L34" s="7">
        <f t="shared" si="14"/>
        <v>2974.4231346154047</v>
      </c>
      <c r="M34" s="2"/>
      <c r="N34" s="6">
        <f t="shared" si="15"/>
        <v>5.3840393434802146E-2</v>
      </c>
      <c r="O34" s="11"/>
      <c r="P34" s="7">
        <v>335882.45999999996</v>
      </c>
      <c r="Q34" s="2"/>
      <c r="R34" s="6">
        <f t="shared" si="16"/>
        <v>0</v>
      </c>
      <c r="S34" s="2"/>
      <c r="T34" s="7">
        <v>342520.2205653842</v>
      </c>
      <c r="U34" s="2"/>
      <c r="V34" s="6">
        <f t="shared" si="17"/>
        <v>1712.6011028269211</v>
      </c>
      <c r="W34" s="2"/>
      <c r="X34" s="7">
        <f t="shared" si="18"/>
        <v>-6637.7605653842329</v>
      </c>
      <c r="Y34" s="2"/>
      <c r="Z34" s="6">
        <f t="shared" si="19"/>
        <v>-1.9379178707836727E-2</v>
      </c>
    </row>
    <row r="35" spans="1:26" s="24" customFormat="1" hidden="1" outlineLevel="2" x14ac:dyDescent="0.25">
      <c r="A35" s="25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25">
      <c r="A36" s="25"/>
      <c r="B36" s="11" t="str">
        <f>CONCATENATE("          ", "6004", " - ", "STAFF HOURLY")</f>
        <v xml:space="preserve">          6004 - STAFF HOURLY</v>
      </c>
      <c r="C36" s="11"/>
      <c r="D36" s="7">
        <v>23764.449999999997</v>
      </c>
      <c r="E36" s="2"/>
      <c r="F36" s="6">
        <f t="shared" si="12"/>
        <v>0</v>
      </c>
      <c r="G36" s="2"/>
      <c r="H36" s="7">
        <v>28661.965</v>
      </c>
      <c r="I36" s="2"/>
      <c r="J36" s="6">
        <f t="shared" si="13"/>
        <v>0</v>
      </c>
      <c r="K36" s="2"/>
      <c r="L36" s="7">
        <f t="shared" si="14"/>
        <v>-4897.5150000000031</v>
      </c>
      <c r="M36" s="2"/>
      <c r="N36" s="6">
        <f t="shared" si="15"/>
        <v>-0.17087157143622228</v>
      </c>
      <c r="O36" s="11"/>
      <c r="P36" s="7">
        <v>160755.01999999999</v>
      </c>
      <c r="Q36" s="2"/>
      <c r="R36" s="6">
        <f t="shared" si="16"/>
        <v>0</v>
      </c>
      <c r="S36" s="2"/>
      <c r="T36" s="7">
        <v>175693.04620000001</v>
      </c>
      <c r="U36" s="2"/>
      <c r="V36" s="6">
        <f t="shared" si="17"/>
        <v>878.46523100000002</v>
      </c>
      <c r="W36" s="2"/>
      <c r="X36" s="7">
        <f t="shared" si="18"/>
        <v>-14938.026200000022</v>
      </c>
      <c r="Y36" s="2"/>
      <c r="Z36" s="6">
        <f t="shared" si="19"/>
        <v>-8.5023434467607406E-2</v>
      </c>
    </row>
    <row r="37" spans="1:26" s="24" customFormat="1" hidden="1" outlineLevel="2" x14ac:dyDescent="0.25">
      <c r="A37" s="25"/>
      <c r="B37" s="11" t="str">
        <f>CONCATENATE("          ", "6005", " - ", "TEMPORARY WAGES-HOURLY")</f>
        <v xml:space="preserve">          6005 - TEMPORARY WAGES-HOURLY</v>
      </c>
      <c r="C37" s="11"/>
      <c r="D37" s="7">
        <v>8844.0400000000009</v>
      </c>
      <c r="E37" s="2"/>
      <c r="F37" s="6">
        <f t="shared" si="12"/>
        <v>0</v>
      </c>
      <c r="G37" s="2"/>
      <c r="H37" s="7">
        <v>8990</v>
      </c>
      <c r="I37" s="2"/>
      <c r="J37" s="6">
        <f t="shared" si="13"/>
        <v>0</v>
      </c>
      <c r="K37" s="2"/>
      <c r="L37" s="7">
        <f t="shared" si="14"/>
        <v>-145.95999999999913</v>
      </c>
      <c r="M37" s="2"/>
      <c r="N37" s="6">
        <f t="shared" si="15"/>
        <v>-1.6235817575083328E-2</v>
      </c>
      <c r="O37" s="11"/>
      <c r="P37" s="7">
        <v>68035.650000000009</v>
      </c>
      <c r="Q37" s="2"/>
      <c r="R37" s="6">
        <f t="shared" si="16"/>
        <v>0</v>
      </c>
      <c r="S37" s="2"/>
      <c r="T37" s="7">
        <v>55738</v>
      </c>
      <c r="U37" s="2"/>
      <c r="V37" s="6">
        <f t="shared" si="17"/>
        <v>278.69</v>
      </c>
      <c r="W37" s="2"/>
      <c r="X37" s="7">
        <f t="shared" si="18"/>
        <v>12297.650000000009</v>
      </c>
      <c r="Y37" s="2"/>
      <c r="Z37" s="6">
        <f t="shared" si="19"/>
        <v>0.22063314076572552</v>
      </c>
    </row>
    <row r="38" spans="1:26" s="24" customFormat="1" hidden="1" outlineLevel="2" x14ac:dyDescent="0.25">
      <c r="A38" s="25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>
        <v>2361.4299999999998</v>
      </c>
      <c r="Q38" s="2"/>
      <c r="R38" s="6">
        <f t="shared" si="16"/>
        <v>0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2361.4299999999998</v>
      </c>
      <c r="Y38" s="2"/>
      <c r="Z38" s="6">
        <f t="shared" si="19"/>
        <v>0</v>
      </c>
    </row>
    <row r="39" spans="1:26" s="24" customFormat="1" hidden="1" outlineLevel="2" x14ac:dyDescent="0.25">
      <c r="A39" s="25"/>
      <c r="B39" s="11" t="str">
        <f>CONCATENATE("          ", "6007", " - ", "STUDENT HOURLY")</f>
        <v xml:space="preserve">          6007 - STUDENT HOURLY</v>
      </c>
      <c r="C39" s="11"/>
      <c r="D39" s="7">
        <v>24731.75</v>
      </c>
      <c r="E39" s="2"/>
      <c r="F39" s="6">
        <f t="shared" si="12"/>
        <v>0</v>
      </c>
      <c r="G39" s="2"/>
      <c r="H39" s="7">
        <v>8563.1875</v>
      </c>
      <c r="I39" s="2"/>
      <c r="J39" s="6">
        <f t="shared" si="13"/>
        <v>0</v>
      </c>
      <c r="K39" s="2"/>
      <c r="L39" s="7">
        <f t="shared" si="14"/>
        <v>16168.5625</v>
      </c>
      <c r="M39" s="2"/>
      <c r="N39" s="6">
        <f t="shared" si="15"/>
        <v>1.8881476669756443</v>
      </c>
      <c r="O39" s="11"/>
      <c r="P39" s="7">
        <v>40684.6</v>
      </c>
      <c r="Q39" s="2"/>
      <c r="R39" s="6">
        <f t="shared" si="16"/>
        <v>0</v>
      </c>
      <c r="S39" s="2"/>
      <c r="T39" s="7">
        <v>46165.6875</v>
      </c>
      <c r="U39" s="2"/>
      <c r="V39" s="6">
        <f t="shared" si="17"/>
        <v>230.82843750000001</v>
      </c>
      <c r="W39" s="2"/>
      <c r="X39" s="7">
        <f t="shared" si="18"/>
        <v>-5481.0875000000015</v>
      </c>
      <c r="Y39" s="2"/>
      <c r="Z39" s="6">
        <f t="shared" si="19"/>
        <v>-0.11872643508233255</v>
      </c>
    </row>
    <row r="40" spans="1:26" s="24" customFormat="1" hidden="1" outlineLevel="2" x14ac:dyDescent="0.25">
      <c r="A40" s="25"/>
      <c r="B40" s="11" t="str">
        <f>CONCATENATE("          ", "6008", " - ", "STUDENT HOURLY-FICA EXEMPT")</f>
        <v xml:space="preserve">          6008 - STUDENT HOURLY-FICA EXEMPT</v>
      </c>
      <c r="C40" s="11"/>
      <c r="D40" s="7">
        <v>1518.18</v>
      </c>
      <c r="E40" s="2"/>
      <c r="F40" s="6">
        <f t="shared" si="12"/>
        <v>0</v>
      </c>
      <c r="G40" s="2"/>
      <c r="H40" s="7">
        <v>8156.33</v>
      </c>
      <c r="I40" s="2"/>
      <c r="J40" s="6">
        <f t="shared" si="13"/>
        <v>0</v>
      </c>
      <c r="K40" s="2"/>
      <c r="L40" s="7">
        <f t="shared" si="14"/>
        <v>-6638.15</v>
      </c>
      <c r="M40" s="2"/>
      <c r="N40" s="6">
        <f t="shared" si="15"/>
        <v>-0.8138648141995235</v>
      </c>
      <c r="O40" s="11"/>
      <c r="P40" s="7">
        <v>11600.82</v>
      </c>
      <c r="Q40" s="2"/>
      <c r="R40" s="6">
        <f t="shared" si="16"/>
        <v>0</v>
      </c>
      <c r="S40" s="2"/>
      <c r="T40" s="7">
        <v>50315.805</v>
      </c>
      <c r="U40" s="2"/>
      <c r="V40" s="6">
        <f t="shared" si="17"/>
        <v>251.579025</v>
      </c>
      <c r="W40" s="2"/>
      <c r="X40" s="7">
        <f t="shared" si="18"/>
        <v>-38714.985000000001</v>
      </c>
      <c r="Y40" s="2"/>
      <c r="Z40" s="6">
        <f t="shared" si="19"/>
        <v>-0.76943984102013274</v>
      </c>
    </row>
    <row r="41" spans="1:26" s="24" customFormat="1" hidden="1" outlineLevel="2" x14ac:dyDescent="0.25">
      <c r="A41" s="25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4" customFormat="1" hidden="1" outlineLevel="2" x14ac:dyDescent="0.25">
      <c r="A42" s="25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12"/>
        <v>0</v>
      </c>
      <c r="G42" s="2"/>
      <c r="H42" s="7">
        <v>0</v>
      </c>
      <c r="I42" s="2"/>
      <c r="J42" s="6">
        <f t="shared" si="13"/>
        <v>0</v>
      </c>
      <c r="K42" s="2"/>
      <c r="L42" s="7">
        <f t="shared" si="14"/>
        <v>0</v>
      </c>
      <c r="M42" s="2"/>
      <c r="N42" s="6">
        <f t="shared" si="15"/>
        <v>0</v>
      </c>
      <c r="O42" s="11"/>
      <c r="P42" s="7"/>
      <c r="Q42" s="2"/>
      <c r="R42" s="6">
        <f t="shared" si="16"/>
        <v>0</v>
      </c>
      <c r="S42" s="2"/>
      <c r="T42" s="7">
        <v>0</v>
      </c>
      <c r="U42" s="2"/>
      <c r="V42" s="6">
        <f t="shared" si="17"/>
        <v>0</v>
      </c>
      <c r="W42" s="2"/>
      <c r="X42" s="7">
        <f t="shared" si="18"/>
        <v>0</v>
      </c>
      <c r="Y42" s="2"/>
      <c r="Z42" s="6">
        <f t="shared" si="19"/>
        <v>0</v>
      </c>
    </row>
    <row r="43" spans="1:26" s="27" customFormat="1" outlineLevel="1" collapsed="1" x14ac:dyDescent="0.25">
      <c r="A43" s="26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-7022.92</v>
      </c>
      <c r="E43" s="1"/>
      <c r="F43" s="5">
        <f t="shared" ref="F43:F51" si="20">IF(D$12=0,0,D43/D$12)</f>
        <v>0</v>
      </c>
      <c r="G43" s="1"/>
      <c r="H43" s="1">
        <f>SUM(OSRRefH22_2x_0)</f>
        <v>260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-7282.92</v>
      </c>
      <c r="M43" s="1"/>
      <c r="N43" s="5">
        <f t="shared" ref="N43:N51" si="23">IF(H43=0,0,L43/H43)</f>
        <v>-28.011230769230771</v>
      </c>
      <c r="O43" s="13"/>
      <c r="P43" s="1">
        <f>SUM(OSRRefP22_2x_0)</f>
        <v>-29789.660000000003</v>
      </c>
      <c r="Q43" s="1"/>
      <c r="R43" s="5">
        <f t="shared" ref="R43:R51" si="24">IF(P$12=0,0,P43/P$12)</f>
        <v>0</v>
      </c>
      <c r="S43" s="1"/>
      <c r="T43" s="1">
        <f>SUM(OSRRefT22_2x_0)</f>
        <v>1845</v>
      </c>
      <c r="U43" s="1"/>
      <c r="V43" s="5">
        <f t="shared" ref="V43:V51" si="25">IF(T$12=0,0,T43/T$12)</f>
        <v>9.2249999999999996</v>
      </c>
      <c r="W43" s="1"/>
      <c r="X43" s="1">
        <f t="shared" ref="X43:X51" si="26">+P43-T43</f>
        <v>-31634.660000000003</v>
      </c>
      <c r="Y43" s="1"/>
      <c r="Z43" s="5">
        <f t="shared" ref="Z43:Z51" si="27">IF(T43=0,0,X43/T43)</f>
        <v>-17.146157181571816</v>
      </c>
    </row>
    <row r="44" spans="1:26" s="24" customFormat="1" hidden="1" outlineLevel="2" x14ac:dyDescent="0.25">
      <c r="A44" s="25"/>
      <c r="B44" s="11" t="str">
        <f>CONCATENATE("          ", "6362", " - ", "ADVERTISING EXPENSE")</f>
        <v xml:space="preserve">          6362 - ADVERTISING EXPENSE</v>
      </c>
      <c r="C44" s="11"/>
      <c r="D44" s="7">
        <v>-7022.92</v>
      </c>
      <c r="E44" s="2"/>
      <c r="F44" s="6">
        <f t="shared" si="20"/>
        <v>0</v>
      </c>
      <c r="G44" s="2"/>
      <c r="H44" s="7">
        <v>260</v>
      </c>
      <c r="I44" s="2"/>
      <c r="J44" s="6">
        <f t="shared" si="21"/>
        <v>0</v>
      </c>
      <c r="K44" s="2"/>
      <c r="L44" s="7">
        <f t="shared" si="22"/>
        <v>-7282.92</v>
      </c>
      <c r="M44" s="2"/>
      <c r="N44" s="6">
        <f t="shared" si="23"/>
        <v>-28.011230769230771</v>
      </c>
      <c r="O44" s="11"/>
      <c r="P44" s="7">
        <v>-29789.660000000003</v>
      </c>
      <c r="Q44" s="2"/>
      <c r="R44" s="6">
        <f t="shared" si="24"/>
        <v>0</v>
      </c>
      <c r="S44" s="2"/>
      <c r="T44" s="7">
        <v>1845</v>
      </c>
      <c r="U44" s="2"/>
      <c r="V44" s="6">
        <f t="shared" si="25"/>
        <v>9.2249999999999996</v>
      </c>
      <c r="W44" s="2"/>
      <c r="X44" s="7">
        <f t="shared" si="26"/>
        <v>-31634.660000000003</v>
      </c>
      <c r="Y44" s="2"/>
      <c r="Z44" s="6">
        <f t="shared" si="27"/>
        <v>-17.146157181571816</v>
      </c>
    </row>
    <row r="45" spans="1:26" s="27" customFormat="1" outlineLevel="1" collapsed="1" x14ac:dyDescent="0.25">
      <c r="A45" s="26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13917.12</v>
      </c>
      <c r="E45" s="1"/>
      <c r="F45" s="5">
        <f t="shared" si="20"/>
        <v>0</v>
      </c>
      <c r="G45" s="1"/>
      <c r="H45" s="1">
        <f>SUM(OSRRefH22_3x_0)</f>
        <v>15000</v>
      </c>
      <c r="I45" s="1"/>
      <c r="J45" s="5">
        <f t="shared" si="21"/>
        <v>0</v>
      </c>
      <c r="K45" s="1"/>
      <c r="L45" s="1">
        <f t="shared" si="22"/>
        <v>-1082.8799999999992</v>
      </c>
      <c r="M45" s="1"/>
      <c r="N45" s="5">
        <f t="shared" si="23"/>
        <v>-7.2191999999999951E-2</v>
      </c>
      <c r="O45" s="13"/>
      <c r="P45" s="1">
        <f>SUM(OSRRefP22_3x_0)</f>
        <v>38344.32</v>
      </c>
      <c r="Q45" s="1"/>
      <c r="R45" s="5">
        <f t="shared" si="24"/>
        <v>0</v>
      </c>
      <c r="S45" s="1"/>
      <c r="T45" s="1">
        <f>SUM(OSRRefT22_3x_0)</f>
        <v>51000</v>
      </c>
      <c r="U45" s="1"/>
      <c r="V45" s="5">
        <f t="shared" si="25"/>
        <v>255</v>
      </c>
      <c r="W45" s="1"/>
      <c r="X45" s="1">
        <f t="shared" si="26"/>
        <v>-12655.68</v>
      </c>
      <c r="Y45" s="1"/>
      <c r="Z45" s="5">
        <f t="shared" si="27"/>
        <v>-0.24815058823529412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7">
        <v>13917.12</v>
      </c>
      <c r="E46" s="2"/>
      <c r="F46" s="6">
        <f t="shared" si="20"/>
        <v>0</v>
      </c>
      <c r="G46" s="2"/>
      <c r="H46" s="7">
        <v>15000</v>
      </c>
      <c r="I46" s="2"/>
      <c r="J46" s="6">
        <f t="shared" si="21"/>
        <v>0</v>
      </c>
      <c r="K46" s="2"/>
      <c r="L46" s="7">
        <f t="shared" si="22"/>
        <v>-1082.8799999999992</v>
      </c>
      <c r="M46" s="2"/>
      <c r="N46" s="6">
        <f t="shared" si="23"/>
        <v>-7.2191999999999951E-2</v>
      </c>
      <c r="O46" s="11"/>
      <c r="P46" s="7">
        <v>38344.32</v>
      </c>
      <c r="Q46" s="2"/>
      <c r="R46" s="6">
        <f t="shared" si="24"/>
        <v>0</v>
      </c>
      <c r="S46" s="2"/>
      <c r="T46" s="7">
        <v>51000</v>
      </c>
      <c r="U46" s="2"/>
      <c r="V46" s="6">
        <f t="shared" si="25"/>
        <v>255</v>
      </c>
      <c r="W46" s="2"/>
      <c r="X46" s="7">
        <f t="shared" si="26"/>
        <v>-12655.68</v>
      </c>
      <c r="Y46" s="2"/>
      <c r="Z46" s="6">
        <f t="shared" si="27"/>
        <v>-0.24815058823529412</v>
      </c>
    </row>
    <row r="47" spans="1:26" s="27" customFormat="1" outlineLevel="1" collapsed="1" x14ac:dyDescent="0.25">
      <c r="A47" s="26"/>
      <c r="B47" s="13" t="str">
        <f>CONCATENATE("     ","Board                                             ")</f>
        <v xml:space="preserve">     Board                                             </v>
      </c>
      <c r="C47" s="13"/>
      <c r="D47" s="1">
        <f>SUM(OSRRefD22_4x_0)</f>
        <v>2282.7600000000002</v>
      </c>
      <c r="E47" s="1"/>
      <c r="F47" s="5">
        <f t="shared" si="20"/>
        <v>0</v>
      </c>
      <c r="G47" s="1"/>
      <c r="H47" s="1">
        <f>SUM(OSRRefH22_4x_0)</f>
        <v>5500</v>
      </c>
      <c r="I47" s="1"/>
      <c r="J47" s="5">
        <f t="shared" si="21"/>
        <v>0</v>
      </c>
      <c r="K47" s="1"/>
      <c r="L47" s="1">
        <f t="shared" si="22"/>
        <v>-3217.24</v>
      </c>
      <c r="M47" s="1"/>
      <c r="N47" s="5">
        <f t="shared" si="23"/>
        <v>-0.58495272727272718</v>
      </c>
      <c r="O47" s="13"/>
      <c r="P47" s="1">
        <f>SUM(OSRRefP22_4x_0)</f>
        <v>19080.710000000003</v>
      </c>
      <c r="Q47" s="1"/>
      <c r="R47" s="5">
        <f t="shared" si="24"/>
        <v>0</v>
      </c>
      <c r="S47" s="1"/>
      <c r="T47" s="1">
        <f>SUM(OSRRefT22_4x_0)</f>
        <v>25700</v>
      </c>
      <c r="U47" s="1"/>
      <c r="V47" s="5">
        <f t="shared" si="25"/>
        <v>128.5</v>
      </c>
      <c r="W47" s="1"/>
      <c r="X47" s="1">
        <f t="shared" si="26"/>
        <v>-6619.2899999999972</v>
      </c>
      <c r="Y47" s="1"/>
      <c r="Z47" s="5">
        <f t="shared" si="27"/>
        <v>-0.25755992217898821</v>
      </c>
    </row>
    <row r="48" spans="1:26" s="24" customFormat="1" hidden="1" outlineLevel="2" x14ac:dyDescent="0.25">
      <c r="A48" s="25"/>
      <c r="B48" s="11" t="str">
        <f>CONCATENATE("          ", "6397", " - ", "BOARD EXPENSES")</f>
        <v xml:space="preserve">          6397 - BOARD EXPENSES</v>
      </c>
      <c r="C48" s="11"/>
      <c r="D48" s="7">
        <v>2282.7600000000002</v>
      </c>
      <c r="E48" s="2"/>
      <c r="F48" s="6">
        <f t="shared" si="20"/>
        <v>0</v>
      </c>
      <c r="G48" s="2"/>
      <c r="H48" s="7">
        <v>5500</v>
      </c>
      <c r="I48" s="2"/>
      <c r="J48" s="6">
        <f t="shared" si="21"/>
        <v>0</v>
      </c>
      <c r="K48" s="2"/>
      <c r="L48" s="7">
        <f t="shared" si="22"/>
        <v>-3217.24</v>
      </c>
      <c r="M48" s="2"/>
      <c r="N48" s="6">
        <f t="shared" si="23"/>
        <v>-0.58495272727272718</v>
      </c>
      <c r="O48" s="11"/>
      <c r="P48" s="7">
        <v>19080.710000000003</v>
      </c>
      <c r="Q48" s="2"/>
      <c r="R48" s="6">
        <f t="shared" si="24"/>
        <v>0</v>
      </c>
      <c r="S48" s="2"/>
      <c r="T48" s="7">
        <v>25700</v>
      </c>
      <c r="U48" s="2"/>
      <c r="V48" s="6">
        <f t="shared" si="25"/>
        <v>128.5</v>
      </c>
      <c r="W48" s="2"/>
      <c r="X48" s="7">
        <f t="shared" si="26"/>
        <v>-6619.2899999999972</v>
      </c>
      <c r="Y48" s="2"/>
      <c r="Z48" s="6">
        <f t="shared" si="27"/>
        <v>-0.25755992217898821</v>
      </c>
    </row>
    <row r="49" spans="1:26" s="27" customFormat="1" outlineLevel="1" collapsed="1" x14ac:dyDescent="0.25">
      <c r="A49" s="26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8599.93</v>
      </c>
      <c r="E49" s="1"/>
      <c r="F49" s="5">
        <f t="shared" si="20"/>
        <v>0</v>
      </c>
      <c r="G49" s="1"/>
      <c r="H49" s="1">
        <f>SUM(OSRRefH22_5x_0)</f>
        <v>8893</v>
      </c>
      <c r="I49" s="1"/>
      <c r="J49" s="5">
        <f t="shared" si="21"/>
        <v>0</v>
      </c>
      <c r="K49" s="1"/>
      <c r="L49" s="1">
        <f t="shared" si="22"/>
        <v>-293.06999999999971</v>
      </c>
      <c r="M49" s="1"/>
      <c r="N49" s="5">
        <f t="shared" si="23"/>
        <v>-3.2955133250871439E-2</v>
      </c>
      <c r="O49" s="13"/>
      <c r="P49" s="1">
        <f>SUM(OSRRefP22_5x_0)</f>
        <v>60199.51</v>
      </c>
      <c r="Q49" s="1"/>
      <c r="R49" s="5">
        <f t="shared" si="24"/>
        <v>0</v>
      </c>
      <c r="S49" s="1"/>
      <c r="T49" s="1">
        <f>SUM(OSRRefT22_5x_0)</f>
        <v>60634.000000000007</v>
      </c>
      <c r="U49" s="1"/>
      <c r="V49" s="5">
        <f t="shared" si="25"/>
        <v>303.17</v>
      </c>
      <c r="W49" s="1"/>
      <c r="X49" s="1">
        <f t="shared" si="26"/>
        <v>-434.49000000000524</v>
      </c>
      <c r="Y49" s="1"/>
      <c r="Z49" s="5">
        <f t="shared" si="27"/>
        <v>-7.1657815746941512E-3</v>
      </c>
    </row>
    <row r="50" spans="1:26" s="24" customFormat="1" hidden="1" outlineLevel="2" x14ac:dyDescent="0.25">
      <c r="A50" s="25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8599.93</v>
      </c>
      <c r="E50" s="2"/>
      <c r="F50" s="6">
        <f t="shared" si="20"/>
        <v>0</v>
      </c>
      <c r="G50" s="2"/>
      <c r="H50" s="7">
        <v>8593</v>
      </c>
      <c r="I50" s="2"/>
      <c r="J50" s="6">
        <f t="shared" si="21"/>
        <v>0</v>
      </c>
      <c r="K50" s="2"/>
      <c r="L50" s="7">
        <f t="shared" si="22"/>
        <v>6.930000000000291</v>
      </c>
      <c r="M50" s="2"/>
      <c r="N50" s="6">
        <f t="shared" si="23"/>
        <v>8.0647038286981159E-4</v>
      </c>
      <c r="O50" s="11"/>
      <c r="P50" s="7">
        <v>60199.51</v>
      </c>
      <c r="Q50" s="2"/>
      <c r="R50" s="6">
        <f t="shared" si="24"/>
        <v>0</v>
      </c>
      <c r="S50" s="2"/>
      <c r="T50" s="7">
        <v>60151.000000000007</v>
      </c>
      <c r="U50" s="2"/>
      <c r="V50" s="6">
        <f t="shared" si="25"/>
        <v>300.75500000000005</v>
      </c>
      <c r="W50" s="2"/>
      <c r="X50" s="7">
        <f t="shared" si="26"/>
        <v>48.509999999994761</v>
      </c>
      <c r="Y50" s="2"/>
      <c r="Z50" s="6">
        <f t="shared" si="27"/>
        <v>8.0647038286969048E-4</v>
      </c>
    </row>
    <row r="51" spans="1:26" s="24" customFormat="1" hidden="1" outlineLevel="2" x14ac:dyDescent="0.25">
      <c r="A51" s="25"/>
      <c r="B51" s="11" t="str">
        <f>CONCATENATE("          ", "6324", " - ", "FURNITURE + FIXT DEPRECIATION")</f>
        <v xml:space="preserve">          6324 - FURNITURE + FIXT DEPRECIATION</v>
      </c>
      <c r="C51" s="11"/>
      <c r="D51" s="7"/>
      <c r="E51" s="2"/>
      <c r="F51" s="6">
        <f t="shared" si="20"/>
        <v>0</v>
      </c>
      <c r="G51" s="2"/>
      <c r="H51" s="7">
        <v>300</v>
      </c>
      <c r="I51" s="2"/>
      <c r="J51" s="6">
        <f t="shared" si="21"/>
        <v>0</v>
      </c>
      <c r="K51" s="2"/>
      <c r="L51" s="7">
        <f t="shared" si="22"/>
        <v>-300</v>
      </c>
      <c r="M51" s="2"/>
      <c r="N51" s="6">
        <f t="shared" si="23"/>
        <v>-1</v>
      </c>
      <c r="O51" s="11"/>
      <c r="P51" s="7"/>
      <c r="Q51" s="2"/>
      <c r="R51" s="6">
        <f t="shared" si="24"/>
        <v>0</v>
      </c>
      <c r="S51" s="2"/>
      <c r="T51" s="7">
        <v>483</v>
      </c>
      <c r="U51" s="2"/>
      <c r="V51" s="6">
        <f t="shared" si="25"/>
        <v>2.415</v>
      </c>
      <c r="W51" s="2"/>
      <c r="X51" s="7">
        <f t="shared" si="26"/>
        <v>-483</v>
      </c>
      <c r="Y51" s="2"/>
      <c r="Z51" s="6">
        <f t="shared" si="27"/>
        <v>-1</v>
      </c>
    </row>
    <row r="52" spans="1:26" s="27" customFormat="1" outlineLevel="1" collapsed="1" x14ac:dyDescent="0.25">
      <c r="A52" s="26"/>
      <c r="B52" s="13" t="str">
        <f>CONCATENATE("     ","Donations                                         ")</f>
        <v xml:space="preserve">     Donations                                         </v>
      </c>
      <c r="C52" s="13"/>
      <c r="D52" s="1">
        <f>SUM(OSRRefD22_6x_0)</f>
        <v>0</v>
      </c>
      <c r="E52" s="1"/>
      <c r="F52" s="5">
        <f t="shared" ref="F52:F54" si="28">IF(D$12=0,0,D52/D$12)</f>
        <v>0</v>
      </c>
      <c r="G52" s="1"/>
      <c r="H52" s="1">
        <f>SUM(OSRRefH22_6x_0)</f>
        <v>2000</v>
      </c>
      <c r="I52" s="1"/>
      <c r="J52" s="5">
        <f t="shared" ref="J52:J54" si="29">IF(H$12=0,0,H52/H$12)</f>
        <v>0</v>
      </c>
      <c r="K52" s="1"/>
      <c r="L52" s="1">
        <f t="shared" ref="L52:L54" si="30">+D52-H52</f>
        <v>-2000</v>
      </c>
      <c r="M52" s="1"/>
      <c r="N52" s="5">
        <f t="shared" ref="N52:N54" si="31">IF(H52=0,0,L52/H52)</f>
        <v>-1</v>
      </c>
      <c r="O52" s="13"/>
      <c r="P52" s="1">
        <f>SUM(OSRRefP22_6x_0)</f>
        <v>243145</v>
      </c>
      <c r="Q52" s="1"/>
      <c r="R52" s="5">
        <f t="shared" ref="R52:R54" si="32">IF(P$12=0,0,P52/P$12)</f>
        <v>0</v>
      </c>
      <c r="S52" s="1"/>
      <c r="T52" s="1">
        <f>SUM(OSRRefT22_6x_0)</f>
        <v>453800</v>
      </c>
      <c r="U52" s="1"/>
      <c r="V52" s="5">
        <f t="shared" ref="V52:V54" si="33">IF(T$12=0,0,T52/T$12)</f>
        <v>2269</v>
      </c>
      <c r="W52" s="1"/>
      <c r="X52" s="1">
        <f t="shared" ref="X52:X54" si="34">+P52-T52</f>
        <v>-210655</v>
      </c>
      <c r="Y52" s="1"/>
      <c r="Z52" s="5">
        <f t="shared" ref="Z52:Z54" si="35">IF(T52=0,0,X52/T52)</f>
        <v>-0.46420229175848393</v>
      </c>
    </row>
    <row r="53" spans="1:26" s="24" customFormat="1" hidden="1" outlineLevel="2" x14ac:dyDescent="0.25">
      <c r="A53" s="25"/>
      <c r="B53" s="11" t="str">
        <f>CONCATENATE("          ", "6395", " - ", "DONATION-OFF CAMPUS")</f>
        <v xml:space="preserve">          6395 - DONATION-OFF CAMPUS</v>
      </c>
      <c r="C53" s="11"/>
      <c r="D53" s="7"/>
      <c r="E53" s="2"/>
      <c r="F53" s="6">
        <f t="shared" si="28"/>
        <v>0</v>
      </c>
      <c r="G53" s="2"/>
      <c r="H53" s="7"/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/>
      <c r="Q53" s="2"/>
      <c r="R53" s="6">
        <f t="shared" si="32"/>
        <v>0</v>
      </c>
      <c r="S53" s="2"/>
      <c r="T53" s="7">
        <v>800</v>
      </c>
      <c r="U53" s="2"/>
      <c r="V53" s="6">
        <f t="shared" si="33"/>
        <v>4</v>
      </c>
      <c r="W53" s="2"/>
      <c r="X53" s="7">
        <f t="shared" si="34"/>
        <v>-800</v>
      </c>
      <c r="Y53" s="2"/>
      <c r="Z53" s="6">
        <f t="shared" si="35"/>
        <v>-1</v>
      </c>
    </row>
    <row r="54" spans="1:26" s="24" customFormat="1" hidden="1" outlineLevel="2" x14ac:dyDescent="0.25">
      <c r="A54" s="25"/>
      <c r="B54" s="11" t="str">
        <f>CONCATENATE("          ", "6399", " - ", "DONATION-ON CAMPUS")</f>
        <v xml:space="preserve">          6399 - DONATION-ON CAMPUS</v>
      </c>
      <c r="C54" s="11"/>
      <c r="D54" s="7"/>
      <c r="E54" s="2"/>
      <c r="F54" s="6">
        <f t="shared" si="28"/>
        <v>0</v>
      </c>
      <c r="G54" s="2"/>
      <c r="H54" s="7">
        <v>2000</v>
      </c>
      <c r="I54" s="2"/>
      <c r="J54" s="6">
        <f t="shared" si="29"/>
        <v>0</v>
      </c>
      <c r="K54" s="2"/>
      <c r="L54" s="7">
        <f t="shared" si="30"/>
        <v>-2000</v>
      </c>
      <c r="M54" s="2"/>
      <c r="N54" s="6">
        <f t="shared" si="31"/>
        <v>-1</v>
      </c>
      <c r="O54" s="11"/>
      <c r="P54" s="7">
        <v>243145</v>
      </c>
      <c r="Q54" s="2"/>
      <c r="R54" s="6">
        <f t="shared" si="32"/>
        <v>0</v>
      </c>
      <c r="S54" s="2"/>
      <c r="T54" s="7">
        <v>453000</v>
      </c>
      <c r="U54" s="2"/>
      <c r="V54" s="6">
        <f t="shared" si="33"/>
        <v>2265</v>
      </c>
      <c r="W54" s="2"/>
      <c r="X54" s="7">
        <f t="shared" si="34"/>
        <v>-209855</v>
      </c>
      <c r="Y54" s="2"/>
      <c r="Z54" s="6">
        <f t="shared" si="35"/>
        <v>-0.4632560706401766</v>
      </c>
    </row>
    <row r="55" spans="1:26" s="27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SUM(OSRRefD22_7x_0)</f>
        <v>2180.1799999999998</v>
      </c>
      <c r="E55" s="1"/>
      <c r="F55" s="5">
        <f t="shared" ref="F55:F68" si="36">IF(D$12=0,0,D55/D$12)</f>
        <v>0</v>
      </c>
      <c r="G55" s="1"/>
      <c r="H55" s="1">
        <f>SUM(OSRRefH22_7x_0)</f>
        <v>4408</v>
      </c>
      <c r="I55" s="1"/>
      <c r="J55" s="5">
        <f t="shared" ref="J55:J68" si="37">IF(H$12=0,0,H55/H$12)</f>
        <v>0</v>
      </c>
      <c r="K55" s="1"/>
      <c r="L55" s="1">
        <f t="shared" ref="L55:L68" si="38">+D55-H55</f>
        <v>-2227.8200000000002</v>
      </c>
      <c r="M55" s="1"/>
      <c r="N55" s="5">
        <f t="shared" ref="N55:N68" si="39">IF(H55=0,0,L55/H55)</f>
        <v>-0.50540381125226863</v>
      </c>
      <c r="O55" s="13"/>
      <c r="P55" s="1">
        <f>SUM(OSRRefP22_7x_0)</f>
        <v>27018.04</v>
      </c>
      <c r="Q55" s="1"/>
      <c r="R55" s="5">
        <f t="shared" ref="R55:R68" si="40">IF(P$12=0,0,P55/P$12)</f>
        <v>0</v>
      </c>
      <c r="S55" s="1"/>
      <c r="T55" s="1">
        <f>SUM(OSRRefT22_7x_0)</f>
        <v>36356</v>
      </c>
      <c r="U55" s="1"/>
      <c r="V55" s="5">
        <f t="shared" ref="V55:V68" si="41">IF(T$12=0,0,T55/T$12)</f>
        <v>181.78</v>
      </c>
      <c r="W55" s="1"/>
      <c r="X55" s="1">
        <f t="shared" ref="X55:X68" si="42">+P55-T55</f>
        <v>-9337.9599999999991</v>
      </c>
      <c r="Y55" s="1"/>
      <c r="Z55" s="5">
        <f t="shared" ref="Z55:Z68" si="43">IF(T55=0,0,X55/T55)</f>
        <v>-0.25684783804598965</v>
      </c>
    </row>
    <row r="56" spans="1:26" s="24" customFormat="1" hidden="1" outlineLevel="2" x14ac:dyDescent="0.25">
      <c r="A56" s="25"/>
      <c r="B56" s="11" t="str">
        <f>CONCATENATE("          ", "6277", " - ", "EMPLOYEE APPRECIATION")</f>
        <v xml:space="preserve">          6277 - EMPLOYEE APPRECIATION</v>
      </c>
      <c r="C56" s="11"/>
      <c r="D56" s="7">
        <v>2180.1799999999998</v>
      </c>
      <c r="E56" s="2"/>
      <c r="F56" s="6">
        <f t="shared" si="36"/>
        <v>0</v>
      </c>
      <c r="G56" s="2"/>
      <c r="H56" s="7">
        <v>4408</v>
      </c>
      <c r="I56" s="2"/>
      <c r="J56" s="6">
        <f t="shared" si="37"/>
        <v>0</v>
      </c>
      <c r="K56" s="2"/>
      <c r="L56" s="7">
        <f t="shared" si="38"/>
        <v>-2227.8200000000002</v>
      </c>
      <c r="M56" s="2"/>
      <c r="N56" s="6">
        <f t="shared" si="39"/>
        <v>-0.50540381125226863</v>
      </c>
      <c r="O56" s="11"/>
      <c r="P56" s="7">
        <v>27018.04</v>
      </c>
      <c r="Q56" s="2"/>
      <c r="R56" s="6">
        <f t="shared" si="40"/>
        <v>0</v>
      </c>
      <c r="S56" s="2"/>
      <c r="T56" s="7">
        <v>36356</v>
      </c>
      <c r="U56" s="2"/>
      <c r="V56" s="6">
        <f t="shared" si="41"/>
        <v>181.78</v>
      </c>
      <c r="W56" s="2"/>
      <c r="X56" s="7">
        <f t="shared" si="42"/>
        <v>-9337.9599999999991</v>
      </c>
      <c r="Y56" s="2"/>
      <c r="Z56" s="6">
        <f t="shared" si="43"/>
        <v>-0.25684783804598965</v>
      </c>
    </row>
    <row r="57" spans="1:26" s="27" customFormat="1" outlineLevel="1" collapsed="1" x14ac:dyDescent="0.25">
      <c r="A57" s="26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SUM(OSRRefD22_8x_0)</f>
        <v>208.98</v>
      </c>
      <c r="E57" s="1"/>
      <c r="F57" s="5">
        <f t="shared" si="36"/>
        <v>0</v>
      </c>
      <c r="G57" s="1"/>
      <c r="H57" s="1">
        <f>SUM(OSRRefH22_8x_0)</f>
        <v>299</v>
      </c>
      <c r="I57" s="1"/>
      <c r="J57" s="5">
        <f t="shared" si="37"/>
        <v>0</v>
      </c>
      <c r="K57" s="1"/>
      <c r="L57" s="1">
        <f t="shared" si="38"/>
        <v>-90.02000000000001</v>
      </c>
      <c r="M57" s="1"/>
      <c r="N57" s="5">
        <f t="shared" si="39"/>
        <v>-0.30107023411371242</v>
      </c>
      <c r="O57" s="13"/>
      <c r="P57" s="1">
        <f>SUM(OSRRefP22_8x_0)</f>
        <v>1736.64</v>
      </c>
      <c r="Q57" s="1"/>
      <c r="R57" s="5">
        <f t="shared" si="40"/>
        <v>0</v>
      </c>
      <c r="S57" s="1"/>
      <c r="T57" s="1">
        <f>SUM(OSRRefT22_8x_0)</f>
        <v>2003</v>
      </c>
      <c r="U57" s="1"/>
      <c r="V57" s="5">
        <f t="shared" si="41"/>
        <v>10.015000000000001</v>
      </c>
      <c r="W57" s="1"/>
      <c r="X57" s="1">
        <f t="shared" si="42"/>
        <v>-266.3599999999999</v>
      </c>
      <c r="Y57" s="1"/>
      <c r="Z57" s="5">
        <f t="shared" si="43"/>
        <v>-0.13298052920619066</v>
      </c>
    </row>
    <row r="58" spans="1:26" s="24" customFormat="1" hidden="1" outlineLevel="2" x14ac:dyDescent="0.25">
      <c r="A58" s="25"/>
      <c r="B58" s="11" t="str">
        <f>CONCATENATE("          ", "6351", " - ", "EQUIPMENT RENTAL")</f>
        <v xml:space="preserve">          6351 - EQUIPMENT RENTAL</v>
      </c>
      <c r="C58" s="11"/>
      <c r="D58" s="7">
        <v>208.98</v>
      </c>
      <c r="E58" s="2"/>
      <c r="F58" s="6">
        <f t="shared" si="36"/>
        <v>0</v>
      </c>
      <c r="G58" s="2"/>
      <c r="H58" s="7">
        <v>299</v>
      </c>
      <c r="I58" s="2"/>
      <c r="J58" s="6">
        <f t="shared" si="37"/>
        <v>0</v>
      </c>
      <c r="K58" s="2"/>
      <c r="L58" s="7">
        <f t="shared" si="38"/>
        <v>-90.02000000000001</v>
      </c>
      <c r="M58" s="2"/>
      <c r="N58" s="6">
        <f t="shared" si="39"/>
        <v>-0.30107023411371242</v>
      </c>
      <c r="O58" s="11"/>
      <c r="P58" s="7">
        <v>1736.64</v>
      </c>
      <c r="Q58" s="2"/>
      <c r="R58" s="6">
        <f t="shared" si="40"/>
        <v>0</v>
      </c>
      <c r="S58" s="2"/>
      <c r="T58" s="7">
        <v>2003</v>
      </c>
      <c r="U58" s="2"/>
      <c r="V58" s="6">
        <f t="shared" si="41"/>
        <v>10.015000000000001</v>
      </c>
      <c r="W58" s="2"/>
      <c r="X58" s="7">
        <f t="shared" si="42"/>
        <v>-266.3599999999999</v>
      </c>
      <c r="Y58" s="2"/>
      <c r="Z58" s="6">
        <f t="shared" si="43"/>
        <v>-0.13298052920619066</v>
      </c>
    </row>
    <row r="59" spans="1:26" s="27" customFormat="1" outlineLevel="1" collapsed="1" x14ac:dyDescent="0.25">
      <c r="A59" s="26"/>
      <c r="B59" s="13" t="str">
        <f>CONCATENATE("     ","Freight out/Postage                               ")</f>
        <v xml:space="preserve">     Freight out/Postage                               </v>
      </c>
      <c r="C59" s="13"/>
      <c r="D59" s="1">
        <f>SUM(OSRRefD22_9x_0)</f>
        <v>691.6</v>
      </c>
      <c r="E59" s="1"/>
      <c r="F59" s="5">
        <f t="shared" si="36"/>
        <v>0</v>
      </c>
      <c r="G59" s="1"/>
      <c r="H59" s="1">
        <f>SUM(OSRRefH22_9x_0)</f>
        <v>245</v>
      </c>
      <c r="I59" s="1"/>
      <c r="J59" s="5">
        <f t="shared" si="37"/>
        <v>0</v>
      </c>
      <c r="K59" s="1"/>
      <c r="L59" s="1">
        <f t="shared" si="38"/>
        <v>446.6</v>
      </c>
      <c r="M59" s="1"/>
      <c r="N59" s="5">
        <f t="shared" si="39"/>
        <v>1.822857142857143</v>
      </c>
      <c r="O59" s="13"/>
      <c r="P59" s="1">
        <f>SUM(OSRRefP22_9x_0)</f>
        <v>1856.5</v>
      </c>
      <c r="Q59" s="1"/>
      <c r="R59" s="5">
        <f t="shared" si="40"/>
        <v>0</v>
      </c>
      <c r="S59" s="1"/>
      <c r="T59" s="1">
        <f>SUM(OSRRefT22_9x_0)</f>
        <v>1620</v>
      </c>
      <c r="U59" s="1"/>
      <c r="V59" s="5">
        <f t="shared" si="41"/>
        <v>8.1</v>
      </c>
      <c r="W59" s="1"/>
      <c r="X59" s="1">
        <f t="shared" si="42"/>
        <v>236.5</v>
      </c>
      <c r="Y59" s="1"/>
      <c r="Z59" s="5">
        <f t="shared" si="43"/>
        <v>0.14598765432098765</v>
      </c>
    </row>
    <row r="60" spans="1:26" s="24" customFormat="1" hidden="1" outlineLevel="2" x14ac:dyDescent="0.25">
      <c r="A60" s="25"/>
      <c r="B60" s="11" t="str">
        <f>CONCATENATE("          ", "6307", " - ", "POSTAGE")</f>
        <v xml:space="preserve">          6307 - POSTAGE</v>
      </c>
      <c r="C60" s="11"/>
      <c r="D60" s="7">
        <v>691.6</v>
      </c>
      <c r="E60" s="2"/>
      <c r="F60" s="6">
        <f t="shared" si="36"/>
        <v>0</v>
      </c>
      <c r="G60" s="2"/>
      <c r="H60" s="7">
        <v>245</v>
      </c>
      <c r="I60" s="2"/>
      <c r="J60" s="6">
        <f t="shared" si="37"/>
        <v>0</v>
      </c>
      <c r="K60" s="2"/>
      <c r="L60" s="7">
        <f t="shared" si="38"/>
        <v>446.6</v>
      </c>
      <c r="M60" s="2"/>
      <c r="N60" s="6">
        <f t="shared" si="39"/>
        <v>1.822857142857143</v>
      </c>
      <c r="O60" s="11"/>
      <c r="P60" s="7">
        <v>1856.5</v>
      </c>
      <c r="Q60" s="2"/>
      <c r="R60" s="6">
        <f t="shared" si="40"/>
        <v>0</v>
      </c>
      <c r="S60" s="2"/>
      <c r="T60" s="7">
        <v>1620</v>
      </c>
      <c r="U60" s="2"/>
      <c r="V60" s="6">
        <f t="shared" si="41"/>
        <v>8.1</v>
      </c>
      <c r="W60" s="2"/>
      <c r="X60" s="7">
        <f t="shared" si="42"/>
        <v>236.5</v>
      </c>
      <c r="Y60" s="2"/>
      <c r="Z60" s="6">
        <f t="shared" si="43"/>
        <v>0.14598765432098765</v>
      </c>
    </row>
    <row r="61" spans="1:26" s="27" customFormat="1" outlineLevel="1" collapsed="1" x14ac:dyDescent="0.25">
      <c r="A61" s="26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SUM(OSRRefD22_10x_0)</f>
        <v>173.21</v>
      </c>
      <c r="E61" s="1"/>
      <c r="F61" s="5">
        <f t="shared" si="36"/>
        <v>0</v>
      </c>
      <c r="G61" s="1"/>
      <c r="H61" s="1">
        <f>SUM(OSRRefH22_10x_0)</f>
        <v>-85</v>
      </c>
      <c r="I61" s="1"/>
      <c r="J61" s="5">
        <f t="shared" si="37"/>
        <v>0</v>
      </c>
      <c r="K61" s="1"/>
      <c r="L61" s="1">
        <f t="shared" si="38"/>
        <v>258.21000000000004</v>
      </c>
      <c r="M61" s="1"/>
      <c r="N61" s="5">
        <f t="shared" si="39"/>
        <v>-3.0377647058823536</v>
      </c>
      <c r="O61" s="13"/>
      <c r="P61" s="1">
        <f>SUM(OSRRefP22_10x_0)</f>
        <v>12808.64</v>
      </c>
      <c r="Q61" s="1"/>
      <c r="R61" s="5">
        <f t="shared" si="40"/>
        <v>0</v>
      </c>
      <c r="S61" s="1"/>
      <c r="T61" s="1">
        <f>SUM(OSRRefT22_10x_0)</f>
        <v>4015</v>
      </c>
      <c r="U61" s="1"/>
      <c r="V61" s="5">
        <f t="shared" si="41"/>
        <v>20.074999999999999</v>
      </c>
      <c r="W61" s="1"/>
      <c r="X61" s="1">
        <f t="shared" si="42"/>
        <v>8793.64</v>
      </c>
      <c r="Y61" s="1"/>
      <c r="Z61" s="5">
        <f t="shared" si="43"/>
        <v>2.1901967621419676</v>
      </c>
    </row>
    <row r="62" spans="1:26" s="24" customFormat="1" hidden="1" outlineLevel="2" x14ac:dyDescent="0.25">
      <c r="A62" s="25"/>
      <c r="B62" s="11" t="str">
        <f>CONCATENATE("          ", "6279", " - ", "GENERAL EXPENSE")</f>
        <v xml:space="preserve">          6279 - GENERAL EXPENSE</v>
      </c>
      <c r="C62" s="11"/>
      <c r="D62" s="7">
        <v>173.21</v>
      </c>
      <c r="E62" s="2"/>
      <c r="F62" s="6">
        <f t="shared" si="36"/>
        <v>0</v>
      </c>
      <c r="G62" s="2"/>
      <c r="H62" s="7">
        <v>-85</v>
      </c>
      <c r="I62" s="2"/>
      <c r="J62" s="6">
        <f t="shared" si="37"/>
        <v>0</v>
      </c>
      <c r="K62" s="2"/>
      <c r="L62" s="7">
        <f t="shared" si="38"/>
        <v>258.21000000000004</v>
      </c>
      <c r="M62" s="2"/>
      <c r="N62" s="6">
        <f t="shared" si="39"/>
        <v>-3.0377647058823536</v>
      </c>
      <c r="O62" s="11"/>
      <c r="P62" s="7">
        <v>12808.64</v>
      </c>
      <c r="Q62" s="2"/>
      <c r="R62" s="6">
        <f t="shared" si="40"/>
        <v>0</v>
      </c>
      <c r="S62" s="2"/>
      <c r="T62" s="7">
        <v>4015</v>
      </c>
      <c r="U62" s="2"/>
      <c r="V62" s="6">
        <f t="shared" si="41"/>
        <v>20.074999999999999</v>
      </c>
      <c r="W62" s="2"/>
      <c r="X62" s="7">
        <f t="shared" si="42"/>
        <v>8793.64</v>
      </c>
      <c r="Y62" s="2"/>
      <c r="Z62" s="6">
        <f t="shared" si="43"/>
        <v>2.1901967621419676</v>
      </c>
    </row>
    <row r="63" spans="1:26" s="27" customFormat="1" outlineLevel="1" collapsed="1" x14ac:dyDescent="0.25">
      <c r="A63" s="26"/>
      <c r="B63" s="13" t="str">
        <f>CONCATENATE("     ","Insurance                                         ")</f>
        <v xml:space="preserve">     Insurance                                         </v>
      </c>
      <c r="C63" s="13"/>
      <c r="D63" s="1">
        <f>SUM(OSRRefD22_11x_0)</f>
        <v>393.67</v>
      </c>
      <c r="E63" s="1"/>
      <c r="F63" s="5">
        <f t="shared" si="36"/>
        <v>0</v>
      </c>
      <c r="G63" s="1"/>
      <c r="H63" s="1">
        <f>SUM(OSRRefH22_11x_0)</f>
        <v>380</v>
      </c>
      <c r="I63" s="1"/>
      <c r="J63" s="5">
        <f t="shared" si="37"/>
        <v>0</v>
      </c>
      <c r="K63" s="1"/>
      <c r="L63" s="1">
        <f t="shared" si="38"/>
        <v>13.670000000000016</v>
      </c>
      <c r="M63" s="1"/>
      <c r="N63" s="5">
        <f t="shared" si="39"/>
        <v>3.5973684210526359E-2</v>
      </c>
      <c r="O63" s="13"/>
      <c r="P63" s="1">
        <f>SUM(OSRRefP22_11x_0)</f>
        <v>2755.69</v>
      </c>
      <c r="Q63" s="1"/>
      <c r="R63" s="5">
        <f t="shared" si="40"/>
        <v>0</v>
      </c>
      <c r="S63" s="1"/>
      <c r="T63" s="1">
        <f>SUM(OSRRefT22_11x_0)</f>
        <v>2660</v>
      </c>
      <c r="U63" s="1"/>
      <c r="V63" s="5">
        <f t="shared" si="41"/>
        <v>13.3</v>
      </c>
      <c r="W63" s="1"/>
      <c r="X63" s="1">
        <f t="shared" si="42"/>
        <v>95.690000000000055</v>
      </c>
      <c r="Y63" s="1"/>
      <c r="Z63" s="5">
        <f t="shared" si="43"/>
        <v>3.5973684210526338E-2</v>
      </c>
    </row>
    <row r="64" spans="1:26" s="24" customFormat="1" hidden="1" outlineLevel="2" x14ac:dyDescent="0.25">
      <c r="A64" s="25"/>
      <c r="B64" s="11" t="str">
        <f>CONCATENATE("          ", "6314", " - ", "LIABILITY INSURANCE")</f>
        <v xml:space="preserve">          6314 - LIABILITY INSURANCE</v>
      </c>
      <c r="C64" s="11"/>
      <c r="D64" s="7">
        <v>393.67</v>
      </c>
      <c r="E64" s="2"/>
      <c r="F64" s="6">
        <f t="shared" si="36"/>
        <v>0</v>
      </c>
      <c r="G64" s="2"/>
      <c r="H64" s="7">
        <v>380</v>
      </c>
      <c r="I64" s="2"/>
      <c r="J64" s="6">
        <f t="shared" si="37"/>
        <v>0</v>
      </c>
      <c r="K64" s="2"/>
      <c r="L64" s="7">
        <f t="shared" si="38"/>
        <v>13.670000000000016</v>
      </c>
      <c r="M64" s="2"/>
      <c r="N64" s="6">
        <f t="shared" si="39"/>
        <v>3.5973684210526359E-2</v>
      </c>
      <c r="O64" s="11"/>
      <c r="P64" s="7">
        <v>2755.69</v>
      </c>
      <c r="Q64" s="2"/>
      <c r="R64" s="6">
        <f t="shared" si="40"/>
        <v>0</v>
      </c>
      <c r="S64" s="2"/>
      <c r="T64" s="7">
        <v>2660</v>
      </c>
      <c r="U64" s="2"/>
      <c r="V64" s="6">
        <f t="shared" si="41"/>
        <v>13.3</v>
      </c>
      <c r="W64" s="2"/>
      <c r="X64" s="7">
        <f t="shared" si="42"/>
        <v>95.690000000000055</v>
      </c>
      <c r="Y64" s="2"/>
      <c r="Z64" s="6">
        <f t="shared" si="43"/>
        <v>3.5973684210526338E-2</v>
      </c>
    </row>
    <row r="65" spans="1:26" s="27" customFormat="1" outlineLevel="1" collapsed="1" x14ac:dyDescent="0.25">
      <c r="A65" s="26"/>
      <c r="B65" s="13" t="str">
        <f>CONCATENATE("     ","Interest                                          ")</f>
        <v xml:space="preserve">     Interest                                          </v>
      </c>
      <c r="C65" s="13"/>
      <c r="D65" s="1">
        <f>SUM(OSRRefD22_12x_0)</f>
        <v>0</v>
      </c>
      <c r="E65" s="1"/>
      <c r="F65" s="5">
        <f t="shared" si="36"/>
        <v>0</v>
      </c>
      <c r="G65" s="1"/>
      <c r="H65" s="1">
        <f>SUM(OSRRefH22_12x_0)</f>
        <v>0</v>
      </c>
      <c r="I65" s="1"/>
      <c r="J65" s="5">
        <f t="shared" si="37"/>
        <v>0</v>
      </c>
      <c r="K65" s="1"/>
      <c r="L65" s="1">
        <f t="shared" si="38"/>
        <v>0</v>
      </c>
      <c r="M65" s="1"/>
      <c r="N65" s="5">
        <f t="shared" si="39"/>
        <v>0</v>
      </c>
      <c r="O65" s="13"/>
      <c r="P65" s="1">
        <f>SUM(OSRRefP22_12x_0)</f>
        <v>0</v>
      </c>
      <c r="Q65" s="1"/>
      <c r="R65" s="5">
        <f t="shared" si="40"/>
        <v>0</v>
      </c>
      <c r="S65" s="1"/>
      <c r="T65" s="1">
        <f>SUM(OSRRefT22_12x_0)</f>
        <v>0</v>
      </c>
      <c r="U65" s="1"/>
      <c r="V65" s="5">
        <f t="shared" si="41"/>
        <v>0</v>
      </c>
      <c r="W65" s="1"/>
      <c r="X65" s="1">
        <f t="shared" si="42"/>
        <v>0</v>
      </c>
      <c r="Y65" s="1"/>
      <c r="Z65" s="5">
        <f t="shared" si="43"/>
        <v>0</v>
      </c>
    </row>
    <row r="66" spans="1:26" s="24" customFormat="1" hidden="1" outlineLevel="2" x14ac:dyDescent="0.25">
      <c r="A66" s="25"/>
      <c r="B66" s="11" t="str">
        <f>CONCATENATE("          ", "6401", " - ", "INTEREST EXPENSE")</f>
        <v xml:space="preserve">          6401 - INTEREST EXPENSE</v>
      </c>
      <c r="C66" s="11"/>
      <c r="D66" s="7"/>
      <c r="E66" s="2"/>
      <c r="F66" s="6">
        <f t="shared" si="36"/>
        <v>0</v>
      </c>
      <c r="G66" s="2"/>
      <c r="H66" s="7">
        <v>0</v>
      </c>
      <c r="I66" s="2"/>
      <c r="J66" s="6">
        <f t="shared" si="37"/>
        <v>0</v>
      </c>
      <c r="K66" s="2"/>
      <c r="L66" s="7">
        <f t="shared" si="38"/>
        <v>0</v>
      </c>
      <c r="M66" s="2"/>
      <c r="N66" s="6">
        <f t="shared" si="39"/>
        <v>0</v>
      </c>
      <c r="O66" s="11"/>
      <c r="P66" s="7"/>
      <c r="Q66" s="2"/>
      <c r="R66" s="6">
        <f t="shared" si="40"/>
        <v>0</v>
      </c>
      <c r="S66" s="2"/>
      <c r="T66" s="7">
        <v>0</v>
      </c>
      <c r="U66" s="2"/>
      <c r="V66" s="6">
        <f t="shared" si="41"/>
        <v>0</v>
      </c>
      <c r="W66" s="2"/>
      <c r="X66" s="7">
        <f t="shared" si="42"/>
        <v>0</v>
      </c>
      <c r="Y66" s="2"/>
      <c r="Z66" s="6">
        <f t="shared" si="43"/>
        <v>0</v>
      </c>
    </row>
    <row r="67" spans="1:26" s="24" customFormat="1" hidden="1" outlineLevel="2" x14ac:dyDescent="0.25">
      <c r="A67" s="25"/>
      <c r="B67" s="11" t="str">
        <f>CONCATENATE("          ", "6402", " - ", "INTEREST EXPENSE BOND ISSUANCE")</f>
        <v xml:space="preserve">          6402 - INTEREST EXPENSE BOND ISSUANCE</v>
      </c>
      <c r="C67" s="11"/>
      <c r="D67" s="7"/>
      <c r="E67" s="2"/>
      <c r="F67" s="6">
        <f t="shared" si="36"/>
        <v>0</v>
      </c>
      <c r="G67" s="2"/>
      <c r="H67" s="7">
        <v>0</v>
      </c>
      <c r="I67" s="2"/>
      <c r="J67" s="6">
        <f t="shared" si="37"/>
        <v>0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/>
      <c r="Q67" s="2"/>
      <c r="R67" s="6">
        <f t="shared" si="40"/>
        <v>0</v>
      </c>
      <c r="S67" s="2"/>
      <c r="T67" s="7">
        <v>0</v>
      </c>
      <c r="U67" s="2"/>
      <c r="V67" s="6">
        <f t="shared" si="41"/>
        <v>0</v>
      </c>
      <c r="W67" s="2"/>
      <c r="X67" s="7">
        <f t="shared" si="42"/>
        <v>0</v>
      </c>
      <c r="Y67" s="2"/>
      <c r="Z67" s="6">
        <f t="shared" si="43"/>
        <v>0</v>
      </c>
    </row>
    <row r="68" spans="1:26" s="24" customFormat="1" hidden="1" outlineLevel="2" x14ac:dyDescent="0.25">
      <c r="A68" s="25"/>
      <c r="B68" s="11" t="str">
        <f>CONCATENATE("          ", "6403", " - ", "INTEREST EXPENSE LEASE EQUIP")</f>
        <v xml:space="preserve">          6403 - INTEREST EXPENSE LEASE EQUIP</v>
      </c>
      <c r="C68" s="11"/>
      <c r="D68" s="7"/>
      <c r="E68" s="2"/>
      <c r="F68" s="6">
        <f t="shared" si="36"/>
        <v>0</v>
      </c>
      <c r="G68" s="2"/>
      <c r="H68" s="7">
        <v>0</v>
      </c>
      <c r="I68" s="2"/>
      <c r="J68" s="6">
        <f t="shared" si="37"/>
        <v>0</v>
      </c>
      <c r="K68" s="2"/>
      <c r="L68" s="7">
        <f t="shared" si="38"/>
        <v>0</v>
      </c>
      <c r="M68" s="2"/>
      <c r="N68" s="6">
        <f t="shared" si="39"/>
        <v>0</v>
      </c>
      <c r="O68" s="11"/>
      <c r="P68" s="7"/>
      <c r="Q68" s="2"/>
      <c r="R68" s="6">
        <f t="shared" si="40"/>
        <v>0</v>
      </c>
      <c r="S68" s="2"/>
      <c r="T68" s="7">
        <v>0</v>
      </c>
      <c r="U68" s="2"/>
      <c r="V68" s="6">
        <f t="shared" si="41"/>
        <v>0</v>
      </c>
      <c r="W68" s="2"/>
      <c r="X68" s="7">
        <f t="shared" si="42"/>
        <v>0</v>
      </c>
      <c r="Y68" s="2"/>
      <c r="Z68" s="6">
        <f t="shared" si="43"/>
        <v>0</v>
      </c>
    </row>
    <row r="69" spans="1:26" s="27" customFormat="1" outlineLevel="1" collapsed="1" x14ac:dyDescent="0.25">
      <c r="A69" s="26"/>
      <c r="B69" s="13" t="str">
        <f>CONCATENATE("     ","Professional Services                             ")</f>
        <v xml:space="preserve">     Professional Services                             </v>
      </c>
      <c r="C69" s="13"/>
      <c r="D69" s="1">
        <f>SUM(OSRRefD22_13x_0)</f>
        <v>12008.95</v>
      </c>
      <c r="E69" s="1"/>
      <c r="F69" s="5">
        <f t="shared" ref="F69:F73" si="44">IF(D$12=0,0,D69/D$12)</f>
        <v>0</v>
      </c>
      <c r="G69" s="1"/>
      <c r="H69" s="1">
        <f>SUM(OSRRefH22_13x_0)</f>
        <v>18933</v>
      </c>
      <c r="I69" s="1"/>
      <c r="J69" s="5">
        <f t="shared" ref="J69:J73" si="45">IF(H$12=0,0,H69/H$12)</f>
        <v>0</v>
      </c>
      <c r="K69" s="1"/>
      <c r="L69" s="1">
        <f t="shared" ref="L69:L73" si="46">+D69-H69</f>
        <v>-6924.0499999999993</v>
      </c>
      <c r="M69" s="1"/>
      <c r="N69" s="5">
        <f t="shared" ref="N69:N73" si="47">IF(H69=0,0,L69/H69)</f>
        <v>-0.36571330481170439</v>
      </c>
      <c r="O69" s="13"/>
      <c r="P69" s="1">
        <f>SUM(OSRRefP22_13x_0)</f>
        <v>156046.72999999998</v>
      </c>
      <c r="Q69" s="1"/>
      <c r="R69" s="5">
        <f t="shared" ref="R69:R73" si="48">IF(P$12=0,0,P69/P$12)</f>
        <v>0</v>
      </c>
      <c r="S69" s="1"/>
      <c r="T69" s="1">
        <f>SUM(OSRRefT22_13x_0)</f>
        <v>154731</v>
      </c>
      <c r="U69" s="1"/>
      <c r="V69" s="5">
        <f t="shared" ref="V69:V73" si="49">IF(T$12=0,0,T69/T$12)</f>
        <v>773.65499999999997</v>
      </c>
      <c r="W69" s="1"/>
      <c r="X69" s="1">
        <f t="shared" ref="X69:X73" si="50">+P69-T69</f>
        <v>1315.7299999999814</v>
      </c>
      <c r="Y69" s="1"/>
      <c r="Z69" s="5">
        <f t="shared" ref="Z69:Z73" si="51">IF(T69=0,0,X69/T69)</f>
        <v>8.503338051198411E-3</v>
      </c>
    </row>
    <row r="70" spans="1:26" s="24" customFormat="1" hidden="1" outlineLevel="2" x14ac:dyDescent="0.25">
      <c r="A70" s="25"/>
      <c r="B70" s="11" t="str">
        <f>CONCATENATE("          ", "6331", " - ", "INDIRECT COSTS-AUXILIARY ORGAN")</f>
        <v xml:space="preserve">          6331 - INDIRECT COSTS-AUXILIARY ORGAN</v>
      </c>
      <c r="C70" s="11"/>
      <c r="D70" s="7">
        <v>11487</v>
      </c>
      <c r="E70" s="2"/>
      <c r="F70" s="6">
        <f t="shared" si="44"/>
        <v>0</v>
      </c>
      <c r="G70" s="2"/>
      <c r="H70" s="7">
        <v>17500</v>
      </c>
      <c r="I70" s="2"/>
      <c r="J70" s="6">
        <f t="shared" si="45"/>
        <v>0</v>
      </c>
      <c r="K70" s="2"/>
      <c r="L70" s="7">
        <f t="shared" si="46"/>
        <v>-6013</v>
      </c>
      <c r="M70" s="2"/>
      <c r="N70" s="6">
        <f t="shared" si="47"/>
        <v>-0.34360000000000002</v>
      </c>
      <c r="O70" s="11"/>
      <c r="P70" s="7">
        <v>80236</v>
      </c>
      <c r="Q70" s="2"/>
      <c r="R70" s="6">
        <f t="shared" si="48"/>
        <v>0</v>
      </c>
      <c r="S70" s="2"/>
      <c r="T70" s="7">
        <v>82500</v>
      </c>
      <c r="U70" s="2"/>
      <c r="V70" s="6">
        <f t="shared" si="49"/>
        <v>412.5</v>
      </c>
      <c r="W70" s="2"/>
      <c r="X70" s="7">
        <f t="shared" si="50"/>
        <v>-2264</v>
      </c>
      <c r="Y70" s="2"/>
      <c r="Z70" s="6">
        <f t="shared" si="51"/>
        <v>-2.7442424242424244E-2</v>
      </c>
    </row>
    <row r="71" spans="1:26" s="24" customFormat="1" hidden="1" outlineLevel="2" x14ac:dyDescent="0.25">
      <c r="A71" s="25"/>
      <c r="B71" s="11" t="str">
        <f>CONCATENATE("          ", "6332", " - ", "CONSULTANT FEES")</f>
        <v xml:space="preserve">          6332 - CONSULTANT FEES</v>
      </c>
      <c r="C71" s="11"/>
      <c r="D71" s="7"/>
      <c r="E71" s="2"/>
      <c r="F71" s="6">
        <f t="shared" si="44"/>
        <v>0</v>
      </c>
      <c r="G71" s="2"/>
      <c r="H71" s="7">
        <v>600</v>
      </c>
      <c r="I71" s="2"/>
      <c r="J71" s="6">
        <f t="shared" si="45"/>
        <v>0</v>
      </c>
      <c r="K71" s="2"/>
      <c r="L71" s="7">
        <f t="shared" si="46"/>
        <v>-600</v>
      </c>
      <c r="M71" s="2"/>
      <c r="N71" s="6">
        <f t="shared" si="47"/>
        <v>-1</v>
      </c>
      <c r="O71" s="11"/>
      <c r="P71" s="7">
        <v>15144.74</v>
      </c>
      <c r="Q71" s="2"/>
      <c r="R71" s="6">
        <f t="shared" si="48"/>
        <v>0</v>
      </c>
      <c r="S71" s="2"/>
      <c r="T71" s="7">
        <v>22200</v>
      </c>
      <c r="U71" s="2"/>
      <c r="V71" s="6">
        <f t="shared" si="49"/>
        <v>111</v>
      </c>
      <c r="W71" s="2"/>
      <c r="X71" s="7">
        <f t="shared" si="50"/>
        <v>-7055.26</v>
      </c>
      <c r="Y71" s="2"/>
      <c r="Z71" s="6">
        <f t="shared" si="51"/>
        <v>-0.31780450450450454</v>
      </c>
    </row>
    <row r="72" spans="1:26" s="24" customFormat="1" hidden="1" outlineLevel="2" x14ac:dyDescent="0.25">
      <c r="A72" s="25"/>
      <c r="B72" s="11" t="str">
        <f>CONCATENATE("          ", "6334", " - ", "LEGAL COUNCIL EXPENSE")</f>
        <v xml:space="preserve">          6334 - LEGAL COUNCIL EXPENSE</v>
      </c>
      <c r="C72" s="11"/>
      <c r="D72" s="7"/>
      <c r="E72" s="2"/>
      <c r="F72" s="6">
        <f t="shared" si="44"/>
        <v>0</v>
      </c>
      <c r="G72" s="2"/>
      <c r="H72" s="7">
        <v>833</v>
      </c>
      <c r="I72" s="2"/>
      <c r="J72" s="6">
        <f t="shared" si="45"/>
        <v>0</v>
      </c>
      <c r="K72" s="2"/>
      <c r="L72" s="7">
        <f t="shared" si="46"/>
        <v>-833</v>
      </c>
      <c r="M72" s="2"/>
      <c r="N72" s="6">
        <f t="shared" si="47"/>
        <v>-1</v>
      </c>
      <c r="O72" s="11"/>
      <c r="P72" s="7">
        <v>38300</v>
      </c>
      <c r="Q72" s="2"/>
      <c r="R72" s="6">
        <f t="shared" si="48"/>
        <v>0</v>
      </c>
      <c r="S72" s="2"/>
      <c r="T72" s="7">
        <v>8531</v>
      </c>
      <c r="U72" s="2"/>
      <c r="V72" s="6">
        <f t="shared" si="49"/>
        <v>42.655000000000001</v>
      </c>
      <c r="W72" s="2"/>
      <c r="X72" s="7">
        <f t="shared" si="50"/>
        <v>29769</v>
      </c>
      <c r="Y72" s="2"/>
      <c r="Z72" s="6">
        <f t="shared" si="51"/>
        <v>3.4895088500761928</v>
      </c>
    </row>
    <row r="73" spans="1:26" s="24" customFormat="1" hidden="1" outlineLevel="2" x14ac:dyDescent="0.25">
      <c r="A73" s="25"/>
      <c r="B73" s="11" t="str">
        <f>CONCATENATE("          ", "6336", " - ", "PROFESSIONAL SERVICES")</f>
        <v xml:space="preserve">          6336 - PROFESSIONAL SERVICES</v>
      </c>
      <c r="C73" s="11"/>
      <c r="D73" s="7">
        <v>521.95000000000005</v>
      </c>
      <c r="E73" s="2"/>
      <c r="F73" s="6">
        <f t="shared" si="44"/>
        <v>0</v>
      </c>
      <c r="G73" s="2"/>
      <c r="H73" s="7">
        <v>0</v>
      </c>
      <c r="I73" s="2"/>
      <c r="J73" s="6">
        <f t="shared" si="45"/>
        <v>0</v>
      </c>
      <c r="K73" s="2"/>
      <c r="L73" s="7">
        <f t="shared" si="46"/>
        <v>521.95000000000005</v>
      </c>
      <c r="M73" s="2"/>
      <c r="N73" s="6">
        <f t="shared" si="47"/>
        <v>0</v>
      </c>
      <c r="O73" s="11"/>
      <c r="P73" s="7">
        <v>22365.99</v>
      </c>
      <c r="Q73" s="2"/>
      <c r="R73" s="6">
        <f t="shared" si="48"/>
        <v>0</v>
      </c>
      <c r="S73" s="2"/>
      <c r="T73" s="7">
        <v>41500</v>
      </c>
      <c r="U73" s="2"/>
      <c r="V73" s="6">
        <f t="shared" si="49"/>
        <v>207.5</v>
      </c>
      <c r="W73" s="2"/>
      <c r="X73" s="7">
        <f t="shared" si="50"/>
        <v>-19134.009999999998</v>
      </c>
      <c r="Y73" s="2"/>
      <c r="Z73" s="6">
        <f t="shared" si="51"/>
        <v>-0.46106048192771082</v>
      </c>
    </row>
    <row r="74" spans="1:26" s="27" customFormat="1" outlineLevel="1" collapsed="1" x14ac:dyDescent="0.25">
      <c r="A74" s="26"/>
      <c r="B74" s="13" t="str">
        <f>CONCATENATE("     ","Repair and Maintenance                            ")</f>
        <v xml:space="preserve">     Repair and Maintenance                            </v>
      </c>
      <c r="C74" s="13"/>
      <c r="D74" s="1">
        <f>SUM(OSRRefD22_14x_0)</f>
        <v>31339.93</v>
      </c>
      <c r="E74" s="1"/>
      <c r="F74" s="5">
        <f t="shared" ref="F74:F78" si="52">IF(D$12=0,0,D74/D$12)</f>
        <v>0</v>
      </c>
      <c r="G74" s="1"/>
      <c r="H74" s="1">
        <f>SUM(OSRRefH22_14x_0)</f>
        <v>30915</v>
      </c>
      <c r="I74" s="1"/>
      <c r="J74" s="5">
        <f t="shared" ref="J74:J78" si="53">IF(H$12=0,0,H74/H$12)</f>
        <v>0</v>
      </c>
      <c r="K74" s="1"/>
      <c r="L74" s="1">
        <f t="shared" ref="L74:L78" si="54">+D74-H74</f>
        <v>424.93000000000029</v>
      </c>
      <c r="M74" s="1"/>
      <c r="N74" s="5">
        <f t="shared" ref="N74:N78" si="55">IF(H74=0,0,L74/H74)</f>
        <v>1.3745107552967824E-2</v>
      </c>
      <c r="O74" s="13"/>
      <c r="P74" s="1">
        <f>SUM(OSRRefP22_14x_0)</f>
        <v>190248.59</v>
      </c>
      <c r="Q74" s="1"/>
      <c r="R74" s="5">
        <f t="shared" ref="R74:R78" si="56">IF(P$12=0,0,P74/P$12)</f>
        <v>0</v>
      </c>
      <c r="S74" s="1"/>
      <c r="T74" s="1">
        <f>SUM(OSRRefT22_14x_0)</f>
        <v>196365</v>
      </c>
      <c r="U74" s="1"/>
      <c r="V74" s="5">
        <f t="shared" ref="V74:V78" si="57">IF(T$12=0,0,T74/T$12)</f>
        <v>981.82500000000005</v>
      </c>
      <c r="W74" s="1"/>
      <c r="X74" s="1">
        <f t="shared" ref="X74:X78" si="58">+P74-T74</f>
        <v>-6116.4100000000035</v>
      </c>
      <c r="Y74" s="1"/>
      <c r="Z74" s="5">
        <f t="shared" ref="Z74:Z78" si="59">IF(T74=0,0,X74/T74)</f>
        <v>-3.1148167952537383E-2</v>
      </c>
    </row>
    <row r="75" spans="1:26" s="24" customFormat="1" hidden="1" outlineLevel="2" x14ac:dyDescent="0.25">
      <c r="A75" s="25"/>
      <c r="B75" s="11" t="str">
        <f>CONCATENATE("          ", "6371", " - ", "COMPUTER SOFTWARE MAINTENANCE")</f>
        <v xml:space="preserve">          6371 - COMPUTER SOFTWARE MAINTENANCE</v>
      </c>
      <c r="C75" s="11"/>
      <c r="D75" s="7">
        <v>13377.15</v>
      </c>
      <c r="E75" s="2"/>
      <c r="F75" s="6">
        <f t="shared" si="52"/>
        <v>0</v>
      </c>
      <c r="G75" s="2"/>
      <c r="H75" s="7">
        <v>13820</v>
      </c>
      <c r="I75" s="2"/>
      <c r="J75" s="6">
        <f t="shared" si="53"/>
        <v>0</v>
      </c>
      <c r="K75" s="2"/>
      <c r="L75" s="7">
        <f t="shared" si="54"/>
        <v>-442.85000000000036</v>
      </c>
      <c r="M75" s="2"/>
      <c r="N75" s="6">
        <f t="shared" si="55"/>
        <v>-3.2044138929088306E-2</v>
      </c>
      <c r="O75" s="11"/>
      <c r="P75" s="7">
        <v>86816.04</v>
      </c>
      <c r="Q75" s="2"/>
      <c r="R75" s="6">
        <f t="shared" si="56"/>
        <v>0</v>
      </c>
      <c r="S75" s="2"/>
      <c r="T75" s="7">
        <v>84820</v>
      </c>
      <c r="U75" s="2"/>
      <c r="V75" s="6">
        <f t="shared" si="57"/>
        <v>424.1</v>
      </c>
      <c r="W75" s="2"/>
      <c r="X75" s="7">
        <f t="shared" si="58"/>
        <v>1996.0399999999936</v>
      </c>
      <c r="Y75" s="2"/>
      <c r="Z75" s="6">
        <f t="shared" si="59"/>
        <v>2.3532657392124425E-2</v>
      </c>
    </row>
    <row r="76" spans="1:26" s="24" customFormat="1" hidden="1" outlineLevel="2" x14ac:dyDescent="0.25">
      <c r="A76" s="25"/>
      <c r="B76" s="11" t="str">
        <f>CONCATENATE("          ", "6372", " - ", "COMPUTER HARDWARE MAINTENANCE")</f>
        <v xml:space="preserve">          6372 - COMPUTER HARDWARE MAINTENANCE</v>
      </c>
      <c r="C76" s="11"/>
      <c r="D76" s="7"/>
      <c r="E76" s="2"/>
      <c r="F76" s="6">
        <f t="shared" si="52"/>
        <v>0</v>
      </c>
      <c r="G76" s="2"/>
      <c r="H76" s="7">
        <v>1000</v>
      </c>
      <c r="I76" s="2"/>
      <c r="J76" s="6">
        <f t="shared" si="53"/>
        <v>0</v>
      </c>
      <c r="K76" s="2"/>
      <c r="L76" s="7">
        <f t="shared" si="54"/>
        <v>-1000</v>
      </c>
      <c r="M76" s="2"/>
      <c r="N76" s="6">
        <f t="shared" si="55"/>
        <v>-1</v>
      </c>
      <c r="O76" s="11"/>
      <c r="P76" s="7"/>
      <c r="Q76" s="2"/>
      <c r="R76" s="6">
        <f t="shared" si="56"/>
        <v>0</v>
      </c>
      <c r="S76" s="2"/>
      <c r="T76" s="7">
        <v>6000</v>
      </c>
      <c r="U76" s="2"/>
      <c r="V76" s="6">
        <f t="shared" si="57"/>
        <v>30</v>
      </c>
      <c r="W76" s="2"/>
      <c r="X76" s="7">
        <f t="shared" si="58"/>
        <v>-6000</v>
      </c>
      <c r="Y76" s="2"/>
      <c r="Z76" s="6">
        <f t="shared" si="59"/>
        <v>-1</v>
      </c>
    </row>
    <row r="77" spans="1:26" s="24" customFormat="1" hidden="1" outlineLevel="2" x14ac:dyDescent="0.25">
      <c r="A77" s="25"/>
      <c r="B77" s="11" t="str">
        <f>CONCATENATE("          ", "6373", " - ", "MAINTENANCE CONTRACTS")</f>
        <v xml:space="preserve">          6373 - MAINTENANCE CONTRACTS</v>
      </c>
      <c r="C77" s="11"/>
      <c r="D77" s="7">
        <v>17896.78</v>
      </c>
      <c r="E77" s="2"/>
      <c r="F77" s="6">
        <f t="shared" si="52"/>
        <v>0</v>
      </c>
      <c r="G77" s="2"/>
      <c r="H77" s="7">
        <v>16095</v>
      </c>
      <c r="I77" s="2"/>
      <c r="J77" s="6">
        <f t="shared" si="53"/>
        <v>0</v>
      </c>
      <c r="K77" s="2"/>
      <c r="L77" s="7">
        <f t="shared" si="54"/>
        <v>1801.7799999999988</v>
      </c>
      <c r="M77" s="2"/>
      <c r="N77" s="6">
        <f t="shared" si="55"/>
        <v>0.11194656725691202</v>
      </c>
      <c r="O77" s="11"/>
      <c r="P77" s="7">
        <v>101723.47</v>
      </c>
      <c r="Q77" s="2"/>
      <c r="R77" s="6">
        <f t="shared" si="56"/>
        <v>0</v>
      </c>
      <c r="S77" s="2"/>
      <c r="T77" s="7">
        <v>105545</v>
      </c>
      <c r="U77" s="2"/>
      <c r="V77" s="6">
        <f t="shared" si="57"/>
        <v>527.72500000000002</v>
      </c>
      <c r="W77" s="2"/>
      <c r="X77" s="7">
        <f t="shared" si="58"/>
        <v>-3821.5299999999988</v>
      </c>
      <c r="Y77" s="2"/>
      <c r="Z77" s="6">
        <f t="shared" si="59"/>
        <v>-3.620758917997062E-2</v>
      </c>
    </row>
    <row r="78" spans="1:26" s="24" customFormat="1" hidden="1" outlineLevel="2" x14ac:dyDescent="0.25">
      <c r="A78" s="25"/>
      <c r="B78" s="11" t="str">
        <f>CONCATENATE("          ", "6375", " - ", "OUTSIDE REPAIRS &amp; MAINTENANCE")</f>
        <v xml:space="preserve">          6375 - OUTSIDE REPAIRS &amp; MAINTENANCE</v>
      </c>
      <c r="C78" s="11"/>
      <c r="D78" s="7">
        <v>66</v>
      </c>
      <c r="E78" s="2"/>
      <c r="F78" s="6">
        <f t="shared" si="52"/>
        <v>0</v>
      </c>
      <c r="G78" s="2"/>
      <c r="H78" s="7"/>
      <c r="I78" s="2"/>
      <c r="J78" s="6">
        <f t="shared" si="53"/>
        <v>0</v>
      </c>
      <c r="K78" s="2"/>
      <c r="L78" s="7">
        <f t="shared" si="54"/>
        <v>66</v>
      </c>
      <c r="M78" s="2"/>
      <c r="N78" s="6">
        <f t="shared" si="55"/>
        <v>0</v>
      </c>
      <c r="O78" s="11"/>
      <c r="P78" s="7">
        <v>1709.08</v>
      </c>
      <c r="Q78" s="2"/>
      <c r="R78" s="6">
        <f t="shared" si="56"/>
        <v>0</v>
      </c>
      <c r="S78" s="2"/>
      <c r="T78" s="7"/>
      <c r="U78" s="2"/>
      <c r="V78" s="6">
        <f t="shared" si="57"/>
        <v>0</v>
      </c>
      <c r="W78" s="2"/>
      <c r="X78" s="7">
        <f t="shared" si="58"/>
        <v>1709.08</v>
      </c>
      <c r="Y78" s="2"/>
      <c r="Z78" s="6">
        <f t="shared" si="59"/>
        <v>0</v>
      </c>
    </row>
    <row r="79" spans="1:26" s="27" customFormat="1" outlineLevel="1" collapsed="1" x14ac:dyDescent="0.25">
      <c r="A79" s="26"/>
      <c r="B79" s="13" t="str">
        <f>CONCATENATE("     ","Services                                          ")</f>
        <v xml:space="preserve">     Services                                          </v>
      </c>
      <c r="C79" s="13"/>
      <c r="D79" s="1">
        <f>SUM(OSRRefD22_15x_0)</f>
        <v>608.45000000000005</v>
      </c>
      <c r="E79" s="1"/>
      <c r="F79" s="5">
        <f t="shared" ref="F79:F81" si="60">IF(D$12=0,0,D79/D$12)</f>
        <v>0</v>
      </c>
      <c r="G79" s="1"/>
      <c r="H79" s="1">
        <f>SUM(OSRRefH22_15x_0)</f>
        <v>610</v>
      </c>
      <c r="I79" s="1"/>
      <c r="J79" s="5">
        <f t="shared" ref="J79:J81" si="61">IF(H$12=0,0,H79/H$12)</f>
        <v>0</v>
      </c>
      <c r="K79" s="1"/>
      <c r="L79" s="1">
        <f t="shared" ref="L79:L81" si="62">+D79-H79</f>
        <v>-1.5499999999999545</v>
      </c>
      <c r="M79" s="1"/>
      <c r="N79" s="5">
        <f t="shared" ref="N79:N81" si="63">IF(H79=0,0,L79/H79)</f>
        <v>-2.5409836065573023E-3</v>
      </c>
      <c r="O79" s="13"/>
      <c r="P79" s="1">
        <f>SUM(OSRRefP22_15x_0)</f>
        <v>8756.4699999999993</v>
      </c>
      <c r="Q79" s="1"/>
      <c r="R79" s="5">
        <f t="shared" ref="R79:R81" si="64">IF(P$12=0,0,P79/P$12)</f>
        <v>0</v>
      </c>
      <c r="S79" s="1"/>
      <c r="T79" s="1">
        <f>SUM(OSRRefT22_15x_0)</f>
        <v>4270</v>
      </c>
      <c r="U79" s="1"/>
      <c r="V79" s="5">
        <f t="shared" ref="V79:V81" si="65">IF(T$12=0,0,T79/T$12)</f>
        <v>21.35</v>
      </c>
      <c r="W79" s="1"/>
      <c r="X79" s="1">
        <f t="shared" ref="X79:X81" si="66">+P79-T79</f>
        <v>4486.4699999999993</v>
      </c>
      <c r="Y79" s="1"/>
      <c r="Z79" s="5">
        <f t="shared" ref="Z79:Z81" si="67">IF(T79=0,0,X79/T79)</f>
        <v>1.0506955503512878</v>
      </c>
    </row>
    <row r="80" spans="1:26" s="24" customFormat="1" hidden="1" outlineLevel="2" x14ac:dyDescent="0.25">
      <c r="A80" s="25"/>
      <c r="B80" s="11" t="str">
        <f>CONCATENATE("          ", "6281", " - ", "STORAGE FEE")</f>
        <v xml:space="preserve">          6281 - STORAGE FEE</v>
      </c>
      <c r="C80" s="11"/>
      <c r="D80" s="7">
        <v>599.61</v>
      </c>
      <c r="E80" s="2"/>
      <c r="F80" s="6">
        <f t="shared" si="60"/>
        <v>0</v>
      </c>
      <c r="G80" s="2"/>
      <c r="H80" s="7">
        <v>600</v>
      </c>
      <c r="I80" s="2"/>
      <c r="J80" s="6">
        <f t="shared" si="61"/>
        <v>0</v>
      </c>
      <c r="K80" s="2"/>
      <c r="L80" s="7">
        <f t="shared" si="62"/>
        <v>-0.38999999999998636</v>
      </c>
      <c r="M80" s="2"/>
      <c r="N80" s="6">
        <f t="shared" si="63"/>
        <v>-6.4999999999997731E-4</v>
      </c>
      <c r="O80" s="11"/>
      <c r="P80" s="7">
        <v>8699.01</v>
      </c>
      <c r="Q80" s="2"/>
      <c r="R80" s="6">
        <f t="shared" si="64"/>
        <v>0</v>
      </c>
      <c r="S80" s="2"/>
      <c r="T80" s="7">
        <v>4200</v>
      </c>
      <c r="U80" s="2"/>
      <c r="V80" s="6">
        <f t="shared" si="65"/>
        <v>21</v>
      </c>
      <c r="W80" s="2"/>
      <c r="X80" s="7">
        <f t="shared" si="66"/>
        <v>4499.01</v>
      </c>
      <c r="Y80" s="2"/>
      <c r="Z80" s="6">
        <f t="shared" si="67"/>
        <v>1.0711928571428573</v>
      </c>
    </row>
    <row r="81" spans="1:26" s="24" customFormat="1" hidden="1" outlineLevel="2" x14ac:dyDescent="0.25">
      <c r="A81" s="25"/>
      <c r="B81" s="11" t="str">
        <f>CONCATENATE("          ", "6286", " - ", "LAUNDRY EXPENSE")</f>
        <v xml:space="preserve">          6286 - LAUNDRY EXPENSE</v>
      </c>
      <c r="C81" s="11"/>
      <c r="D81" s="7">
        <v>8.84</v>
      </c>
      <c r="E81" s="2"/>
      <c r="F81" s="6">
        <f t="shared" si="60"/>
        <v>0</v>
      </c>
      <c r="G81" s="2"/>
      <c r="H81" s="7">
        <v>10</v>
      </c>
      <c r="I81" s="2"/>
      <c r="J81" s="6">
        <f t="shared" si="61"/>
        <v>0</v>
      </c>
      <c r="K81" s="2"/>
      <c r="L81" s="7">
        <f t="shared" si="62"/>
        <v>-1.1600000000000001</v>
      </c>
      <c r="M81" s="2"/>
      <c r="N81" s="6">
        <f t="shared" si="63"/>
        <v>-0.11600000000000002</v>
      </c>
      <c r="O81" s="11"/>
      <c r="P81" s="7">
        <v>57.46</v>
      </c>
      <c r="Q81" s="2"/>
      <c r="R81" s="6">
        <f t="shared" si="64"/>
        <v>0</v>
      </c>
      <c r="S81" s="2"/>
      <c r="T81" s="7">
        <v>70</v>
      </c>
      <c r="U81" s="2"/>
      <c r="V81" s="6">
        <f t="shared" si="65"/>
        <v>0.35</v>
      </c>
      <c r="W81" s="2"/>
      <c r="X81" s="7">
        <f t="shared" si="66"/>
        <v>-12.54</v>
      </c>
      <c r="Y81" s="2"/>
      <c r="Z81" s="6">
        <f t="shared" si="67"/>
        <v>-0.17914285714285713</v>
      </c>
    </row>
    <row r="82" spans="1:26" s="27" customFormat="1" outlineLevel="1" collapsed="1" x14ac:dyDescent="0.25">
      <c r="A82" s="26"/>
      <c r="B82" s="13" t="str">
        <f>CONCATENATE("     ","Subscriptions &amp; Dues                              ")</f>
        <v xml:space="preserve">     Subscriptions &amp; Dues                              </v>
      </c>
      <c r="C82" s="13"/>
      <c r="D82" s="1">
        <f>SUM(OSRRefD22_16x_0)</f>
        <v>0</v>
      </c>
      <c r="E82" s="1"/>
      <c r="F82" s="5">
        <f t="shared" ref="F82:F84" si="68">IF(D$12=0,0,D82/D$12)</f>
        <v>0</v>
      </c>
      <c r="G82" s="1"/>
      <c r="H82" s="1">
        <f>SUM(OSRRefH22_16x_0)</f>
        <v>6602</v>
      </c>
      <c r="I82" s="1"/>
      <c r="J82" s="5">
        <f t="shared" ref="J82:J84" si="69">IF(H$12=0,0,H82/H$12)</f>
        <v>0</v>
      </c>
      <c r="K82" s="1"/>
      <c r="L82" s="1">
        <f t="shared" ref="L82:L84" si="70">+D82-H82</f>
        <v>-6602</v>
      </c>
      <c r="M82" s="1"/>
      <c r="N82" s="5">
        <f t="shared" ref="N82:N84" si="71">IF(H82=0,0,L82/H82)</f>
        <v>-1</v>
      </c>
      <c r="O82" s="13"/>
      <c r="P82" s="1">
        <f>SUM(OSRRefP22_16x_0)</f>
        <v>2421</v>
      </c>
      <c r="Q82" s="1"/>
      <c r="R82" s="5">
        <f t="shared" ref="R82:R84" si="72">IF(P$12=0,0,P82/P$12)</f>
        <v>0</v>
      </c>
      <c r="S82" s="1"/>
      <c r="T82" s="1">
        <f>SUM(OSRRefT22_16x_0)</f>
        <v>9159</v>
      </c>
      <c r="U82" s="1"/>
      <c r="V82" s="5">
        <f t="shared" ref="V82:V84" si="73">IF(T$12=0,0,T82/T$12)</f>
        <v>45.795000000000002</v>
      </c>
      <c r="W82" s="1"/>
      <c r="X82" s="1">
        <f t="shared" ref="X82:X84" si="74">+P82-T82</f>
        <v>-6738</v>
      </c>
      <c r="Y82" s="1"/>
      <c r="Z82" s="5">
        <f t="shared" ref="Z82:Z84" si="75">IF(T82=0,0,X82/T82)</f>
        <v>-0.73566983295119559</v>
      </c>
    </row>
    <row r="83" spans="1:26" s="24" customFormat="1" hidden="1" outlineLevel="2" x14ac:dyDescent="0.25">
      <c r="A83" s="25"/>
      <c r="B83" s="11" t="str">
        <f>CONCATENATE("          ", "6258", " - ", "MEMBERSHIP DUES")</f>
        <v xml:space="preserve">          6258 - MEMBERSHIP DUES</v>
      </c>
      <c r="C83" s="11"/>
      <c r="D83" s="7"/>
      <c r="E83" s="2"/>
      <c r="F83" s="6">
        <f t="shared" si="68"/>
        <v>0</v>
      </c>
      <c r="G83" s="2"/>
      <c r="H83" s="7">
        <v>6502</v>
      </c>
      <c r="I83" s="2"/>
      <c r="J83" s="6">
        <f t="shared" si="69"/>
        <v>0</v>
      </c>
      <c r="K83" s="2"/>
      <c r="L83" s="7">
        <f t="shared" si="70"/>
        <v>-6502</v>
      </c>
      <c r="M83" s="2"/>
      <c r="N83" s="6">
        <f t="shared" si="71"/>
        <v>-1</v>
      </c>
      <c r="O83" s="11"/>
      <c r="P83" s="7">
        <v>2421</v>
      </c>
      <c r="Q83" s="2"/>
      <c r="R83" s="6">
        <f t="shared" si="72"/>
        <v>0</v>
      </c>
      <c r="S83" s="2"/>
      <c r="T83" s="7">
        <v>8359</v>
      </c>
      <c r="U83" s="2"/>
      <c r="V83" s="6">
        <f t="shared" si="73"/>
        <v>41.795000000000002</v>
      </c>
      <c r="W83" s="2"/>
      <c r="X83" s="7">
        <f t="shared" si="74"/>
        <v>-5938</v>
      </c>
      <c r="Y83" s="2"/>
      <c r="Z83" s="6">
        <f t="shared" si="75"/>
        <v>-0.71037205407345372</v>
      </c>
    </row>
    <row r="84" spans="1:26" s="24" customFormat="1" hidden="1" outlineLevel="2" x14ac:dyDescent="0.25">
      <c r="A84" s="25"/>
      <c r="B84" s="11" t="str">
        <f>CONCATENATE("          ", "6275", " - ", "SUBSCRIPTIONS")</f>
        <v xml:space="preserve">          6275 - SUBSCRIPTIONS</v>
      </c>
      <c r="C84" s="11"/>
      <c r="D84" s="7"/>
      <c r="E84" s="2"/>
      <c r="F84" s="6">
        <f t="shared" si="68"/>
        <v>0</v>
      </c>
      <c r="G84" s="2"/>
      <c r="H84" s="7">
        <v>100</v>
      </c>
      <c r="I84" s="2"/>
      <c r="J84" s="6">
        <f t="shared" si="69"/>
        <v>0</v>
      </c>
      <c r="K84" s="2"/>
      <c r="L84" s="7">
        <f t="shared" si="70"/>
        <v>-100</v>
      </c>
      <c r="M84" s="2"/>
      <c r="N84" s="6">
        <f t="shared" si="71"/>
        <v>-1</v>
      </c>
      <c r="O84" s="11"/>
      <c r="P84" s="7"/>
      <c r="Q84" s="2"/>
      <c r="R84" s="6">
        <f t="shared" si="72"/>
        <v>0</v>
      </c>
      <c r="S84" s="2"/>
      <c r="T84" s="7">
        <v>800</v>
      </c>
      <c r="U84" s="2"/>
      <c r="V84" s="6">
        <f t="shared" si="73"/>
        <v>4</v>
      </c>
      <c r="W84" s="2"/>
      <c r="X84" s="7">
        <f t="shared" si="74"/>
        <v>-800</v>
      </c>
      <c r="Y84" s="2"/>
      <c r="Z84" s="6">
        <f t="shared" si="75"/>
        <v>-1</v>
      </c>
    </row>
    <row r="85" spans="1:26" s="27" customFormat="1" outlineLevel="1" collapsed="1" x14ac:dyDescent="0.25">
      <c r="A85" s="26"/>
      <c r="B85" s="13" t="str">
        <f>CONCATENATE("     ","Supplies                                          ")</f>
        <v xml:space="preserve">     Supplies                                          </v>
      </c>
      <c r="C85" s="13"/>
      <c r="D85" s="1">
        <f>SUM(OSRRefD22_17x_0)</f>
        <v>6224.38</v>
      </c>
      <c r="E85" s="1"/>
      <c r="F85" s="5">
        <f t="shared" ref="F85:F90" si="76">IF(D$12=0,0,D85/D$12)</f>
        <v>0</v>
      </c>
      <c r="G85" s="1"/>
      <c r="H85" s="1">
        <f>SUM(OSRRefH22_17x_0)</f>
        <v>3552</v>
      </c>
      <c r="I85" s="1"/>
      <c r="J85" s="5">
        <f t="shared" ref="J85:J90" si="77">IF(H$12=0,0,H85/H$12)</f>
        <v>0</v>
      </c>
      <c r="K85" s="1"/>
      <c r="L85" s="1">
        <f t="shared" ref="L85:L90" si="78">+D85-H85</f>
        <v>2672.38</v>
      </c>
      <c r="M85" s="1"/>
      <c r="N85" s="5">
        <f t="shared" ref="N85:N90" si="79">IF(H85=0,0,L85/H85)</f>
        <v>0.75235923423423423</v>
      </c>
      <c r="O85" s="13"/>
      <c r="P85" s="1">
        <f>SUM(OSRRefP22_17x_0)</f>
        <v>48581.59</v>
      </c>
      <c r="Q85" s="1"/>
      <c r="R85" s="5">
        <f t="shared" ref="R85:R90" si="80">IF(P$12=0,0,P85/P$12)</f>
        <v>0</v>
      </c>
      <c r="S85" s="1"/>
      <c r="T85" s="1">
        <f>SUM(OSRRefT22_17x_0)</f>
        <v>30464</v>
      </c>
      <c r="U85" s="1"/>
      <c r="V85" s="5">
        <f t="shared" ref="V85:V90" si="81">IF(T$12=0,0,T85/T$12)</f>
        <v>152.32</v>
      </c>
      <c r="W85" s="1"/>
      <c r="X85" s="1">
        <f t="shared" ref="X85:X90" si="82">+P85-T85</f>
        <v>18117.589999999997</v>
      </c>
      <c r="Y85" s="1"/>
      <c r="Z85" s="5">
        <f t="shared" ref="Z85:Z90" si="83">IF(T85=0,0,X85/T85)</f>
        <v>0.59472131039915954</v>
      </c>
    </row>
    <row r="86" spans="1:26" s="24" customFormat="1" hidden="1" outlineLevel="2" x14ac:dyDescent="0.25">
      <c r="A86" s="25"/>
      <c r="B86" s="11" t="str">
        <f>CONCATENATE("          ", "6234", " - ", "EXPENDABLE SUPPLIES &amp; EQUIPMEN")</f>
        <v xml:space="preserve">          6234 - EXPENDABLE SUPPLIES &amp; EQUIPMEN</v>
      </c>
      <c r="C86" s="11"/>
      <c r="D86" s="7"/>
      <c r="E86" s="2"/>
      <c r="F86" s="6">
        <f t="shared" si="76"/>
        <v>0</v>
      </c>
      <c r="G86" s="2"/>
      <c r="H86" s="7">
        <v>700</v>
      </c>
      <c r="I86" s="2"/>
      <c r="J86" s="6">
        <f t="shared" si="77"/>
        <v>0</v>
      </c>
      <c r="K86" s="2"/>
      <c r="L86" s="7">
        <f t="shared" si="78"/>
        <v>-700</v>
      </c>
      <c r="M86" s="2"/>
      <c r="N86" s="6">
        <f t="shared" si="79"/>
        <v>-1</v>
      </c>
      <c r="O86" s="11"/>
      <c r="P86" s="7">
        <v>1223.6099999999999</v>
      </c>
      <c r="Q86" s="2"/>
      <c r="R86" s="6">
        <f t="shared" si="80"/>
        <v>0</v>
      </c>
      <c r="S86" s="2"/>
      <c r="T86" s="7">
        <v>5100</v>
      </c>
      <c r="U86" s="2"/>
      <c r="V86" s="6">
        <f t="shared" si="81"/>
        <v>25.5</v>
      </c>
      <c r="W86" s="2"/>
      <c r="X86" s="7">
        <f t="shared" si="82"/>
        <v>-3876.3900000000003</v>
      </c>
      <c r="Y86" s="2"/>
      <c r="Z86" s="6">
        <f t="shared" si="83"/>
        <v>-0.76007647058823535</v>
      </c>
    </row>
    <row r="87" spans="1:26" s="24" customFormat="1" hidden="1" outlineLevel="2" x14ac:dyDescent="0.25">
      <c r="A87" s="25"/>
      <c r="B87" s="11" t="str">
        <f>CONCATENATE("          ", "6241", " - ", "OFFICE EXPENSE")</f>
        <v xml:space="preserve">          6241 - OFFICE EXPENSE</v>
      </c>
      <c r="C87" s="11"/>
      <c r="D87" s="7">
        <v>5775.67</v>
      </c>
      <c r="E87" s="2"/>
      <c r="F87" s="6">
        <f t="shared" si="76"/>
        <v>0</v>
      </c>
      <c r="G87" s="2"/>
      <c r="H87" s="7">
        <v>1735</v>
      </c>
      <c r="I87" s="2"/>
      <c r="J87" s="6">
        <f t="shared" si="77"/>
        <v>0</v>
      </c>
      <c r="K87" s="2"/>
      <c r="L87" s="7">
        <f t="shared" si="78"/>
        <v>4040.67</v>
      </c>
      <c r="M87" s="2"/>
      <c r="N87" s="6">
        <f t="shared" si="79"/>
        <v>2.3289164265129685</v>
      </c>
      <c r="O87" s="11"/>
      <c r="P87" s="7">
        <v>42312.659999999996</v>
      </c>
      <c r="Q87" s="2"/>
      <c r="R87" s="6">
        <f t="shared" si="80"/>
        <v>0</v>
      </c>
      <c r="S87" s="2"/>
      <c r="T87" s="7">
        <v>21745</v>
      </c>
      <c r="U87" s="2"/>
      <c r="V87" s="6">
        <f t="shared" si="81"/>
        <v>108.72499999999999</v>
      </c>
      <c r="W87" s="2"/>
      <c r="X87" s="7">
        <f t="shared" si="82"/>
        <v>20567.659999999996</v>
      </c>
      <c r="Y87" s="2"/>
      <c r="Z87" s="6">
        <f t="shared" si="83"/>
        <v>0.94585697861577356</v>
      </c>
    </row>
    <row r="88" spans="1:26" s="24" customFormat="1" hidden="1" outlineLevel="2" x14ac:dyDescent="0.25">
      <c r="A88" s="25"/>
      <c r="B88" s="11" t="str">
        <f>CONCATENATE("          ", "6244", " - ", "SAFETY SUPPLY EXPENSE")</f>
        <v xml:space="preserve">          6244 - SAFETY SUPPLY EXPENSE</v>
      </c>
      <c r="C88" s="11"/>
      <c r="D88" s="7">
        <v>275</v>
      </c>
      <c r="E88" s="2"/>
      <c r="F88" s="6">
        <f t="shared" si="76"/>
        <v>0</v>
      </c>
      <c r="G88" s="2"/>
      <c r="H88" s="7">
        <v>417</v>
      </c>
      <c r="I88" s="2"/>
      <c r="J88" s="6">
        <f t="shared" si="77"/>
        <v>0</v>
      </c>
      <c r="K88" s="2"/>
      <c r="L88" s="7">
        <f t="shared" si="78"/>
        <v>-142</v>
      </c>
      <c r="M88" s="2"/>
      <c r="N88" s="6">
        <f t="shared" si="79"/>
        <v>-0.34052757793764987</v>
      </c>
      <c r="O88" s="11"/>
      <c r="P88" s="7">
        <v>1832.33</v>
      </c>
      <c r="Q88" s="2"/>
      <c r="R88" s="6">
        <f t="shared" si="80"/>
        <v>0</v>
      </c>
      <c r="S88" s="2"/>
      <c r="T88" s="7">
        <v>2919</v>
      </c>
      <c r="U88" s="2"/>
      <c r="V88" s="6">
        <f t="shared" si="81"/>
        <v>14.595000000000001</v>
      </c>
      <c r="W88" s="2"/>
      <c r="X88" s="7">
        <f t="shared" si="82"/>
        <v>-1086.67</v>
      </c>
      <c r="Y88" s="2"/>
      <c r="Z88" s="6">
        <f t="shared" si="83"/>
        <v>-0.37227475162726964</v>
      </c>
    </row>
    <row r="89" spans="1:26" s="24" customFormat="1" hidden="1" outlineLevel="2" x14ac:dyDescent="0.25">
      <c r="A89" s="25"/>
      <c r="B89" s="11" t="str">
        <f>CONCATENATE("          ", "6245", " - ", "PRINTING")</f>
        <v xml:space="preserve">          6245 - PRINTING</v>
      </c>
      <c r="C89" s="11"/>
      <c r="D89" s="7">
        <v>173.71</v>
      </c>
      <c r="E89" s="2"/>
      <c r="F89" s="6">
        <f t="shared" si="76"/>
        <v>0</v>
      </c>
      <c r="G89" s="2"/>
      <c r="H89" s="7"/>
      <c r="I89" s="2"/>
      <c r="J89" s="6">
        <f t="shared" si="77"/>
        <v>0</v>
      </c>
      <c r="K89" s="2"/>
      <c r="L89" s="7">
        <f t="shared" si="78"/>
        <v>173.71</v>
      </c>
      <c r="M89" s="2"/>
      <c r="N89" s="6">
        <f t="shared" si="79"/>
        <v>0</v>
      </c>
      <c r="O89" s="11"/>
      <c r="P89" s="7">
        <v>3212.99</v>
      </c>
      <c r="Q89" s="2"/>
      <c r="R89" s="6">
        <f t="shared" si="80"/>
        <v>0</v>
      </c>
      <c r="S89" s="2"/>
      <c r="T89" s="7"/>
      <c r="U89" s="2"/>
      <c r="V89" s="6">
        <f t="shared" si="81"/>
        <v>0</v>
      </c>
      <c r="W89" s="2"/>
      <c r="X89" s="7">
        <f t="shared" si="82"/>
        <v>3212.99</v>
      </c>
      <c r="Y89" s="2"/>
      <c r="Z89" s="6">
        <f t="shared" si="83"/>
        <v>0</v>
      </c>
    </row>
    <row r="90" spans="1:26" s="24" customFormat="1" hidden="1" outlineLevel="2" x14ac:dyDescent="0.25">
      <c r="A90" s="25"/>
      <c r="B90" s="11" t="str">
        <f>CONCATENATE("          ", "6248", " - ", "UNIFORMS")</f>
        <v xml:space="preserve">          6248 - UNIFORMS</v>
      </c>
      <c r="C90" s="11"/>
      <c r="D90" s="7"/>
      <c r="E90" s="2"/>
      <c r="F90" s="6">
        <f t="shared" si="76"/>
        <v>0</v>
      </c>
      <c r="G90" s="2"/>
      <c r="H90" s="7">
        <v>700</v>
      </c>
      <c r="I90" s="2"/>
      <c r="J90" s="6">
        <f t="shared" si="77"/>
        <v>0</v>
      </c>
      <c r="K90" s="2"/>
      <c r="L90" s="7">
        <f t="shared" si="78"/>
        <v>-700</v>
      </c>
      <c r="M90" s="2"/>
      <c r="N90" s="6">
        <f t="shared" si="79"/>
        <v>-1</v>
      </c>
      <c r="O90" s="11"/>
      <c r="P90" s="7"/>
      <c r="Q90" s="2"/>
      <c r="R90" s="6">
        <f t="shared" si="80"/>
        <v>0</v>
      </c>
      <c r="S90" s="2"/>
      <c r="T90" s="7">
        <v>700</v>
      </c>
      <c r="U90" s="2"/>
      <c r="V90" s="6">
        <f t="shared" si="81"/>
        <v>3.5</v>
      </c>
      <c r="W90" s="2"/>
      <c r="X90" s="7">
        <f t="shared" si="82"/>
        <v>-700</v>
      </c>
      <c r="Y90" s="2"/>
      <c r="Z90" s="6">
        <f t="shared" si="83"/>
        <v>-1</v>
      </c>
    </row>
    <row r="91" spans="1:26" s="27" customFormat="1" outlineLevel="1" collapsed="1" x14ac:dyDescent="0.25">
      <c r="A91" s="26"/>
      <c r="B91" s="13" t="str">
        <f>CONCATENATE("     ","Telephone/Data Lines                              ")</f>
        <v xml:space="preserve">     Telephone/Data Lines                              </v>
      </c>
      <c r="C91" s="13"/>
      <c r="D91" s="1">
        <f>SUM(OSRRefD22_18x_0)</f>
        <v>2163.04</v>
      </c>
      <c r="E91" s="1"/>
      <c r="F91" s="5">
        <f t="shared" ref="F91:F93" si="84">IF(D$12=0,0,D91/D$12)</f>
        <v>0</v>
      </c>
      <c r="G91" s="1"/>
      <c r="H91" s="1">
        <f>SUM(OSRRefH22_18x_0)</f>
        <v>1780</v>
      </c>
      <c r="I91" s="1"/>
      <c r="J91" s="5">
        <f t="shared" ref="J91:J93" si="85">IF(H$12=0,0,H91/H$12)</f>
        <v>0</v>
      </c>
      <c r="K91" s="1"/>
      <c r="L91" s="1">
        <f t="shared" ref="L91:L93" si="86">+D91-H91</f>
        <v>383.03999999999996</v>
      </c>
      <c r="M91" s="1"/>
      <c r="N91" s="5">
        <f t="shared" ref="N91:N93" si="87">IF(H91=0,0,L91/H91)</f>
        <v>0.21519101123595505</v>
      </c>
      <c r="O91" s="13"/>
      <c r="P91" s="1">
        <f>SUM(OSRRefP22_18x_0)</f>
        <v>18782.530000000002</v>
      </c>
      <c r="Q91" s="1"/>
      <c r="R91" s="5">
        <f t="shared" ref="R91:R93" si="88">IF(P$12=0,0,P91/P$12)</f>
        <v>0</v>
      </c>
      <c r="S91" s="1"/>
      <c r="T91" s="1">
        <f>SUM(OSRRefT22_18x_0)</f>
        <v>11960</v>
      </c>
      <c r="U91" s="1"/>
      <c r="V91" s="5">
        <f t="shared" ref="V91:V93" si="89">IF(T$12=0,0,T91/T$12)</f>
        <v>59.8</v>
      </c>
      <c r="W91" s="1"/>
      <c r="X91" s="1">
        <f t="shared" ref="X91:X93" si="90">+P91-T91</f>
        <v>6822.5300000000025</v>
      </c>
      <c r="Y91" s="1"/>
      <c r="Z91" s="5">
        <f t="shared" ref="Z91:Z93" si="91">IF(T91=0,0,X91/T91)</f>
        <v>0.5704456521739133</v>
      </c>
    </row>
    <row r="92" spans="1:26" s="24" customFormat="1" hidden="1" outlineLevel="2" x14ac:dyDescent="0.25">
      <c r="A92" s="25"/>
      <c r="B92" s="11" t="str">
        <f>CONCATENATE("          ", "6303", " - ", "DATA PHONE LINES")</f>
        <v xml:space="preserve">          6303 - DATA PHONE LINES</v>
      </c>
      <c r="C92" s="11"/>
      <c r="D92" s="7">
        <v>78.989999999999995</v>
      </c>
      <c r="E92" s="2"/>
      <c r="F92" s="6">
        <f t="shared" si="84"/>
        <v>0</v>
      </c>
      <c r="G92" s="2"/>
      <c r="H92" s="7">
        <v>200</v>
      </c>
      <c r="I92" s="2"/>
      <c r="J92" s="6">
        <f t="shared" si="85"/>
        <v>0</v>
      </c>
      <c r="K92" s="2"/>
      <c r="L92" s="7">
        <f t="shared" si="86"/>
        <v>-121.01</v>
      </c>
      <c r="M92" s="2"/>
      <c r="N92" s="6">
        <f t="shared" si="87"/>
        <v>-0.60504999999999998</v>
      </c>
      <c r="O92" s="11"/>
      <c r="P92" s="7">
        <v>1105.06</v>
      </c>
      <c r="Q92" s="2"/>
      <c r="R92" s="6">
        <f t="shared" si="88"/>
        <v>0</v>
      </c>
      <c r="S92" s="2"/>
      <c r="T92" s="7">
        <v>1500</v>
      </c>
      <c r="U92" s="2"/>
      <c r="V92" s="6">
        <f t="shared" si="89"/>
        <v>7.5</v>
      </c>
      <c r="W92" s="2"/>
      <c r="X92" s="7">
        <f t="shared" si="90"/>
        <v>-394.94000000000005</v>
      </c>
      <c r="Y92" s="2"/>
      <c r="Z92" s="6">
        <f t="shared" si="91"/>
        <v>-0.26329333333333338</v>
      </c>
    </row>
    <row r="93" spans="1:26" s="24" customFormat="1" hidden="1" outlineLevel="2" x14ac:dyDescent="0.25">
      <c r="A93" s="25"/>
      <c r="B93" s="11" t="str">
        <f>CONCATENATE("          ", "6309", " - ", "TELEPHONE")</f>
        <v xml:space="preserve">          6309 - TELEPHONE</v>
      </c>
      <c r="C93" s="11"/>
      <c r="D93" s="7">
        <v>2084.0500000000002</v>
      </c>
      <c r="E93" s="2"/>
      <c r="F93" s="6">
        <f t="shared" si="84"/>
        <v>0</v>
      </c>
      <c r="G93" s="2"/>
      <c r="H93" s="7">
        <v>1580</v>
      </c>
      <c r="I93" s="2"/>
      <c r="J93" s="6">
        <f t="shared" si="85"/>
        <v>0</v>
      </c>
      <c r="K93" s="2"/>
      <c r="L93" s="7">
        <f t="shared" si="86"/>
        <v>504.05000000000018</v>
      </c>
      <c r="M93" s="2"/>
      <c r="N93" s="6">
        <f t="shared" si="87"/>
        <v>0.31901898734177225</v>
      </c>
      <c r="O93" s="11"/>
      <c r="P93" s="7">
        <v>17677.47</v>
      </c>
      <c r="Q93" s="2"/>
      <c r="R93" s="6">
        <f t="shared" si="88"/>
        <v>0</v>
      </c>
      <c r="S93" s="2"/>
      <c r="T93" s="7">
        <v>10460</v>
      </c>
      <c r="U93" s="2"/>
      <c r="V93" s="6">
        <f t="shared" si="89"/>
        <v>52.3</v>
      </c>
      <c r="W93" s="2"/>
      <c r="X93" s="7">
        <f t="shared" si="90"/>
        <v>7217.4700000000012</v>
      </c>
      <c r="Y93" s="2"/>
      <c r="Z93" s="6">
        <f t="shared" si="91"/>
        <v>0.69000669216061195</v>
      </c>
    </row>
    <row r="94" spans="1:26" s="27" customFormat="1" outlineLevel="1" collapsed="1" x14ac:dyDescent="0.25">
      <c r="A94" s="26"/>
      <c r="B94" s="13" t="str">
        <f>CONCATENATE("     ","Training                                          ")</f>
        <v xml:space="preserve">     Training                                          </v>
      </c>
      <c r="C94" s="13"/>
      <c r="D94" s="1">
        <f>SUM(OSRRefD22_19x_0)</f>
        <v>5104.95</v>
      </c>
      <c r="E94" s="1"/>
      <c r="F94" s="5">
        <f t="shared" ref="F94:F98" si="92">IF(D$12=0,0,D94/D$12)</f>
        <v>0</v>
      </c>
      <c r="G94" s="1"/>
      <c r="H94" s="1">
        <f>SUM(OSRRefH22_19x_0)</f>
        <v>5783</v>
      </c>
      <c r="I94" s="1"/>
      <c r="J94" s="5">
        <f t="shared" ref="J94:J98" si="93">IF(H$12=0,0,H94/H$12)</f>
        <v>0</v>
      </c>
      <c r="K94" s="1"/>
      <c r="L94" s="1">
        <f t="shared" ref="L94:L98" si="94">+D94-H94</f>
        <v>-678.05000000000018</v>
      </c>
      <c r="M94" s="1"/>
      <c r="N94" s="5">
        <f t="shared" ref="N94:N98" si="95">IF(H94=0,0,L94/H94)</f>
        <v>-0.11724883278575138</v>
      </c>
      <c r="O94" s="13"/>
      <c r="P94" s="1">
        <f>SUM(OSRRefP22_19x_0)</f>
        <v>14719.66</v>
      </c>
      <c r="Q94" s="1"/>
      <c r="R94" s="5">
        <f t="shared" ref="R94:R98" si="96">IF(P$12=0,0,P94/P$12)</f>
        <v>0</v>
      </c>
      <c r="S94" s="1"/>
      <c r="T94" s="1">
        <f>SUM(OSRRefT22_19x_0)</f>
        <v>24681</v>
      </c>
      <c r="U94" s="1"/>
      <c r="V94" s="5">
        <f t="shared" ref="V94:V98" si="97">IF(T$12=0,0,T94/T$12)</f>
        <v>123.405</v>
      </c>
      <c r="W94" s="1"/>
      <c r="X94" s="1">
        <f t="shared" ref="X94:X98" si="98">+P94-T94</f>
        <v>-9961.34</v>
      </c>
      <c r="Y94" s="1"/>
      <c r="Z94" s="5">
        <f t="shared" ref="Z94:Z98" si="99">IF(T94=0,0,X94/T94)</f>
        <v>-0.40360358170252419</v>
      </c>
    </row>
    <row r="95" spans="1:26" s="24" customFormat="1" hidden="1" outlineLevel="2" x14ac:dyDescent="0.25">
      <c r="A95" s="25"/>
      <c r="B95" s="11" t="str">
        <f>CONCATENATE("          ", "6376", " - ", "TRAINING")</f>
        <v xml:space="preserve">          6376 - TRAINING</v>
      </c>
      <c r="C95" s="11"/>
      <c r="D95" s="7">
        <v>5104.95</v>
      </c>
      <c r="E95" s="2"/>
      <c r="F95" s="6">
        <f t="shared" si="92"/>
        <v>0</v>
      </c>
      <c r="G95" s="2"/>
      <c r="H95" s="7">
        <v>5783</v>
      </c>
      <c r="I95" s="2"/>
      <c r="J95" s="6">
        <f t="shared" si="93"/>
        <v>0</v>
      </c>
      <c r="K95" s="2"/>
      <c r="L95" s="7">
        <f t="shared" si="94"/>
        <v>-678.05000000000018</v>
      </c>
      <c r="M95" s="2"/>
      <c r="N95" s="6">
        <f t="shared" si="95"/>
        <v>-0.11724883278575138</v>
      </c>
      <c r="O95" s="11"/>
      <c r="P95" s="7">
        <v>14719.66</v>
      </c>
      <c r="Q95" s="2"/>
      <c r="R95" s="6">
        <f t="shared" si="96"/>
        <v>0</v>
      </c>
      <c r="S95" s="2"/>
      <c r="T95" s="7">
        <v>24681</v>
      </c>
      <c r="U95" s="2"/>
      <c r="V95" s="6">
        <f t="shared" si="97"/>
        <v>123.405</v>
      </c>
      <c r="W95" s="2"/>
      <c r="X95" s="7">
        <f t="shared" si="98"/>
        <v>-9961.34</v>
      </c>
      <c r="Y95" s="2"/>
      <c r="Z95" s="6">
        <f t="shared" si="99"/>
        <v>-0.40360358170252419</v>
      </c>
    </row>
    <row r="96" spans="1:26" s="27" customFormat="1" outlineLevel="1" collapsed="1" x14ac:dyDescent="0.25">
      <c r="A96" s="26"/>
      <c r="B96" s="13" t="str">
        <f>CONCATENATE("     ","Travel                                            ")</f>
        <v xml:space="preserve">     Travel                                            </v>
      </c>
      <c r="C96" s="13"/>
      <c r="D96" s="1">
        <f>SUM(OSRRefD22_20x_0)</f>
        <v>40.770000000000003</v>
      </c>
      <c r="E96" s="1"/>
      <c r="F96" s="5">
        <f t="shared" si="92"/>
        <v>0</v>
      </c>
      <c r="G96" s="1"/>
      <c r="H96" s="1">
        <f>SUM(OSRRefH22_20x_0)</f>
        <v>4500</v>
      </c>
      <c r="I96" s="1"/>
      <c r="J96" s="5">
        <f t="shared" si="93"/>
        <v>0</v>
      </c>
      <c r="K96" s="1"/>
      <c r="L96" s="1">
        <f t="shared" si="94"/>
        <v>-4459.2299999999996</v>
      </c>
      <c r="M96" s="1"/>
      <c r="N96" s="5">
        <f t="shared" si="95"/>
        <v>-0.99093999999999993</v>
      </c>
      <c r="O96" s="13"/>
      <c r="P96" s="1">
        <f>SUM(OSRRefP22_20x_0)</f>
        <v>8961.4699999999993</v>
      </c>
      <c r="Q96" s="1"/>
      <c r="R96" s="5">
        <f t="shared" si="96"/>
        <v>0</v>
      </c>
      <c r="S96" s="1"/>
      <c r="T96" s="1">
        <f>SUM(OSRRefT22_20x_0)</f>
        <v>27129</v>
      </c>
      <c r="U96" s="1"/>
      <c r="V96" s="5">
        <f t="shared" si="97"/>
        <v>135.64500000000001</v>
      </c>
      <c r="W96" s="1"/>
      <c r="X96" s="1">
        <f t="shared" si="98"/>
        <v>-18167.53</v>
      </c>
      <c r="Y96" s="1"/>
      <c r="Z96" s="5">
        <f t="shared" si="99"/>
        <v>-0.66967193777876066</v>
      </c>
    </row>
    <row r="97" spans="1:26" s="24" customFormat="1" hidden="1" outlineLevel="2" x14ac:dyDescent="0.25">
      <c r="A97" s="25"/>
      <c r="B97" s="11" t="str">
        <f>CONCATENATE("          ", "6292", " - ", "TRAVEL/CONFERENCE")</f>
        <v xml:space="preserve">          6292 - TRAVEL/CONFERENCE</v>
      </c>
      <c r="C97" s="11"/>
      <c r="D97" s="7">
        <v>40.770000000000003</v>
      </c>
      <c r="E97" s="2"/>
      <c r="F97" s="6">
        <f t="shared" si="92"/>
        <v>0</v>
      </c>
      <c r="G97" s="2"/>
      <c r="H97" s="7">
        <v>4500</v>
      </c>
      <c r="I97" s="2"/>
      <c r="J97" s="6">
        <f t="shared" si="93"/>
        <v>0</v>
      </c>
      <c r="K97" s="2"/>
      <c r="L97" s="7">
        <f t="shared" si="94"/>
        <v>-4459.2299999999996</v>
      </c>
      <c r="M97" s="2"/>
      <c r="N97" s="6">
        <f t="shared" si="95"/>
        <v>-0.99093999999999993</v>
      </c>
      <c r="O97" s="11"/>
      <c r="P97" s="7">
        <v>8937.57</v>
      </c>
      <c r="Q97" s="2"/>
      <c r="R97" s="6">
        <f t="shared" si="96"/>
        <v>0</v>
      </c>
      <c r="S97" s="2"/>
      <c r="T97" s="7">
        <v>25879</v>
      </c>
      <c r="U97" s="2"/>
      <c r="V97" s="6">
        <f t="shared" si="97"/>
        <v>129.39500000000001</v>
      </c>
      <c r="W97" s="2"/>
      <c r="X97" s="7">
        <f t="shared" si="98"/>
        <v>-16941.43</v>
      </c>
      <c r="Y97" s="2"/>
      <c r="Z97" s="6">
        <f t="shared" si="99"/>
        <v>-0.65464005564357197</v>
      </c>
    </row>
    <row r="98" spans="1:26" s="24" customFormat="1" hidden="1" outlineLevel="2" x14ac:dyDescent="0.25">
      <c r="A98" s="25"/>
      <c r="B98" s="11" t="str">
        <f>CONCATENATE("          ", "6294", " - ", "TRAVEL OPERATIONAL")</f>
        <v xml:space="preserve">          6294 - TRAVEL OPERATIONAL</v>
      </c>
      <c r="C98" s="11"/>
      <c r="D98" s="7"/>
      <c r="E98" s="2"/>
      <c r="F98" s="6">
        <f t="shared" si="92"/>
        <v>0</v>
      </c>
      <c r="G98" s="2"/>
      <c r="H98" s="7"/>
      <c r="I98" s="2"/>
      <c r="J98" s="6">
        <f t="shared" si="93"/>
        <v>0</v>
      </c>
      <c r="K98" s="2"/>
      <c r="L98" s="7">
        <f t="shared" si="94"/>
        <v>0</v>
      </c>
      <c r="M98" s="2"/>
      <c r="N98" s="6">
        <f t="shared" si="95"/>
        <v>0</v>
      </c>
      <c r="O98" s="11"/>
      <c r="P98" s="7">
        <v>23.9</v>
      </c>
      <c r="Q98" s="2"/>
      <c r="R98" s="6">
        <f t="shared" si="96"/>
        <v>0</v>
      </c>
      <c r="S98" s="2"/>
      <c r="T98" s="7">
        <v>1250</v>
      </c>
      <c r="U98" s="2"/>
      <c r="V98" s="6">
        <f t="shared" si="97"/>
        <v>6.25</v>
      </c>
      <c r="W98" s="2"/>
      <c r="X98" s="7">
        <f t="shared" si="98"/>
        <v>-1226.0999999999999</v>
      </c>
      <c r="Y98" s="2"/>
      <c r="Z98" s="6">
        <f t="shared" si="99"/>
        <v>-0.98087999999999997</v>
      </c>
    </row>
    <row r="99" spans="1:26" s="53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8" t="s">
        <v>0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9" t="s">
        <v>3</v>
      </c>
      <c r="C102" s="29"/>
      <c r="D102" s="21">
        <f>+D17-D19+D100</f>
        <v>-313763.34000000003</v>
      </c>
      <c r="E102" s="14"/>
      <c r="F102" s="20">
        <f>IF(D$12=0,0,D102/D$12)</f>
        <v>0</v>
      </c>
      <c r="G102" s="14"/>
      <c r="H102" s="21">
        <f>+H17-H19+H100</f>
        <v>-380275.81973415078</v>
      </c>
      <c r="I102" s="14"/>
      <c r="J102" s="20">
        <f>IF(H$12=0,0,H102/H$12)</f>
        <v>0</v>
      </c>
      <c r="K102" s="16"/>
      <c r="L102" s="21">
        <f>+D102-H102</f>
        <v>66512.479734150751</v>
      </c>
      <c r="M102" s="16"/>
      <c r="N102" s="20">
        <f>IF(H102=0,0,L102/H102)</f>
        <v>-0.17490588747044014</v>
      </c>
      <c r="O102" s="28"/>
      <c r="P102" s="21">
        <f>+P17-P19+P100</f>
        <v>-2266308.3200000003</v>
      </c>
      <c r="Q102" s="14"/>
      <c r="R102" s="20">
        <f>IF(P$12=0,0,P102/P$12)</f>
        <v>0</v>
      </c>
      <c r="S102" s="14"/>
      <c r="T102" s="21">
        <f>+T17-T19+T100</f>
        <v>-2815498.8675541999</v>
      </c>
      <c r="U102" s="14"/>
      <c r="V102" s="20">
        <f>IF(T$12=0,0,T102/T$12)</f>
        <v>-14077.494337770999</v>
      </c>
      <c r="W102" s="16"/>
      <c r="X102" s="21">
        <f>+P102-T102</f>
        <v>549190.54755419958</v>
      </c>
      <c r="Y102" s="16"/>
      <c r="Z102" s="20">
        <f>IF(T102=0,0,X102/T102)</f>
        <v>-0.19505976503243164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/>
      <c r="E104" s="4"/>
      <c r="F104" s="12">
        <f>IF(D$12=0,0,D104/D$12)</f>
        <v>0</v>
      </c>
      <c r="G104" s="4"/>
      <c r="H104" s="4"/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/>
      <c r="Q104" s="4"/>
      <c r="R104" s="12">
        <f>IF(P$12=0,0,P104/P$12)</f>
        <v>0</v>
      </c>
      <c r="S104" s="4"/>
      <c r="T104" s="4"/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9" t="s">
        <v>4</v>
      </c>
      <c r="C106" s="29"/>
      <c r="D106" s="34">
        <f>+D102-D104</f>
        <v>-313763.34000000003</v>
      </c>
      <c r="E106" s="14"/>
      <c r="F106" s="32">
        <f>IF(D$12=0,0,D106/D$12)</f>
        <v>0</v>
      </c>
      <c r="G106" s="14"/>
      <c r="H106" s="34">
        <f>+H102-H104</f>
        <v>-380275.81973415078</v>
      </c>
      <c r="I106" s="14"/>
      <c r="J106" s="32">
        <f>IF(H$12=0,0,H106/H$12)</f>
        <v>0</v>
      </c>
      <c r="K106" s="16"/>
      <c r="L106" s="34">
        <f>D106-H106</f>
        <v>66512.479734150751</v>
      </c>
      <c r="M106" s="16"/>
      <c r="N106" s="32">
        <f>IF(H106=0,0,L106/H106)</f>
        <v>-0.17490588747044014</v>
      </c>
      <c r="O106" s="28"/>
      <c r="P106" s="34">
        <f>+P102-P104</f>
        <v>-2266308.3200000003</v>
      </c>
      <c r="Q106" s="14"/>
      <c r="R106" s="32">
        <f>IF(P$12=0,0,P106/P$12)</f>
        <v>0</v>
      </c>
      <c r="S106" s="14"/>
      <c r="T106" s="34">
        <f>+T102-T104</f>
        <v>-2815498.8675541999</v>
      </c>
      <c r="U106" s="14"/>
      <c r="V106" s="32">
        <f>IF(T$12=0,0,T106/T$12)</f>
        <v>-14077.494337770999</v>
      </c>
      <c r="W106" s="16"/>
      <c r="X106" s="34">
        <f>P106-T106</f>
        <v>549190.54755419958</v>
      </c>
      <c r="Y106" s="16"/>
      <c r="Z106" s="32">
        <f>IF(T106=0,0,X106/T106)</f>
        <v>-0.19505976503243164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9" t="s">
        <v>5</v>
      </c>
      <c r="C109" s="29"/>
      <c r="D109" s="31">
        <f>SUM(D106:D108)</f>
        <v>-313763.34000000003</v>
      </c>
      <c r="E109" s="14"/>
      <c r="F109" s="30">
        <f>IF(D$12=0,0,D109/D$12)</f>
        <v>0</v>
      </c>
      <c r="G109" s="14"/>
      <c r="H109" s="31">
        <f>SUM(H106:H108)</f>
        <v>-380275.81973415078</v>
      </c>
      <c r="I109" s="14"/>
      <c r="J109" s="30">
        <f>IF(H$12=0,0,H109/H$12)</f>
        <v>0</v>
      </c>
      <c r="K109" s="16"/>
      <c r="L109" s="31">
        <f>+D109-H109</f>
        <v>66512.479734150751</v>
      </c>
      <c r="M109" s="16"/>
      <c r="N109" s="30">
        <f>IF(H109=0,0,L109/H109)</f>
        <v>-0.17490588747044014</v>
      </c>
      <c r="O109" s="28"/>
      <c r="P109" s="31">
        <f>SUM(P106:P108)</f>
        <v>-2266308.3200000003</v>
      </c>
      <c r="Q109" s="14"/>
      <c r="R109" s="30">
        <f>IF(P$12=0,0,P109/P$12)</f>
        <v>0</v>
      </c>
      <c r="S109" s="14"/>
      <c r="T109" s="31">
        <f>SUM(T106:T108)</f>
        <v>-2815498.8675541999</v>
      </c>
      <c r="U109" s="14"/>
      <c r="V109" s="30">
        <f>IF(T$12=0,0,T109/T$12)</f>
        <v>-14077.494337770999</v>
      </c>
      <c r="W109" s="16"/>
      <c r="X109" s="31">
        <f>+P109-T109</f>
        <v>549190.54755419958</v>
      </c>
      <c r="Y109" s="16"/>
      <c r="Z109" s="30">
        <f>IF(T109=0,0,X109/T109)</f>
        <v>-0.19505976503243164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63">
        <v>43879.5456190162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7" t="s">
        <v>314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60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</sheetData>
  <pageMargins left="0.25" right="0.25" top="0.75" bottom="0.75" header="0.3" footer="0.3"/>
  <pageSetup scale="55" fitToWidth="2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","200", " - ", "Corporate Expense")</f>
        <v>Department 200 - Corporate Expense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58340.25</v>
      </c>
      <c r="E18" s="22"/>
      <c r="F18" s="35">
        <f t="shared" ref="F18:F29" si="0">IF(D$12=0,0,D18/D$12)</f>
        <v>0</v>
      </c>
      <c r="G18" s="22"/>
      <c r="H18" s="22">
        <f>SUM(OSRRefH22x_0)</f>
        <v>72000</v>
      </c>
      <c r="I18" s="22"/>
      <c r="J18" s="35">
        <f t="shared" ref="J18:J29" si="1">IF(H$12=0,0,H18/H$12)</f>
        <v>0</v>
      </c>
      <c r="K18" s="4"/>
      <c r="L18" s="22">
        <f t="shared" ref="L18:L29" si="2">+D18-H18</f>
        <v>-13659.75</v>
      </c>
      <c r="M18" s="4"/>
      <c r="N18" s="35">
        <f t="shared" ref="N18:N29" si="3">IF(H18=0,0,L18/H18)</f>
        <v>-0.18971874999999999</v>
      </c>
      <c r="O18" s="10"/>
      <c r="P18" s="22">
        <f>SUM(OSRRefP22x_0)</f>
        <v>410951.52</v>
      </c>
      <c r="Q18" s="22"/>
      <c r="R18" s="35">
        <f t="shared" ref="R18:R29" si="4">IF(P$12=0,0,P18/P$12)</f>
        <v>0</v>
      </c>
      <c r="S18" s="22"/>
      <c r="T18" s="22">
        <f>SUM(OSRRefT22x_0)</f>
        <v>504000</v>
      </c>
      <c r="U18" s="22"/>
      <c r="V18" s="35">
        <f t="shared" ref="V18:V29" si="5">IF(T$12=0,0,T18/T$12)</f>
        <v>0</v>
      </c>
      <c r="W18" s="4"/>
      <c r="X18" s="22">
        <f t="shared" ref="X18:X29" si="6">+P18-T18</f>
        <v>-93048.479999999981</v>
      </c>
      <c r="Y18" s="4"/>
      <c r="Z18" s="35">
        <f t="shared" ref="Z18:Z29" si="7">IF(T18=0,0,X18/T18)</f>
        <v>-0.18461999999999995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30653.37</v>
      </c>
      <c r="E19" s="1"/>
      <c r="F19" s="5">
        <f t="shared" si="0"/>
        <v>0</v>
      </c>
      <c r="G19" s="1"/>
      <c r="H19" s="1">
        <f>SUM(OSRRefH22_0x_0)</f>
        <v>39000</v>
      </c>
      <c r="I19" s="1"/>
      <c r="J19" s="5">
        <f t="shared" si="1"/>
        <v>0</v>
      </c>
      <c r="K19" s="1"/>
      <c r="L19" s="1">
        <f t="shared" si="2"/>
        <v>-8346.630000000001</v>
      </c>
      <c r="M19" s="1"/>
      <c r="N19" s="5">
        <f t="shared" si="3"/>
        <v>-0.21401615384615388</v>
      </c>
      <c r="O19" s="13"/>
      <c r="P19" s="1">
        <f>SUM(OSRRefP22_0x_0)</f>
        <v>206278.25</v>
      </c>
      <c r="Q19" s="1"/>
      <c r="R19" s="5">
        <f t="shared" si="4"/>
        <v>0</v>
      </c>
      <c r="S19" s="1"/>
      <c r="T19" s="1">
        <f>SUM(OSRRefT22_0x_0)</f>
        <v>274300</v>
      </c>
      <c r="U19" s="1"/>
      <c r="V19" s="5">
        <f t="shared" si="5"/>
        <v>0</v>
      </c>
      <c r="W19" s="1"/>
      <c r="X19" s="1">
        <f t="shared" si="6"/>
        <v>-68021.75</v>
      </c>
      <c r="Y19" s="1"/>
      <c r="Z19" s="5">
        <f t="shared" si="7"/>
        <v>-0.24798304775792929</v>
      </c>
    </row>
    <row r="20" spans="1:26" s="24" customFormat="1" hidden="1" outlineLevel="2" x14ac:dyDescent="0.25">
      <c r="A20" s="25"/>
      <c r="B20" s="11" t="str">
        <f>CONCATENATE("          ", "6120", " - ", "RETIREES HEALTH INSURANCE")</f>
        <v xml:space="preserve">          6120 - RETIREES HEALTH INSURANCE</v>
      </c>
      <c r="C20" s="11"/>
      <c r="D20" s="7">
        <v>30653.37</v>
      </c>
      <c r="E20" s="2"/>
      <c r="F20" s="6">
        <f t="shared" si="0"/>
        <v>0</v>
      </c>
      <c r="G20" s="2"/>
      <c r="H20" s="7">
        <v>39000</v>
      </c>
      <c r="I20" s="2"/>
      <c r="J20" s="6">
        <f t="shared" si="1"/>
        <v>0</v>
      </c>
      <c r="K20" s="2"/>
      <c r="L20" s="7">
        <f t="shared" si="2"/>
        <v>-8346.630000000001</v>
      </c>
      <c r="M20" s="2"/>
      <c r="N20" s="6">
        <f t="shared" si="3"/>
        <v>-0.21401615384615388</v>
      </c>
      <c r="O20" s="11"/>
      <c r="P20" s="7">
        <v>206278.25</v>
      </c>
      <c r="Q20" s="2"/>
      <c r="R20" s="6">
        <f t="shared" si="4"/>
        <v>0</v>
      </c>
      <c r="S20" s="2"/>
      <c r="T20" s="7">
        <v>274300</v>
      </c>
      <c r="U20" s="2"/>
      <c r="V20" s="6">
        <f t="shared" si="5"/>
        <v>0</v>
      </c>
      <c r="W20" s="2"/>
      <c r="X20" s="7">
        <f t="shared" si="6"/>
        <v>-68021.75</v>
      </c>
      <c r="Y20" s="2"/>
      <c r="Z20" s="6">
        <f t="shared" si="7"/>
        <v>-0.24798304775792929</v>
      </c>
    </row>
    <row r="21" spans="1:26" s="27" customFormat="1" outlineLevel="1" collapsed="1" x14ac:dyDescent="0.25">
      <c r="A21" s="26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13917.12</v>
      </c>
      <c r="E21" s="1"/>
      <c r="F21" s="5">
        <f t="shared" si="0"/>
        <v>0</v>
      </c>
      <c r="G21" s="1"/>
      <c r="H21" s="1">
        <f>SUM(OSRRefH22_1x_0)</f>
        <v>15000</v>
      </c>
      <c r="I21" s="1"/>
      <c r="J21" s="5">
        <f t="shared" si="1"/>
        <v>0</v>
      </c>
      <c r="K21" s="1"/>
      <c r="L21" s="1">
        <f t="shared" si="2"/>
        <v>-1082.8799999999992</v>
      </c>
      <c r="M21" s="1"/>
      <c r="N21" s="5">
        <f t="shared" si="3"/>
        <v>-7.2191999999999951E-2</v>
      </c>
      <c r="O21" s="13"/>
      <c r="P21" s="1">
        <f>SUM(OSRRefP22_1x_0)</f>
        <v>38344.32</v>
      </c>
      <c r="Q21" s="1"/>
      <c r="R21" s="5">
        <f t="shared" si="4"/>
        <v>0</v>
      </c>
      <c r="S21" s="1"/>
      <c r="T21" s="1">
        <f>SUM(OSRRefT22_1x_0)</f>
        <v>51000</v>
      </c>
      <c r="U21" s="1"/>
      <c r="V21" s="5">
        <f t="shared" si="5"/>
        <v>0</v>
      </c>
      <c r="W21" s="1"/>
      <c r="X21" s="1">
        <f t="shared" si="6"/>
        <v>-12655.68</v>
      </c>
      <c r="Y21" s="1"/>
      <c r="Z21" s="5">
        <f t="shared" si="7"/>
        <v>-0.24815058823529412</v>
      </c>
    </row>
    <row r="22" spans="1:26" s="24" customFormat="1" hidden="1" outlineLevel="2" x14ac:dyDescent="0.25">
      <c r="A22" s="25"/>
      <c r="B22" s="11" t="str">
        <f>CONCATENATE("          ", "6381", " - ", "BANK/CREDIT CARD FEES")</f>
        <v xml:space="preserve">          6381 - BANK/CREDIT CARD FEES</v>
      </c>
      <c r="C22" s="11"/>
      <c r="D22" s="7">
        <v>13917.12</v>
      </c>
      <c r="E22" s="2"/>
      <c r="F22" s="6">
        <f t="shared" si="0"/>
        <v>0</v>
      </c>
      <c r="G22" s="2"/>
      <c r="H22" s="7">
        <v>15000</v>
      </c>
      <c r="I22" s="2"/>
      <c r="J22" s="6">
        <f t="shared" si="1"/>
        <v>0</v>
      </c>
      <c r="K22" s="2"/>
      <c r="L22" s="7">
        <f t="shared" si="2"/>
        <v>-1082.8799999999992</v>
      </c>
      <c r="M22" s="2"/>
      <c r="N22" s="6">
        <f t="shared" si="3"/>
        <v>-7.2191999999999951E-2</v>
      </c>
      <c r="O22" s="11"/>
      <c r="P22" s="7">
        <v>38344.32</v>
      </c>
      <c r="Q22" s="2"/>
      <c r="R22" s="6">
        <f t="shared" si="4"/>
        <v>0</v>
      </c>
      <c r="S22" s="2"/>
      <c r="T22" s="7">
        <v>51000</v>
      </c>
      <c r="U22" s="2"/>
      <c r="V22" s="6">
        <f t="shared" si="5"/>
        <v>0</v>
      </c>
      <c r="W22" s="2"/>
      <c r="X22" s="7">
        <f t="shared" si="6"/>
        <v>-12655.68</v>
      </c>
      <c r="Y22" s="2"/>
      <c r="Z22" s="6">
        <f t="shared" si="7"/>
        <v>-0.24815058823529412</v>
      </c>
    </row>
    <row r="23" spans="1:26" s="27" customFormat="1" outlineLevel="1" collapsed="1" x14ac:dyDescent="0.25">
      <c r="A23" s="26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2282.7600000000002</v>
      </c>
      <c r="E23" s="1"/>
      <c r="F23" s="5">
        <f t="shared" si="0"/>
        <v>0</v>
      </c>
      <c r="G23" s="1"/>
      <c r="H23" s="1">
        <f>SUM(OSRRefH22_2x_0)</f>
        <v>5500</v>
      </c>
      <c r="I23" s="1"/>
      <c r="J23" s="5">
        <f t="shared" si="1"/>
        <v>0</v>
      </c>
      <c r="K23" s="1"/>
      <c r="L23" s="1">
        <f t="shared" si="2"/>
        <v>-3217.24</v>
      </c>
      <c r="M23" s="1"/>
      <c r="N23" s="5">
        <f t="shared" si="3"/>
        <v>-0.58495272727272718</v>
      </c>
      <c r="O23" s="13"/>
      <c r="P23" s="1">
        <f>SUM(OSRRefP22_2x_0)</f>
        <v>19080.710000000003</v>
      </c>
      <c r="Q23" s="1"/>
      <c r="R23" s="5">
        <f t="shared" si="4"/>
        <v>0</v>
      </c>
      <c r="S23" s="1"/>
      <c r="T23" s="1">
        <f>SUM(OSRRefT22_2x_0)</f>
        <v>25700</v>
      </c>
      <c r="U23" s="1"/>
      <c r="V23" s="5">
        <f t="shared" si="5"/>
        <v>0</v>
      </c>
      <c r="W23" s="1"/>
      <c r="X23" s="1">
        <f t="shared" si="6"/>
        <v>-6619.2899999999972</v>
      </c>
      <c r="Y23" s="1"/>
      <c r="Z23" s="5">
        <f t="shared" si="7"/>
        <v>-0.25755992217898821</v>
      </c>
    </row>
    <row r="24" spans="1:26" s="24" customFormat="1" hidden="1" outlineLevel="2" x14ac:dyDescent="0.25">
      <c r="A24" s="25"/>
      <c r="B24" s="11" t="str">
        <f>CONCATENATE("          ", "6397", " - ", "BOARD EXPENSES")</f>
        <v xml:space="preserve">          6397 - BOARD EXPENSES</v>
      </c>
      <c r="C24" s="11"/>
      <c r="D24" s="7">
        <v>2282.7600000000002</v>
      </c>
      <c r="E24" s="2"/>
      <c r="F24" s="6">
        <f t="shared" si="0"/>
        <v>0</v>
      </c>
      <c r="G24" s="2"/>
      <c r="H24" s="7">
        <v>5500</v>
      </c>
      <c r="I24" s="2"/>
      <c r="J24" s="6">
        <f t="shared" si="1"/>
        <v>0</v>
      </c>
      <c r="K24" s="2"/>
      <c r="L24" s="7">
        <f t="shared" si="2"/>
        <v>-3217.24</v>
      </c>
      <c r="M24" s="2"/>
      <c r="N24" s="6">
        <f t="shared" si="3"/>
        <v>-0.58495272727272718</v>
      </c>
      <c r="O24" s="11"/>
      <c r="P24" s="7">
        <v>19080.710000000003</v>
      </c>
      <c r="Q24" s="2"/>
      <c r="R24" s="6">
        <f t="shared" si="4"/>
        <v>0</v>
      </c>
      <c r="S24" s="2"/>
      <c r="T24" s="7">
        <v>25700</v>
      </c>
      <c r="U24" s="2"/>
      <c r="V24" s="6">
        <f t="shared" si="5"/>
        <v>0</v>
      </c>
      <c r="W24" s="2"/>
      <c r="X24" s="7">
        <f t="shared" si="6"/>
        <v>-6619.2899999999972</v>
      </c>
      <c r="Y24" s="2"/>
      <c r="Z24" s="6">
        <f t="shared" si="7"/>
        <v>-0.25755992217898821</v>
      </c>
    </row>
    <row r="25" spans="1:26" s="27" customFormat="1" outlineLevel="1" collapsed="1" x14ac:dyDescent="0.25">
      <c r="A25" s="26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97500</v>
      </c>
      <c r="Q25" s="1"/>
      <c r="R25" s="5">
        <f t="shared" si="4"/>
        <v>0</v>
      </c>
      <c r="S25" s="1"/>
      <c r="T25" s="1">
        <f>SUM(OSRRefT22_3x_0)</f>
        <v>97500</v>
      </c>
      <c r="U25" s="1"/>
      <c r="V25" s="5">
        <f t="shared" si="5"/>
        <v>0</v>
      </c>
      <c r="W25" s="1"/>
      <c r="X25" s="1">
        <f t="shared" si="6"/>
        <v>0</v>
      </c>
      <c r="Y25" s="1"/>
      <c r="Z25" s="5">
        <f t="shared" si="7"/>
        <v>0</v>
      </c>
    </row>
    <row r="26" spans="1:26" s="24" customFormat="1" hidden="1" outlineLevel="2" x14ac:dyDescent="0.25">
      <c r="A26" s="25"/>
      <c r="B26" s="11" t="str">
        <f>CONCATENATE("          ", "6399", " - ", "DONATION-ON CAMPUS")</f>
        <v xml:space="preserve">          6399 - DONATION-ON CAMPUS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97500</v>
      </c>
      <c r="Q26" s="2"/>
      <c r="R26" s="6">
        <f t="shared" si="4"/>
        <v>0</v>
      </c>
      <c r="S26" s="2"/>
      <c r="T26" s="7">
        <v>97500</v>
      </c>
      <c r="U26" s="2"/>
      <c r="V26" s="6">
        <f t="shared" si="5"/>
        <v>0</v>
      </c>
      <c r="W26" s="2"/>
      <c r="X26" s="7">
        <f t="shared" si="6"/>
        <v>0</v>
      </c>
      <c r="Y26" s="2"/>
      <c r="Z26" s="6">
        <f t="shared" si="7"/>
        <v>0</v>
      </c>
    </row>
    <row r="27" spans="1:26" s="27" customFormat="1" outlineLevel="1" collapsed="1" x14ac:dyDescent="0.25">
      <c r="A27" s="26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11487</v>
      </c>
      <c r="E27" s="1"/>
      <c r="F27" s="5">
        <f t="shared" si="0"/>
        <v>0</v>
      </c>
      <c r="G27" s="1"/>
      <c r="H27" s="1">
        <f>SUM(OSRRefH22_4x_0)</f>
        <v>12500</v>
      </c>
      <c r="I27" s="1"/>
      <c r="J27" s="5">
        <f t="shared" si="1"/>
        <v>0</v>
      </c>
      <c r="K27" s="1"/>
      <c r="L27" s="1">
        <f t="shared" si="2"/>
        <v>-1013</v>
      </c>
      <c r="M27" s="1"/>
      <c r="N27" s="5">
        <f t="shared" si="3"/>
        <v>-8.1040000000000001E-2</v>
      </c>
      <c r="O27" s="13"/>
      <c r="P27" s="1">
        <f>SUM(OSRRefP22_4x_0)</f>
        <v>49748.24</v>
      </c>
      <c r="Q27" s="1"/>
      <c r="R27" s="5">
        <f t="shared" si="4"/>
        <v>0</v>
      </c>
      <c r="S27" s="1"/>
      <c r="T27" s="1">
        <f>SUM(OSRRefT22_4x_0)</f>
        <v>55500</v>
      </c>
      <c r="U27" s="1"/>
      <c r="V27" s="5">
        <f t="shared" si="5"/>
        <v>0</v>
      </c>
      <c r="W27" s="1"/>
      <c r="X27" s="1">
        <f t="shared" si="6"/>
        <v>-5751.760000000002</v>
      </c>
      <c r="Y27" s="1"/>
      <c r="Z27" s="5">
        <f t="shared" si="7"/>
        <v>-0.10363531531531535</v>
      </c>
    </row>
    <row r="28" spans="1:26" s="24" customFormat="1" hidden="1" outlineLevel="2" x14ac:dyDescent="0.25">
      <c r="A28" s="25"/>
      <c r="B28" s="11" t="str">
        <f>CONCATENATE("          ", "6331", " - ", "INDIRECT COSTS-AUXILIARY ORGAN")</f>
        <v xml:space="preserve">          6331 - INDIRECT COSTS-AUXILIARY ORGAN</v>
      </c>
      <c r="C28" s="11"/>
      <c r="D28" s="7">
        <v>11487</v>
      </c>
      <c r="E28" s="2"/>
      <c r="F28" s="6">
        <f t="shared" si="0"/>
        <v>0</v>
      </c>
      <c r="G28" s="2"/>
      <c r="H28" s="7">
        <v>12500</v>
      </c>
      <c r="I28" s="2"/>
      <c r="J28" s="6">
        <f t="shared" si="1"/>
        <v>0</v>
      </c>
      <c r="K28" s="2"/>
      <c r="L28" s="7">
        <f t="shared" si="2"/>
        <v>-1013</v>
      </c>
      <c r="M28" s="2"/>
      <c r="N28" s="6">
        <f t="shared" si="3"/>
        <v>-8.1040000000000001E-2</v>
      </c>
      <c r="O28" s="11"/>
      <c r="P28" s="7">
        <v>34686</v>
      </c>
      <c r="Q28" s="2"/>
      <c r="R28" s="6">
        <f t="shared" si="4"/>
        <v>0</v>
      </c>
      <c r="S28" s="2"/>
      <c r="T28" s="7">
        <v>37500</v>
      </c>
      <c r="U28" s="2"/>
      <c r="V28" s="6">
        <f t="shared" si="5"/>
        <v>0</v>
      </c>
      <c r="W28" s="2"/>
      <c r="X28" s="7">
        <f t="shared" si="6"/>
        <v>-2814</v>
      </c>
      <c r="Y28" s="2"/>
      <c r="Z28" s="6">
        <f t="shared" si="7"/>
        <v>-7.5039999999999996E-2</v>
      </c>
    </row>
    <row r="29" spans="1:26" s="24" customFormat="1" hidden="1" outlineLevel="2" x14ac:dyDescent="0.25">
      <c r="A29" s="25"/>
      <c r="B29" s="11" t="str">
        <f>CONCATENATE("          ", "6332", " - ", "CONSULTANT FEES")</f>
        <v xml:space="preserve">          6332 - CONSULTANT FEES</v>
      </c>
      <c r="C29" s="11"/>
      <c r="D29" s="7"/>
      <c r="E29" s="2"/>
      <c r="F29" s="6">
        <f t="shared" si="0"/>
        <v>0</v>
      </c>
      <c r="G29" s="2"/>
      <c r="H29" s="7">
        <v>0</v>
      </c>
      <c r="I29" s="2"/>
      <c r="J29" s="6">
        <f t="shared" si="1"/>
        <v>0</v>
      </c>
      <c r="K29" s="2"/>
      <c r="L29" s="7">
        <f t="shared" si="2"/>
        <v>0</v>
      </c>
      <c r="M29" s="2"/>
      <c r="N29" s="6">
        <f t="shared" si="3"/>
        <v>0</v>
      </c>
      <c r="O29" s="11"/>
      <c r="P29" s="7">
        <v>15062.24</v>
      </c>
      <c r="Q29" s="2"/>
      <c r="R29" s="6">
        <f t="shared" si="4"/>
        <v>0</v>
      </c>
      <c r="S29" s="2"/>
      <c r="T29" s="7">
        <v>18000</v>
      </c>
      <c r="U29" s="2"/>
      <c r="V29" s="6">
        <f t="shared" si="5"/>
        <v>0</v>
      </c>
      <c r="W29" s="2"/>
      <c r="X29" s="7">
        <f t="shared" si="6"/>
        <v>-2937.76</v>
      </c>
      <c r="Y29" s="2"/>
      <c r="Z29" s="6">
        <f t="shared" si="7"/>
        <v>-0.1632088888888889</v>
      </c>
    </row>
    <row r="30" spans="1:26" s="53" customFormat="1" x14ac:dyDescent="0.25">
      <c r="A30" s="36"/>
      <c r="B30" s="36"/>
      <c r="C30" s="36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9" t="s">
        <v>3</v>
      </c>
      <c r="C33" s="29"/>
      <c r="D33" s="21">
        <f>+D16-D18+D31</f>
        <v>-58340.25</v>
      </c>
      <c r="E33" s="14"/>
      <c r="F33" s="20">
        <f>IF(D$12=0,0,D33/D$12)</f>
        <v>0</v>
      </c>
      <c r="G33" s="14"/>
      <c r="H33" s="21">
        <f>+H16-H18+H31</f>
        <v>-72000</v>
      </c>
      <c r="I33" s="14"/>
      <c r="J33" s="20">
        <f>IF(H$12=0,0,H33/H$12)</f>
        <v>0</v>
      </c>
      <c r="K33" s="16"/>
      <c r="L33" s="21">
        <f>+D33-H33</f>
        <v>13659.75</v>
      </c>
      <c r="M33" s="16"/>
      <c r="N33" s="20">
        <f>IF(H33=0,0,L33/H33)</f>
        <v>-0.18971874999999999</v>
      </c>
      <c r="O33" s="28"/>
      <c r="P33" s="21">
        <f>+P16-P18+P31</f>
        <v>-410951.52</v>
      </c>
      <c r="Q33" s="14"/>
      <c r="R33" s="20">
        <f>IF(P$12=0,0,P33/P$12)</f>
        <v>0</v>
      </c>
      <c r="S33" s="14"/>
      <c r="T33" s="21">
        <f>+T16-T18+T31</f>
        <v>-504000</v>
      </c>
      <c r="U33" s="14"/>
      <c r="V33" s="20">
        <f>IF(T$12=0,0,T33/T$12)</f>
        <v>0</v>
      </c>
      <c r="W33" s="16"/>
      <c r="X33" s="21">
        <f>+P33-T33</f>
        <v>93048.479999999981</v>
      </c>
      <c r="Y33" s="16"/>
      <c r="Z33" s="20">
        <f>IF(T33=0,0,X33/T33)</f>
        <v>-0.18461999999999995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2"/>
      <c r="B35" s="10" t="s">
        <v>14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9" t="s">
        <v>4</v>
      </c>
      <c r="C37" s="29"/>
      <c r="D37" s="34">
        <f>+D33-D35</f>
        <v>-58340.25</v>
      </c>
      <c r="E37" s="14"/>
      <c r="F37" s="32">
        <f>IF(D$12=0,0,D37/D$12)</f>
        <v>0</v>
      </c>
      <c r="G37" s="14"/>
      <c r="H37" s="34">
        <f>+H33-H35</f>
        <v>-72000</v>
      </c>
      <c r="I37" s="14"/>
      <c r="J37" s="32">
        <f>IF(H$12=0,0,H37/H$12)</f>
        <v>0</v>
      </c>
      <c r="K37" s="16"/>
      <c r="L37" s="34">
        <f>D37-H37</f>
        <v>13659.75</v>
      </c>
      <c r="M37" s="16"/>
      <c r="N37" s="32">
        <f>IF(H37=0,0,L37/H37)</f>
        <v>-0.18971874999999999</v>
      </c>
      <c r="O37" s="28"/>
      <c r="P37" s="34">
        <f>+P33-P35</f>
        <v>-410951.52</v>
      </c>
      <c r="Q37" s="14"/>
      <c r="R37" s="32">
        <f>IF(P$12=0,0,P37/P$12)</f>
        <v>0</v>
      </c>
      <c r="S37" s="14"/>
      <c r="T37" s="34">
        <f>+T33-T35</f>
        <v>-504000</v>
      </c>
      <c r="U37" s="14"/>
      <c r="V37" s="32">
        <f>IF(T$12=0,0,T37/T$12)</f>
        <v>0</v>
      </c>
      <c r="W37" s="16"/>
      <c r="X37" s="34">
        <f>P37-T37</f>
        <v>93048.479999999981</v>
      </c>
      <c r="Y37" s="16"/>
      <c r="Z37" s="32">
        <f>IF(T37=0,0,X37/T37)</f>
        <v>-0.18461999999999995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9" t="s">
        <v>5</v>
      </c>
      <c r="C40" s="29"/>
      <c r="D40" s="31">
        <f>SUM(D37:D39)</f>
        <v>-58340.25</v>
      </c>
      <c r="E40" s="14"/>
      <c r="F40" s="30">
        <f>IF(D$12=0,0,D40/D$12)</f>
        <v>0</v>
      </c>
      <c r="G40" s="14"/>
      <c r="H40" s="31">
        <f>SUM(H37:H39)</f>
        <v>-72000</v>
      </c>
      <c r="I40" s="14"/>
      <c r="J40" s="30">
        <f>IF(H$12=0,0,H40/H$12)</f>
        <v>0</v>
      </c>
      <c r="K40" s="16"/>
      <c r="L40" s="31">
        <f>+D40-H40</f>
        <v>13659.75</v>
      </c>
      <c r="M40" s="16"/>
      <c r="N40" s="30">
        <f>IF(H40=0,0,L40/H40)</f>
        <v>-0.18971874999999999</v>
      </c>
      <c r="O40" s="28"/>
      <c r="P40" s="31">
        <f>SUM(P37:P39)</f>
        <v>-410951.52</v>
      </c>
      <c r="Q40" s="14"/>
      <c r="R40" s="30">
        <f>IF(P$12=0,0,P40/P$12)</f>
        <v>0</v>
      </c>
      <c r="S40" s="14"/>
      <c r="T40" s="31">
        <f>SUM(T37:T39)</f>
        <v>-504000</v>
      </c>
      <c r="U40" s="14"/>
      <c r="V40" s="30">
        <f>IF(T$12=0,0,T40/T$12)</f>
        <v>0</v>
      </c>
      <c r="W40" s="16"/>
      <c r="X40" s="31">
        <f>+P40-T40</f>
        <v>93048.479999999981</v>
      </c>
      <c r="Y40" s="16"/>
      <c r="Z40" s="30">
        <f>IF(T40=0,0,X40/T40)</f>
        <v>-0.18461999999999995</v>
      </c>
    </row>
    <row r="41" spans="1:26" ht="15.75" thickTop="1" x14ac:dyDescent="0.25">
      <c r="A41" s="9"/>
      <c r="C41" s="9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63">
        <v>43879.545943865742</v>
      </c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A43" s="9"/>
      <c r="B43" s="57" t="s">
        <v>314</v>
      </c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A44" s="9"/>
      <c r="B44" s="60"/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25"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","201", " - ", "General Manager")</f>
        <v>Department 201 - General Manager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39380.729999999996</v>
      </c>
      <c r="E18" s="22"/>
      <c r="F18" s="35">
        <f t="shared" ref="F18:F28" si="0">IF(D$12=0,0,D18/D$12)</f>
        <v>0</v>
      </c>
      <c r="G18" s="22"/>
      <c r="H18" s="22">
        <f>SUM(OSRRefH22x_0)</f>
        <v>80713.243021153845</v>
      </c>
      <c r="I18" s="22"/>
      <c r="J18" s="35">
        <f t="shared" ref="J18:J28" si="1">IF(H$12=0,0,H18/H$12)</f>
        <v>0</v>
      </c>
      <c r="K18" s="4"/>
      <c r="L18" s="22">
        <f t="shared" ref="L18:L28" si="2">+D18-H18</f>
        <v>-41332.513021153849</v>
      </c>
      <c r="M18" s="4"/>
      <c r="N18" s="35">
        <f t="shared" ref="N18:N28" si="3">IF(H18=0,0,L18/H18)</f>
        <v>-0.51209084747494482</v>
      </c>
      <c r="O18" s="10"/>
      <c r="P18" s="22">
        <f>SUM(OSRRefP22x_0)</f>
        <v>476355.03</v>
      </c>
      <c r="Q18" s="22"/>
      <c r="R18" s="35">
        <f t="shared" ref="R18:R28" si="4">IF(P$12=0,0,P18/P$12)</f>
        <v>0</v>
      </c>
      <c r="S18" s="22"/>
      <c r="T18" s="22">
        <f>SUM(OSRRefT22x_0)</f>
        <v>852201.30673115375</v>
      </c>
      <c r="U18" s="22"/>
      <c r="V18" s="35">
        <f t="shared" ref="V18:V28" si="5">IF(T$12=0,0,T18/T$12)</f>
        <v>0</v>
      </c>
      <c r="W18" s="4"/>
      <c r="X18" s="22">
        <f t="shared" ref="X18:X28" si="6">+P18-T18</f>
        <v>-375846.27673115372</v>
      </c>
      <c r="Y18" s="4"/>
      <c r="Z18" s="35">
        <f t="shared" ref="Z18:Z28" si="7">IF(T18=0,0,X18/T18)</f>
        <v>-0.4410299230504735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11177.749999999998</v>
      </c>
      <c r="E19" s="1"/>
      <c r="F19" s="5">
        <f t="shared" si="0"/>
        <v>0</v>
      </c>
      <c r="G19" s="1"/>
      <c r="H19" s="1">
        <f>SUM(OSRRefH22_0x_0)</f>
        <v>15212.031482692311</v>
      </c>
      <c r="I19" s="1"/>
      <c r="J19" s="5">
        <f t="shared" si="1"/>
        <v>0</v>
      </c>
      <c r="K19" s="1"/>
      <c r="L19" s="1">
        <f t="shared" si="2"/>
        <v>-4034.2814826923131</v>
      </c>
      <c r="M19" s="1"/>
      <c r="N19" s="5">
        <f t="shared" si="3"/>
        <v>-0.26520333508922656</v>
      </c>
      <c r="O19" s="13"/>
      <c r="P19" s="1">
        <f>SUM(OSRRefP22_0x_0)</f>
        <v>109286.36000000002</v>
      </c>
      <c r="Q19" s="1"/>
      <c r="R19" s="5">
        <f t="shared" si="4"/>
        <v>0</v>
      </c>
      <c r="S19" s="1"/>
      <c r="T19" s="1">
        <f>SUM(OSRRefT22_0x_0)</f>
        <v>98105.795192692356</v>
      </c>
      <c r="U19" s="1"/>
      <c r="V19" s="5">
        <f t="shared" si="5"/>
        <v>0</v>
      </c>
      <c r="W19" s="1"/>
      <c r="X19" s="1">
        <f t="shared" si="6"/>
        <v>11180.564807307659</v>
      </c>
      <c r="Y19" s="1"/>
      <c r="Z19" s="5">
        <f t="shared" si="7"/>
        <v>0.11396436658351931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1444.53</v>
      </c>
      <c r="E20" s="2"/>
      <c r="F20" s="6">
        <f t="shared" si="0"/>
        <v>0</v>
      </c>
      <c r="G20" s="2"/>
      <c r="H20" s="7">
        <v>2984.7730211538501</v>
      </c>
      <c r="I20" s="2"/>
      <c r="J20" s="6">
        <f t="shared" si="1"/>
        <v>0</v>
      </c>
      <c r="K20" s="2"/>
      <c r="L20" s="7">
        <f t="shared" si="2"/>
        <v>-1540.2430211538501</v>
      </c>
      <c r="M20" s="2"/>
      <c r="N20" s="6">
        <f t="shared" si="3"/>
        <v>-0.5160335510398123</v>
      </c>
      <c r="O20" s="11"/>
      <c r="P20" s="7">
        <v>14360.14</v>
      </c>
      <c r="Q20" s="2"/>
      <c r="R20" s="6">
        <f t="shared" si="4"/>
        <v>0</v>
      </c>
      <c r="S20" s="2"/>
      <c r="T20" s="7">
        <v>18505.592731153869</v>
      </c>
      <c r="U20" s="2"/>
      <c r="V20" s="6">
        <f t="shared" si="5"/>
        <v>0</v>
      </c>
      <c r="W20" s="2"/>
      <c r="X20" s="7">
        <f t="shared" si="6"/>
        <v>-4145.4527311538695</v>
      </c>
      <c r="Y20" s="2"/>
      <c r="Z20" s="6">
        <f t="shared" si="7"/>
        <v>-0.22401080534832404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70.28</v>
      </c>
      <c r="E21" s="2"/>
      <c r="F21" s="6">
        <f t="shared" si="0"/>
        <v>0</v>
      </c>
      <c r="G21" s="2"/>
      <c r="H21" s="7">
        <v>132.60457692307699</v>
      </c>
      <c r="I21" s="2"/>
      <c r="J21" s="6">
        <f t="shared" si="1"/>
        <v>0</v>
      </c>
      <c r="K21" s="2"/>
      <c r="L21" s="7">
        <f t="shared" si="2"/>
        <v>-62.324576923076989</v>
      </c>
      <c r="M21" s="2"/>
      <c r="N21" s="6">
        <f t="shared" si="3"/>
        <v>-0.47000321081851532</v>
      </c>
      <c r="O21" s="11"/>
      <c r="P21" s="7">
        <v>915.85</v>
      </c>
      <c r="Q21" s="2"/>
      <c r="R21" s="6">
        <f t="shared" si="4"/>
        <v>0</v>
      </c>
      <c r="S21" s="2"/>
      <c r="T21" s="7">
        <v>822.14837692307901</v>
      </c>
      <c r="U21" s="2"/>
      <c r="V21" s="6">
        <f t="shared" si="5"/>
        <v>0</v>
      </c>
      <c r="W21" s="2"/>
      <c r="X21" s="7">
        <f t="shared" si="6"/>
        <v>93.70162307692101</v>
      </c>
      <c r="Y21" s="2"/>
      <c r="Z21" s="6">
        <f t="shared" si="7"/>
        <v>0.11397166947844965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3965.44</v>
      </c>
      <c r="E22" s="2"/>
      <c r="F22" s="6">
        <f t="shared" si="0"/>
        <v>0</v>
      </c>
      <c r="G22" s="2"/>
      <c r="H22" s="7">
        <v>4739</v>
      </c>
      <c r="I22" s="2"/>
      <c r="J22" s="6">
        <f t="shared" si="1"/>
        <v>0</v>
      </c>
      <c r="K22" s="2"/>
      <c r="L22" s="7">
        <f t="shared" si="2"/>
        <v>-773.56</v>
      </c>
      <c r="M22" s="2"/>
      <c r="N22" s="6">
        <f t="shared" si="3"/>
        <v>-0.16323274952521627</v>
      </c>
      <c r="O22" s="11"/>
      <c r="P22" s="7">
        <v>29105.3</v>
      </c>
      <c r="Q22" s="2"/>
      <c r="R22" s="6">
        <f t="shared" si="4"/>
        <v>0</v>
      </c>
      <c r="S22" s="2"/>
      <c r="T22" s="7">
        <v>33173</v>
      </c>
      <c r="U22" s="2"/>
      <c r="V22" s="6">
        <f t="shared" si="5"/>
        <v>0</v>
      </c>
      <c r="W22" s="2"/>
      <c r="X22" s="7">
        <f t="shared" si="6"/>
        <v>-4067.7000000000007</v>
      </c>
      <c r="Y22" s="2"/>
      <c r="Z22" s="6">
        <f t="shared" si="7"/>
        <v>-0.12262080607723151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53.74</v>
      </c>
      <c r="E23" s="2"/>
      <c r="F23" s="6">
        <f t="shared" si="0"/>
        <v>0</v>
      </c>
      <c r="G23" s="2"/>
      <c r="H23" s="7">
        <v>101.40349999999999</v>
      </c>
      <c r="I23" s="2"/>
      <c r="J23" s="6">
        <f t="shared" si="1"/>
        <v>0</v>
      </c>
      <c r="K23" s="2"/>
      <c r="L23" s="7">
        <f t="shared" si="2"/>
        <v>-47.663499999999992</v>
      </c>
      <c r="M23" s="2"/>
      <c r="N23" s="6">
        <f t="shared" si="3"/>
        <v>-0.47003801643927473</v>
      </c>
      <c r="O23" s="11"/>
      <c r="P23" s="7">
        <v>857.04</v>
      </c>
      <c r="Q23" s="2"/>
      <c r="R23" s="6">
        <f t="shared" si="4"/>
        <v>0</v>
      </c>
      <c r="S23" s="2"/>
      <c r="T23" s="7">
        <v>628.70169999999996</v>
      </c>
      <c r="U23" s="2"/>
      <c r="V23" s="6">
        <f t="shared" si="5"/>
        <v>0</v>
      </c>
      <c r="W23" s="2"/>
      <c r="X23" s="7">
        <f t="shared" si="6"/>
        <v>228.3383</v>
      </c>
      <c r="Y23" s="2"/>
      <c r="Z23" s="6">
        <f t="shared" si="7"/>
        <v>0.36319020610251257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2847.86</v>
      </c>
      <c r="E24" s="2"/>
      <c r="F24" s="6">
        <f t="shared" si="0"/>
        <v>0</v>
      </c>
      <c r="G24" s="2"/>
      <c r="H24" s="7">
        <v>3354.1157692307702</v>
      </c>
      <c r="I24" s="2"/>
      <c r="J24" s="6">
        <f t="shared" si="1"/>
        <v>0</v>
      </c>
      <c r="K24" s="2"/>
      <c r="L24" s="7">
        <f t="shared" si="2"/>
        <v>-506.25576923077006</v>
      </c>
      <c r="M24" s="2"/>
      <c r="N24" s="6">
        <f t="shared" si="3"/>
        <v>-0.15093568739485527</v>
      </c>
      <c r="O24" s="11"/>
      <c r="P24" s="7">
        <v>22556.43</v>
      </c>
      <c r="Q24" s="2"/>
      <c r="R24" s="6">
        <f t="shared" si="4"/>
        <v>0</v>
      </c>
      <c r="S24" s="2"/>
      <c r="T24" s="7">
        <v>20795.517769230792</v>
      </c>
      <c r="U24" s="2"/>
      <c r="V24" s="6">
        <f t="shared" si="5"/>
        <v>0</v>
      </c>
      <c r="W24" s="2"/>
      <c r="X24" s="7">
        <f t="shared" si="6"/>
        <v>1760.9122307692087</v>
      </c>
      <c r="Y24" s="2"/>
      <c r="Z24" s="6">
        <f t="shared" si="7"/>
        <v>8.4677489173877074E-2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1621.64</v>
      </c>
      <c r="E26" s="2"/>
      <c r="F26" s="6">
        <f t="shared" si="0"/>
        <v>0</v>
      </c>
      <c r="G26" s="2"/>
      <c r="H26" s="7">
        <v>3058.90192307692</v>
      </c>
      <c r="I26" s="2"/>
      <c r="J26" s="6">
        <f t="shared" si="1"/>
        <v>0</v>
      </c>
      <c r="K26" s="2"/>
      <c r="L26" s="7">
        <f t="shared" si="2"/>
        <v>-1437.2619230769199</v>
      </c>
      <c r="M26" s="2"/>
      <c r="N26" s="6">
        <f t="shared" si="3"/>
        <v>-0.46986204828404304</v>
      </c>
      <c r="O26" s="11"/>
      <c r="P26" s="7">
        <v>18130.82</v>
      </c>
      <c r="Q26" s="2"/>
      <c r="R26" s="6">
        <f t="shared" si="4"/>
        <v>0</v>
      </c>
      <c r="S26" s="2"/>
      <c r="T26" s="7">
        <v>18965.19192307692</v>
      </c>
      <c r="U26" s="2"/>
      <c r="V26" s="6">
        <f t="shared" si="5"/>
        <v>0</v>
      </c>
      <c r="W26" s="2"/>
      <c r="X26" s="7">
        <f t="shared" si="6"/>
        <v>-834.37192307692021</v>
      </c>
      <c r="Y26" s="2"/>
      <c r="Z26" s="6">
        <f t="shared" si="7"/>
        <v>-4.3994910595218033E-2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856.8</v>
      </c>
      <c r="E27" s="2"/>
      <c r="F27" s="6">
        <f t="shared" si="0"/>
        <v>0</v>
      </c>
      <c r="G27" s="2"/>
      <c r="H27" s="7">
        <v>841.23269230769199</v>
      </c>
      <c r="I27" s="2"/>
      <c r="J27" s="6">
        <f t="shared" si="1"/>
        <v>0</v>
      </c>
      <c r="K27" s="2"/>
      <c r="L27" s="7">
        <f t="shared" si="2"/>
        <v>15.567307692307963</v>
      </c>
      <c r="M27" s="2"/>
      <c r="N27" s="6">
        <f t="shared" si="3"/>
        <v>1.8505352721853104E-2</v>
      </c>
      <c r="O27" s="11"/>
      <c r="P27" s="7">
        <v>21256.400000000001</v>
      </c>
      <c r="Q27" s="2"/>
      <c r="R27" s="6">
        <f t="shared" si="4"/>
        <v>0</v>
      </c>
      <c r="S27" s="2"/>
      <c r="T27" s="7">
        <v>5215.6426923076915</v>
      </c>
      <c r="U27" s="2"/>
      <c r="V27" s="6">
        <f t="shared" si="5"/>
        <v>0</v>
      </c>
      <c r="W27" s="2"/>
      <c r="X27" s="7">
        <f t="shared" si="6"/>
        <v>16040.757307692311</v>
      </c>
      <c r="Y27" s="2"/>
      <c r="Z27" s="6">
        <f t="shared" si="7"/>
        <v>3.0755092428685877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>
        <v>317.45999999999998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317.45999999999998</v>
      </c>
      <c r="M28" s="2"/>
      <c r="N28" s="6">
        <f t="shared" si="3"/>
        <v>0</v>
      </c>
      <c r="O28" s="11"/>
      <c r="P28" s="7">
        <v>2104.38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2104.38</v>
      </c>
      <c r="Y28" s="2"/>
      <c r="Z28" s="6">
        <f t="shared" si="7"/>
        <v>0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23563.45</v>
      </c>
      <c r="E29" s="1"/>
      <c r="F29" s="5">
        <f t="shared" ref="F29:F39" si="8">IF(D$12=0,0,D29/D$12)</f>
        <v>0</v>
      </c>
      <c r="G29" s="1"/>
      <c r="H29" s="1">
        <f>SUM(OSRRefH22_1x_0)</f>
        <v>35101.211538461532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-11537.761538461531</v>
      </c>
      <c r="M29" s="1"/>
      <c r="N29" s="5">
        <f t="shared" ref="N29:N39" si="11">IF(H29=0,0,L29/H29)</f>
        <v>-0.32869980928775727</v>
      </c>
      <c r="O29" s="13"/>
      <c r="P29" s="1">
        <f>SUM(OSRRefP22_1x_0)</f>
        <v>103673.54999999999</v>
      </c>
      <c r="Q29" s="1"/>
      <c r="R29" s="5">
        <f t="shared" ref="R29:R39" si="12">IF(P$12=0,0,P29/P$12)</f>
        <v>0</v>
      </c>
      <c r="S29" s="1"/>
      <c r="T29" s="1">
        <f>SUM(OSRRefT22_1x_0)</f>
        <v>217627.51153846137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-113953.96153846139</v>
      </c>
      <c r="Y29" s="1"/>
      <c r="Z29" s="5">
        <f t="shared" ref="Z29:Z39" si="15">IF(T29=0,0,X29/T29)</f>
        <v>-0.52361928293391469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>
        <v>16876.34</v>
      </c>
      <c r="E30" s="2"/>
      <c r="F30" s="6">
        <f t="shared" si="8"/>
        <v>0</v>
      </c>
      <c r="G30" s="2"/>
      <c r="H30" s="7">
        <v>29592.692307692305</v>
      </c>
      <c r="I30" s="2"/>
      <c r="J30" s="6">
        <f t="shared" si="9"/>
        <v>0</v>
      </c>
      <c r="K30" s="2"/>
      <c r="L30" s="7">
        <f t="shared" si="10"/>
        <v>-12716.352307692305</v>
      </c>
      <c r="M30" s="2"/>
      <c r="N30" s="6">
        <f t="shared" si="11"/>
        <v>-0.42971258496770248</v>
      </c>
      <c r="O30" s="11"/>
      <c r="P30" s="7">
        <v>112833.48</v>
      </c>
      <c r="Q30" s="2"/>
      <c r="R30" s="6">
        <f t="shared" si="12"/>
        <v>0</v>
      </c>
      <c r="S30" s="2"/>
      <c r="T30" s="7">
        <v>183474.69230769211</v>
      </c>
      <c r="U30" s="2"/>
      <c r="V30" s="6">
        <f t="shared" si="13"/>
        <v>0</v>
      </c>
      <c r="W30" s="2"/>
      <c r="X30" s="7">
        <f t="shared" si="14"/>
        <v>-70641.212307692113</v>
      </c>
      <c r="Y30" s="2"/>
      <c r="Z30" s="6">
        <f t="shared" si="15"/>
        <v>-0.38501883512754365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>
        <v>4896.3599999999997</v>
      </c>
      <c r="E31" s="2"/>
      <c r="F31" s="6">
        <f t="shared" si="8"/>
        <v>0</v>
      </c>
      <c r="G31" s="2"/>
      <c r="H31" s="7">
        <v>5508.5192307692296</v>
      </c>
      <c r="I31" s="2"/>
      <c r="J31" s="6">
        <f t="shared" si="9"/>
        <v>0</v>
      </c>
      <c r="K31" s="2"/>
      <c r="L31" s="7">
        <f t="shared" si="10"/>
        <v>-612.15923076922991</v>
      </c>
      <c r="M31" s="2"/>
      <c r="N31" s="6">
        <f t="shared" si="11"/>
        <v>-0.11112954409777848</v>
      </c>
      <c r="O31" s="11"/>
      <c r="P31" s="7">
        <v>33540.79</v>
      </c>
      <c r="Q31" s="2"/>
      <c r="R31" s="6">
        <f t="shared" si="12"/>
        <v>0</v>
      </c>
      <c r="S31" s="2"/>
      <c r="T31" s="7">
        <v>34152.819230769252</v>
      </c>
      <c r="U31" s="2"/>
      <c r="V31" s="6">
        <f t="shared" si="13"/>
        <v>0</v>
      </c>
      <c r="W31" s="2"/>
      <c r="X31" s="7">
        <f t="shared" si="14"/>
        <v>-612.02923076925072</v>
      </c>
      <c r="Y31" s="2"/>
      <c r="Z31" s="6">
        <f t="shared" si="15"/>
        <v>-1.7920313595015197E-2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>
        <v>1790.75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1790.75</v>
      </c>
      <c r="M36" s="2"/>
      <c r="N36" s="6">
        <f t="shared" si="11"/>
        <v>0</v>
      </c>
      <c r="O36" s="11"/>
      <c r="P36" s="7">
        <v>-42700.72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-42700.72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188.5</v>
      </c>
      <c r="E40" s="1"/>
      <c r="F40" s="5">
        <f t="shared" ref="F40:F46" si="16">IF(D$12=0,0,D40/D$12)</f>
        <v>0</v>
      </c>
      <c r="G40" s="1"/>
      <c r="H40" s="1">
        <f>SUM(OSRRefH22_2x_0)</f>
        <v>9000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-8811.5</v>
      </c>
      <c r="M40" s="1"/>
      <c r="N40" s="5">
        <f t="shared" ref="N40:N46" si="19">IF(H40=0,0,L40/H40)</f>
        <v>-0.97905555555555557</v>
      </c>
      <c r="O40" s="13"/>
      <c r="P40" s="1">
        <f>SUM(OSRRefP22_2x_0)</f>
        <v>11598.39</v>
      </c>
      <c r="Q40" s="1"/>
      <c r="R40" s="5">
        <f t="shared" ref="R40:R46" si="20">IF(P$12=0,0,P40/P$12)</f>
        <v>0</v>
      </c>
      <c r="S40" s="1"/>
      <c r="T40" s="1">
        <f>SUM(OSRRefT22_2x_0)</f>
        <v>63000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-51401.61</v>
      </c>
      <c r="Y40" s="1"/>
      <c r="Z40" s="5">
        <f t="shared" ref="Z40:Z46" si="23">IF(T40=0,0,X40/T40)</f>
        <v>-0.81589857142857147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7">
        <v>188.5</v>
      </c>
      <c r="E41" s="2"/>
      <c r="F41" s="6">
        <f t="shared" si="16"/>
        <v>0</v>
      </c>
      <c r="G41" s="2"/>
      <c r="H41" s="7">
        <v>9000</v>
      </c>
      <c r="I41" s="2"/>
      <c r="J41" s="6">
        <f t="shared" si="17"/>
        <v>0</v>
      </c>
      <c r="K41" s="2"/>
      <c r="L41" s="7">
        <f t="shared" si="18"/>
        <v>-8811.5</v>
      </c>
      <c r="M41" s="2"/>
      <c r="N41" s="6">
        <f t="shared" si="19"/>
        <v>-0.97905555555555557</v>
      </c>
      <c r="O41" s="11"/>
      <c r="P41" s="7">
        <v>11598.39</v>
      </c>
      <c r="Q41" s="2"/>
      <c r="R41" s="6">
        <f t="shared" si="20"/>
        <v>0</v>
      </c>
      <c r="S41" s="2"/>
      <c r="T41" s="7">
        <v>63000</v>
      </c>
      <c r="U41" s="2"/>
      <c r="V41" s="6">
        <f t="shared" si="21"/>
        <v>0</v>
      </c>
      <c r="W41" s="2"/>
      <c r="X41" s="7">
        <f t="shared" si="22"/>
        <v>-51401.61</v>
      </c>
      <c r="Y41" s="2"/>
      <c r="Z41" s="6">
        <f t="shared" si="23"/>
        <v>-0.81589857142857147</v>
      </c>
    </row>
    <row r="42" spans="1:26" s="27" customFormat="1" outlineLevel="1" collapsed="1" x14ac:dyDescent="0.25">
      <c r="A42" s="26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345.23</v>
      </c>
      <c r="E42" s="1"/>
      <c r="F42" s="5">
        <f t="shared" si="16"/>
        <v>0</v>
      </c>
      <c r="G42" s="1"/>
      <c r="H42" s="1">
        <f>SUM(OSRRefH22_3x_0)</f>
        <v>345</v>
      </c>
      <c r="I42" s="1"/>
      <c r="J42" s="5">
        <f t="shared" si="17"/>
        <v>0</v>
      </c>
      <c r="K42" s="1"/>
      <c r="L42" s="1">
        <f t="shared" si="18"/>
        <v>0.23000000000001819</v>
      </c>
      <c r="M42" s="1"/>
      <c r="N42" s="5">
        <f t="shared" si="19"/>
        <v>6.6666666666671945E-4</v>
      </c>
      <c r="O42" s="13"/>
      <c r="P42" s="1">
        <f>SUM(OSRRefP22_3x_0)</f>
        <v>2416.61</v>
      </c>
      <c r="Q42" s="1"/>
      <c r="R42" s="5">
        <f t="shared" si="20"/>
        <v>0</v>
      </c>
      <c r="S42" s="1"/>
      <c r="T42" s="1">
        <f>SUM(OSRRefT22_3x_0)</f>
        <v>2415</v>
      </c>
      <c r="U42" s="1"/>
      <c r="V42" s="5">
        <f t="shared" si="21"/>
        <v>0</v>
      </c>
      <c r="W42" s="1"/>
      <c r="X42" s="1">
        <f t="shared" si="22"/>
        <v>1.6100000000001273</v>
      </c>
      <c r="Y42" s="1"/>
      <c r="Z42" s="5">
        <f t="shared" si="23"/>
        <v>6.6666666666671945E-4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345.23</v>
      </c>
      <c r="E43" s="2"/>
      <c r="F43" s="6">
        <f t="shared" si="16"/>
        <v>0</v>
      </c>
      <c r="G43" s="2"/>
      <c r="H43" s="7">
        <v>345</v>
      </c>
      <c r="I43" s="2"/>
      <c r="J43" s="6">
        <f t="shared" si="17"/>
        <v>0</v>
      </c>
      <c r="K43" s="2"/>
      <c r="L43" s="7">
        <f t="shared" si="18"/>
        <v>0.23000000000001819</v>
      </c>
      <c r="M43" s="2"/>
      <c r="N43" s="6">
        <f t="shared" si="19"/>
        <v>6.6666666666671945E-4</v>
      </c>
      <c r="O43" s="11"/>
      <c r="P43" s="7">
        <v>2416.61</v>
      </c>
      <c r="Q43" s="2"/>
      <c r="R43" s="6">
        <f t="shared" si="20"/>
        <v>0</v>
      </c>
      <c r="S43" s="2"/>
      <c r="T43" s="7">
        <v>2415</v>
      </c>
      <c r="U43" s="2"/>
      <c r="V43" s="6">
        <f t="shared" si="21"/>
        <v>0</v>
      </c>
      <c r="W43" s="2"/>
      <c r="X43" s="7">
        <f t="shared" si="22"/>
        <v>1.6100000000001273</v>
      </c>
      <c r="Y43" s="2"/>
      <c r="Z43" s="6">
        <f t="shared" si="23"/>
        <v>6.6666666666671945E-4</v>
      </c>
    </row>
    <row r="44" spans="1:26" s="27" customFormat="1" outlineLevel="1" collapsed="1" x14ac:dyDescent="0.25">
      <c r="A44" s="26"/>
      <c r="B44" s="13" t="str">
        <f>CONCATENATE("     ","Donations                                         ")</f>
        <v xml:space="preserve">     Donations            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2000</v>
      </c>
      <c r="I44" s="1"/>
      <c r="J44" s="5">
        <f t="shared" si="17"/>
        <v>0</v>
      </c>
      <c r="K44" s="1"/>
      <c r="L44" s="1">
        <f t="shared" si="18"/>
        <v>-2000</v>
      </c>
      <c r="M44" s="1"/>
      <c r="N44" s="5">
        <f t="shared" si="19"/>
        <v>-1</v>
      </c>
      <c r="O44" s="13"/>
      <c r="P44" s="1">
        <f>SUM(OSRRefP22_4x_0)</f>
        <v>145645</v>
      </c>
      <c r="Q44" s="1"/>
      <c r="R44" s="5">
        <f t="shared" si="20"/>
        <v>0</v>
      </c>
      <c r="S44" s="1"/>
      <c r="T44" s="1">
        <f>SUM(OSRRefT22_4x_0)</f>
        <v>356300</v>
      </c>
      <c r="U44" s="1"/>
      <c r="V44" s="5">
        <f t="shared" si="21"/>
        <v>0</v>
      </c>
      <c r="W44" s="1"/>
      <c r="X44" s="1">
        <f t="shared" si="22"/>
        <v>-210655</v>
      </c>
      <c r="Y44" s="1"/>
      <c r="Z44" s="5">
        <f t="shared" si="23"/>
        <v>-0.5912293011507157</v>
      </c>
    </row>
    <row r="45" spans="1:26" s="24" customFormat="1" hidden="1" outlineLevel="2" x14ac:dyDescent="0.25">
      <c r="A45" s="25"/>
      <c r="B45" s="11" t="str">
        <f>CONCATENATE("          ", "6395", " - ", "DONATION-OFF CAMPUS")</f>
        <v xml:space="preserve">          6395 - DONATION-OFF CAMPUS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800</v>
      </c>
      <c r="U45" s="2"/>
      <c r="V45" s="6">
        <f t="shared" si="21"/>
        <v>0</v>
      </c>
      <c r="W45" s="2"/>
      <c r="X45" s="7">
        <f t="shared" si="22"/>
        <v>-800</v>
      </c>
      <c r="Y45" s="2"/>
      <c r="Z45" s="6">
        <f t="shared" si="23"/>
        <v>-1</v>
      </c>
    </row>
    <row r="46" spans="1:26" s="24" customFormat="1" hidden="1" outlineLevel="2" x14ac:dyDescent="0.25">
      <c r="A46" s="25"/>
      <c r="B46" s="11" t="str">
        <f>CONCATENATE("          ", "6399", " - ", "DONATION-ON CAMPUS")</f>
        <v xml:space="preserve">          6399 - DONATION-ON CAMPUS</v>
      </c>
      <c r="C46" s="11"/>
      <c r="D46" s="7"/>
      <c r="E46" s="2"/>
      <c r="F46" s="6">
        <f t="shared" si="16"/>
        <v>0</v>
      </c>
      <c r="G46" s="2"/>
      <c r="H46" s="7">
        <v>2000</v>
      </c>
      <c r="I46" s="2"/>
      <c r="J46" s="6">
        <f t="shared" si="17"/>
        <v>0</v>
      </c>
      <c r="K46" s="2"/>
      <c r="L46" s="7">
        <f t="shared" si="18"/>
        <v>-2000</v>
      </c>
      <c r="M46" s="2"/>
      <c r="N46" s="6">
        <f t="shared" si="19"/>
        <v>-1</v>
      </c>
      <c r="O46" s="11"/>
      <c r="P46" s="7">
        <v>145645</v>
      </c>
      <c r="Q46" s="2"/>
      <c r="R46" s="6">
        <f t="shared" si="20"/>
        <v>0</v>
      </c>
      <c r="S46" s="2"/>
      <c r="T46" s="7">
        <v>355500</v>
      </c>
      <c r="U46" s="2"/>
      <c r="V46" s="6">
        <f t="shared" si="21"/>
        <v>0</v>
      </c>
      <c r="W46" s="2"/>
      <c r="X46" s="7">
        <f t="shared" si="22"/>
        <v>-209855</v>
      </c>
      <c r="Y46" s="2"/>
      <c r="Z46" s="6">
        <f t="shared" si="23"/>
        <v>-0.590309423347398</v>
      </c>
    </row>
    <row r="47" spans="1:26" s="27" customFormat="1" outlineLevel="1" collapsed="1" x14ac:dyDescent="0.25">
      <c r="A47" s="26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SUM(OSRRefD22_5x_0)</f>
        <v>0</v>
      </c>
      <c r="E47" s="1"/>
      <c r="F47" s="5">
        <f t="shared" ref="F47:F60" si="24">IF(D$12=0,0,D47/D$12)</f>
        <v>0</v>
      </c>
      <c r="G47" s="1"/>
      <c r="H47" s="1">
        <f>SUM(OSRRefH22_5x_0)</f>
        <v>0</v>
      </c>
      <c r="I47" s="1"/>
      <c r="J47" s="5">
        <f t="shared" ref="J47:J60" si="25">IF(H$12=0,0,H47/H$12)</f>
        <v>0</v>
      </c>
      <c r="K47" s="1"/>
      <c r="L47" s="1">
        <f t="shared" ref="L47:L60" si="26">+D47-H47</f>
        <v>0</v>
      </c>
      <c r="M47" s="1"/>
      <c r="N47" s="5">
        <f t="shared" ref="N47:N60" si="27">IF(H47=0,0,L47/H47)</f>
        <v>0</v>
      </c>
      <c r="O47" s="13"/>
      <c r="P47" s="1">
        <f>SUM(OSRRefP22_5x_0)</f>
        <v>0</v>
      </c>
      <c r="Q47" s="1"/>
      <c r="R47" s="5">
        <f t="shared" ref="R47:R60" si="28">IF(P$12=0,0,P47/P$12)</f>
        <v>0</v>
      </c>
      <c r="S47" s="1"/>
      <c r="T47" s="1">
        <f>SUM(OSRRefT22_5x_0)</f>
        <v>4500</v>
      </c>
      <c r="U47" s="1"/>
      <c r="V47" s="5">
        <f t="shared" ref="V47:V60" si="29">IF(T$12=0,0,T47/T$12)</f>
        <v>0</v>
      </c>
      <c r="W47" s="1"/>
      <c r="X47" s="1">
        <f t="shared" ref="X47:X60" si="30">+P47-T47</f>
        <v>-4500</v>
      </c>
      <c r="Y47" s="1"/>
      <c r="Z47" s="5">
        <f t="shared" ref="Z47:Z60" si="31">IF(T47=0,0,X47/T47)</f>
        <v>-1</v>
      </c>
    </row>
    <row r="48" spans="1:26" s="24" customFormat="1" hidden="1" outlineLevel="2" x14ac:dyDescent="0.25">
      <c r="A48" s="25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24"/>
        <v>0</v>
      </c>
      <c r="G48" s="2"/>
      <c r="H48" s="7"/>
      <c r="I48" s="2"/>
      <c r="J48" s="6">
        <f t="shared" si="25"/>
        <v>0</v>
      </c>
      <c r="K48" s="2"/>
      <c r="L48" s="7">
        <f t="shared" si="26"/>
        <v>0</v>
      </c>
      <c r="M48" s="2"/>
      <c r="N48" s="6">
        <f t="shared" si="27"/>
        <v>0</v>
      </c>
      <c r="O48" s="11"/>
      <c r="P48" s="7"/>
      <c r="Q48" s="2"/>
      <c r="R48" s="6">
        <f t="shared" si="28"/>
        <v>0</v>
      </c>
      <c r="S48" s="2"/>
      <c r="T48" s="7">
        <v>4500</v>
      </c>
      <c r="U48" s="2"/>
      <c r="V48" s="6">
        <f t="shared" si="29"/>
        <v>0</v>
      </c>
      <c r="W48" s="2"/>
      <c r="X48" s="7">
        <f t="shared" si="30"/>
        <v>-4500</v>
      </c>
      <c r="Y48" s="2"/>
      <c r="Z48" s="6">
        <f t="shared" si="31"/>
        <v>-1</v>
      </c>
    </row>
    <row r="49" spans="1:26" s="27" customFormat="1" outlineLevel="1" collapsed="1" x14ac:dyDescent="0.25">
      <c r="A49" s="26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SUM(OSRRefD22_6x_0)</f>
        <v>117.72</v>
      </c>
      <c r="E49" s="1"/>
      <c r="F49" s="5">
        <f t="shared" si="24"/>
        <v>0</v>
      </c>
      <c r="G49" s="1"/>
      <c r="H49" s="1">
        <f>SUM(OSRRefH22_6x_0)</f>
        <v>118</v>
      </c>
      <c r="I49" s="1"/>
      <c r="J49" s="5">
        <f t="shared" si="25"/>
        <v>0</v>
      </c>
      <c r="K49" s="1"/>
      <c r="L49" s="1">
        <f t="shared" si="26"/>
        <v>-0.28000000000000114</v>
      </c>
      <c r="M49" s="1"/>
      <c r="N49" s="5">
        <f t="shared" si="27"/>
        <v>-2.3728813559322128E-3</v>
      </c>
      <c r="O49" s="13"/>
      <c r="P49" s="1">
        <f>SUM(OSRRefP22_6x_0)</f>
        <v>824.04</v>
      </c>
      <c r="Q49" s="1"/>
      <c r="R49" s="5">
        <f t="shared" si="28"/>
        <v>0</v>
      </c>
      <c r="S49" s="1"/>
      <c r="T49" s="1">
        <f>SUM(OSRRefT22_6x_0)</f>
        <v>826</v>
      </c>
      <c r="U49" s="1"/>
      <c r="V49" s="5">
        <f t="shared" si="29"/>
        <v>0</v>
      </c>
      <c r="W49" s="1"/>
      <c r="X49" s="1">
        <f t="shared" si="30"/>
        <v>-1.9600000000000364</v>
      </c>
      <c r="Y49" s="1"/>
      <c r="Z49" s="5">
        <f t="shared" si="31"/>
        <v>-2.3728813559322475E-3</v>
      </c>
    </row>
    <row r="50" spans="1:26" s="24" customFormat="1" hidden="1" outlineLevel="2" x14ac:dyDescent="0.25">
      <c r="A50" s="25"/>
      <c r="B50" s="11" t="str">
        <f>CONCATENATE("          ", "6351", " - ", "EQUIPMENT RENTAL")</f>
        <v xml:space="preserve">          6351 - EQUIPMENT RENTAL</v>
      </c>
      <c r="C50" s="11"/>
      <c r="D50" s="7">
        <v>117.72</v>
      </c>
      <c r="E50" s="2"/>
      <c r="F50" s="6">
        <f t="shared" si="24"/>
        <v>0</v>
      </c>
      <c r="G50" s="2"/>
      <c r="H50" s="7">
        <v>118</v>
      </c>
      <c r="I50" s="2"/>
      <c r="J50" s="6">
        <f t="shared" si="25"/>
        <v>0</v>
      </c>
      <c r="K50" s="2"/>
      <c r="L50" s="7">
        <f t="shared" si="26"/>
        <v>-0.28000000000000114</v>
      </c>
      <c r="M50" s="2"/>
      <c r="N50" s="6">
        <f t="shared" si="27"/>
        <v>-2.3728813559322128E-3</v>
      </c>
      <c r="O50" s="11"/>
      <c r="P50" s="7">
        <v>824.04</v>
      </c>
      <c r="Q50" s="2"/>
      <c r="R50" s="6">
        <f t="shared" si="28"/>
        <v>0</v>
      </c>
      <c r="S50" s="2"/>
      <c r="T50" s="7">
        <v>826</v>
      </c>
      <c r="U50" s="2"/>
      <c r="V50" s="6">
        <f t="shared" si="29"/>
        <v>0</v>
      </c>
      <c r="W50" s="2"/>
      <c r="X50" s="7">
        <f t="shared" si="30"/>
        <v>-1.9600000000000364</v>
      </c>
      <c r="Y50" s="2"/>
      <c r="Z50" s="6">
        <f t="shared" si="31"/>
        <v>-2.3728813559322475E-3</v>
      </c>
    </row>
    <row r="51" spans="1:26" s="27" customFormat="1" outlineLevel="1" collapsed="1" x14ac:dyDescent="0.25">
      <c r="A51" s="26"/>
      <c r="B51" s="13" t="str">
        <f>CONCATENATE("     ","Freight out/Postage                               ")</f>
        <v xml:space="preserve">     Freight out/Postage                               </v>
      </c>
      <c r="C51" s="13"/>
      <c r="D51" s="1">
        <f>SUM(OSRRefD22_7x_0)</f>
        <v>0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0</v>
      </c>
      <c r="M51" s="1"/>
      <c r="N51" s="5">
        <f t="shared" si="27"/>
        <v>0</v>
      </c>
      <c r="O51" s="13"/>
      <c r="P51" s="1">
        <f>SUM(OSRRefP22_7x_0)</f>
        <v>132.5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132.5</v>
      </c>
      <c r="Y51" s="1"/>
      <c r="Z51" s="5">
        <f t="shared" si="31"/>
        <v>0</v>
      </c>
    </row>
    <row r="52" spans="1:26" s="24" customFormat="1" hidden="1" outlineLevel="2" x14ac:dyDescent="0.25">
      <c r="A52" s="25"/>
      <c r="B52" s="11" t="str">
        <f>CONCATENATE("          ", "6307", " - ", "POSTAGE")</f>
        <v xml:space="preserve">          6307 - POSTAGE</v>
      </c>
      <c r="C52" s="11"/>
      <c r="D52" s="7"/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>
        <v>132.5</v>
      </c>
      <c r="Q52" s="2"/>
      <c r="R52" s="6">
        <f t="shared" si="28"/>
        <v>0</v>
      </c>
      <c r="S52" s="2"/>
      <c r="T52" s="7"/>
      <c r="U52" s="2"/>
      <c r="V52" s="6">
        <f t="shared" si="29"/>
        <v>0</v>
      </c>
      <c r="W52" s="2"/>
      <c r="X52" s="7">
        <f t="shared" si="30"/>
        <v>132.5</v>
      </c>
      <c r="Y52" s="2"/>
      <c r="Z52" s="6">
        <f t="shared" si="31"/>
        <v>0</v>
      </c>
    </row>
    <row r="53" spans="1:26" s="27" customFormat="1" outlineLevel="1" collapsed="1" x14ac:dyDescent="0.25">
      <c r="A53" s="26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SUM(OSRRefD22_8x_0)</f>
        <v>0</v>
      </c>
      <c r="E53" s="1"/>
      <c r="F53" s="5">
        <f t="shared" si="24"/>
        <v>0</v>
      </c>
      <c r="G53" s="1"/>
      <c r="H53" s="1">
        <f>SUM(OSRRefH22_8x_0)</f>
        <v>0</v>
      </c>
      <c r="I53" s="1"/>
      <c r="J53" s="5">
        <f t="shared" si="25"/>
        <v>0</v>
      </c>
      <c r="K53" s="1"/>
      <c r="L53" s="1">
        <f t="shared" si="26"/>
        <v>0</v>
      </c>
      <c r="M53" s="1"/>
      <c r="N53" s="5">
        <f t="shared" si="27"/>
        <v>0</v>
      </c>
      <c r="O53" s="13"/>
      <c r="P53" s="1">
        <f>SUM(OSRRefP22_8x_0)</f>
        <v>11700.62</v>
      </c>
      <c r="Q53" s="1"/>
      <c r="R53" s="5">
        <f t="shared" si="28"/>
        <v>0</v>
      </c>
      <c r="S53" s="1"/>
      <c r="T53" s="1">
        <f>SUM(OSRRefT22_8x_0)</f>
        <v>5000</v>
      </c>
      <c r="U53" s="1"/>
      <c r="V53" s="5">
        <f t="shared" si="29"/>
        <v>0</v>
      </c>
      <c r="W53" s="1"/>
      <c r="X53" s="1">
        <f t="shared" si="30"/>
        <v>6700.6200000000008</v>
      </c>
      <c r="Y53" s="1"/>
      <c r="Z53" s="5">
        <f t="shared" si="31"/>
        <v>1.3401240000000001</v>
      </c>
    </row>
    <row r="54" spans="1:26" s="24" customFormat="1" hidden="1" outlineLevel="2" x14ac:dyDescent="0.25">
      <c r="A54" s="25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24"/>
        <v>0</v>
      </c>
      <c r="G54" s="2"/>
      <c r="H54" s="7">
        <v>0</v>
      </c>
      <c r="I54" s="2"/>
      <c r="J54" s="6">
        <f t="shared" si="25"/>
        <v>0</v>
      </c>
      <c r="K54" s="2"/>
      <c r="L54" s="7">
        <f t="shared" si="26"/>
        <v>0</v>
      </c>
      <c r="M54" s="2"/>
      <c r="N54" s="6">
        <f t="shared" si="27"/>
        <v>0</v>
      </c>
      <c r="O54" s="11"/>
      <c r="P54" s="7">
        <v>11700.62</v>
      </c>
      <c r="Q54" s="2"/>
      <c r="R54" s="6">
        <f t="shared" si="28"/>
        <v>0</v>
      </c>
      <c r="S54" s="2"/>
      <c r="T54" s="7">
        <v>5000</v>
      </c>
      <c r="U54" s="2"/>
      <c r="V54" s="6">
        <f t="shared" si="29"/>
        <v>0</v>
      </c>
      <c r="W54" s="2"/>
      <c r="X54" s="7">
        <f t="shared" si="30"/>
        <v>6700.6200000000008</v>
      </c>
      <c r="Y54" s="2"/>
      <c r="Z54" s="6">
        <f t="shared" si="31"/>
        <v>1.3401240000000001</v>
      </c>
    </row>
    <row r="55" spans="1:26" s="27" customFormat="1" outlineLevel="1" collapsed="1" x14ac:dyDescent="0.25">
      <c r="A55" s="26"/>
      <c r="B55" s="13" t="str">
        <f>CONCATENATE("     ","Insurance                                         ")</f>
        <v xml:space="preserve">     Insurance                                         </v>
      </c>
      <c r="C55" s="13"/>
      <c r="D55" s="1">
        <f>SUM(OSRRefD22_9x_0)</f>
        <v>115.13</v>
      </c>
      <c r="E55" s="1"/>
      <c r="F55" s="5">
        <f t="shared" si="24"/>
        <v>0</v>
      </c>
      <c r="G55" s="1"/>
      <c r="H55" s="1">
        <f>SUM(OSRRefH22_9x_0)</f>
        <v>110</v>
      </c>
      <c r="I55" s="1"/>
      <c r="J55" s="5">
        <f t="shared" si="25"/>
        <v>0</v>
      </c>
      <c r="K55" s="1"/>
      <c r="L55" s="1">
        <f t="shared" si="26"/>
        <v>5.1299999999999955</v>
      </c>
      <c r="M55" s="1"/>
      <c r="N55" s="5">
        <f t="shared" si="27"/>
        <v>4.6636363636363594E-2</v>
      </c>
      <c r="O55" s="13"/>
      <c r="P55" s="1">
        <f>SUM(OSRRefP22_9x_0)</f>
        <v>805.91</v>
      </c>
      <c r="Q55" s="1"/>
      <c r="R55" s="5">
        <f t="shared" si="28"/>
        <v>0</v>
      </c>
      <c r="S55" s="1"/>
      <c r="T55" s="1">
        <f>SUM(OSRRefT22_9x_0)</f>
        <v>770</v>
      </c>
      <c r="U55" s="1"/>
      <c r="V55" s="5">
        <f t="shared" si="29"/>
        <v>0</v>
      </c>
      <c r="W55" s="1"/>
      <c r="X55" s="1">
        <f t="shared" si="30"/>
        <v>35.909999999999968</v>
      </c>
      <c r="Y55" s="1"/>
      <c r="Z55" s="5">
        <f t="shared" si="31"/>
        <v>4.6636363636363594E-2</v>
      </c>
    </row>
    <row r="56" spans="1:26" s="24" customFormat="1" hidden="1" outlineLevel="2" x14ac:dyDescent="0.25">
      <c r="A56" s="25"/>
      <c r="B56" s="11" t="str">
        <f>CONCATENATE("          ", "6314", " - ", "LIABILITY INSURANCE")</f>
        <v xml:space="preserve">          6314 - LIABILITY INSURANCE</v>
      </c>
      <c r="C56" s="11"/>
      <c r="D56" s="7">
        <v>115.13</v>
      </c>
      <c r="E56" s="2"/>
      <c r="F56" s="6">
        <f t="shared" si="24"/>
        <v>0</v>
      </c>
      <c r="G56" s="2"/>
      <c r="H56" s="7">
        <v>110</v>
      </c>
      <c r="I56" s="2"/>
      <c r="J56" s="6">
        <f t="shared" si="25"/>
        <v>0</v>
      </c>
      <c r="K56" s="2"/>
      <c r="L56" s="7">
        <f t="shared" si="26"/>
        <v>5.1299999999999955</v>
      </c>
      <c r="M56" s="2"/>
      <c r="N56" s="6">
        <f t="shared" si="27"/>
        <v>4.6636363636363594E-2</v>
      </c>
      <c r="O56" s="11"/>
      <c r="P56" s="7">
        <v>805.91</v>
      </c>
      <c r="Q56" s="2"/>
      <c r="R56" s="6">
        <f t="shared" si="28"/>
        <v>0</v>
      </c>
      <c r="S56" s="2"/>
      <c r="T56" s="7">
        <v>770</v>
      </c>
      <c r="U56" s="2"/>
      <c r="V56" s="6">
        <f t="shared" si="29"/>
        <v>0</v>
      </c>
      <c r="W56" s="2"/>
      <c r="X56" s="7">
        <f t="shared" si="30"/>
        <v>35.909999999999968</v>
      </c>
      <c r="Y56" s="2"/>
      <c r="Z56" s="6">
        <f t="shared" si="31"/>
        <v>4.6636363636363594E-2</v>
      </c>
    </row>
    <row r="57" spans="1:26" s="27" customFormat="1" outlineLevel="1" collapsed="1" x14ac:dyDescent="0.25">
      <c r="A57" s="26"/>
      <c r="B57" s="13" t="str">
        <f>CONCATENATE("     ","Professional Services                             ")</f>
        <v xml:space="preserve">     Professional Services                             </v>
      </c>
      <c r="C57" s="13"/>
      <c r="D57" s="1">
        <f>SUM(OSRRefD22_10x_0)</f>
        <v>0</v>
      </c>
      <c r="E57" s="1"/>
      <c r="F57" s="5">
        <f t="shared" si="24"/>
        <v>0</v>
      </c>
      <c r="G57" s="1"/>
      <c r="H57" s="1">
        <f>SUM(OSRRefH22_10x_0)</f>
        <v>5000</v>
      </c>
      <c r="I57" s="1"/>
      <c r="J57" s="5">
        <f t="shared" si="25"/>
        <v>0</v>
      </c>
      <c r="K57" s="1"/>
      <c r="L57" s="1">
        <f t="shared" si="26"/>
        <v>-5000</v>
      </c>
      <c r="M57" s="1"/>
      <c r="N57" s="5">
        <f t="shared" si="27"/>
        <v>-1</v>
      </c>
      <c r="O57" s="13"/>
      <c r="P57" s="1">
        <f>SUM(OSRRefP22_10x_0)</f>
        <v>50860</v>
      </c>
      <c r="Q57" s="1"/>
      <c r="R57" s="5">
        <f t="shared" si="28"/>
        <v>0</v>
      </c>
      <c r="S57" s="1"/>
      <c r="T57" s="1">
        <f>SUM(OSRRefT22_10x_0)</f>
        <v>52700</v>
      </c>
      <c r="U57" s="1"/>
      <c r="V57" s="5">
        <f t="shared" si="29"/>
        <v>0</v>
      </c>
      <c r="W57" s="1"/>
      <c r="X57" s="1">
        <f t="shared" si="30"/>
        <v>-1840</v>
      </c>
      <c r="Y57" s="1"/>
      <c r="Z57" s="5">
        <f t="shared" si="31"/>
        <v>-3.4914611005692597E-2</v>
      </c>
    </row>
    <row r="58" spans="1:26" s="24" customFormat="1" hidden="1" outlineLevel="2" x14ac:dyDescent="0.25">
      <c r="A58" s="25"/>
      <c r="B58" s="11" t="str">
        <f>CONCATENATE("          ", "6331", " - ", "INDIRECT COSTS-AUXILIARY ORGAN")</f>
        <v xml:space="preserve">          6331 - INDIRECT COSTS-AUXILIARY ORGAN</v>
      </c>
      <c r="C58" s="11"/>
      <c r="D58" s="7"/>
      <c r="E58" s="2"/>
      <c r="F58" s="6">
        <f t="shared" si="24"/>
        <v>0</v>
      </c>
      <c r="G58" s="2"/>
      <c r="H58" s="7">
        <v>5000</v>
      </c>
      <c r="I58" s="2"/>
      <c r="J58" s="6">
        <f t="shared" si="25"/>
        <v>0</v>
      </c>
      <c r="K58" s="2"/>
      <c r="L58" s="7">
        <f t="shared" si="26"/>
        <v>-5000</v>
      </c>
      <c r="M58" s="2"/>
      <c r="N58" s="6">
        <f t="shared" si="27"/>
        <v>-1</v>
      </c>
      <c r="O58" s="11"/>
      <c r="P58" s="7">
        <v>45550</v>
      </c>
      <c r="Q58" s="2"/>
      <c r="R58" s="6">
        <f t="shared" si="28"/>
        <v>0</v>
      </c>
      <c r="S58" s="2"/>
      <c r="T58" s="7">
        <v>45000</v>
      </c>
      <c r="U58" s="2"/>
      <c r="V58" s="6">
        <f t="shared" si="29"/>
        <v>0</v>
      </c>
      <c r="W58" s="2"/>
      <c r="X58" s="7">
        <f t="shared" si="30"/>
        <v>550</v>
      </c>
      <c r="Y58" s="2"/>
      <c r="Z58" s="6">
        <f t="shared" si="31"/>
        <v>1.2222222222222223E-2</v>
      </c>
    </row>
    <row r="59" spans="1:26" s="24" customFormat="1" hidden="1" outlineLevel="2" x14ac:dyDescent="0.25">
      <c r="A59" s="25"/>
      <c r="B59" s="11" t="str">
        <f>CONCATENATE("          ", "6334", " - ", "LEGAL COUNCIL EXPENSE")</f>
        <v xml:space="preserve">          6334 - LEGAL COUNCIL EXPENSE</v>
      </c>
      <c r="C59" s="11"/>
      <c r="D59" s="7"/>
      <c r="E59" s="2"/>
      <c r="F59" s="6">
        <f t="shared" si="24"/>
        <v>0</v>
      </c>
      <c r="G59" s="2"/>
      <c r="H59" s="7">
        <v>0</v>
      </c>
      <c r="I59" s="2"/>
      <c r="J59" s="6">
        <f t="shared" si="25"/>
        <v>0</v>
      </c>
      <c r="K59" s="2"/>
      <c r="L59" s="7">
        <f t="shared" si="26"/>
        <v>0</v>
      </c>
      <c r="M59" s="2"/>
      <c r="N59" s="6">
        <f t="shared" si="27"/>
        <v>0</v>
      </c>
      <c r="O59" s="11"/>
      <c r="P59" s="7">
        <v>290</v>
      </c>
      <c r="Q59" s="2"/>
      <c r="R59" s="6">
        <f t="shared" si="28"/>
        <v>0</v>
      </c>
      <c r="S59" s="2"/>
      <c r="T59" s="7">
        <v>2700</v>
      </c>
      <c r="U59" s="2"/>
      <c r="V59" s="6">
        <f t="shared" si="29"/>
        <v>0</v>
      </c>
      <c r="W59" s="2"/>
      <c r="X59" s="7">
        <f t="shared" si="30"/>
        <v>-2410</v>
      </c>
      <c r="Y59" s="2"/>
      <c r="Z59" s="6">
        <f t="shared" si="31"/>
        <v>-0.8925925925925926</v>
      </c>
    </row>
    <row r="60" spans="1:26" s="24" customFormat="1" hidden="1" outlineLevel="2" x14ac:dyDescent="0.25">
      <c r="A60" s="25"/>
      <c r="B60" s="11" t="str">
        <f>CONCATENATE("          ", "6336", " - ", "PROFESSIONAL SERVICES")</f>
        <v xml:space="preserve">          6336 - PROFESSIONAL SERVICES</v>
      </c>
      <c r="C60" s="11"/>
      <c r="D60" s="7"/>
      <c r="E60" s="2"/>
      <c r="F60" s="6">
        <f t="shared" si="24"/>
        <v>0</v>
      </c>
      <c r="G60" s="2"/>
      <c r="H60" s="7">
        <v>0</v>
      </c>
      <c r="I60" s="2"/>
      <c r="J60" s="6">
        <f t="shared" si="25"/>
        <v>0</v>
      </c>
      <c r="K60" s="2"/>
      <c r="L60" s="7">
        <f t="shared" si="26"/>
        <v>0</v>
      </c>
      <c r="M60" s="2"/>
      <c r="N60" s="6">
        <f t="shared" si="27"/>
        <v>0</v>
      </c>
      <c r="O60" s="11"/>
      <c r="P60" s="7">
        <v>5020</v>
      </c>
      <c r="Q60" s="2"/>
      <c r="R60" s="6">
        <f t="shared" si="28"/>
        <v>0</v>
      </c>
      <c r="S60" s="2"/>
      <c r="T60" s="7">
        <v>5000</v>
      </c>
      <c r="U60" s="2"/>
      <c r="V60" s="6">
        <f t="shared" si="29"/>
        <v>0</v>
      </c>
      <c r="W60" s="2"/>
      <c r="X60" s="7">
        <f t="shared" si="30"/>
        <v>20</v>
      </c>
      <c r="Y60" s="2"/>
      <c r="Z60" s="6">
        <f t="shared" si="31"/>
        <v>4.0000000000000001E-3</v>
      </c>
    </row>
    <row r="61" spans="1:26" s="27" customFormat="1" outlineLevel="1" collapsed="1" x14ac:dyDescent="0.25">
      <c r="A61" s="26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SUM(OSRRefD22_11x_0)</f>
        <v>2565</v>
      </c>
      <c r="E61" s="1"/>
      <c r="F61" s="5">
        <f t="shared" ref="F61:F64" si="32">IF(D$12=0,0,D61/D$12)</f>
        <v>0</v>
      </c>
      <c r="G61" s="1"/>
      <c r="H61" s="1">
        <f>SUM(OSRRefH22_11x_0)</f>
        <v>2975</v>
      </c>
      <c r="I61" s="1"/>
      <c r="J61" s="5">
        <f t="shared" ref="J61:J64" si="33">IF(H$12=0,0,H61/H$12)</f>
        <v>0</v>
      </c>
      <c r="K61" s="1"/>
      <c r="L61" s="1">
        <f t="shared" ref="L61:L64" si="34">+D61-H61</f>
        <v>-410</v>
      </c>
      <c r="M61" s="1"/>
      <c r="N61" s="5">
        <f t="shared" ref="N61:N64" si="35">IF(H61=0,0,L61/H61)</f>
        <v>-0.13781512605042018</v>
      </c>
      <c r="O61" s="13"/>
      <c r="P61" s="1">
        <f>SUM(OSRRefP22_11x_0)</f>
        <v>22860.83</v>
      </c>
      <c r="Q61" s="1"/>
      <c r="R61" s="5">
        <f t="shared" ref="R61:R64" si="36">IF(P$12=0,0,P61/P$12)</f>
        <v>0</v>
      </c>
      <c r="S61" s="1"/>
      <c r="T61" s="1">
        <f>SUM(OSRRefT22_11x_0)</f>
        <v>20825</v>
      </c>
      <c r="U61" s="1"/>
      <c r="V61" s="5">
        <f t="shared" ref="V61:V64" si="37">IF(T$12=0,0,T61/T$12)</f>
        <v>0</v>
      </c>
      <c r="W61" s="1"/>
      <c r="X61" s="1">
        <f t="shared" ref="X61:X64" si="38">+P61-T61</f>
        <v>2035.8300000000017</v>
      </c>
      <c r="Y61" s="1"/>
      <c r="Z61" s="5">
        <f t="shared" ref="Z61:Z64" si="39">IF(T61=0,0,X61/T61)</f>
        <v>9.7758943577431062E-2</v>
      </c>
    </row>
    <row r="62" spans="1:26" s="24" customFormat="1" hidden="1" outlineLevel="2" x14ac:dyDescent="0.25">
      <c r="A62" s="25"/>
      <c r="B62" s="11" t="str">
        <f>CONCATENATE("          ", "6371", " - ", "COMPUTER SOFTWARE MAINTENANCE")</f>
        <v xml:space="preserve">          6371 - COMPUTER SOFTWARE MAINTENANCE</v>
      </c>
      <c r="C62" s="11"/>
      <c r="D62" s="7"/>
      <c r="E62" s="2"/>
      <c r="F62" s="6">
        <f t="shared" si="32"/>
        <v>0</v>
      </c>
      <c r="G62" s="2"/>
      <c r="H62" s="7"/>
      <c r="I62" s="2"/>
      <c r="J62" s="6">
        <f t="shared" si="33"/>
        <v>0</v>
      </c>
      <c r="K62" s="2"/>
      <c r="L62" s="7">
        <f t="shared" si="34"/>
        <v>0</v>
      </c>
      <c r="M62" s="2"/>
      <c r="N62" s="6">
        <f t="shared" si="35"/>
        <v>0</v>
      </c>
      <c r="O62" s="11"/>
      <c r="P62" s="7">
        <v>31.58</v>
      </c>
      <c r="Q62" s="2"/>
      <c r="R62" s="6">
        <f t="shared" si="36"/>
        <v>0</v>
      </c>
      <c r="S62" s="2"/>
      <c r="T62" s="7"/>
      <c r="U62" s="2"/>
      <c r="V62" s="6">
        <f t="shared" si="37"/>
        <v>0</v>
      </c>
      <c r="W62" s="2"/>
      <c r="X62" s="7">
        <f t="shared" si="38"/>
        <v>31.58</v>
      </c>
      <c r="Y62" s="2"/>
      <c r="Z62" s="6">
        <f t="shared" si="39"/>
        <v>0</v>
      </c>
    </row>
    <row r="63" spans="1:26" s="24" customFormat="1" hidden="1" outlineLevel="2" x14ac:dyDescent="0.25">
      <c r="A63" s="25"/>
      <c r="B63" s="11" t="str">
        <f>CONCATENATE("          ", "6373", " - ", "MAINTENANCE CONTRACTS")</f>
        <v xml:space="preserve">          6373 - MAINTENANCE CONTRACTS</v>
      </c>
      <c r="C63" s="11"/>
      <c r="D63" s="7">
        <v>2565</v>
      </c>
      <c r="E63" s="2"/>
      <c r="F63" s="6">
        <f t="shared" si="32"/>
        <v>0</v>
      </c>
      <c r="G63" s="2"/>
      <c r="H63" s="7">
        <v>2975</v>
      </c>
      <c r="I63" s="2"/>
      <c r="J63" s="6">
        <f t="shared" si="33"/>
        <v>0</v>
      </c>
      <c r="K63" s="2"/>
      <c r="L63" s="7">
        <f t="shared" si="34"/>
        <v>-410</v>
      </c>
      <c r="M63" s="2"/>
      <c r="N63" s="6">
        <f t="shared" si="35"/>
        <v>-0.13781512605042018</v>
      </c>
      <c r="O63" s="11"/>
      <c r="P63" s="7">
        <v>22304.26</v>
      </c>
      <c r="Q63" s="2"/>
      <c r="R63" s="6">
        <f t="shared" si="36"/>
        <v>0</v>
      </c>
      <c r="S63" s="2"/>
      <c r="T63" s="7">
        <v>20825</v>
      </c>
      <c r="U63" s="2"/>
      <c r="V63" s="6">
        <f t="shared" si="37"/>
        <v>0</v>
      </c>
      <c r="W63" s="2"/>
      <c r="X63" s="7">
        <f t="shared" si="38"/>
        <v>1479.2599999999984</v>
      </c>
      <c r="Y63" s="2"/>
      <c r="Z63" s="6">
        <f t="shared" si="39"/>
        <v>7.1032893157262827E-2</v>
      </c>
    </row>
    <row r="64" spans="1:26" s="24" customFormat="1" hidden="1" outlineLevel="2" x14ac:dyDescent="0.25">
      <c r="A64" s="25"/>
      <c r="B64" s="11" t="str">
        <f>CONCATENATE("          ", "6375", " - ", "OUTSIDE REPAIRS &amp; MAINTENANCE")</f>
        <v xml:space="preserve">          6375 - OUTSIDE REPAIRS &amp; MAINTENANCE</v>
      </c>
      <c r="C64" s="11"/>
      <c r="D64" s="7"/>
      <c r="E64" s="2"/>
      <c r="F64" s="6">
        <f t="shared" si="32"/>
        <v>0</v>
      </c>
      <c r="G64" s="2"/>
      <c r="H64" s="7"/>
      <c r="I64" s="2"/>
      <c r="J64" s="6">
        <f t="shared" si="33"/>
        <v>0</v>
      </c>
      <c r="K64" s="2"/>
      <c r="L64" s="7">
        <f t="shared" si="34"/>
        <v>0</v>
      </c>
      <c r="M64" s="2"/>
      <c r="N64" s="6">
        <f t="shared" si="35"/>
        <v>0</v>
      </c>
      <c r="O64" s="11"/>
      <c r="P64" s="7">
        <v>524.99</v>
      </c>
      <c r="Q64" s="2"/>
      <c r="R64" s="6">
        <f t="shared" si="36"/>
        <v>0</v>
      </c>
      <c r="S64" s="2"/>
      <c r="T64" s="7"/>
      <c r="U64" s="2"/>
      <c r="V64" s="6">
        <f t="shared" si="37"/>
        <v>0</v>
      </c>
      <c r="W64" s="2"/>
      <c r="X64" s="7">
        <f t="shared" si="38"/>
        <v>524.99</v>
      </c>
      <c r="Y64" s="2"/>
      <c r="Z64" s="6">
        <f t="shared" si="39"/>
        <v>0</v>
      </c>
    </row>
    <row r="65" spans="1:26" s="27" customFormat="1" outlineLevel="1" collapsed="1" x14ac:dyDescent="0.25">
      <c r="A65" s="26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SUM(OSRRefD22_12x_0)</f>
        <v>0</v>
      </c>
      <c r="E65" s="1"/>
      <c r="F65" s="5">
        <f t="shared" ref="F65:F70" si="40">IF(D$12=0,0,D65/D$12)</f>
        <v>0</v>
      </c>
      <c r="G65" s="1"/>
      <c r="H65" s="1">
        <f>SUM(OSRRefH22_12x_0)</f>
        <v>6502</v>
      </c>
      <c r="I65" s="1"/>
      <c r="J65" s="5">
        <f t="shared" ref="J65:J70" si="41">IF(H$12=0,0,H65/H$12)</f>
        <v>0</v>
      </c>
      <c r="K65" s="1"/>
      <c r="L65" s="1">
        <f t="shared" ref="L65:L70" si="42">+D65-H65</f>
        <v>-6502</v>
      </c>
      <c r="M65" s="1"/>
      <c r="N65" s="5">
        <f t="shared" ref="N65:N70" si="43">IF(H65=0,0,L65/H65)</f>
        <v>-1</v>
      </c>
      <c r="O65" s="13"/>
      <c r="P65" s="1">
        <f>SUM(OSRRefP22_12x_0)</f>
        <v>1795</v>
      </c>
      <c r="Q65" s="1"/>
      <c r="R65" s="5">
        <f t="shared" ref="R65:R70" si="44">IF(P$12=0,0,P65/P$12)</f>
        <v>0</v>
      </c>
      <c r="S65" s="1"/>
      <c r="T65" s="1">
        <f>SUM(OSRRefT22_12x_0)</f>
        <v>7732</v>
      </c>
      <c r="U65" s="1"/>
      <c r="V65" s="5">
        <f t="shared" ref="V65:V70" si="45">IF(T$12=0,0,T65/T$12)</f>
        <v>0</v>
      </c>
      <c r="W65" s="1"/>
      <c r="X65" s="1">
        <f t="shared" ref="X65:X70" si="46">+P65-T65</f>
        <v>-5937</v>
      </c>
      <c r="Y65" s="1"/>
      <c r="Z65" s="5">
        <f t="shared" ref="Z65:Z70" si="47">IF(T65=0,0,X65/T65)</f>
        <v>-0.76784790481117438</v>
      </c>
    </row>
    <row r="66" spans="1:26" s="24" customFormat="1" hidden="1" outlineLevel="2" x14ac:dyDescent="0.25">
      <c r="A66" s="25"/>
      <c r="B66" s="11" t="str">
        <f>CONCATENATE("          ", "6258", " - ", "MEMBERSHIP DUES")</f>
        <v xml:space="preserve">          6258 - MEMBERSHIP DUES</v>
      </c>
      <c r="C66" s="11"/>
      <c r="D66" s="7"/>
      <c r="E66" s="2"/>
      <c r="F66" s="6">
        <f t="shared" si="40"/>
        <v>0</v>
      </c>
      <c r="G66" s="2"/>
      <c r="H66" s="7">
        <v>6502</v>
      </c>
      <c r="I66" s="2"/>
      <c r="J66" s="6">
        <f t="shared" si="41"/>
        <v>0</v>
      </c>
      <c r="K66" s="2"/>
      <c r="L66" s="7">
        <f t="shared" si="42"/>
        <v>-6502</v>
      </c>
      <c r="M66" s="2"/>
      <c r="N66" s="6">
        <f t="shared" si="43"/>
        <v>-1</v>
      </c>
      <c r="O66" s="11"/>
      <c r="P66" s="7">
        <v>1795</v>
      </c>
      <c r="Q66" s="2"/>
      <c r="R66" s="6">
        <f t="shared" si="44"/>
        <v>0</v>
      </c>
      <c r="S66" s="2"/>
      <c r="T66" s="7">
        <v>7732</v>
      </c>
      <c r="U66" s="2"/>
      <c r="V66" s="6">
        <f t="shared" si="45"/>
        <v>0</v>
      </c>
      <c r="W66" s="2"/>
      <c r="X66" s="7">
        <f t="shared" si="46"/>
        <v>-5937</v>
      </c>
      <c r="Y66" s="2"/>
      <c r="Z66" s="6">
        <f t="shared" si="47"/>
        <v>-0.76784790481117438</v>
      </c>
    </row>
    <row r="67" spans="1:26" s="27" customFormat="1" outlineLevel="1" collapsed="1" x14ac:dyDescent="0.25">
      <c r="A67" s="26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125</v>
      </c>
      <c r="E67" s="1"/>
      <c r="F67" s="5">
        <f t="shared" si="40"/>
        <v>0</v>
      </c>
      <c r="G67" s="1"/>
      <c r="H67" s="1">
        <f>SUM(OSRRefH22_13x_0)</f>
        <v>500</v>
      </c>
      <c r="I67" s="1"/>
      <c r="J67" s="5">
        <f t="shared" si="41"/>
        <v>0</v>
      </c>
      <c r="K67" s="1"/>
      <c r="L67" s="1">
        <f t="shared" si="42"/>
        <v>-375</v>
      </c>
      <c r="M67" s="1"/>
      <c r="N67" s="5">
        <f t="shared" si="43"/>
        <v>-0.75</v>
      </c>
      <c r="O67" s="13"/>
      <c r="P67" s="1">
        <f>SUM(OSRRefP22_13x_0)</f>
        <v>3927.7200000000003</v>
      </c>
      <c r="Q67" s="1"/>
      <c r="R67" s="5">
        <f t="shared" si="44"/>
        <v>0</v>
      </c>
      <c r="S67" s="1"/>
      <c r="T67" s="1">
        <f>SUM(OSRRefT22_13x_0)</f>
        <v>4500</v>
      </c>
      <c r="U67" s="1"/>
      <c r="V67" s="5">
        <f t="shared" si="45"/>
        <v>0</v>
      </c>
      <c r="W67" s="1"/>
      <c r="X67" s="1">
        <f t="shared" si="46"/>
        <v>-572.27999999999975</v>
      </c>
      <c r="Y67" s="1"/>
      <c r="Z67" s="5">
        <f t="shared" si="47"/>
        <v>-0.12717333333333328</v>
      </c>
    </row>
    <row r="68" spans="1:26" s="24" customFormat="1" hidden="1" outlineLevel="2" x14ac:dyDescent="0.25">
      <c r="A68" s="25"/>
      <c r="B68" s="11" t="str">
        <f>CONCATENATE("          ", "6234", " - ", "EXPENDABLE SUPPLIES &amp; EQUIPMEN")</f>
        <v xml:space="preserve">          6234 - EXPENDABLE SUPPLIES &amp; EQUIPMEN</v>
      </c>
      <c r="C68" s="11"/>
      <c r="D68" s="7"/>
      <c r="E68" s="2"/>
      <c r="F68" s="6">
        <f t="shared" si="40"/>
        <v>0</v>
      </c>
      <c r="G68" s="2"/>
      <c r="H68" s="7">
        <v>500</v>
      </c>
      <c r="I68" s="2"/>
      <c r="J68" s="6">
        <f t="shared" si="41"/>
        <v>0</v>
      </c>
      <c r="K68" s="2"/>
      <c r="L68" s="7">
        <f t="shared" si="42"/>
        <v>-500</v>
      </c>
      <c r="M68" s="2"/>
      <c r="N68" s="6">
        <f t="shared" si="43"/>
        <v>-1</v>
      </c>
      <c r="O68" s="11"/>
      <c r="P68" s="7">
        <v>217.02</v>
      </c>
      <c r="Q68" s="2"/>
      <c r="R68" s="6">
        <f t="shared" si="44"/>
        <v>0</v>
      </c>
      <c r="S68" s="2"/>
      <c r="T68" s="7">
        <v>4500</v>
      </c>
      <c r="U68" s="2"/>
      <c r="V68" s="6">
        <f t="shared" si="45"/>
        <v>0</v>
      </c>
      <c r="W68" s="2"/>
      <c r="X68" s="7">
        <f t="shared" si="46"/>
        <v>-4282.9799999999996</v>
      </c>
      <c r="Y68" s="2"/>
      <c r="Z68" s="6">
        <f t="shared" si="47"/>
        <v>-0.95177333333333325</v>
      </c>
    </row>
    <row r="69" spans="1:26" s="24" customFormat="1" hidden="1" outlineLevel="2" x14ac:dyDescent="0.25">
      <c r="A69" s="25"/>
      <c r="B69" s="11" t="str">
        <f>CONCATENATE("          ", "6241", " - ", "OFFICE EXPENSE")</f>
        <v xml:space="preserve">          6241 - OFFICE EXPENSE</v>
      </c>
      <c r="C69" s="11"/>
      <c r="D69" s="7">
        <v>125</v>
      </c>
      <c r="E69" s="2"/>
      <c r="F69" s="6">
        <f t="shared" si="40"/>
        <v>0</v>
      </c>
      <c r="G69" s="2"/>
      <c r="H69" s="7"/>
      <c r="I69" s="2"/>
      <c r="J69" s="6">
        <f t="shared" si="41"/>
        <v>0</v>
      </c>
      <c r="K69" s="2"/>
      <c r="L69" s="7">
        <f t="shared" si="42"/>
        <v>125</v>
      </c>
      <c r="M69" s="2"/>
      <c r="N69" s="6">
        <f t="shared" si="43"/>
        <v>0</v>
      </c>
      <c r="O69" s="11"/>
      <c r="P69" s="7">
        <v>3678.84</v>
      </c>
      <c r="Q69" s="2"/>
      <c r="R69" s="6">
        <f t="shared" si="44"/>
        <v>0</v>
      </c>
      <c r="S69" s="2"/>
      <c r="T69" s="7"/>
      <c r="U69" s="2"/>
      <c r="V69" s="6">
        <f t="shared" si="45"/>
        <v>0</v>
      </c>
      <c r="W69" s="2"/>
      <c r="X69" s="7">
        <f t="shared" si="46"/>
        <v>3678.84</v>
      </c>
      <c r="Y69" s="2"/>
      <c r="Z69" s="6">
        <f t="shared" si="47"/>
        <v>0</v>
      </c>
    </row>
    <row r="70" spans="1:26" s="24" customFormat="1" hidden="1" outlineLevel="2" x14ac:dyDescent="0.25">
      <c r="A70" s="25"/>
      <c r="B70" s="11" t="str">
        <f>CONCATENATE("          ", "6245", " - ", "PRINTING")</f>
        <v xml:space="preserve">          6245 - PRINTING</v>
      </c>
      <c r="C70" s="11"/>
      <c r="D70" s="7"/>
      <c r="E70" s="2"/>
      <c r="F70" s="6">
        <f t="shared" si="40"/>
        <v>0</v>
      </c>
      <c r="G70" s="2"/>
      <c r="H70" s="7"/>
      <c r="I70" s="2"/>
      <c r="J70" s="6">
        <f t="shared" si="41"/>
        <v>0</v>
      </c>
      <c r="K70" s="2"/>
      <c r="L70" s="7">
        <f t="shared" si="42"/>
        <v>0</v>
      </c>
      <c r="M70" s="2"/>
      <c r="N70" s="6">
        <f t="shared" si="43"/>
        <v>0</v>
      </c>
      <c r="O70" s="11"/>
      <c r="P70" s="7">
        <v>31.86</v>
      </c>
      <c r="Q70" s="2"/>
      <c r="R70" s="6">
        <f t="shared" si="44"/>
        <v>0</v>
      </c>
      <c r="S70" s="2"/>
      <c r="T70" s="7"/>
      <c r="U70" s="2"/>
      <c r="V70" s="6">
        <f t="shared" si="45"/>
        <v>0</v>
      </c>
      <c r="W70" s="2"/>
      <c r="X70" s="7">
        <f t="shared" si="46"/>
        <v>31.86</v>
      </c>
      <c r="Y70" s="2"/>
      <c r="Z70" s="6">
        <f t="shared" si="47"/>
        <v>0</v>
      </c>
    </row>
    <row r="71" spans="1:26" s="27" customFormat="1" outlineLevel="1" collapsed="1" x14ac:dyDescent="0.25">
      <c r="A71" s="26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SUM(OSRRefD22_14x_0)</f>
        <v>263.81</v>
      </c>
      <c r="E71" s="1"/>
      <c r="F71" s="5">
        <f t="shared" ref="F71:F77" si="48">IF(D$12=0,0,D71/D$12)</f>
        <v>0</v>
      </c>
      <c r="G71" s="1"/>
      <c r="H71" s="1">
        <f>SUM(OSRRefH22_14x_0)</f>
        <v>350</v>
      </c>
      <c r="I71" s="1"/>
      <c r="J71" s="5">
        <f t="shared" ref="J71:J77" si="49">IF(H$12=0,0,H71/H$12)</f>
        <v>0</v>
      </c>
      <c r="K71" s="1"/>
      <c r="L71" s="1">
        <f t="shared" ref="L71:L77" si="50">+D71-H71</f>
        <v>-86.19</v>
      </c>
      <c r="M71" s="1"/>
      <c r="N71" s="5">
        <f t="shared" ref="N71:N77" si="51">IF(H71=0,0,L71/H71)</f>
        <v>-0.24625714285714284</v>
      </c>
      <c r="O71" s="13"/>
      <c r="P71" s="1">
        <f>SUM(OSRRefP22_14x_0)</f>
        <v>2920.14</v>
      </c>
      <c r="Q71" s="1"/>
      <c r="R71" s="5">
        <f t="shared" ref="R71:R77" si="52">IF(P$12=0,0,P71/P$12)</f>
        <v>0</v>
      </c>
      <c r="S71" s="1"/>
      <c r="T71" s="1">
        <f>SUM(OSRRefT22_14x_0)</f>
        <v>2450</v>
      </c>
      <c r="U71" s="1"/>
      <c r="V71" s="5">
        <f t="shared" ref="V71:V77" si="53">IF(T$12=0,0,T71/T$12)</f>
        <v>0</v>
      </c>
      <c r="W71" s="1"/>
      <c r="X71" s="1">
        <f t="shared" ref="X71:X77" si="54">+P71-T71</f>
        <v>470.13999999999987</v>
      </c>
      <c r="Y71" s="1"/>
      <c r="Z71" s="5">
        <f t="shared" ref="Z71:Z77" si="55">IF(T71=0,0,X71/T71)</f>
        <v>0.19189387755102036</v>
      </c>
    </row>
    <row r="72" spans="1:26" s="24" customFormat="1" hidden="1" outlineLevel="2" x14ac:dyDescent="0.25">
      <c r="A72" s="25"/>
      <c r="B72" s="11" t="str">
        <f>CONCATENATE("          ", "6309", " - ", "TELEPHONE")</f>
        <v xml:space="preserve">          6309 - TELEPHONE</v>
      </c>
      <c r="C72" s="11"/>
      <c r="D72" s="7">
        <v>263.81</v>
      </c>
      <c r="E72" s="2"/>
      <c r="F72" s="6">
        <f t="shared" si="48"/>
        <v>0</v>
      </c>
      <c r="G72" s="2"/>
      <c r="H72" s="7">
        <v>350</v>
      </c>
      <c r="I72" s="2"/>
      <c r="J72" s="6">
        <f t="shared" si="49"/>
        <v>0</v>
      </c>
      <c r="K72" s="2"/>
      <c r="L72" s="7">
        <f t="shared" si="50"/>
        <v>-86.19</v>
      </c>
      <c r="M72" s="2"/>
      <c r="N72" s="6">
        <f t="shared" si="51"/>
        <v>-0.24625714285714284</v>
      </c>
      <c r="O72" s="11"/>
      <c r="P72" s="7">
        <v>2920.14</v>
      </c>
      <c r="Q72" s="2"/>
      <c r="R72" s="6">
        <f t="shared" si="52"/>
        <v>0</v>
      </c>
      <c r="S72" s="2"/>
      <c r="T72" s="7">
        <v>2450</v>
      </c>
      <c r="U72" s="2"/>
      <c r="V72" s="6">
        <f t="shared" si="53"/>
        <v>0</v>
      </c>
      <c r="W72" s="2"/>
      <c r="X72" s="7">
        <f t="shared" si="54"/>
        <v>470.13999999999987</v>
      </c>
      <c r="Y72" s="2"/>
      <c r="Z72" s="6">
        <f t="shared" si="55"/>
        <v>0.19189387755102036</v>
      </c>
    </row>
    <row r="73" spans="1:26" s="27" customFormat="1" outlineLevel="1" collapsed="1" x14ac:dyDescent="0.25">
      <c r="A73" s="26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SUM(OSRRefD22_15x_0)</f>
        <v>878.37</v>
      </c>
      <c r="E73" s="1"/>
      <c r="F73" s="5">
        <f t="shared" si="48"/>
        <v>0</v>
      </c>
      <c r="G73" s="1"/>
      <c r="H73" s="1">
        <f>SUM(OSRRefH22_15x_0)</f>
        <v>2000</v>
      </c>
      <c r="I73" s="1"/>
      <c r="J73" s="5">
        <f t="shared" si="49"/>
        <v>0</v>
      </c>
      <c r="K73" s="1"/>
      <c r="L73" s="1">
        <f t="shared" si="50"/>
        <v>-1121.6300000000001</v>
      </c>
      <c r="M73" s="1"/>
      <c r="N73" s="5">
        <f t="shared" si="51"/>
        <v>-0.56081500000000006</v>
      </c>
      <c r="O73" s="13"/>
      <c r="P73" s="1">
        <f>SUM(OSRRefP22_15x_0)</f>
        <v>4192.29</v>
      </c>
      <c r="Q73" s="1"/>
      <c r="R73" s="5">
        <f t="shared" si="52"/>
        <v>0</v>
      </c>
      <c r="S73" s="1"/>
      <c r="T73" s="1">
        <f>SUM(OSRRefT22_15x_0)</f>
        <v>4200</v>
      </c>
      <c r="U73" s="1"/>
      <c r="V73" s="5">
        <f t="shared" si="53"/>
        <v>0</v>
      </c>
      <c r="W73" s="1"/>
      <c r="X73" s="1">
        <f t="shared" si="54"/>
        <v>-7.7100000000000364</v>
      </c>
      <c r="Y73" s="1"/>
      <c r="Z73" s="5">
        <f t="shared" si="55"/>
        <v>-1.8357142857142945E-3</v>
      </c>
    </row>
    <row r="74" spans="1:26" s="24" customFormat="1" hidden="1" outlineLevel="2" x14ac:dyDescent="0.25">
      <c r="A74" s="25"/>
      <c r="B74" s="11" t="str">
        <f>CONCATENATE("          ", "6376", " - ", "TRAINING")</f>
        <v xml:space="preserve">          6376 - TRAINING</v>
      </c>
      <c r="C74" s="11"/>
      <c r="D74" s="7">
        <v>878.37</v>
      </c>
      <c r="E74" s="2"/>
      <c r="F74" s="6">
        <f t="shared" si="48"/>
        <v>0</v>
      </c>
      <c r="G74" s="2"/>
      <c r="H74" s="7">
        <v>2000</v>
      </c>
      <c r="I74" s="2"/>
      <c r="J74" s="6">
        <f t="shared" si="49"/>
        <v>0</v>
      </c>
      <c r="K74" s="2"/>
      <c r="L74" s="7">
        <f t="shared" si="50"/>
        <v>-1121.6300000000001</v>
      </c>
      <c r="M74" s="2"/>
      <c r="N74" s="6">
        <f t="shared" si="51"/>
        <v>-0.56081500000000006</v>
      </c>
      <c r="O74" s="11"/>
      <c r="P74" s="7">
        <v>4192.29</v>
      </c>
      <c r="Q74" s="2"/>
      <c r="R74" s="6">
        <f t="shared" si="52"/>
        <v>0</v>
      </c>
      <c r="S74" s="2"/>
      <c r="T74" s="7">
        <v>4200</v>
      </c>
      <c r="U74" s="2"/>
      <c r="V74" s="6">
        <f t="shared" si="53"/>
        <v>0</v>
      </c>
      <c r="W74" s="2"/>
      <c r="X74" s="7">
        <f t="shared" si="54"/>
        <v>-7.7100000000000364</v>
      </c>
      <c r="Y74" s="2"/>
      <c r="Z74" s="6">
        <f t="shared" si="55"/>
        <v>-1.8357142857142945E-3</v>
      </c>
    </row>
    <row r="75" spans="1:26" s="27" customFormat="1" outlineLevel="1" collapsed="1" x14ac:dyDescent="0.25">
      <c r="A75" s="26"/>
      <c r="B75" s="13" t="str">
        <f>CONCATENATE("     ","Travel                                            ")</f>
        <v xml:space="preserve">     Travel                                            </v>
      </c>
      <c r="C75" s="13"/>
      <c r="D75" s="1">
        <f>SUM(OSRRefD22_16x_0)</f>
        <v>40.770000000000003</v>
      </c>
      <c r="E75" s="1"/>
      <c r="F75" s="5">
        <f t="shared" si="48"/>
        <v>0</v>
      </c>
      <c r="G75" s="1"/>
      <c r="H75" s="1">
        <f>SUM(OSRRefH22_16x_0)</f>
        <v>1500</v>
      </c>
      <c r="I75" s="1"/>
      <c r="J75" s="5">
        <f t="shared" si="49"/>
        <v>0</v>
      </c>
      <c r="K75" s="1"/>
      <c r="L75" s="1">
        <f t="shared" si="50"/>
        <v>-1459.23</v>
      </c>
      <c r="M75" s="1"/>
      <c r="N75" s="5">
        <f t="shared" si="51"/>
        <v>-0.97282000000000002</v>
      </c>
      <c r="O75" s="13"/>
      <c r="P75" s="1">
        <f>SUM(OSRRefP22_16x_0)</f>
        <v>3716.07</v>
      </c>
      <c r="Q75" s="1"/>
      <c r="R75" s="5">
        <f t="shared" si="52"/>
        <v>0</v>
      </c>
      <c r="S75" s="1"/>
      <c r="T75" s="1">
        <f>SUM(OSRRefT22_16x_0)</f>
        <v>11250</v>
      </c>
      <c r="U75" s="1"/>
      <c r="V75" s="5">
        <f t="shared" si="53"/>
        <v>0</v>
      </c>
      <c r="W75" s="1"/>
      <c r="X75" s="1">
        <f t="shared" si="54"/>
        <v>-7533.93</v>
      </c>
      <c r="Y75" s="1"/>
      <c r="Z75" s="5">
        <f t="shared" si="55"/>
        <v>-0.66968266666666665</v>
      </c>
    </row>
    <row r="76" spans="1:26" s="24" customFormat="1" hidden="1" outlineLevel="2" x14ac:dyDescent="0.25">
      <c r="A76" s="25"/>
      <c r="B76" s="11" t="str">
        <f>CONCATENATE("          ", "6292", " - ", "TRAVEL/CONFERENCE")</f>
        <v xml:space="preserve">          6292 - TRAVEL/CONFERENCE</v>
      </c>
      <c r="C76" s="11"/>
      <c r="D76" s="7">
        <v>40.770000000000003</v>
      </c>
      <c r="E76" s="2"/>
      <c r="F76" s="6">
        <f t="shared" si="48"/>
        <v>0</v>
      </c>
      <c r="G76" s="2"/>
      <c r="H76" s="7">
        <v>1500</v>
      </c>
      <c r="I76" s="2"/>
      <c r="J76" s="6">
        <f t="shared" si="49"/>
        <v>0</v>
      </c>
      <c r="K76" s="2"/>
      <c r="L76" s="7">
        <f t="shared" si="50"/>
        <v>-1459.23</v>
      </c>
      <c r="M76" s="2"/>
      <c r="N76" s="6">
        <f t="shared" si="51"/>
        <v>-0.97282000000000002</v>
      </c>
      <c r="O76" s="11"/>
      <c r="P76" s="7">
        <v>3716.07</v>
      </c>
      <c r="Q76" s="2"/>
      <c r="R76" s="6">
        <f t="shared" si="52"/>
        <v>0</v>
      </c>
      <c r="S76" s="2"/>
      <c r="T76" s="7">
        <v>10000</v>
      </c>
      <c r="U76" s="2"/>
      <c r="V76" s="6">
        <f t="shared" si="53"/>
        <v>0</v>
      </c>
      <c r="W76" s="2"/>
      <c r="X76" s="7">
        <f t="shared" si="54"/>
        <v>-6283.93</v>
      </c>
      <c r="Y76" s="2"/>
      <c r="Z76" s="6">
        <f t="shared" si="55"/>
        <v>-0.62839299999999998</v>
      </c>
    </row>
    <row r="77" spans="1:26" s="24" customFormat="1" hidden="1" outlineLevel="2" x14ac:dyDescent="0.25">
      <c r="A77" s="25"/>
      <c r="B77" s="11" t="str">
        <f>CONCATENATE("          ", "6294", " - ", "TRAVEL OPERATIONAL")</f>
        <v xml:space="preserve">          6294 - TRAVEL OPERATIONAL</v>
      </c>
      <c r="C77" s="11"/>
      <c r="D77" s="7"/>
      <c r="E77" s="2"/>
      <c r="F77" s="6">
        <f t="shared" si="48"/>
        <v>0</v>
      </c>
      <c r="G77" s="2"/>
      <c r="H77" s="7"/>
      <c r="I77" s="2"/>
      <c r="J77" s="6">
        <f t="shared" si="49"/>
        <v>0</v>
      </c>
      <c r="K77" s="2"/>
      <c r="L77" s="7">
        <f t="shared" si="50"/>
        <v>0</v>
      </c>
      <c r="M77" s="2"/>
      <c r="N77" s="6">
        <f t="shared" si="51"/>
        <v>0</v>
      </c>
      <c r="O77" s="11"/>
      <c r="P77" s="7"/>
      <c r="Q77" s="2"/>
      <c r="R77" s="6">
        <f t="shared" si="52"/>
        <v>0</v>
      </c>
      <c r="S77" s="2"/>
      <c r="T77" s="7">
        <v>1250</v>
      </c>
      <c r="U77" s="2"/>
      <c r="V77" s="6">
        <f t="shared" si="53"/>
        <v>0</v>
      </c>
      <c r="W77" s="2"/>
      <c r="X77" s="7">
        <f t="shared" si="54"/>
        <v>-1250</v>
      </c>
      <c r="Y77" s="2"/>
      <c r="Z77" s="6">
        <f t="shared" si="55"/>
        <v>-1</v>
      </c>
    </row>
    <row r="78" spans="1:26" s="53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8" t="s">
        <v>0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9" t="s">
        <v>3</v>
      </c>
      <c r="C81" s="29"/>
      <c r="D81" s="21">
        <f>+D16-D18+D79</f>
        <v>-39380.729999999996</v>
      </c>
      <c r="E81" s="14"/>
      <c r="F81" s="20">
        <f>IF(D$12=0,0,D81/D$12)</f>
        <v>0</v>
      </c>
      <c r="G81" s="14"/>
      <c r="H81" s="21">
        <f>+H16-H18+H79</f>
        <v>-80713.243021153845</v>
      </c>
      <c r="I81" s="14"/>
      <c r="J81" s="20">
        <f>IF(H$12=0,0,H81/H$12)</f>
        <v>0</v>
      </c>
      <c r="K81" s="16"/>
      <c r="L81" s="21">
        <f>+D81-H81</f>
        <v>41332.513021153849</v>
      </c>
      <c r="M81" s="16"/>
      <c r="N81" s="20">
        <f>IF(H81=0,0,L81/H81)</f>
        <v>-0.51209084747494482</v>
      </c>
      <c r="O81" s="28"/>
      <c r="P81" s="21">
        <f>+P16-P18+P79</f>
        <v>-476355.03</v>
      </c>
      <c r="Q81" s="14"/>
      <c r="R81" s="20">
        <f>IF(P$12=0,0,P81/P$12)</f>
        <v>0</v>
      </c>
      <c r="S81" s="14"/>
      <c r="T81" s="21">
        <f>+T16-T18+T79</f>
        <v>-852201.30673115375</v>
      </c>
      <c r="U81" s="14"/>
      <c r="V81" s="20">
        <f>IF(T$12=0,0,T81/T$12)</f>
        <v>0</v>
      </c>
      <c r="W81" s="16"/>
      <c r="X81" s="21">
        <f>+P81-T81</f>
        <v>375846.27673115372</v>
      </c>
      <c r="Y81" s="16"/>
      <c r="Z81" s="20">
        <f>IF(T81=0,0,X81/T81)</f>
        <v>-0.4410299230504735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2"/>
      <c r="B83" s="10" t="s">
        <v>14</v>
      </c>
      <c r="C83" s="10"/>
      <c r="D83" s="4"/>
      <c r="E83" s="4"/>
      <c r="F83" s="12">
        <f>IF(D$12=0,0,D83/D$12)</f>
        <v>0</v>
      </c>
      <c r="G83" s="4"/>
      <c r="H83" s="4"/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/>
      <c r="Q83" s="4"/>
      <c r="R83" s="12">
        <f>IF(P$12=0,0,P83/P$12)</f>
        <v>0</v>
      </c>
      <c r="S83" s="4"/>
      <c r="T83" s="4"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9" t="s">
        <v>4</v>
      </c>
      <c r="C85" s="29"/>
      <c r="D85" s="34">
        <f>+D81-D83</f>
        <v>-39380.729999999996</v>
      </c>
      <c r="E85" s="14"/>
      <c r="F85" s="32">
        <f>IF(D$12=0,0,D85/D$12)</f>
        <v>0</v>
      </c>
      <c r="G85" s="14"/>
      <c r="H85" s="34">
        <f>+H81-H83</f>
        <v>-80713.243021153845</v>
      </c>
      <c r="I85" s="14"/>
      <c r="J85" s="32">
        <f>IF(H$12=0,0,H85/H$12)</f>
        <v>0</v>
      </c>
      <c r="K85" s="16"/>
      <c r="L85" s="34">
        <f>D85-H85</f>
        <v>41332.513021153849</v>
      </c>
      <c r="M85" s="16"/>
      <c r="N85" s="32">
        <f>IF(H85=0,0,L85/H85)</f>
        <v>-0.51209084747494482</v>
      </c>
      <c r="O85" s="28"/>
      <c r="P85" s="34">
        <f>+P81-P83</f>
        <v>-476355.03</v>
      </c>
      <c r="Q85" s="14"/>
      <c r="R85" s="32">
        <f>IF(P$12=0,0,P85/P$12)</f>
        <v>0</v>
      </c>
      <c r="S85" s="14"/>
      <c r="T85" s="34">
        <f>+T81-T83</f>
        <v>-852201.30673115375</v>
      </c>
      <c r="U85" s="14"/>
      <c r="V85" s="32">
        <f>IF(T$12=0,0,T85/T$12)</f>
        <v>0</v>
      </c>
      <c r="W85" s="16"/>
      <c r="X85" s="34">
        <f>P85-T85</f>
        <v>375846.27673115372</v>
      </c>
      <c r="Y85" s="16"/>
      <c r="Z85" s="32">
        <f>IF(T85=0,0,X85/T85)</f>
        <v>-0.4410299230504735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9" t="s">
        <v>5</v>
      </c>
      <c r="C88" s="29"/>
      <c r="D88" s="31">
        <f>SUM(D85:D87)</f>
        <v>-39380.729999999996</v>
      </c>
      <c r="E88" s="14"/>
      <c r="F88" s="30">
        <f>IF(D$12=0,0,D88/D$12)</f>
        <v>0</v>
      </c>
      <c r="G88" s="14"/>
      <c r="H88" s="31">
        <f>SUM(H85:H87)</f>
        <v>-80713.243021153845</v>
      </c>
      <c r="I88" s="14"/>
      <c r="J88" s="30">
        <f>IF(H$12=0,0,H88/H$12)</f>
        <v>0</v>
      </c>
      <c r="K88" s="16"/>
      <c r="L88" s="31">
        <f>+D88-H88</f>
        <v>41332.513021153849</v>
      </c>
      <c r="M88" s="16"/>
      <c r="N88" s="30">
        <f>IF(H88=0,0,L88/H88)</f>
        <v>-0.51209084747494482</v>
      </c>
      <c r="O88" s="28"/>
      <c r="P88" s="31">
        <f>SUM(P85:P87)</f>
        <v>-476355.03</v>
      </c>
      <c r="Q88" s="14"/>
      <c r="R88" s="30">
        <f>IF(P$12=0,0,P88/P$12)</f>
        <v>0</v>
      </c>
      <c r="S88" s="14"/>
      <c r="T88" s="31">
        <f>SUM(T85:T87)</f>
        <v>-852201.30673115375</v>
      </c>
      <c r="U88" s="14"/>
      <c r="V88" s="30">
        <f>IF(T$12=0,0,T88/T$12)</f>
        <v>0</v>
      </c>
      <c r="W88" s="16"/>
      <c r="X88" s="31">
        <f>+P88-T88</f>
        <v>375846.27673115372</v>
      </c>
      <c r="Y88" s="16"/>
      <c r="Z88" s="30">
        <f>IF(T88=0,0,X88/T88)</f>
        <v>-0.4410299230504735</v>
      </c>
    </row>
    <row r="89" spans="1:26" ht="15.75" thickTop="1" x14ac:dyDescent="0.25">
      <c r="A89" s="9"/>
      <c r="C89" s="9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63">
        <v>43879.54595644676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7" t="s">
        <v>314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60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","202", " - ", "Accounting")</f>
        <v>Department 202 - Accounting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62425.07</v>
      </c>
      <c r="E18" s="22"/>
      <c r="F18" s="35">
        <f t="shared" ref="F18:F28" si="0">IF(D$12=0,0,D18/D$12)</f>
        <v>0</v>
      </c>
      <c r="G18" s="22"/>
      <c r="H18" s="22">
        <f>SUM(OSRRefH22x_0)</f>
        <v>59270.735767307699</v>
      </c>
      <c r="I18" s="22"/>
      <c r="J18" s="35">
        <f t="shared" ref="J18:J28" si="1">IF(H$12=0,0,H18/H$12)</f>
        <v>0</v>
      </c>
      <c r="K18" s="4"/>
      <c r="L18" s="22">
        <f t="shared" ref="L18:L28" si="2">+D18-H18</f>
        <v>3154.3342326923012</v>
      </c>
      <c r="M18" s="4"/>
      <c r="N18" s="35">
        <f t="shared" ref="N18:N28" si="3">IF(H18=0,0,L18/H18)</f>
        <v>5.3219083445766091E-2</v>
      </c>
      <c r="O18" s="10"/>
      <c r="P18" s="22">
        <f>SUM(OSRRefP22x_0)</f>
        <v>368582.25999999995</v>
      </c>
      <c r="Q18" s="22"/>
      <c r="R18" s="35">
        <f t="shared" ref="R18:R28" si="4">IF(P$12=0,0,P18/P$12)</f>
        <v>0</v>
      </c>
      <c r="S18" s="22"/>
      <c r="T18" s="22">
        <f>SUM(OSRRefT22x_0)</f>
        <v>379935.57628230751</v>
      </c>
      <c r="U18" s="22"/>
      <c r="V18" s="35">
        <f t="shared" ref="V18:V28" si="5">IF(T$12=0,0,T18/T$12)</f>
        <v>0</v>
      </c>
      <c r="W18" s="4"/>
      <c r="X18" s="22">
        <f t="shared" ref="X18:X28" si="6">+P18-T18</f>
        <v>-11353.316282307555</v>
      </c>
      <c r="Y18" s="4"/>
      <c r="Z18" s="35">
        <f t="shared" ref="Z18:Z28" si="7">IF(T18=0,0,X18/T18)</f>
        <v>-2.9882214225370622E-2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15757.270000000002</v>
      </c>
      <c r="E19" s="1"/>
      <c r="F19" s="5">
        <f t="shared" si="0"/>
        <v>0</v>
      </c>
      <c r="G19" s="1"/>
      <c r="H19" s="1">
        <f>SUM(OSRRefH22_0x_0)</f>
        <v>15884.832690384625</v>
      </c>
      <c r="I19" s="1"/>
      <c r="J19" s="5">
        <f t="shared" si="1"/>
        <v>0</v>
      </c>
      <c r="K19" s="1"/>
      <c r="L19" s="1">
        <f t="shared" si="2"/>
        <v>-127.56269038462233</v>
      </c>
      <c r="M19" s="1"/>
      <c r="N19" s="5">
        <f t="shared" si="3"/>
        <v>-8.0304711337525342E-3</v>
      </c>
      <c r="O19" s="13"/>
      <c r="P19" s="1">
        <f>SUM(OSRRefP22_0x_0)</f>
        <v>110542.91999999997</v>
      </c>
      <c r="Q19" s="1"/>
      <c r="R19" s="5">
        <f t="shared" si="4"/>
        <v>0</v>
      </c>
      <c r="S19" s="1"/>
      <c r="T19" s="1">
        <f>SUM(OSRRefT22_0x_0)</f>
        <v>104714.01820538461</v>
      </c>
      <c r="U19" s="1"/>
      <c r="V19" s="5">
        <f t="shared" si="5"/>
        <v>0</v>
      </c>
      <c r="W19" s="1"/>
      <c r="X19" s="1">
        <f t="shared" si="6"/>
        <v>5828.9017946153617</v>
      </c>
      <c r="Y19" s="1"/>
      <c r="Z19" s="5">
        <f t="shared" si="7"/>
        <v>5.5664961525806751E-2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2047.74</v>
      </c>
      <c r="E20" s="2"/>
      <c r="F20" s="6">
        <f t="shared" si="0"/>
        <v>0</v>
      </c>
      <c r="G20" s="2"/>
      <c r="H20" s="7">
        <v>2639.1517673076901</v>
      </c>
      <c r="I20" s="2"/>
      <c r="J20" s="6">
        <f t="shared" si="1"/>
        <v>0</v>
      </c>
      <c r="K20" s="2"/>
      <c r="L20" s="7">
        <f t="shared" si="2"/>
        <v>-591.41176730769007</v>
      </c>
      <c r="M20" s="2"/>
      <c r="N20" s="6">
        <f t="shared" si="3"/>
        <v>-0.22409160952157522</v>
      </c>
      <c r="O20" s="11"/>
      <c r="P20" s="7">
        <v>17482.16</v>
      </c>
      <c r="Q20" s="2"/>
      <c r="R20" s="6">
        <f t="shared" si="4"/>
        <v>0</v>
      </c>
      <c r="S20" s="2"/>
      <c r="T20" s="7">
        <v>17197.109282307669</v>
      </c>
      <c r="U20" s="2"/>
      <c r="V20" s="6">
        <f t="shared" si="5"/>
        <v>0</v>
      </c>
      <c r="W20" s="2"/>
      <c r="X20" s="7">
        <f t="shared" si="6"/>
        <v>285.05071769233109</v>
      </c>
      <c r="Y20" s="2"/>
      <c r="Z20" s="6">
        <f t="shared" si="7"/>
        <v>1.6575501906334361E-2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102.89</v>
      </c>
      <c r="E21" s="2"/>
      <c r="F21" s="6">
        <f t="shared" si="0"/>
        <v>0</v>
      </c>
      <c r="G21" s="2"/>
      <c r="H21" s="7">
        <v>144.78625384615401</v>
      </c>
      <c r="I21" s="2"/>
      <c r="J21" s="6">
        <f t="shared" si="1"/>
        <v>0</v>
      </c>
      <c r="K21" s="2"/>
      <c r="L21" s="7">
        <f t="shared" si="2"/>
        <v>-41.896253846154011</v>
      </c>
      <c r="M21" s="2"/>
      <c r="N21" s="6">
        <f t="shared" si="3"/>
        <v>-0.28936623977212539</v>
      </c>
      <c r="O21" s="11"/>
      <c r="P21" s="7">
        <v>678.44</v>
      </c>
      <c r="Q21" s="2"/>
      <c r="R21" s="6">
        <f t="shared" si="4"/>
        <v>0</v>
      </c>
      <c r="S21" s="2"/>
      <c r="T21" s="7">
        <v>892.16745384615399</v>
      </c>
      <c r="U21" s="2"/>
      <c r="V21" s="6">
        <f t="shared" si="5"/>
        <v>0</v>
      </c>
      <c r="W21" s="2"/>
      <c r="X21" s="7">
        <f t="shared" si="6"/>
        <v>-213.72745384615394</v>
      </c>
      <c r="Y21" s="2"/>
      <c r="Z21" s="6">
        <f t="shared" si="7"/>
        <v>-0.23955979667804522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6259.57</v>
      </c>
      <c r="E22" s="2"/>
      <c r="F22" s="6">
        <f t="shared" si="0"/>
        <v>0</v>
      </c>
      <c r="G22" s="2"/>
      <c r="H22" s="7">
        <v>6065</v>
      </c>
      <c r="I22" s="2"/>
      <c r="J22" s="6">
        <f t="shared" si="1"/>
        <v>0</v>
      </c>
      <c r="K22" s="2"/>
      <c r="L22" s="7">
        <f t="shared" si="2"/>
        <v>194.56999999999971</v>
      </c>
      <c r="M22" s="2"/>
      <c r="N22" s="6">
        <f t="shared" si="3"/>
        <v>3.2080791426215949E-2</v>
      </c>
      <c r="O22" s="11"/>
      <c r="P22" s="7">
        <v>41911.689999999995</v>
      </c>
      <c r="Q22" s="2"/>
      <c r="R22" s="6">
        <f t="shared" si="4"/>
        <v>0</v>
      </c>
      <c r="S22" s="2"/>
      <c r="T22" s="7">
        <v>42455</v>
      </c>
      <c r="U22" s="2"/>
      <c r="V22" s="6">
        <f t="shared" si="5"/>
        <v>0</v>
      </c>
      <c r="W22" s="2"/>
      <c r="X22" s="7">
        <f t="shared" si="6"/>
        <v>-543.31000000000495</v>
      </c>
      <c r="Y22" s="2"/>
      <c r="Z22" s="6">
        <f t="shared" si="7"/>
        <v>-1.2797314803910139E-2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78.680000000000007</v>
      </c>
      <c r="E23" s="2"/>
      <c r="F23" s="6">
        <f t="shared" si="0"/>
        <v>0</v>
      </c>
      <c r="G23" s="2"/>
      <c r="H23" s="7">
        <v>110.7189</v>
      </c>
      <c r="I23" s="2"/>
      <c r="J23" s="6">
        <f t="shared" si="1"/>
        <v>0</v>
      </c>
      <c r="K23" s="2"/>
      <c r="L23" s="7">
        <f t="shared" si="2"/>
        <v>-32.038899999999998</v>
      </c>
      <c r="M23" s="2"/>
      <c r="N23" s="6">
        <f t="shared" si="3"/>
        <v>-0.28937155264367687</v>
      </c>
      <c r="O23" s="11"/>
      <c r="P23" s="7">
        <v>659.56</v>
      </c>
      <c r="Q23" s="2"/>
      <c r="R23" s="6">
        <f t="shared" si="4"/>
        <v>0</v>
      </c>
      <c r="S23" s="2"/>
      <c r="T23" s="7">
        <v>682.24570000000006</v>
      </c>
      <c r="U23" s="2"/>
      <c r="V23" s="6">
        <f t="shared" si="5"/>
        <v>0</v>
      </c>
      <c r="W23" s="2"/>
      <c r="X23" s="7">
        <f t="shared" si="6"/>
        <v>-22.685700000000111</v>
      </c>
      <c r="Y23" s="2"/>
      <c r="Z23" s="6">
        <f t="shared" si="7"/>
        <v>-3.3251510416262217E-2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3295.2</v>
      </c>
      <c r="E24" s="2"/>
      <c r="F24" s="6">
        <f t="shared" si="0"/>
        <v>0</v>
      </c>
      <c r="G24" s="2"/>
      <c r="H24" s="7">
        <v>2699.98653846154</v>
      </c>
      <c r="I24" s="2"/>
      <c r="J24" s="6">
        <f t="shared" si="1"/>
        <v>0</v>
      </c>
      <c r="K24" s="2"/>
      <c r="L24" s="7">
        <f t="shared" si="2"/>
        <v>595.2134615384598</v>
      </c>
      <c r="M24" s="2"/>
      <c r="N24" s="6">
        <f t="shared" si="3"/>
        <v>0.22045052931175504</v>
      </c>
      <c r="O24" s="11"/>
      <c r="P24" s="7">
        <v>17703.73</v>
      </c>
      <c r="Q24" s="2"/>
      <c r="R24" s="6">
        <f t="shared" si="4"/>
        <v>0</v>
      </c>
      <c r="S24" s="2"/>
      <c r="T24" s="7">
        <v>16739.916538461541</v>
      </c>
      <c r="U24" s="2"/>
      <c r="V24" s="6">
        <f t="shared" si="5"/>
        <v>0</v>
      </c>
      <c r="W24" s="2"/>
      <c r="X24" s="7">
        <f t="shared" si="6"/>
        <v>963.8134615384588</v>
      </c>
      <c r="Y24" s="2"/>
      <c r="Z24" s="6">
        <f t="shared" si="7"/>
        <v>5.7575762658314711E-2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1866.76</v>
      </c>
      <c r="E26" s="2"/>
      <c r="F26" s="6">
        <f t="shared" si="0"/>
        <v>0</v>
      </c>
      <c r="G26" s="2"/>
      <c r="H26" s="7">
        <v>1569.75961538462</v>
      </c>
      <c r="I26" s="2"/>
      <c r="J26" s="6">
        <f t="shared" si="1"/>
        <v>0</v>
      </c>
      <c r="K26" s="2"/>
      <c r="L26" s="7">
        <f t="shared" si="2"/>
        <v>297.00038461537997</v>
      </c>
      <c r="M26" s="2"/>
      <c r="N26" s="6">
        <f t="shared" si="3"/>
        <v>0.18920118832500951</v>
      </c>
      <c r="O26" s="11"/>
      <c r="P26" s="7">
        <v>14875.12</v>
      </c>
      <c r="Q26" s="2"/>
      <c r="R26" s="6">
        <f t="shared" si="4"/>
        <v>0</v>
      </c>
      <c r="S26" s="2"/>
      <c r="T26" s="7">
        <v>9732.5096153846207</v>
      </c>
      <c r="U26" s="2"/>
      <c r="V26" s="6">
        <f t="shared" si="5"/>
        <v>0</v>
      </c>
      <c r="W26" s="2"/>
      <c r="X26" s="7">
        <f t="shared" si="6"/>
        <v>5142.6103846153801</v>
      </c>
      <c r="Y26" s="2"/>
      <c r="Z26" s="6">
        <f t="shared" si="7"/>
        <v>0.52839509929548101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1152.2</v>
      </c>
      <c r="E27" s="2"/>
      <c r="F27" s="6">
        <f t="shared" si="0"/>
        <v>0</v>
      </c>
      <c r="G27" s="2"/>
      <c r="H27" s="7">
        <v>1905.4296153846199</v>
      </c>
      <c r="I27" s="2"/>
      <c r="J27" s="6">
        <f t="shared" si="1"/>
        <v>0</v>
      </c>
      <c r="K27" s="2"/>
      <c r="L27" s="7">
        <f t="shared" si="2"/>
        <v>-753.22961538461982</v>
      </c>
      <c r="M27" s="2"/>
      <c r="N27" s="6">
        <f t="shared" si="3"/>
        <v>-0.39530697397740244</v>
      </c>
      <c r="O27" s="11"/>
      <c r="P27" s="7">
        <v>11424.21</v>
      </c>
      <c r="Q27" s="2"/>
      <c r="R27" s="6">
        <f t="shared" si="4"/>
        <v>0</v>
      </c>
      <c r="S27" s="2"/>
      <c r="T27" s="7">
        <v>11765.06961538462</v>
      </c>
      <c r="U27" s="2"/>
      <c r="V27" s="6">
        <f t="shared" si="5"/>
        <v>0</v>
      </c>
      <c r="W27" s="2"/>
      <c r="X27" s="7">
        <f t="shared" si="6"/>
        <v>-340.85961538462107</v>
      </c>
      <c r="Y27" s="2"/>
      <c r="Z27" s="6">
        <f t="shared" si="7"/>
        <v>-2.8972171566149955E-2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>
        <v>954.23</v>
      </c>
      <c r="E28" s="2"/>
      <c r="F28" s="6">
        <f t="shared" si="0"/>
        <v>0</v>
      </c>
      <c r="G28" s="2"/>
      <c r="H28" s="7">
        <v>750</v>
      </c>
      <c r="I28" s="2"/>
      <c r="J28" s="6">
        <f t="shared" si="1"/>
        <v>0</v>
      </c>
      <c r="K28" s="2"/>
      <c r="L28" s="7">
        <f t="shared" si="2"/>
        <v>204.23000000000002</v>
      </c>
      <c r="M28" s="2"/>
      <c r="N28" s="6">
        <f t="shared" si="3"/>
        <v>0.2723066666666667</v>
      </c>
      <c r="O28" s="11"/>
      <c r="P28" s="7">
        <v>5808.01</v>
      </c>
      <c r="Q28" s="2"/>
      <c r="R28" s="6">
        <f t="shared" si="4"/>
        <v>0</v>
      </c>
      <c r="S28" s="2"/>
      <c r="T28" s="7">
        <v>5250</v>
      </c>
      <c r="U28" s="2"/>
      <c r="V28" s="6">
        <f t="shared" si="5"/>
        <v>0</v>
      </c>
      <c r="W28" s="2"/>
      <c r="X28" s="7">
        <f t="shared" si="6"/>
        <v>558.01000000000022</v>
      </c>
      <c r="Y28" s="2"/>
      <c r="Z28" s="6">
        <f t="shared" si="7"/>
        <v>0.10628761904761909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37117.58</v>
      </c>
      <c r="E29" s="1"/>
      <c r="F29" s="5">
        <f t="shared" ref="F29:F39" si="8">IF(D$12=0,0,D29/D$12)</f>
        <v>0</v>
      </c>
      <c r="G29" s="1"/>
      <c r="H29" s="1">
        <f>SUM(OSRRefH22_1x_0)</f>
        <v>39532.903076923067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-2415.3230769230649</v>
      </c>
      <c r="M29" s="1"/>
      <c r="N29" s="5">
        <f t="shared" ref="N29:N39" si="11">IF(H29=0,0,L29/H29)</f>
        <v>-6.1096526916410182E-2</v>
      </c>
      <c r="O29" s="13"/>
      <c r="P29" s="1">
        <f>SUM(OSRRefP22_1x_0)</f>
        <v>222021.05</v>
      </c>
      <c r="Q29" s="1"/>
      <c r="R29" s="5">
        <f t="shared" ref="R29:R39" si="12">IF(P$12=0,0,P29/P$12)</f>
        <v>0</v>
      </c>
      <c r="S29" s="1"/>
      <c r="T29" s="1">
        <f>SUM(OSRRefT22_1x_0)</f>
        <v>243395.55807692284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-21374.508076922852</v>
      </c>
      <c r="Y29" s="1"/>
      <c r="Z29" s="5">
        <f t="shared" ref="Z29:Z39" si="15">IF(T29=0,0,X29/T29)</f>
        <v>-8.7817987500690711E-2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6774.2307692307704</v>
      </c>
      <c r="I30" s="2"/>
      <c r="J30" s="6">
        <f t="shared" si="9"/>
        <v>0</v>
      </c>
      <c r="K30" s="2"/>
      <c r="L30" s="7">
        <f t="shared" si="10"/>
        <v>-6774.2307692307704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42000.230769230788</v>
      </c>
      <c r="U30" s="2"/>
      <c r="V30" s="6">
        <f t="shared" si="13"/>
        <v>0</v>
      </c>
      <c r="W30" s="2"/>
      <c r="X30" s="7">
        <f t="shared" si="14"/>
        <v>-42000.230769230788</v>
      </c>
      <c r="Y30" s="2"/>
      <c r="Z30" s="6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>
        <v>29234.27</v>
      </c>
      <c r="E31" s="2"/>
      <c r="F31" s="6">
        <f t="shared" si="8"/>
        <v>0</v>
      </c>
      <c r="G31" s="2"/>
      <c r="H31" s="7">
        <v>21481.442307692298</v>
      </c>
      <c r="I31" s="2"/>
      <c r="J31" s="6">
        <f t="shared" si="9"/>
        <v>0</v>
      </c>
      <c r="K31" s="2"/>
      <c r="L31" s="7">
        <f t="shared" si="10"/>
        <v>7752.8276923077028</v>
      </c>
      <c r="M31" s="2"/>
      <c r="N31" s="6">
        <f t="shared" si="11"/>
        <v>0.36090815417601124</v>
      </c>
      <c r="O31" s="11"/>
      <c r="P31" s="7">
        <v>178672.18</v>
      </c>
      <c r="Q31" s="2"/>
      <c r="R31" s="6">
        <f t="shared" si="12"/>
        <v>0</v>
      </c>
      <c r="S31" s="2"/>
      <c r="T31" s="7">
        <v>133184.94230769208</v>
      </c>
      <c r="U31" s="2"/>
      <c r="V31" s="6">
        <f t="shared" si="13"/>
        <v>0</v>
      </c>
      <c r="W31" s="2"/>
      <c r="X31" s="7">
        <f t="shared" si="14"/>
        <v>45487.237692307914</v>
      </c>
      <c r="Y31" s="2"/>
      <c r="Z31" s="6">
        <f t="shared" si="15"/>
        <v>0.34153438747768111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3120.9</v>
      </c>
      <c r="I33" s="2"/>
      <c r="J33" s="6">
        <f t="shared" si="9"/>
        <v>0</v>
      </c>
      <c r="K33" s="2"/>
      <c r="L33" s="7">
        <f t="shared" si="10"/>
        <v>-3120.9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19349.580000000002</v>
      </c>
      <c r="U33" s="2"/>
      <c r="V33" s="6">
        <f t="shared" si="13"/>
        <v>0</v>
      </c>
      <c r="W33" s="2"/>
      <c r="X33" s="7">
        <f t="shared" si="14"/>
        <v>-19349.580000000002</v>
      </c>
      <c r="Y33" s="2"/>
      <c r="Z33" s="6">
        <f t="shared" si="15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>
        <v>1793.09</v>
      </c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1793.09</v>
      </c>
      <c r="M34" s="2"/>
      <c r="N34" s="6">
        <f t="shared" si="11"/>
        <v>0</v>
      </c>
      <c r="O34" s="11"/>
      <c r="P34" s="7">
        <v>15527.769999999999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15527.769999999999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>
        <v>5680.72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5680.72</v>
      </c>
      <c r="M36" s="2"/>
      <c r="N36" s="6">
        <f t="shared" si="11"/>
        <v>0</v>
      </c>
      <c r="O36" s="11"/>
      <c r="P36" s="7">
        <v>24567.599999999999</v>
      </c>
      <c r="Q36" s="2"/>
      <c r="R36" s="6">
        <f t="shared" si="12"/>
        <v>0</v>
      </c>
      <c r="S36" s="2"/>
      <c r="T36" s="7">
        <v>10902.5</v>
      </c>
      <c r="U36" s="2"/>
      <c r="V36" s="6">
        <f t="shared" si="13"/>
        <v>0</v>
      </c>
      <c r="W36" s="2"/>
      <c r="X36" s="7">
        <f t="shared" si="14"/>
        <v>13665.099999999999</v>
      </c>
      <c r="Y36" s="2"/>
      <c r="Z36" s="6">
        <f t="shared" si="15"/>
        <v>1.2533914239853243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>
        <v>409.5</v>
      </c>
      <c r="E37" s="2"/>
      <c r="F37" s="6">
        <f t="shared" si="8"/>
        <v>0</v>
      </c>
      <c r="G37" s="2"/>
      <c r="H37" s="7">
        <v>8156.33</v>
      </c>
      <c r="I37" s="2"/>
      <c r="J37" s="6">
        <f t="shared" si="9"/>
        <v>0</v>
      </c>
      <c r="K37" s="2"/>
      <c r="L37" s="7">
        <f t="shared" si="10"/>
        <v>-7746.83</v>
      </c>
      <c r="M37" s="2"/>
      <c r="N37" s="6">
        <f t="shared" si="11"/>
        <v>-0.94979359589423185</v>
      </c>
      <c r="O37" s="11"/>
      <c r="P37" s="7">
        <v>3253.5</v>
      </c>
      <c r="Q37" s="2"/>
      <c r="R37" s="6">
        <f t="shared" si="12"/>
        <v>0</v>
      </c>
      <c r="S37" s="2"/>
      <c r="T37" s="7">
        <v>37958.305</v>
      </c>
      <c r="U37" s="2"/>
      <c r="V37" s="6">
        <f t="shared" si="13"/>
        <v>0</v>
      </c>
      <c r="W37" s="2"/>
      <c r="X37" s="7">
        <f t="shared" si="14"/>
        <v>-34704.805</v>
      </c>
      <c r="Y37" s="2"/>
      <c r="Z37" s="6">
        <f t="shared" si="15"/>
        <v>-0.91428753206972757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18</v>
      </c>
      <c r="E40" s="1"/>
      <c r="F40" s="5">
        <f t="shared" ref="F40:F57" si="16">IF(D$12=0,0,D40/D$12)</f>
        <v>0</v>
      </c>
      <c r="G40" s="1"/>
      <c r="H40" s="1">
        <f>SUM(OSRRefH22_2x_0)</f>
        <v>0</v>
      </c>
      <c r="I40" s="1"/>
      <c r="J40" s="5">
        <f t="shared" ref="J40:J57" si="17">IF(H$12=0,0,H40/H$12)</f>
        <v>0</v>
      </c>
      <c r="K40" s="1"/>
      <c r="L40" s="1">
        <f t="shared" ref="L40:L57" si="18">+D40-H40</f>
        <v>18</v>
      </c>
      <c r="M40" s="1"/>
      <c r="N40" s="5">
        <f t="shared" ref="N40:N57" si="19">IF(H40=0,0,L40/H40)</f>
        <v>0</v>
      </c>
      <c r="O40" s="13"/>
      <c r="P40" s="1">
        <f>SUM(OSRRefP22_2x_0)</f>
        <v>18</v>
      </c>
      <c r="Q40" s="1"/>
      <c r="R40" s="5">
        <f t="shared" ref="R40:R57" si="20">IF(P$12=0,0,P40/P$12)</f>
        <v>0</v>
      </c>
      <c r="S40" s="1"/>
      <c r="T40" s="1">
        <f>SUM(OSRRefT22_2x_0)</f>
        <v>25</v>
      </c>
      <c r="U40" s="1"/>
      <c r="V40" s="5">
        <f t="shared" ref="V40:V57" si="21">IF(T$12=0,0,T40/T$12)</f>
        <v>0</v>
      </c>
      <c r="W40" s="1"/>
      <c r="X40" s="1">
        <f t="shared" ref="X40:X57" si="22">+P40-T40</f>
        <v>-7</v>
      </c>
      <c r="Y40" s="1"/>
      <c r="Z40" s="5">
        <f t="shared" ref="Z40:Z57" si="23">IF(T40=0,0,X40/T40)</f>
        <v>-0.28000000000000003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7">
        <v>18</v>
      </c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18</v>
      </c>
      <c r="M41" s="2"/>
      <c r="N41" s="6">
        <f t="shared" si="19"/>
        <v>0</v>
      </c>
      <c r="O41" s="11"/>
      <c r="P41" s="7">
        <v>18</v>
      </c>
      <c r="Q41" s="2"/>
      <c r="R41" s="6">
        <f t="shared" si="20"/>
        <v>0</v>
      </c>
      <c r="S41" s="2"/>
      <c r="T41" s="7">
        <v>25</v>
      </c>
      <c r="U41" s="2"/>
      <c r="V41" s="6">
        <f t="shared" si="21"/>
        <v>0</v>
      </c>
      <c r="W41" s="2"/>
      <c r="X41" s="7">
        <f t="shared" si="22"/>
        <v>-7</v>
      </c>
      <c r="Y41" s="2"/>
      <c r="Z41" s="6">
        <f t="shared" si="23"/>
        <v>-0.28000000000000003</v>
      </c>
    </row>
    <row r="42" spans="1:26" s="27" customFormat="1" outlineLevel="1" collapsed="1" x14ac:dyDescent="0.25">
      <c r="A42" s="26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1558.88</v>
      </c>
      <c r="E42" s="1"/>
      <c r="F42" s="5">
        <f t="shared" si="16"/>
        <v>0</v>
      </c>
      <c r="G42" s="1"/>
      <c r="H42" s="1">
        <f>SUM(OSRRefH22_3x_0)</f>
        <v>1559</v>
      </c>
      <c r="I42" s="1"/>
      <c r="J42" s="5">
        <f t="shared" si="17"/>
        <v>0</v>
      </c>
      <c r="K42" s="1"/>
      <c r="L42" s="1">
        <f t="shared" si="18"/>
        <v>-0.11999999999989086</v>
      </c>
      <c r="M42" s="1"/>
      <c r="N42" s="5">
        <f t="shared" si="19"/>
        <v>-7.6972418216735637E-5</v>
      </c>
      <c r="O42" s="13"/>
      <c r="P42" s="1">
        <f>SUM(OSRRefP22_3x_0)</f>
        <v>10912.16</v>
      </c>
      <c r="Q42" s="1"/>
      <c r="R42" s="5">
        <f t="shared" si="20"/>
        <v>0</v>
      </c>
      <c r="S42" s="1"/>
      <c r="T42" s="1">
        <f>SUM(OSRRefT22_3x_0)</f>
        <v>10913</v>
      </c>
      <c r="U42" s="1"/>
      <c r="V42" s="5">
        <f t="shared" si="21"/>
        <v>0</v>
      </c>
      <c r="W42" s="1"/>
      <c r="X42" s="1">
        <f t="shared" si="22"/>
        <v>-0.84000000000014552</v>
      </c>
      <c r="Y42" s="1"/>
      <c r="Z42" s="5">
        <f t="shared" si="23"/>
        <v>-7.6972418216818985E-5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1558.88</v>
      </c>
      <c r="E43" s="2"/>
      <c r="F43" s="6">
        <f t="shared" si="16"/>
        <v>0</v>
      </c>
      <c r="G43" s="2"/>
      <c r="H43" s="7">
        <v>1559</v>
      </c>
      <c r="I43" s="2"/>
      <c r="J43" s="6">
        <f t="shared" si="17"/>
        <v>0</v>
      </c>
      <c r="K43" s="2"/>
      <c r="L43" s="7">
        <f t="shared" si="18"/>
        <v>-0.11999999999989086</v>
      </c>
      <c r="M43" s="2"/>
      <c r="N43" s="6">
        <f t="shared" si="19"/>
        <v>-7.6972418216735637E-5</v>
      </c>
      <c r="O43" s="11"/>
      <c r="P43" s="7">
        <v>10912.16</v>
      </c>
      <c r="Q43" s="2"/>
      <c r="R43" s="6">
        <f t="shared" si="20"/>
        <v>0</v>
      </c>
      <c r="S43" s="2"/>
      <c r="T43" s="7">
        <v>10913</v>
      </c>
      <c r="U43" s="2"/>
      <c r="V43" s="6">
        <f t="shared" si="21"/>
        <v>0</v>
      </c>
      <c r="W43" s="2"/>
      <c r="X43" s="7">
        <f t="shared" si="22"/>
        <v>-0.84000000000014552</v>
      </c>
      <c r="Y43" s="2"/>
      <c r="Z43" s="6">
        <f t="shared" si="23"/>
        <v>-7.6972418216818985E-5</v>
      </c>
    </row>
    <row r="44" spans="1:26" s="27" customFormat="1" outlineLevel="1" collapsed="1" x14ac:dyDescent="0.25">
      <c r="A44" s="26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25</v>
      </c>
      <c r="I44" s="1"/>
      <c r="J44" s="5">
        <f t="shared" si="17"/>
        <v>0</v>
      </c>
      <c r="K44" s="1"/>
      <c r="L44" s="1">
        <f t="shared" si="18"/>
        <v>-25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175</v>
      </c>
      <c r="U44" s="1"/>
      <c r="V44" s="5">
        <f t="shared" si="21"/>
        <v>0</v>
      </c>
      <c r="W44" s="1"/>
      <c r="X44" s="1">
        <f t="shared" si="22"/>
        <v>-175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>
        <v>25</v>
      </c>
      <c r="I45" s="2"/>
      <c r="J45" s="6">
        <f t="shared" si="17"/>
        <v>0</v>
      </c>
      <c r="K45" s="2"/>
      <c r="L45" s="7">
        <f t="shared" si="18"/>
        <v>-25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175</v>
      </c>
      <c r="U45" s="2"/>
      <c r="V45" s="6">
        <f t="shared" si="21"/>
        <v>0</v>
      </c>
      <c r="W45" s="2"/>
      <c r="X45" s="7">
        <f t="shared" si="22"/>
        <v>-175</v>
      </c>
      <c r="Y45" s="2"/>
      <c r="Z45" s="6">
        <f t="shared" si="23"/>
        <v>-1</v>
      </c>
    </row>
    <row r="46" spans="1:26" s="27" customFormat="1" outlineLevel="1" collapsed="1" x14ac:dyDescent="0.25">
      <c r="A46" s="26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SUM(OSRRefD22_5x_0)</f>
        <v>91.26</v>
      </c>
      <c r="E46" s="1"/>
      <c r="F46" s="5">
        <f t="shared" si="16"/>
        <v>0</v>
      </c>
      <c r="G46" s="1"/>
      <c r="H46" s="1">
        <f>SUM(OSRRefH22_5x_0)</f>
        <v>91</v>
      </c>
      <c r="I46" s="1"/>
      <c r="J46" s="5">
        <f t="shared" si="17"/>
        <v>0</v>
      </c>
      <c r="K46" s="1"/>
      <c r="L46" s="1">
        <f t="shared" si="18"/>
        <v>0.26000000000000512</v>
      </c>
      <c r="M46" s="1"/>
      <c r="N46" s="5">
        <f t="shared" si="19"/>
        <v>2.8571428571429135E-3</v>
      </c>
      <c r="O46" s="13"/>
      <c r="P46" s="1">
        <f>SUM(OSRRefP22_5x_0)</f>
        <v>638.82000000000005</v>
      </c>
      <c r="Q46" s="1"/>
      <c r="R46" s="5">
        <f t="shared" si="20"/>
        <v>0</v>
      </c>
      <c r="S46" s="1"/>
      <c r="T46" s="1">
        <f>SUM(OSRRefT22_5x_0)</f>
        <v>637</v>
      </c>
      <c r="U46" s="1"/>
      <c r="V46" s="5">
        <f t="shared" si="21"/>
        <v>0</v>
      </c>
      <c r="W46" s="1"/>
      <c r="X46" s="1">
        <f t="shared" si="22"/>
        <v>1.82000000000005</v>
      </c>
      <c r="Y46" s="1"/>
      <c r="Z46" s="5">
        <f t="shared" si="23"/>
        <v>2.8571428571429356E-3</v>
      </c>
    </row>
    <row r="47" spans="1:26" s="24" customFormat="1" hidden="1" outlineLevel="2" x14ac:dyDescent="0.25">
      <c r="A47" s="25"/>
      <c r="B47" s="11" t="str">
        <f>CONCATENATE("          ", "6351", " - ", "EQUIPMENT RENTAL")</f>
        <v xml:space="preserve">          6351 - EQUIPMENT RENTAL</v>
      </c>
      <c r="C47" s="11"/>
      <c r="D47" s="7">
        <v>91.26</v>
      </c>
      <c r="E47" s="2"/>
      <c r="F47" s="6">
        <f t="shared" si="16"/>
        <v>0</v>
      </c>
      <c r="G47" s="2"/>
      <c r="H47" s="7">
        <v>91</v>
      </c>
      <c r="I47" s="2"/>
      <c r="J47" s="6">
        <f t="shared" si="17"/>
        <v>0</v>
      </c>
      <c r="K47" s="2"/>
      <c r="L47" s="7">
        <f t="shared" si="18"/>
        <v>0.26000000000000512</v>
      </c>
      <c r="M47" s="2"/>
      <c r="N47" s="6">
        <f t="shared" si="19"/>
        <v>2.8571428571429135E-3</v>
      </c>
      <c r="O47" s="11"/>
      <c r="P47" s="7">
        <v>638.82000000000005</v>
      </c>
      <c r="Q47" s="2"/>
      <c r="R47" s="6">
        <f t="shared" si="20"/>
        <v>0</v>
      </c>
      <c r="S47" s="2"/>
      <c r="T47" s="7">
        <v>637</v>
      </c>
      <c r="U47" s="2"/>
      <c r="V47" s="6">
        <f t="shared" si="21"/>
        <v>0</v>
      </c>
      <c r="W47" s="2"/>
      <c r="X47" s="7">
        <f t="shared" si="22"/>
        <v>1.82000000000005</v>
      </c>
      <c r="Y47" s="2"/>
      <c r="Z47" s="6">
        <f t="shared" si="23"/>
        <v>2.8571428571429356E-3</v>
      </c>
    </row>
    <row r="48" spans="1:26" s="27" customFormat="1" outlineLevel="1" collapsed="1" x14ac:dyDescent="0.25">
      <c r="A48" s="26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SUM(OSRRefD22_6x_0)</f>
        <v>118.3</v>
      </c>
      <c r="E48" s="1"/>
      <c r="F48" s="5">
        <f t="shared" si="16"/>
        <v>0</v>
      </c>
      <c r="G48" s="1"/>
      <c r="H48" s="1">
        <f>SUM(OSRRefH22_6x_0)</f>
        <v>150</v>
      </c>
      <c r="I48" s="1"/>
      <c r="J48" s="5">
        <f t="shared" si="17"/>
        <v>0</v>
      </c>
      <c r="K48" s="1"/>
      <c r="L48" s="1">
        <f t="shared" si="18"/>
        <v>-31.700000000000003</v>
      </c>
      <c r="M48" s="1"/>
      <c r="N48" s="5">
        <f t="shared" si="19"/>
        <v>-0.21133333333333335</v>
      </c>
      <c r="O48" s="13"/>
      <c r="P48" s="1">
        <f>SUM(OSRRefP22_6x_0)</f>
        <v>867.2</v>
      </c>
      <c r="Q48" s="1"/>
      <c r="R48" s="5">
        <f t="shared" si="20"/>
        <v>0</v>
      </c>
      <c r="S48" s="1"/>
      <c r="T48" s="1">
        <f>SUM(OSRRefT22_6x_0)</f>
        <v>1050</v>
      </c>
      <c r="U48" s="1"/>
      <c r="V48" s="5">
        <f t="shared" si="21"/>
        <v>0</v>
      </c>
      <c r="W48" s="1"/>
      <c r="X48" s="1">
        <f t="shared" si="22"/>
        <v>-182.79999999999995</v>
      </c>
      <c r="Y48" s="1"/>
      <c r="Z48" s="5">
        <f t="shared" si="23"/>
        <v>-0.17409523809523805</v>
      </c>
    </row>
    <row r="49" spans="1:26" s="24" customFormat="1" hidden="1" outlineLevel="2" x14ac:dyDescent="0.25">
      <c r="A49" s="25"/>
      <c r="B49" s="11" t="str">
        <f>CONCATENATE("          ", "6307", " - ", "POSTAGE")</f>
        <v xml:space="preserve">          6307 - POSTAGE</v>
      </c>
      <c r="C49" s="11"/>
      <c r="D49" s="7">
        <v>118.3</v>
      </c>
      <c r="E49" s="2"/>
      <c r="F49" s="6">
        <f t="shared" si="16"/>
        <v>0</v>
      </c>
      <c r="G49" s="2"/>
      <c r="H49" s="7">
        <v>150</v>
      </c>
      <c r="I49" s="2"/>
      <c r="J49" s="6">
        <f t="shared" si="17"/>
        <v>0</v>
      </c>
      <c r="K49" s="2"/>
      <c r="L49" s="7">
        <f t="shared" si="18"/>
        <v>-31.700000000000003</v>
      </c>
      <c r="M49" s="2"/>
      <c r="N49" s="6">
        <f t="shared" si="19"/>
        <v>-0.21133333333333335</v>
      </c>
      <c r="O49" s="11"/>
      <c r="P49" s="7">
        <v>867.2</v>
      </c>
      <c r="Q49" s="2"/>
      <c r="R49" s="6">
        <f t="shared" si="20"/>
        <v>0</v>
      </c>
      <c r="S49" s="2"/>
      <c r="T49" s="7">
        <v>1050</v>
      </c>
      <c r="U49" s="2"/>
      <c r="V49" s="6">
        <f t="shared" si="21"/>
        <v>0</v>
      </c>
      <c r="W49" s="2"/>
      <c r="X49" s="7">
        <f t="shared" si="22"/>
        <v>-182.79999999999995</v>
      </c>
      <c r="Y49" s="2"/>
      <c r="Z49" s="6">
        <f t="shared" si="23"/>
        <v>-0.17409523809523805</v>
      </c>
    </row>
    <row r="50" spans="1:26" s="27" customFormat="1" outlineLevel="1" collapsed="1" x14ac:dyDescent="0.25">
      <c r="A50" s="26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25</v>
      </c>
      <c r="I50" s="1"/>
      <c r="J50" s="5">
        <f t="shared" si="17"/>
        <v>0</v>
      </c>
      <c r="K50" s="1"/>
      <c r="L50" s="1">
        <f t="shared" si="18"/>
        <v>-25</v>
      </c>
      <c r="M50" s="1"/>
      <c r="N50" s="5">
        <f t="shared" si="19"/>
        <v>-1</v>
      </c>
      <c r="O50" s="13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175</v>
      </c>
      <c r="U50" s="1"/>
      <c r="V50" s="5">
        <f t="shared" si="21"/>
        <v>0</v>
      </c>
      <c r="W50" s="1"/>
      <c r="X50" s="1">
        <f t="shared" si="22"/>
        <v>-175</v>
      </c>
      <c r="Y50" s="1"/>
      <c r="Z50" s="5">
        <f t="shared" si="23"/>
        <v>-1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7"/>
      <c r="E51" s="2"/>
      <c r="F51" s="6">
        <f t="shared" si="16"/>
        <v>0</v>
      </c>
      <c r="G51" s="2"/>
      <c r="H51" s="7">
        <v>25</v>
      </c>
      <c r="I51" s="2"/>
      <c r="J51" s="6">
        <f t="shared" si="17"/>
        <v>0</v>
      </c>
      <c r="K51" s="2"/>
      <c r="L51" s="7">
        <f t="shared" si="18"/>
        <v>-25</v>
      </c>
      <c r="M51" s="2"/>
      <c r="N51" s="6">
        <f t="shared" si="19"/>
        <v>-1</v>
      </c>
      <c r="O51" s="11"/>
      <c r="P51" s="7"/>
      <c r="Q51" s="2"/>
      <c r="R51" s="6">
        <f t="shared" si="20"/>
        <v>0</v>
      </c>
      <c r="S51" s="2"/>
      <c r="T51" s="7">
        <v>175</v>
      </c>
      <c r="U51" s="2"/>
      <c r="V51" s="6">
        <f t="shared" si="21"/>
        <v>0</v>
      </c>
      <c r="W51" s="2"/>
      <c r="X51" s="7">
        <f t="shared" si="22"/>
        <v>-175</v>
      </c>
      <c r="Y51" s="2"/>
      <c r="Z51" s="6">
        <f t="shared" si="23"/>
        <v>-1</v>
      </c>
    </row>
    <row r="52" spans="1:26" s="27" customFormat="1" outlineLevel="1" collapsed="1" x14ac:dyDescent="0.25">
      <c r="A52" s="26"/>
      <c r="B52" s="13" t="str">
        <f>CONCATENATE("     ","Insurance                                         ")</f>
        <v xml:space="preserve">     Insurance                                         </v>
      </c>
      <c r="C52" s="13"/>
      <c r="D52" s="1">
        <f>SUM(OSRRefD22_8x_0)</f>
        <v>132.16999999999999</v>
      </c>
      <c r="E52" s="1"/>
      <c r="F52" s="5">
        <f t="shared" si="16"/>
        <v>0</v>
      </c>
      <c r="G52" s="1"/>
      <c r="H52" s="1">
        <f>SUM(OSRRefH22_8x_0)</f>
        <v>125</v>
      </c>
      <c r="I52" s="1"/>
      <c r="J52" s="5">
        <f t="shared" si="17"/>
        <v>0</v>
      </c>
      <c r="K52" s="1"/>
      <c r="L52" s="1">
        <f t="shared" si="18"/>
        <v>7.1699999999999875</v>
      </c>
      <c r="M52" s="1"/>
      <c r="N52" s="5">
        <f t="shared" si="19"/>
        <v>5.7359999999999897E-2</v>
      </c>
      <c r="O52" s="13"/>
      <c r="P52" s="1">
        <f>SUM(OSRRefP22_8x_0)</f>
        <v>925.19</v>
      </c>
      <c r="Q52" s="1"/>
      <c r="R52" s="5">
        <f t="shared" si="20"/>
        <v>0</v>
      </c>
      <c r="S52" s="1"/>
      <c r="T52" s="1">
        <f>SUM(OSRRefT22_8x_0)</f>
        <v>875</v>
      </c>
      <c r="U52" s="1"/>
      <c r="V52" s="5">
        <f t="shared" si="21"/>
        <v>0</v>
      </c>
      <c r="W52" s="1"/>
      <c r="X52" s="1">
        <f t="shared" si="22"/>
        <v>50.190000000000055</v>
      </c>
      <c r="Y52" s="1"/>
      <c r="Z52" s="5">
        <f t="shared" si="23"/>
        <v>5.7360000000000064E-2</v>
      </c>
    </row>
    <row r="53" spans="1:26" s="24" customFormat="1" hidden="1" outlineLevel="2" x14ac:dyDescent="0.25">
      <c r="A53" s="25"/>
      <c r="B53" s="11" t="str">
        <f>CONCATENATE("          ", "6314", " - ", "LIABILITY INSURANCE")</f>
        <v xml:space="preserve">          6314 - LIABILITY INSURANCE</v>
      </c>
      <c r="C53" s="11"/>
      <c r="D53" s="7">
        <v>132.16999999999999</v>
      </c>
      <c r="E53" s="2"/>
      <c r="F53" s="6">
        <f t="shared" si="16"/>
        <v>0</v>
      </c>
      <c r="G53" s="2"/>
      <c r="H53" s="7">
        <v>125</v>
      </c>
      <c r="I53" s="2"/>
      <c r="J53" s="6">
        <f t="shared" si="17"/>
        <v>0</v>
      </c>
      <c r="K53" s="2"/>
      <c r="L53" s="7">
        <f t="shared" si="18"/>
        <v>7.1699999999999875</v>
      </c>
      <c r="M53" s="2"/>
      <c r="N53" s="6">
        <f t="shared" si="19"/>
        <v>5.7359999999999897E-2</v>
      </c>
      <c r="O53" s="11"/>
      <c r="P53" s="7">
        <v>925.19</v>
      </c>
      <c r="Q53" s="2"/>
      <c r="R53" s="6">
        <f t="shared" si="20"/>
        <v>0</v>
      </c>
      <c r="S53" s="2"/>
      <c r="T53" s="7">
        <v>875</v>
      </c>
      <c r="U53" s="2"/>
      <c r="V53" s="6">
        <f t="shared" si="21"/>
        <v>0</v>
      </c>
      <c r="W53" s="2"/>
      <c r="X53" s="7">
        <f t="shared" si="22"/>
        <v>50.190000000000055</v>
      </c>
      <c r="Y53" s="2"/>
      <c r="Z53" s="6">
        <f t="shared" si="23"/>
        <v>5.7360000000000064E-2</v>
      </c>
    </row>
    <row r="54" spans="1:26" s="27" customFormat="1" outlineLevel="1" collapsed="1" x14ac:dyDescent="0.25">
      <c r="A54" s="26"/>
      <c r="B54" s="13" t="str">
        <f>CONCATENATE("     ","Interest                                          ")</f>
        <v xml:space="preserve">     Interest                                          </v>
      </c>
      <c r="C54" s="13"/>
      <c r="D54" s="1">
        <f>SUM(OSRRefD22_9x_0)</f>
        <v>0</v>
      </c>
      <c r="E54" s="1"/>
      <c r="F54" s="5">
        <f t="shared" si="16"/>
        <v>0</v>
      </c>
      <c r="G54" s="1"/>
      <c r="H54" s="1">
        <f>SUM(OSRRefH22_9x_0)</f>
        <v>0</v>
      </c>
      <c r="I54" s="1"/>
      <c r="J54" s="5">
        <f t="shared" si="17"/>
        <v>0</v>
      </c>
      <c r="K54" s="1"/>
      <c r="L54" s="1">
        <f t="shared" si="18"/>
        <v>0</v>
      </c>
      <c r="M54" s="1"/>
      <c r="N54" s="5">
        <f t="shared" si="19"/>
        <v>0</v>
      </c>
      <c r="O54" s="13"/>
      <c r="P54" s="1">
        <f>SUM(OSRRefP22_9x_0)</f>
        <v>0</v>
      </c>
      <c r="Q54" s="1"/>
      <c r="R54" s="5">
        <f t="shared" si="20"/>
        <v>0</v>
      </c>
      <c r="S54" s="1"/>
      <c r="T54" s="1">
        <f>SUM(OSRRefT22_9x_0)</f>
        <v>0</v>
      </c>
      <c r="U54" s="1"/>
      <c r="V54" s="5">
        <f t="shared" si="21"/>
        <v>0</v>
      </c>
      <c r="W54" s="1"/>
      <c r="X54" s="1">
        <f t="shared" si="22"/>
        <v>0</v>
      </c>
      <c r="Y54" s="1"/>
      <c r="Z54" s="5">
        <f t="shared" si="23"/>
        <v>0</v>
      </c>
    </row>
    <row r="55" spans="1:26" s="24" customFormat="1" hidden="1" outlineLevel="2" x14ac:dyDescent="0.25">
      <c r="A55" s="25"/>
      <c r="B55" s="11" t="str">
        <f>CONCATENATE("          ", "6401", " - ", "INTEREST EXPENSE")</f>
        <v xml:space="preserve">          6401 - INTEREST EXPENSE</v>
      </c>
      <c r="C55" s="11"/>
      <c r="D55" s="7"/>
      <c r="E55" s="2"/>
      <c r="F55" s="6">
        <f t="shared" si="16"/>
        <v>0</v>
      </c>
      <c r="G55" s="2"/>
      <c r="H55" s="7">
        <v>0</v>
      </c>
      <c r="I55" s="2"/>
      <c r="J55" s="6">
        <f t="shared" si="17"/>
        <v>0</v>
      </c>
      <c r="K55" s="2"/>
      <c r="L55" s="7">
        <f t="shared" si="18"/>
        <v>0</v>
      </c>
      <c r="M55" s="2"/>
      <c r="N55" s="6">
        <f t="shared" si="19"/>
        <v>0</v>
      </c>
      <c r="O55" s="11"/>
      <c r="P55" s="7"/>
      <c r="Q55" s="2"/>
      <c r="R55" s="6">
        <f t="shared" si="20"/>
        <v>0</v>
      </c>
      <c r="S55" s="2"/>
      <c r="T55" s="7">
        <v>0</v>
      </c>
      <c r="U55" s="2"/>
      <c r="V55" s="6">
        <f t="shared" si="21"/>
        <v>0</v>
      </c>
      <c r="W55" s="2"/>
      <c r="X55" s="7">
        <f t="shared" si="22"/>
        <v>0</v>
      </c>
      <c r="Y55" s="2"/>
      <c r="Z55" s="6">
        <f t="shared" si="23"/>
        <v>0</v>
      </c>
    </row>
    <row r="56" spans="1:26" s="24" customFormat="1" hidden="1" outlineLevel="2" x14ac:dyDescent="0.25">
      <c r="A56" s="25"/>
      <c r="B56" s="11" t="str">
        <f>CONCATENATE("          ", "6402", " - ", "INTEREST EXPENSE BOND ISSUANCE")</f>
        <v xml:space="preserve">          6402 - INTEREST EXPENSE BOND ISSUANCE</v>
      </c>
      <c r="C56" s="11"/>
      <c r="D56" s="7"/>
      <c r="E56" s="2"/>
      <c r="F56" s="6">
        <f t="shared" si="16"/>
        <v>0</v>
      </c>
      <c r="G56" s="2"/>
      <c r="H56" s="7">
        <v>0</v>
      </c>
      <c r="I56" s="2"/>
      <c r="J56" s="6">
        <f t="shared" si="17"/>
        <v>0</v>
      </c>
      <c r="K56" s="2"/>
      <c r="L56" s="7">
        <f t="shared" si="18"/>
        <v>0</v>
      </c>
      <c r="M56" s="2"/>
      <c r="N56" s="6">
        <f t="shared" si="19"/>
        <v>0</v>
      </c>
      <c r="O56" s="11"/>
      <c r="P56" s="7"/>
      <c r="Q56" s="2"/>
      <c r="R56" s="6">
        <f t="shared" si="20"/>
        <v>0</v>
      </c>
      <c r="S56" s="2"/>
      <c r="T56" s="7">
        <v>0</v>
      </c>
      <c r="U56" s="2"/>
      <c r="V56" s="6">
        <f t="shared" si="21"/>
        <v>0</v>
      </c>
      <c r="W56" s="2"/>
      <c r="X56" s="7">
        <f t="shared" si="22"/>
        <v>0</v>
      </c>
      <c r="Y56" s="2"/>
      <c r="Z56" s="6">
        <f t="shared" si="23"/>
        <v>0</v>
      </c>
    </row>
    <row r="57" spans="1:26" s="24" customFormat="1" hidden="1" outlineLevel="2" x14ac:dyDescent="0.25">
      <c r="A57" s="25"/>
      <c r="B57" s="11" t="str">
        <f>CONCATENATE("          ", "6403", " - ", "INTEREST EXPENSE LEASE EQUIP")</f>
        <v xml:space="preserve">          6403 - INTEREST EXPENSE LEASE EQUIP</v>
      </c>
      <c r="C57" s="11"/>
      <c r="D57" s="7"/>
      <c r="E57" s="2"/>
      <c r="F57" s="6">
        <f t="shared" si="16"/>
        <v>0</v>
      </c>
      <c r="G57" s="2"/>
      <c r="H57" s="7">
        <v>0</v>
      </c>
      <c r="I57" s="2"/>
      <c r="J57" s="6">
        <f t="shared" si="17"/>
        <v>0</v>
      </c>
      <c r="K57" s="2"/>
      <c r="L57" s="7">
        <f t="shared" si="18"/>
        <v>0</v>
      </c>
      <c r="M57" s="2"/>
      <c r="N57" s="6">
        <f t="shared" si="19"/>
        <v>0</v>
      </c>
      <c r="O57" s="11"/>
      <c r="P57" s="7"/>
      <c r="Q57" s="2"/>
      <c r="R57" s="6">
        <f t="shared" si="20"/>
        <v>0</v>
      </c>
      <c r="S57" s="2"/>
      <c r="T57" s="7">
        <v>0</v>
      </c>
      <c r="U57" s="2"/>
      <c r="V57" s="6">
        <f t="shared" si="21"/>
        <v>0</v>
      </c>
      <c r="W57" s="2"/>
      <c r="X57" s="7">
        <f t="shared" si="22"/>
        <v>0</v>
      </c>
      <c r="Y57" s="2"/>
      <c r="Z57" s="6">
        <f t="shared" si="23"/>
        <v>0</v>
      </c>
    </row>
    <row r="58" spans="1:26" s="27" customFormat="1" outlineLevel="1" collapsed="1" x14ac:dyDescent="0.25">
      <c r="A58" s="26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SUM(OSRRefD22_10x_0)</f>
        <v>0</v>
      </c>
      <c r="E58" s="1"/>
      <c r="F58" s="5">
        <f t="shared" ref="F58:F63" si="24">IF(D$12=0,0,D58/D$12)</f>
        <v>0</v>
      </c>
      <c r="G58" s="1"/>
      <c r="H58" s="1">
        <f>SUM(OSRRefH22_10x_0)</f>
        <v>100</v>
      </c>
      <c r="I58" s="1"/>
      <c r="J58" s="5">
        <f t="shared" ref="J58:J63" si="25">IF(H$12=0,0,H58/H$12)</f>
        <v>0</v>
      </c>
      <c r="K58" s="1"/>
      <c r="L58" s="1">
        <f t="shared" ref="L58:L63" si="26">+D58-H58</f>
        <v>-100</v>
      </c>
      <c r="M58" s="1"/>
      <c r="N58" s="5">
        <f t="shared" ref="N58:N63" si="27">IF(H58=0,0,L58/H58)</f>
        <v>-1</v>
      </c>
      <c r="O58" s="13"/>
      <c r="P58" s="1">
        <f>SUM(OSRRefP22_10x_0)</f>
        <v>82.5</v>
      </c>
      <c r="Q58" s="1"/>
      <c r="R58" s="5">
        <f t="shared" ref="R58:R63" si="28">IF(P$12=0,0,P58/P$12)</f>
        <v>0</v>
      </c>
      <c r="S58" s="1"/>
      <c r="T58" s="1">
        <f>SUM(OSRRefT22_10x_0)</f>
        <v>700</v>
      </c>
      <c r="U58" s="1"/>
      <c r="V58" s="5">
        <f t="shared" ref="V58:V63" si="29">IF(T$12=0,0,T58/T$12)</f>
        <v>0</v>
      </c>
      <c r="W58" s="1"/>
      <c r="X58" s="1">
        <f t="shared" ref="X58:X63" si="30">+P58-T58</f>
        <v>-617.5</v>
      </c>
      <c r="Y58" s="1"/>
      <c r="Z58" s="5">
        <f t="shared" ref="Z58:Z63" si="31">IF(T58=0,0,X58/T58)</f>
        <v>-0.88214285714285712</v>
      </c>
    </row>
    <row r="59" spans="1:26" s="24" customFormat="1" hidden="1" outlineLevel="2" x14ac:dyDescent="0.25">
      <c r="A59" s="25"/>
      <c r="B59" s="11" t="str">
        <f>CONCATENATE("          ", "6332", " - ", "CONSULTANT FEES")</f>
        <v xml:space="preserve">          6332 - CONSULTANT FEES</v>
      </c>
      <c r="C59" s="11"/>
      <c r="D59" s="7"/>
      <c r="E59" s="2"/>
      <c r="F59" s="6">
        <f t="shared" si="24"/>
        <v>0</v>
      </c>
      <c r="G59" s="2"/>
      <c r="H59" s="7">
        <v>100</v>
      </c>
      <c r="I59" s="2"/>
      <c r="J59" s="6">
        <f t="shared" si="25"/>
        <v>0</v>
      </c>
      <c r="K59" s="2"/>
      <c r="L59" s="7">
        <f t="shared" si="26"/>
        <v>-100</v>
      </c>
      <c r="M59" s="2"/>
      <c r="N59" s="6">
        <f t="shared" si="27"/>
        <v>-1</v>
      </c>
      <c r="O59" s="11"/>
      <c r="P59" s="7">
        <v>82.5</v>
      </c>
      <c r="Q59" s="2"/>
      <c r="R59" s="6">
        <f t="shared" si="28"/>
        <v>0</v>
      </c>
      <c r="S59" s="2"/>
      <c r="T59" s="7">
        <v>700</v>
      </c>
      <c r="U59" s="2"/>
      <c r="V59" s="6">
        <f t="shared" si="29"/>
        <v>0</v>
      </c>
      <c r="W59" s="2"/>
      <c r="X59" s="7">
        <f t="shared" si="30"/>
        <v>-617.5</v>
      </c>
      <c r="Y59" s="2"/>
      <c r="Z59" s="6">
        <f t="shared" si="31"/>
        <v>-0.88214285714285712</v>
      </c>
    </row>
    <row r="60" spans="1:26" s="27" customFormat="1" outlineLevel="1" collapsed="1" x14ac:dyDescent="0.25">
      <c r="A60" s="26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SUM(OSRRefD22_11x_0)</f>
        <v>4436.8900000000003</v>
      </c>
      <c r="E60" s="1"/>
      <c r="F60" s="5">
        <f t="shared" si="24"/>
        <v>0</v>
      </c>
      <c r="G60" s="1"/>
      <c r="H60" s="1">
        <f>SUM(OSRRefH22_11x_0)</f>
        <v>20</v>
      </c>
      <c r="I60" s="1"/>
      <c r="J60" s="5">
        <f t="shared" si="25"/>
        <v>0</v>
      </c>
      <c r="K60" s="1"/>
      <c r="L60" s="1">
        <f t="shared" si="26"/>
        <v>4416.8900000000003</v>
      </c>
      <c r="M60" s="1"/>
      <c r="N60" s="5">
        <f t="shared" si="27"/>
        <v>220.84450000000001</v>
      </c>
      <c r="O60" s="13"/>
      <c r="P60" s="1">
        <f>SUM(OSRRefP22_11x_0)</f>
        <v>5401.08</v>
      </c>
      <c r="Q60" s="1"/>
      <c r="R60" s="5">
        <f t="shared" si="28"/>
        <v>0</v>
      </c>
      <c r="S60" s="1"/>
      <c r="T60" s="1">
        <f>SUM(OSRRefT22_11x_0)</f>
        <v>4620</v>
      </c>
      <c r="U60" s="1"/>
      <c r="V60" s="5">
        <f t="shared" si="29"/>
        <v>0</v>
      </c>
      <c r="W60" s="1"/>
      <c r="X60" s="1">
        <f t="shared" si="30"/>
        <v>781.07999999999993</v>
      </c>
      <c r="Y60" s="1"/>
      <c r="Z60" s="5">
        <f t="shared" si="31"/>
        <v>0.16906493506493506</v>
      </c>
    </row>
    <row r="61" spans="1:26" s="24" customFormat="1" hidden="1" outlineLevel="2" x14ac:dyDescent="0.25">
      <c r="A61" s="25"/>
      <c r="B61" s="11" t="str">
        <f>CONCATENATE("          ", "6371", " - ", "COMPUTER SOFTWARE MAINTENANCE")</f>
        <v xml:space="preserve">          6371 - COMPUTER SOFTWARE MAINTENANCE</v>
      </c>
      <c r="C61" s="11"/>
      <c r="D61" s="7"/>
      <c r="E61" s="2"/>
      <c r="F61" s="6">
        <f t="shared" si="24"/>
        <v>0</v>
      </c>
      <c r="G61" s="2"/>
      <c r="H61" s="7"/>
      <c r="I61" s="2"/>
      <c r="J61" s="6">
        <f t="shared" si="25"/>
        <v>0</v>
      </c>
      <c r="K61" s="2"/>
      <c r="L61" s="7">
        <f t="shared" si="26"/>
        <v>0</v>
      </c>
      <c r="M61" s="2"/>
      <c r="N61" s="6">
        <f t="shared" si="27"/>
        <v>0</v>
      </c>
      <c r="O61" s="11"/>
      <c r="P61" s="7">
        <v>375</v>
      </c>
      <c r="Q61" s="2"/>
      <c r="R61" s="6">
        <f t="shared" si="28"/>
        <v>0</v>
      </c>
      <c r="S61" s="2"/>
      <c r="T61" s="7"/>
      <c r="U61" s="2"/>
      <c r="V61" s="6">
        <f t="shared" si="29"/>
        <v>0</v>
      </c>
      <c r="W61" s="2"/>
      <c r="X61" s="7">
        <f t="shared" si="30"/>
        <v>375</v>
      </c>
      <c r="Y61" s="2"/>
      <c r="Z61" s="6">
        <f t="shared" si="31"/>
        <v>0</v>
      </c>
    </row>
    <row r="62" spans="1:26" s="24" customFormat="1" hidden="1" outlineLevel="2" x14ac:dyDescent="0.25">
      <c r="A62" s="25"/>
      <c r="B62" s="11" t="str">
        <f>CONCATENATE("          ", "6373", " - ", "MAINTENANCE CONTRACTS")</f>
        <v xml:space="preserve">          6373 - MAINTENANCE CONTRACTS</v>
      </c>
      <c r="C62" s="11"/>
      <c r="D62" s="7">
        <v>4436.8900000000003</v>
      </c>
      <c r="E62" s="2"/>
      <c r="F62" s="6">
        <f t="shared" si="24"/>
        <v>0</v>
      </c>
      <c r="G62" s="2"/>
      <c r="H62" s="7">
        <v>20</v>
      </c>
      <c r="I62" s="2"/>
      <c r="J62" s="6">
        <f t="shared" si="25"/>
        <v>0</v>
      </c>
      <c r="K62" s="2"/>
      <c r="L62" s="7">
        <f t="shared" si="26"/>
        <v>4416.8900000000003</v>
      </c>
      <c r="M62" s="2"/>
      <c r="N62" s="6">
        <f t="shared" si="27"/>
        <v>220.84450000000001</v>
      </c>
      <c r="O62" s="11"/>
      <c r="P62" s="7">
        <v>4561.5</v>
      </c>
      <c r="Q62" s="2"/>
      <c r="R62" s="6">
        <f t="shared" si="28"/>
        <v>0</v>
      </c>
      <c r="S62" s="2"/>
      <c r="T62" s="7">
        <v>4620</v>
      </c>
      <c r="U62" s="2"/>
      <c r="V62" s="6">
        <f t="shared" si="29"/>
        <v>0</v>
      </c>
      <c r="W62" s="2"/>
      <c r="X62" s="7">
        <f t="shared" si="30"/>
        <v>-58.5</v>
      </c>
      <c r="Y62" s="2"/>
      <c r="Z62" s="6">
        <f t="shared" si="31"/>
        <v>-1.2662337662337663E-2</v>
      </c>
    </row>
    <row r="63" spans="1:26" s="24" customFormat="1" hidden="1" outlineLevel="2" x14ac:dyDescent="0.25">
      <c r="A63" s="25"/>
      <c r="B63" s="11" t="str">
        <f>CONCATENATE("          ", "6375", " - ", "OUTSIDE REPAIRS &amp; MAINTENANCE")</f>
        <v xml:space="preserve">          6375 - OUTSIDE REPAIRS &amp; MAINTENANCE</v>
      </c>
      <c r="C63" s="11"/>
      <c r="D63" s="7"/>
      <c r="E63" s="2"/>
      <c r="F63" s="6">
        <f t="shared" si="24"/>
        <v>0</v>
      </c>
      <c r="G63" s="2"/>
      <c r="H63" s="7"/>
      <c r="I63" s="2"/>
      <c r="J63" s="6">
        <f t="shared" si="25"/>
        <v>0</v>
      </c>
      <c r="K63" s="2"/>
      <c r="L63" s="7">
        <f t="shared" si="26"/>
        <v>0</v>
      </c>
      <c r="M63" s="2"/>
      <c r="N63" s="6">
        <f t="shared" si="27"/>
        <v>0</v>
      </c>
      <c r="O63" s="11"/>
      <c r="P63" s="7">
        <v>464.58</v>
      </c>
      <c r="Q63" s="2"/>
      <c r="R63" s="6">
        <f t="shared" si="28"/>
        <v>0</v>
      </c>
      <c r="S63" s="2"/>
      <c r="T63" s="7"/>
      <c r="U63" s="2"/>
      <c r="V63" s="6">
        <f t="shared" si="29"/>
        <v>0</v>
      </c>
      <c r="W63" s="2"/>
      <c r="X63" s="7">
        <f t="shared" si="30"/>
        <v>464.58</v>
      </c>
      <c r="Y63" s="2"/>
      <c r="Z63" s="6">
        <f t="shared" si="31"/>
        <v>0</v>
      </c>
    </row>
    <row r="64" spans="1:26" s="27" customFormat="1" outlineLevel="1" collapsed="1" x14ac:dyDescent="0.25">
      <c r="A64" s="26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SUM(OSRRefD22_12x_0)</f>
        <v>599.61</v>
      </c>
      <c r="E64" s="1"/>
      <c r="F64" s="5">
        <f t="shared" ref="F64:F70" si="32">IF(D$12=0,0,D64/D$12)</f>
        <v>0</v>
      </c>
      <c r="G64" s="1"/>
      <c r="H64" s="1">
        <f>SUM(OSRRefH22_12x_0)</f>
        <v>600</v>
      </c>
      <c r="I64" s="1"/>
      <c r="J64" s="5">
        <f t="shared" ref="J64:J70" si="33">IF(H$12=0,0,H64/H$12)</f>
        <v>0</v>
      </c>
      <c r="K64" s="1"/>
      <c r="L64" s="1">
        <f t="shared" ref="L64:L70" si="34">+D64-H64</f>
        <v>-0.38999999999998636</v>
      </c>
      <c r="M64" s="1"/>
      <c r="N64" s="5">
        <f t="shared" ref="N64:N70" si="35">IF(H64=0,0,L64/H64)</f>
        <v>-6.4999999999997731E-4</v>
      </c>
      <c r="O64" s="13"/>
      <c r="P64" s="1">
        <f>SUM(OSRRefP22_12x_0)</f>
        <v>8699.01</v>
      </c>
      <c r="Q64" s="1"/>
      <c r="R64" s="5">
        <f t="shared" ref="R64:R70" si="36">IF(P$12=0,0,P64/P$12)</f>
        <v>0</v>
      </c>
      <c r="S64" s="1"/>
      <c r="T64" s="1">
        <f>SUM(OSRRefT22_12x_0)</f>
        <v>4200</v>
      </c>
      <c r="U64" s="1"/>
      <c r="V64" s="5">
        <f t="shared" ref="V64:V70" si="37">IF(T$12=0,0,T64/T$12)</f>
        <v>0</v>
      </c>
      <c r="W64" s="1"/>
      <c r="X64" s="1">
        <f t="shared" ref="X64:X70" si="38">+P64-T64</f>
        <v>4499.01</v>
      </c>
      <c r="Y64" s="1"/>
      <c r="Z64" s="5">
        <f t="shared" ref="Z64:Z70" si="39">IF(T64=0,0,X64/T64)</f>
        <v>1.0711928571428573</v>
      </c>
    </row>
    <row r="65" spans="1:26" s="24" customFormat="1" hidden="1" outlineLevel="2" x14ac:dyDescent="0.25">
      <c r="A65" s="25"/>
      <c r="B65" s="11" t="str">
        <f>CONCATENATE("          ", "6281", " - ", "STORAGE FEE")</f>
        <v xml:space="preserve">          6281 - STORAGE FEE</v>
      </c>
      <c r="C65" s="11"/>
      <c r="D65" s="7">
        <v>599.61</v>
      </c>
      <c r="E65" s="2"/>
      <c r="F65" s="6">
        <f t="shared" si="32"/>
        <v>0</v>
      </c>
      <c r="G65" s="2"/>
      <c r="H65" s="7">
        <v>600</v>
      </c>
      <c r="I65" s="2"/>
      <c r="J65" s="6">
        <f t="shared" si="33"/>
        <v>0</v>
      </c>
      <c r="K65" s="2"/>
      <c r="L65" s="7">
        <f t="shared" si="34"/>
        <v>-0.38999999999998636</v>
      </c>
      <c r="M65" s="2"/>
      <c r="N65" s="6">
        <f t="shared" si="35"/>
        <v>-6.4999999999997731E-4</v>
      </c>
      <c r="O65" s="11"/>
      <c r="P65" s="7">
        <v>8699.01</v>
      </c>
      <c r="Q65" s="2"/>
      <c r="R65" s="6">
        <f t="shared" si="36"/>
        <v>0</v>
      </c>
      <c r="S65" s="2"/>
      <c r="T65" s="7">
        <v>4200</v>
      </c>
      <c r="U65" s="2"/>
      <c r="V65" s="6">
        <f t="shared" si="37"/>
        <v>0</v>
      </c>
      <c r="W65" s="2"/>
      <c r="X65" s="7">
        <f t="shared" si="38"/>
        <v>4499.01</v>
      </c>
      <c r="Y65" s="2"/>
      <c r="Z65" s="6">
        <f t="shared" si="39"/>
        <v>1.0711928571428573</v>
      </c>
    </row>
    <row r="66" spans="1:26" s="27" customFormat="1" outlineLevel="1" collapsed="1" x14ac:dyDescent="0.25">
      <c r="A66" s="26"/>
      <c r="B66" s="13" t="str">
        <f>CONCATENATE("     ","Subscriptions &amp; Dues                              ")</f>
        <v xml:space="preserve">     Subscriptions &amp; Dues                              </v>
      </c>
      <c r="C66" s="13"/>
      <c r="D66" s="1">
        <f>SUM(OSRRefD22_13x_0)</f>
        <v>0</v>
      </c>
      <c r="E66" s="1"/>
      <c r="F66" s="5">
        <f t="shared" si="32"/>
        <v>0</v>
      </c>
      <c r="G66" s="1"/>
      <c r="H66" s="1">
        <f>SUM(OSRRefH22_13x_0)</f>
        <v>0</v>
      </c>
      <c r="I66" s="1"/>
      <c r="J66" s="5">
        <f t="shared" si="33"/>
        <v>0</v>
      </c>
      <c r="K66" s="1"/>
      <c r="L66" s="1">
        <f t="shared" si="34"/>
        <v>0</v>
      </c>
      <c r="M66" s="1"/>
      <c r="N66" s="5">
        <f t="shared" si="35"/>
        <v>0</v>
      </c>
      <c r="O66" s="13"/>
      <c r="P66" s="1">
        <f>SUM(OSRRefP22_13x_0)</f>
        <v>39</v>
      </c>
      <c r="Q66" s="1"/>
      <c r="R66" s="5">
        <f t="shared" si="36"/>
        <v>0</v>
      </c>
      <c r="S66" s="1"/>
      <c r="T66" s="1">
        <f>SUM(OSRRefT22_13x_0)</f>
        <v>0</v>
      </c>
      <c r="U66" s="1"/>
      <c r="V66" s="5">
        <f t="shared" si="37"/>
        <v>0</v>
      </c>
      <c r="W66" s="1"/>
      <c r="X66" s="1">
        <f t="shared" si="38"/>
        <v>39</v>
      </c>
      <c r="Y66" s="1"/>
      <c r="Z66" s="5">
        <f t="shared" si="39"/>
        <v>0</v>
      </c>
    </row>
    <row r="67" spans="1:26" s="24" customFormat="1" hidden="1" outlineLevel="2" x14ac:dyDescent="0.25">
      <c r="A67" s="25"/>
      <c r="B67" s="11" t="str">
        <f>CONCATENATE("          ", "6258", " - ", "MEMBERSHIP DUES")</f>
        <v xml:space="preserve">          6258 - MEMBERSHIP DUES</v>
      </c>
      <c r="C67" s="11"/>
      <c r="D67" s="7"/>
      <c r="E67" s="2"/>
      <c r="F67" s="6">
        <f t="shared" si="32"/>
        <v>0</v>
      </c>
      <c r="G67" s="2"/>
      <c r="H67" s="7"/>
      <c r="I67" s="2"/>
      <c r="J67" s="6">
        <f t="shared" si="33"/>
        <v>0</v>
      </c>
      <c r="K67" s="2"/>
      <c r="L67" s="7">
        <f t="shared" si="34"/>
        <v>0</v>
      </c>
      <c r="M67" s="2"/>
      <c r="N67" s="6">
        <f t="shared" si="35"/>
        <v>0</v>
      </c>
      <c r="O67" s="11"/>
      <c r="P67" s="7">
        <v>39</v>
      </c>
      <c r="Q67" s="2"/>
      <c r="R67" s="6">
        <f t="shared" si="36"/>
        <v>0</v>
      </c>
      <c r="S67" s="2"/>
      <c r="T67" s="7"/>
      <c r="U67" s="2"/>
      <c r="V67" s="6">
        <f t="shared" si="37"/>
        <v>0</v>
      </c>
      <c r="W67" s="2"/>
      <c r="X67" s="7">
        <f t="shared" si="38"/>
        <v>39</v>
      </c>
      <c r="Y67" s="2"/>
      <c r="Z67" s="6">
        <f t="shared" si="39"/>
        <v>0</v>
      </c>
    </row>
    <row r="68" spans="1:26" s="27" customFormat="1" outlineLevel="1" collapsed="1" x14ac:dyDescent="0.25">
      <c r="A68" s="26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SUM(OSRRefD22_14x_0)</f>
        <v>2175.7600000000002</v>
      </c>
      <c r="E68" s="1"/>
      <c r="F68" s="5">
        <f t="shared" si="32"/>
        <v>0</v>
      </c>
      <c r="G68" s="1"/>
      <c r="H68" s="1">
        <f>SUM(OSRRefH22_14x_0)</f>
        <v>200</v>
      </c>
      <c r="I68" s="1"/>
      <c r="J68" s="5">
        <f t="shared" si="33"/>
        <v>0</v>
      </c>
      <c r="K68" s="1"/>
      <c r="L68" s="1">
        <f t="shared" si="34"/>
        <v>1975.7600000000002</v>
      </c>
      <c r="M68" s="1"/>
      <c r="N68" s="5">
        <f t="shared" si="35"/>
        <v>9.8788000000000018</v>
      </c>
      <c r="O68" s="13"/>
      <c r="P68" s="1">
        <f>SUM(OSRRefP22_14x_0)</f>
        <v>5238.01</v>
      </c>
      <c r="Q68" s="1"/>
      <c r="R68" s="5">
        <f t="shared" si="36"/>
        <v>0</v>
      </c>
      <c r="S68" s="1"/>
      <c r="T68" s="1">
        <f>SUM(OSRRefT22_14x_0)</f>
        <v>1750</v>
      </c>
      <c r="U68" s="1"/>
      <c r="V68" s="5">
        <f t="shared" si="37"/>
        <v>0</v>
      </c>
      <c r="W68" s="1"/>
      <c r="X68" s="1">
        <f t="shared" si="38"/>
        <v>3488.01</v>
      </c>
      <c r="Y68" s="1"/>
      <c r="Z68" s="5">
        <f t="shared" si="39"/>
        <v>1.9931485714285715</v>
      </c>
    </row>
    <row r="69" spans="1:26" s="24" customFormat="1" hidden="1" outlineLevel="2" x14ac:dyDescent="0.25">
      <c r="A69" s="25"/>
      <c r="B69" s="11" t="str">
        <f>CONCATENATE("          ", "6241", " - ", "OFFICE EXPENSE")</f>
        <v xml:space="preserve">          6241 - OFFICE EXPENSE</v>
      </c>
      <c r="C69" s="11"/>
      <c r="D69" s="7">
        <v>2175.7600000000002</v>
      </c>
      <c r="E69" s="2"/>
      <c r="F69" s="6">
        <f t="shared" si="32"/>
        <v>0</v>
      </c>
      <c r="G69" s="2"/>
      <c r="H69" s="7">
        <v>200</v>
      </c>
      <c r="I69" s="2"/>
      <c r="J69" s="6">
        <f t="shared" si="33"/>
        <v>0</v>
      </c>
      <c r="K69" s="2"/>
      <c r="L69" s="7">
        <f t="shared" si="34"/>
        <v>1975.7600000000002</v>
      </c>
      <c r="M69" s="2"/>
      <c r="N69" s="6">
        <f t="shared" si="35"/>
        <v>9.8788000000000018</v>
      </c>
      <c r="O69" s="11"/>
      <c r="P69" s="7">
        <v>4575.1000000000004</v>
      </c>
      <c r="Q69" s="2"/>
      <c r="R69" s="6">
        <f t="shared" si="36"/>
        <v>0</v>
      </c>
      <c r="S69" s="2"/>
      <c r="T69" s="7">
        <v>1750</v>
      </c>
      <c r="U69" s="2"/>
      <c r="V69" s="6">
        <f t="shared" si="37"/>
        <v>0</v>
      </c>
      <c r="W69" s="2"/>
      <c r="X69" s="7">
        <f t="shared" si="38"/>
        <v>2825.1000000000004</v>
      </c>
      <c r="Y69" s="2"/>
      <c r="Z69" s="6">
        <f t="shared" si="39"/>
        <v>1.6143428571428573</v>
      </c>
    </row>
    <row r="70" spans="1:26" s="24" customFormat="1" hidden="1" outlineLevel="2" x14ac:dyDescent="0.25">
      <c r="A70" s="25"/>
      <c r="B70" s="11" t="str">
        <f>CONCATENATE("          ", "6245", " - ", "PRINTING")</f>
        <v xml:space="preserve">          6245 - PRINTING</v>
      </c>
      <c r="C70" s="11"/>
      <c r="D70" s="7"/>
      <c r="E70" s="2"/>
      <c r="F70" s="6">
        <f t="shared" si="32"/>
        <v>0</v>
      </c>
      <c r="G70" s="2"/>
      <c r="H70" s="7"/>
      <c r="I70" s="2"/>
      <c r="J70" s="6">
        <f t="shared" si="33"/>
        <v>0</v>
      </c>
      <c r="K70" s="2"/>
      <c r="L70" s="7">
        <f t="shared" si="34"/>
        <v>0</v>
      </c>
      <c r="M70" s="2"/>
      <c r="N70" s="6">
        <f t="shared" si="35"/>
        <v>0</v>
      </c>
      <c r="O70" s="11"/>
      <c r="P70" s="7">
        <v>662.91</v>
      </c>
      <c r="Q70" s="2"/>
      <c r="R70" s="6">
        <f t="shared" si="36"/>
        <v>0</v>
      </c>
      <c r="S70" s="2"/>
      <c r="T70" s="7"/>
      <c r="U70" s="2"/>
      <c r="V70" s="6">
        <f t="shared" si="37"/>
        <v>0</v>
      </c>
      <c r="W70" s="2"/>
      <c r="X70" s="7">
        <f t="shared" si="38"/>
        <v>662.91</v>
      </c>
      <c r="Y70" s="2"/>
      <c r="Z70" s="6">
        <f t="shared" si="39"/>
        <v>0</v>
      </c>
    </row>
    <row r="71" spans="1:26" s="27" customFormat="1" outlineLevel="1" collapsed="1" x14ac:dyDescent="0.25">
      <c r="A71" s="26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SUM(OSRRefD22_15x_0)</f>
        <v>419.35</v>
      </c>
      <c r="E71" s="1"/>
      <c r="F71" s="5">
        <f t="shared" ref="F71:F74" si="40">IF(D$12=0,0,D71/D$12)</f>
        <v>0</v>
      </c>
      <c r="G71" s="1"/>
      <c r="H71" s="1">
        <f>SUM(OSRRefH22_15x_0)</f>
        <v>375</v>
      </c>
      <c r="I71" s="1"/>
      <c r="J71" s="5">
        <f t="shared" ref="J71:J74" si="41">IF(H$12=0,0,H71/H$12)</f>
        <v>0</v>
      </c>
      <c r="K71" s="1"/>
      <c r="L71" s="1">
        <f t="shared" ref="L71:L74" si="42">+D71-H71</f>
        <v>44.350000000000023</v>
      </c>
      <c r="M71" s="1"/>
      <c r="N71" s="5">
        <f t="shared" ref="N71:N74" si="43">IF(H71=0,0,L71/H71)</f>
        <v>0.11826666666666673</v>
      </c>
      <c r="O71" s="13"/>
      <c r="P71" s="1">
        <f>SUM(OSRRefP22_15x_0)</f>
        <v>2858.79</v>
      </c>
      <c r="Q71" s="1"/>
      <c r="R71" s="5">
        <f t="shared" ref="R71:R74" si="44">IF(P$12=0,0,P71/P$12)</f>
        <v>0</v>
      </c>
      <c r="S71" s="1"/>
      <c r="T71" s="1">
        <f>SUM(OSRRefT22_15x_0)</f>
        <v>2625</v>
      </c>
      <c r="U71" s="1"/>
      <c r="V71" s="5">
        <f t="shared" ref="V71:V74" si="45">IF(T$12=0,0,T71/T$12)</f>
        <v>0</v>
      </c>
      <c r="W71" s="1"/>
      <c r="X71" s="1">
        <f t="shared" ref="X71:X74" si="46">+P71-T71</f>
        <v>233.78999999999996</v>
      </c>
      <c r="Y71" s="1"/>
      <c r="Z71" s="5">
        <f t="shared" ref="Z71:Z74" si="47">IF(T71=0,0,X71/T71)</f>
        <v>8.9062857142857124E-2</v>
      </c>
    </row>
    <row r="72" spans="1:26" s="24" customFormat="1" hidden="1" outlineLevel="2" x14ac:dyDescent="0.25">
      <c r="A72" s="25"/>
      <c r="B72" s="11" t="str">
        <f>CONCATENATE("          ", "6309", " - ", "TELEPHONE")</f>
        <v xml:space="preserve">          6309 - TELEPHONE</v>
      </c>
      <c r="C72" s="11"/>
      <c r="D72" s="7">
        <v>419.35</v>
      </c>
      <c r="E72" s="2"/>
      <c r="F72" s="6">
        <f t="shared" si="40"/>
        <v>0</v>
      </c>
      <c r="G72" s="2"/>
      <c r="H72" s="7">
        <v>375</v>
      </c>
      <c r="I72" s="2"/>
      <c r="J72" s="6">
        <f t="shared" si="41"/>
        <v>0</v>
      </c>
      <c r="K72" s="2"/>
      <c r="L72" s="7">
        <f t="shared" si="42"/>
        <v>44.350000000000023</v>
      </c>
      <c r="M72" s="2"/>
      <c r="N72" s="6">
        <f t="shared" si="43"/>
        <v>0.11826666666666673</v>
      </c>
      <c r="O72" s="11"/>
      <c r="P72" s="7">
        <v>2858.79</v>
      </c>
      <c r="Q72" s="2"/>
      <c r="R72" s="6">
        <f t="shared" si="44"/>
        <v>0</v>
      </c>
      <c r="S72" s="2"/>
      <c r="T72" s="7">
        <v>2625</v>
      </c>
      <c r="U72" s="2"/>
      <c r="V72" s="6">
        <f t="shared" si="45"/>
        <v>0</v>
      </c>
      <c r="W72" s="2"/>
      <c r="X72" s="7">
        <f t="shared" si="46"/>
        <v>233.78999999999996</v>
      </c>
      <c r="Y72" s="2"/>
      <c r="Z72" s="6">
        <f t="shared" si="47"/>
        <v>8.9062857142857124E-2</v>
      </c>
    </row>
    <row r="73" spans="1:26" s="27" customFormat="1" outlineLevel="1" collapsed="1" x14ac:dyDescent="0.25">
      <c r="A73" s="26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SUM(OSRRefD22_16x_0)</f>
        <v>0</v>
      </c>
      <c r="E73" s="1"/>
      <c r="F73" s="5">
        <f t="shared" si="40"/>
        <v>0</v>
      </c>
      <c r="G73" s="1"/>
      <c r="H73" s="1">
        <f>SUM(OSRRefH22_16x_0)</f>
        <v>583</v>
      </c>
      <c r="I73" s="1"/>
      <c r="J73" s="5">
        <f t="shared" si="41"/>
        <v>0</v>
      </c>
      <c r="K73" s="1"/>
      <c r="L73" s="1">
        <f t="shared" si="42"/>
        <v>-583</v>
      </c>
      <c r="M73" s="1"/>
      <c r="N73" s="5">
        <f t="shared" si="43"/>
        <v>-1</v>
      </c>
      <c r="O73" s="13"/>
      <c r="P73" s="1">
        <f>SUM(OSRRefP22_16x_0)</f>
        <v>338.53</v>
      </c>
      <c r="Q73" s="1"/>
      <c r="R73" s="5">
        <f t="shared" si="44"/>
        <v>0</v>
      </c>
      <c r="S73" s="1"/>
      <c r="T73" s="1">
        <f>SUM(OSRRefT22_16x_0)</f>
        <v>4081</v>
      </c>
      <c r="U73" s="1"/>
      <c r="V73" s="5">
        <f t="shared" si="45"/>
        <v>0</v>
      </c>
      <c r="W73" s="1"/>
      <c r="X73" s="1">
        <f t="shared" si="46"/>
        <v>-3742.4700000000003</v>
      </c>
      <c r="Y73" s="1"/>
      <c r="Z73" s="5">
        <f t="shared" si="47"/>
        <v>-0.91704729233031124</v>
      </c>
    </row>
    <row r="74" spans="1:26" s="24" customFormat="1" hidden="1" outlineLevel="2" x14ac:dyDescent="0.25">
      <c r="A74" s="25"/>
      <c r="B74" s="11" t="str">
        <f>CONCATENATE("          ", "6376", " - ", "TRAINING")</f>
        <v xml:space="preserve">          6376 - TRAINING</v>
      </c>
      <c r="C74" s="11"/>
      <c r="D74" s="7"/>
      <c r="E74" s="2"/>
      <c r="F74" s="6">
        <f t="shared" si="40"/>
        <v>0</v>
      </c>
      <c r="G74" s="2"/>
      <c r="H74" s="7">
        <v>583</v>
      </c>
      <c r="I74" s="2"/>
      <c r="J74" s="6">
        <f t="shared" si="41"/>
        <v>0</v>
      </c>
      <c r="K74" s="2"/>
      <c r="L74" s="7">
        <f t="shared" si="42"/>
        <v>-583</v>
      </c>
      <c r="M74" s="2"/>
      <c r="N74" s="6">
        <f t="shared" si="43"/>
        <v>-1</v>
      </c>
      <c r="O74" s="11"/>
      <c r="P74" s="7">
        <v>338.53</v>
      </c>
      <c r="Q74" s="2"/>
      <c r="R74" s="6">
        <f t="shared" si="44"/>
        <v>0</v>
      </c>
      <c r="S74" s="2"/>
      <c r="T74" s="7">
        <v>4081</v>
      </c>
      <c r="U74" s="2"/>
      <c r="V74" s="6">
        <f t="shared" si="45"/>
        <v>0</v>
      </c>
      <c r="W74" s="2"/>
      <c r="X74" s="7">
        <f t="shared" si="46"/>
        <v>-3742.4700000000003</v>
      </c>
      <c r="Y74" s="2"/>
      <c r="Z74" s="6">
        <f t="shared" si="47"/>
        <v>-0.91704729233031124</v>
      </c>
    </row>
    <row r="75" spans="1:26" s="53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8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9" t="s">
        <v>3</v>
      </c>
      <c r="C78" s="29"/>
      <c r="D78" s="21">
        <f>+D16-D18+D76</f>
        <v>-62425.07</v>
      </c>
      <c r="E78" s="14"/>
      <c r="F78" s="20">
        <f>IF(D$12=0,0,D78/D$12)</f>
        <v>0</v>
      </c>
      <c r="G78" s="14"/>
      <c r="H78" s="21">
        <f>+H16-H18+H76</f>
        <v>-59270.735767307699</v>
      </c>
      <c r="I78" s="14"/>
      <c r="J78" s="20">
        <f>IF(H$12=0,0,H78/H$12)</f>
        <v>0</v>
      </c>
      <c r="K78" s="16"/>
      <c r="L78" s="21">
        <f>+D78-H78</f>
        <v>-3154.3342326923012</v>
      </c>
      <c r="M78" s="16"/>
      <c r="N78" s="20">
        <f>IF(H78=0,0,L78/H78)</f>
        <v>5.3219083445766091E-2</v>
      </c>
      <c r="O78" s="28"/>
      <c r="P78" s="21">
        <f>+P16-P18+P76</f>
        <v>-368582.25999999995</v>
      </c>
      <c r="Q78" s="14"/>
      <c r="R78" s="20">
        <f>IF(P$12=0,0,P78/P$12)</f>
        <v>0</v>
      </c>
      <c r="S78" s="14"/>
      <c r="T78" s="21">
        <f>+T16-T18+T76</f>
        <v>-379935.57628230751</v>
      </c>
      <c r="U78" s="14"/>
      <c r="V78" s="20">
        <f>IF(T$12=0,0,T78/T$12)</f>
        <v>0</v>
      </c>
      <c r="W78" s="16"/>
      <c r="X78" s="21">
        <f>+P78-T78</f>
        <v>11353.316282307555</v>
      </c>
      <c r="Y78" s="16"/>
      <c r="Z78" s="20">
        <f>IF(T78=0,0,X78/T78)</f>
        <v>-2.9882214225370622E-2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4</v>
      </c>
      <c r="C82" s="29"/>
      <c r="D82" s="34">
        <f>+D78-D80</f>
        <v>-62425.07</v>
      </c>
      <c r="E82" s="14"/>
      <c r="F82" s="32">
        <f>IF(D$12=0,0,D82/D$12)</f>
        <v>0</v>
      </c>
      <c r="G82" s="14"/>
      <c r="H82" s="34">
        <f>+H78-H80</f>
        <v>-59270.735767307699</v>
      </c>
      <c r="I82" s="14"/>
      <c r="J82" s="32">
        <f>IF(H$12=0,0,H82/H$12)</f>
        <v>0</v>
      </c>
      <c r="K82" s="16"/>
      <c r="L82" s="34">
        <f>D82-H82</f>
        <v>-3154.3342326923012</v>
      </c>
      <c r="M82" s="16"/>
      <c r="N82" s="32">
        <f>IF(H82=0,0,L82/H82)</f>
        <v>5.3219083445766091E-2</v>
      </c>
      <c r="O82" s="28"/>
      <c r="P82" s="34">
        <f>+P78-P80</f>
        <v>-368582.25999999995</v>
      </c>
      <c r="Q82" s="14"/>
      <c r="R82" s="32">
        <f>IF(P$12=0,0,P82/P$12)</f>
        <v>0</v>
      </c>
      <c r="S82" s="14"/>
      <c r="T82" s="34">
        <f>+T78-T80</f>
        <v>-379935.57628230751</v>
      </c>
      <c r="U82" s="14"/>
      <c r="V82" s="32">
        <f>IF(T$12=0,0,T82/T$12)</f>
        <v>0</v>
      </c>
      <c r="W82" s="16"/>
      <c r="X82" s="34">
        <f>P82-T82</f>
        <v>11353.316282307555</v>
      </c>
      <c r="Y82" s="16"/>
      <c r="Z82" s="32">
        <f>IF(T82=0,0,X82/T82)</f>
        <v>-2.9882214225370622E-2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9" t="s">
        <v>5</v>
      </c>
      <c r="C85" s="29"/>
      <c r="D85" s="31">
        <f>SUM(D82:D84)</f>
        <v>-62425.07</v>
      </c>
      <c r="E85" s="14"/>
      <c r="F85" s="30">
        <f>IF(D$12=0,0,D85/D$12)</f>
        <v>0</v>
      </c>
      <c r="G85" s="14"/>
      <c r="H85" s="31">
        <f>SUM(H82:H84)</f>
        <v>-59270.735767307699</v>
      </c>
      <c r="I85" s="14"/>
      <c r="J85" s="30">
        <f>IF(H$12=0,0,H85/H$12)</f>
        <v>0</v>
      </c>
      <c r="K85" s="16"/>
      <c r="L85" s="31">
        <f>+D85-H85</f>
        <v>-3154.3342326923012</v>
      </c>
      <c r="M85" s="16"/>
      <c r="N85" s="30">
        <f>IF(H85=0,0,L85/H85)</f>
        <v>5.3219083445766091E-2</v>
      </c>
      <c r="O85" s="28"/>
      <c r="P85" s="31">
        <f>SUM(P82:P84)</f>
        <v>-368582.25999999995</v>
      </c>
      <c r="Q85" s="14"/>
      <c r="R85" s="30">
        <f>IF(P$12=0,0,P85/P$12)</f>
        <v>0</v>
      </c>
      <c r="S85" s="14"/>
      <c r="T85" s="31">
        <f>SUM(T82:T84)</f>
        <v>-379935.57628230751</v>
      </c>
      <c r="U85" s="14"/>
      <c r="V85" s="30">
        <f>IF(T$12=0,0,T85/T$12)</f>
        <v>0</v>
      </c>
      <c r="W85" s="16"/>
      <c r="X85" s="31">
        <f>+P85-T85</f>
        <v>11353.316282307555</v>
      </c>
      <c r="Y85" s="16"/>
      <c r="Z85" s="30">
        <f>IF(T85=0,0,X85/T85)</f>
        <v>-2.9882214225370622E-2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3">
        <v>43879.545972685184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7" t="s">
        <v>314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60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","203", " - ", "Human Resources")</f>
        <v>Department 203 - Human Resources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71552.580000000016</v>
      </c>
      <c r="E18" s="22"/>
      <c r="F18" s="35">
        <f t="shared" ref="F18:F29" si="0">IF(D$12=0,0,D18/D$12)</f>
        <v>0</v>
      </c>
      <c r="G18" s="22"/>
      <c r="H18" s="22">
        <f>SUM(OSRRefH22x_0)</f>
        <v>63265.587754592307</v>
      </c>
      <c r="I18" s="22"/>
      <c r="J18" s="35">
        <f t="shared" ref="J18:J29" si="1">IF(H$12=0,0,H18/H$12)</f>
        <v>0</v>
      </c>
      <c r="K18" s="4"/>
      <c r="L18" s="22">
        <f t="shared" ref="L18:L29" si="2">+D18-H18</f>
        <v>8286.9922454077096</v>
      </c>
      <c r="M18" s="4"/>
      <c r="N18" s="35">
        <f t="shared" ref="N18:N29" si="3">IF(H18=0,0,L18/H18)</f>
        <v>0.13098735883957982</v>
      </c>
      <c r="O18" s="10"/>
      <c r="P18" s="22">
        <f>SUM(OSRRefP22x_0)</f>
        <v>474151.29</v>
      </c>
      <c r="Q18" s="22"/>
      <c r="R18" s="35">
        <f t="shared" ref="R18:R29" si="4">IF(P$12=0,0,P18/P$12)</f>
        <v>0</v>
      </c>
      <c r="S18" s="22"/>
      <c r="T18" s="22">
        <f>SUM(OSRRefT22x_0)</f>
        <v>434202.84407847223</v>
      </c>
      <c r="U18" s="22"/>
      <c r="V18" s="35">
        <f t="shared" ref="V18:V29" si="5">IF(T$12=0,0,T18/T$12)</f>
        <v>0</v>
      </c>
      <c r="W18" s="4"/>
      <c r="X18" s="22">
        <f t="shared" ref="X18:X29" si="6">+P18-T18</f>
        <v>39948.445921527746</v>
      </c>
      <c r="Y18" s="4"/>
      <c r="Z18" s="35">
        <f t="shared" ref="Z18:Z29" si="7">IF(T18=0,0,X18/T18)</f>
        <v>9.2004109292080041E-2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15464.15</v>
      </c>
      <c r="E19" s="1"/>
      <c r="F19" s="5">
        <f t="shared" si="0"/>
        <v>0</v>
      </c>
      <c r="G19" s="1"/>
      <c r="H19" s="1">
        <f>SUM(OSRRefH22_0x_0)</f>
        <v>11811.610600746157</v>
      </c>
      <c r="I19" s="1"/>
      <c r="J19" s="5">
        <f t="shared" si="1"/>
        <v>0</v>
      </c>
      <c r="K19" s="1"/>
      <c r="L19" s="1">
        <f t="shared" si="2"/>
        <v>3652.5393992538429</v>
      </c>
      <c r="M19" s="1"/>
      <c r="N19" s="5">
        <f t="shared" si="3"/>
        <v>0.30923296768885239</v>
      </c>
      <c r="O19" s="13"/>
      <c r="P19" s="1">
        <f>SUM(OSRRefP22_0x_0)</f>
        <v>96828.23000000001</v>
      </c>
      <c r="Q19" s="1"/>
      <c r="R19" s="5">
        <f t="shared" si="4"/>
        <v>0</v>
      </c>
      <c r="S19" s="1"/>
      <c r="T19" s="1">
        <f>SUM(OSRRefT22_0x_0)</f>
        <v>75573.585724626129</v>
      </c>
      <c r="U19" s="1"/>
      <c r="V19" s="5">
        <f t="shared" si="5"/>
        <v>0</v>
      </c>
      <c r="W19" s="1"/>
      <c r="X19" s="1">
        <f t="shared" si="6"/>
        <v>21254.644275373881</v>
      </c>
      <c r="Y19" s="1"/>
      <c r="Z19" s="5">
        <f t="shared" si="7"/>
        <v>0.28124435371931705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2037.13</v>
      </c>
      <c r="E20" s="2"/>
      <c r="F20" s="6">
        <f t="shared" si="0"/>
        <v>0</v>
      </c>
      <c r="G20" s="2"/>
      <c r="H20" s="7">
        <v>1606.77378228462</v>
      </c>
      <c r="I20" s="2"/>
      <c r="J20" s="6">
        <f t="shared" si="1"/>
        <v>0</v>
      </c>
      <c r="K20" s="2"/>
      <c r="L20" s="7">
        <f t="shared" si="2"/>
        <v>430.35621771538013</v>
      </c>
      <c r="M20" s="2"/>
      <c r="N20" s="6">
        <f t="shared" si="3"/>
        <v>0.26783871037743129</v>
      </c>
      <c r="O20" s="11"/>
      <c r="P20" s="7">
        <v>14618.3</v>
      </c>
      <c r="Q20" s="2"/>
      <c r="R20" s="6">
        <f t="shared" si="4"/>
        <v>0</v>
      </c>
      <c r="S20" s="2"/>
      <c r="T20" s="7">
        <v>9961.9974501646211</v>
      </c>
      <c r="U20" s="2"/>
      <c r="V20" s="6">
        <f t="shared" si="5"/>
        <v>0</v>
      </c>
      <c r="W20" s="2"/>
      <c r="X20" s="7">
        <f t="shared" si="6"/>
        <v>4656.3025498353782</v>
      </c>
      <c r="Y20" s="2"/>
      <c r="Z20" s="6">
        <f t="shared" si="7"/>
        <v>0.46740651893646423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91.59</v>
      </c>
      <c r="E21" s="2"/>
      <c r="F21" s="6">
        <f t="shared" si="0"/>
        <v>0</v>
      </c>
      <c r="G21" s="2"/>
      <c r="H21" s="7">
        <v>101.95017430769201</v>
      </c>
      <c r="I21" s="2"/>
      <c r="J21" s="6">
        <f t="shared" si="1"/>
        <v>0</v>
      </c>
      <c r="K21" s="2"/>
      <c r="L21" s="7">
        <f t="shared" si="2"/>
        <v>-10.360174307692006</v>
      </c>
      <c r="M21" s="2"/>
      <c r="N21" s="6">
        <f t="shared" si="3"/>
        <v>-0.10161997640557584</v>
      </c>
      <c r="O21" s="11"/>
      <c r="P21" s="7">
        <v>519.23</v>
      </c>
      <c r="Q21" s="2"/>
      <c r="R21" s="6">
        <f t="shared" si="4"/>
        <v>0</v>
      </c>
      <c r="S21" s="2"/>
      <c r="T21" s="7">
        <v>632.09108070769162</v>
      </c>
      <c r="U21" s="2"/>
      <c r="V21" s="6">
        <f t="shared" si="5"/>
        <v>0</v>
      </c>
      <c r="W21" s="2"/>
      <c r="X21" s="7">
        <f t="shared" si="6"/>
        <v>-112.8610807076916</v>
      </c>
      <c r="Y21" s="2"/>
      <c r="Z21" s="6">
        <f t="shared" si="7"/>
        <v>-0.17855192732878289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6091.6</v>
      </c>
      <c r="E22" s="2"/>
      <c r="F22" s="6">
        <f t="shared" si="0"/>
        <v>0</v>
      </c>
      <c r="G22" s="2"/>
      <c r="H22" s="7">
        <v>6539.3076923076906</v>
      </c>
      <c r="I22" s="2"/>
      <c r="J22" s="6">
        <f t="shared" si="1"/>
        <v>0</v>
      </c>
      <c r="K22" s="2"/>
      <c r="L22" s="7">
        <f t="shared" si="2"/>
        <v>-447.70769230769019</v>
      </c>
      <c r="M22" s="2"/>
      <c r="N22" s="6">
        <f t="shared" si="3"/>
        <v>-6.8464081118913722E-2</v>
      </c>
      <c r="O22" s="11"/>
      <c r="P22" s="7">
        <v>41262.120000000003</v>
      </c>
      <c r="Q22" s="2"/>
      <c r="R22" s="6">
        <f t="shared" si="4"/>
        <v>0</v>
      </c>
      <c r="S22" s="2"/>
      <c r="T22" s="7">
        <v>42125.307692307673</v>
      </c>
      <c r="U22" s="2"/>
      <c r="V22" s="6">
        <f t="shared" si="5"/>
        <v>0</v>
      </c>
      <c r="W22" s="2"/>
      <c r="X22" s="7">
        <f t="shared" si="6"/>
        <v>-863.18769230767066</v>
      </c>
      <c r="Y22" s="2"/>
      <c r="Z22" s="6">
        <f t="shared" si="7"/>
        <v>-2.0490952816596134E-2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70.040000000000006</v>
      </c>
      <c r="E23" s="2"/>
      <c r="F23" s="6">
        <f t="shared" si="0"/>
        <v>0</v>
      </c>
      <c r="G23" s="2"/>
      <c r="H23" s="7">
        <v>77.961898000000005</v>
      </c>
      <c r="I23" s="2"/>
      <c r="J23" s="6">
        <f t="shared" si="1"/>
        <v>0</v>
      </c>
      <c r="K23" s="2"/>
      <c r="L23" s="7">
        <f t="shared" si="2"/>
        <v>-7.9218979999999988</v>
      </c>
      <c r="M23" s="2"/>
      <c r="N23" s="6">
        <f t="shared" si="3"/>
        <v>-0.10161243124173296</v>
      </c>
      <c r="O23" s="11"/>
      <c r="P23" s="7">
        <v>495.75</v>
      </c>
      <c r="Q23" s="2"/>
      <c r="R23" s="6">
        <f t="shared" si="4"/>
        <v>0</v>
      </c>
      <c r="S23" s="2"/>
      <c r="T23" s="7">
        <v>483.36376760000002</v>
      </c>
      <c r="U23" s="2"/>
      <c r="V23" s="6">
        <f t="shared" si="5"/>
        <v>0</v>
      </c>
      <c r="W23" s="2"/>
      <c r="X23" s="7">
        <f t="shared" si="6"/>
        <v>12.386232399999983</v>
      </c>
      <c r="Y23" s="2"/>
      <c r="Z23" s="6">
        <f t="shared" si="7"/>
        <v>2.562507417860499E-2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1602.07</v>
      </c>
      <c r="E24" s="2"/>
      <c r="F24" s="6">
        <f t="shared" si="0"/>
        <v>0</v>
      </c>
      <c r="G24" s="2"/>
      <c r="H24" s="7">
        <v>855.989423076923</v>
      </c>
      <c r="I24" s="2"/>
      <c r="J24" s="6">
        <f t="shared" si="1"/>
        <v>0</v>
      </c>
      <c r="K24" s="2"/>
      <c r="L24" s="7">
        <f t="shared" si="2"/>
        <v>746.08057692307693</v>
      </c>
      <c r="M24" s="2"/>
      <c r="N24" s="6">
        <f t="shared" si="3"/>
        <v>0.87160022870519838</v>
      </c>
      <c r="O24" s="11"/>
      <c r="P24" s="7">
        <v>8642.36</v>
      </c>
      <c r="Q24" s="2"/>
      <c r="R24" s="6">
        <f t="shared" si="4"/>
        <v>0</v>
      </c>
      <c r="S24" s="2"/>
      <c r="T24" s="7">
        <v>5307.1344230769209</v>
      </c>
      <c r="U24" s="2"/>
      <c r="V24" s="6">
        <f t="shared" si="5"/>
        <v>0</v>
      </c>
      <c r="W24" s="2"/>
      <c r="X24" s="7">
        <f t="shared" si="6"/>
        <v>3335.2255769230796</v>
      </c>
      <c r="Y24" s="2"/>
      <c r="Z24" s="6">
        <f t="shared" si="7"/>
        <v>0.62844188804047918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>
        <v>2231.94</v>
      </c>
      <c r="E25" s="2"/>
      <c r="F25" s="6">
        <f t="shared" si="0"/>
        <v>0</v>
      </c>
      <c r="G25" s="2"/>
      <c r="H25" s="7">
        <v>500</v>
      </c>
      <c r="I25" s="2"/>
      <c r="J25" s="6">
        <f t="shared" si="1"/>
        <v>0</v>
      </c>
      <c r="K25" s="2"/>
      <c r="L25" s="7">
        <f t="shared" si="2"/>
        <v>1731.94</v>
      </c>
      <c r="M25" s="2"/>
      <c r="N25" s="6">
        <f t="shared" si="3"/>
        <v>3.4638800000000001</v>
      </c>
      <c r="O25" s="11"/>
      <c r="P25" s="7">
        <v>4203.88</v>
      </c>
      <c r="Q25" s="2"/>
      <c r="R25" s="6">
        <f t="shared" si="4"/>
        <v>0</v>
      </c>
      <c r="S25" s="2"/>
      <c r="T25" s="7">
        <v>3500</v>
      </c>
      <c r="U25" s="2"/>
      <c r="V25" s="6">
        <f t="shared" si="5"/>
        <v>0</v>
      </c>
      <c r="W25" s="2"/>
      <c r="X25" s="7">
        <f t="shared" si="6"/>
        <v>703.88000000000011</v>
      </c>
      <c r="Y25" s="2"/>
      <c r="Z25" s="6">
        <f t="shared" si="7"/>
        <v>0.20110857142857147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7">
        <v>557.91999999999996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557.91999999999996</v>
      </c>
      <c r="M26" s="2"/>
      <c r="N26" s="6">
        <f t="shared" si="3"/>
        <v>0</v>
      </c>
      <c r="O26" s="11"/>
      <c r="P26" s="7">
        <v>3325.96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3325.96</v>
      </c>
      <c r="Y26" s="2"/>
      <c r="Z26" s="6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7">
        <v>1324.72</v>
      </c>
      <c r="E27" s="2"/>
      <c r="F27" s="6">
        <f t="shared" si="0"/>
        <v>0</v>
      </c>
      <c r="G27" s="2"/>
      <c r="H27" s="7">
        <v>1049.7672692307699</v>
      </c>
      <c r="I27" s="2"/>
      <c r="J27" s="6">
        <f t="shared" si="1"/>
        <v>0</v>
      </c>
      <c r="K27" s="2"/>
      <c r="L27" s="7">
        <f t="shared" si="2"/>
        <v>274.95273076923013</v>
      </c>
      <c r="M27" s="2"/>
      <c r="N27" s="6">
        <f t="shared" si="3"/>
        <v>0.26191779723776792</v>
      </c>
      <c r="O27" s="11"/>
      <c r="P27" s="7">
        <v>12612.41</v>
      </c>
      <c r="Q27" s="2"/>
      <c r="R27" s="6">
        <f t="shared" si="4"/>
        <v>0</v>
      </c>
      <c r="S27" s="2"/>
      <c r="T27" s="7">
        <v>6508.5570692307701</v>
      </c>
      <c r="U27" s="2"/>
      <c r="V27" s="6">
        <f t="shared" si="5"/>
        <v>0</v>
      </c>
      <c r="W27" s="2"/>
      <c r="X27" s="7">
        <f t="shared" si="6"/>
        <v>6103.8529307692297</v>
      </c>
      <c r="Y27" s="2"/>
      <c r="Z27" s="6">
        <f t="shared" si="7"/>
        <v>0.93781968350945544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7">
        <v>1006.49</v>
      </c>
      <c r="E28" s="2"/>
      <c r="F28" s="6">
        <f t="shared" si="0"/>
        <v>0</v>
      </c>
      <c r="G28" s="2"/>
      <c r="H28" s="7">
        <v>629.86036153846203</v>
      </c>
      <c r="I28" s="2"/>
      <c r="J28" s="6">
        <f t="shared" si="1"/>
        <v>0</v>
      </c>
      <c r="K28" s="2"/>
      <c r="L28" s="7">
        <f t="shared" si="2"/>
        <v>376.62963846153798</v>
      </c>
      <c r="M28" s="2"/>
      <c r="N28" s="6">
        <f t="shared" si="3"/>
        <v>0.59795735921784832</v>
      </c>
      <c r="O28" s="11"/>
      <c r="P28" s="7">
        <v>8416.82</v>
      </c>
      <c r="Q28" s="2"/>
      <c r="R28" s="6">
        <f t="shared" si="4"/>
        <v>0</v>
      </c>
      <c r="S28" s="2"/>
      <c r="T28" s="7">
        <v>3905.1342415384615</v>
      </c>
      <c r="U28" s="2"/>
      <c r="V28" s="6">
        <f t="shared" si="5"/>
        <v>0</v>
      </c>
      <c r="W28" s="2"/>
      <c r="X28" s="7">
        <f t="shared" si="6"/>
        <v>4511.6857584615382</v>
      </c>
      <c r="Y28" s="2"/>
      <c r="Z28" s="6">
        <f t="shared" si="7"/>
        <v>1.1553215534747201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7">
        <v>450.65</v>
      </c>
      <c r="E29" s="2"/>
      <c r="F29" s="6">
        <f t="shared" si="0"/>
        <v>0</v>
      </c>
      <c r="G29" s="2"/>
      <c r="H29" s="7">
        <v>450</v>
      </c>
      <c r="I29" s="2"/>
      <c r="J29" s="6">
        <f t="shared" si="1"/>
        <v>0</v>
      </c>
      <c r="K29" s="2"/>
      <c r="L29" s="7">
        <f t="shared" si="2"/>
        <v>0.64999999999997726</v>
      </c>
      <c r="M29" s="2"/>
      <c r="N29" s="6">
        <f t="shared" si="3"/>
        <v>1.4444444444443939E-3</v>
      </c>
      <c r="O29" s="11"/>
      <c r="P29" s="7">
        <v>2731.4</v>
      </c>
      <c r="Q29" s="2"/>
      <c r="R29" s="6">
        <f t="shared" si="4"/>
        <v>0</v>
      </c>
      <c r="S29" s="2"/>
      <c r="T29" s="7">
        <v>3150</v>
      </c>
      <c r="U29" s="2"/>
      <c r="V29" s="6">
        <f t="shared" si="5"/>
        <v>0</v>
      </c>
      <c r="W29" s="2"/>
      <c r="X29" s="7">
        <f t="shared" si="6"/>
        <v>-418.59999999999991</v>
      </c>
      <c r="Y29" s="2"/>
      <c r="Z29" s="6">
        <f t="shared" si="7"/>
        <v>-0.13288888888888886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33019.479999999996</v>
      </c>
      <c r="E30" s="1"/>
      <c r="F30" s="5">
        <f t="shared" ref="F30:F40" si="8">IF(D$12=0,0,D30/D$12)</f>
        <v>0</v>
      </c>
      <c r="G30" s="1"/>
      <c r="H30" s="1">
        <f>SUM(OSRRefH22_1x_0)</f>
        <v>28636.97715384615</v>
      </c>
      <c r="I30" s="1"/>
      <c r="J30" s="5">
        <f t="shared" ref="J30:J40" si="9">IF(H$12=0,0,H30/H$12)</f>
        <v>0</v>
      </c>
      <c r="K30" s="1"/>
      <c r="L30" s="1">
        <f t="shared" ref="L30:L40" si="10">+D30-H30</f>
        <v>4382.5028461538459</v>
      </c>
      <c r="M30" s="1"/>
      <c r="N30" s="5">
        <f t="shared" ref="N30:N40" si="11">IF(H30=0,0,L30/H30)</f>
        <v>0.15303650321085807</v>
      </c>
      <c r="O30" s="13"/>
      <c r="P30" s="1">
        <f>SUM(OSRRefP22_1x_0)</f>
        <v>173522.49</v>
      </c>
      <c r="Q30" s="1"/>
      <c r="R30" s="5">
        <f t="shared" ref="R30:R40" si="12">IF(P$12=0,0,P30/P$12)</f>
        <v>0</v>
      </c>
      <c r="S30" s="1"/>
      <c r="T30" s="1">
        <f>SUM(OSRRefT22_1x_0)</f>
        <v>177549.25835384612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-4026.7683538461279</v>
      </c>
      <c r="Y30" s="1"/>
      <c r="Z30" s="5">
        <f t="shared" ref="Z30:Z40" si="15">IF(T30=0,0,X30/T30)</f>
        <v>-2.2679725002404658E-2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7">
        <v>9894.89</v>
      </c>
      <c r="E31" s="2"/>
      <c r="F31" s="6">
        <f t="shared" si="8"/>
        <v>0</v>
      </c>
      <c r="G31" s="2"/>
      <c r="H31" s="7">
        <v>9157.0961538461506</v>
      </c>
      <c r="I31" s="2"/>
      <c r="J31" s="6">
        <f t="shared" si="9"/>
        <v>0</v>
      </c>
      <c r="K31" s="2"/>
      <c r="L31" s="7">
        <f t="shared" si="10"/>
        <v>737.79384615384879</v>
      </c>
      <c r="M31" s="2"/>
      <c r="N31" s="6">
        <f t="shared" si="11"/>
        <v>8.0570721739550766E-2</v>
      </c>
      <c r="O31" s="11"/>
      <c r="P31" s="7">
        <v>62066.81</v>
      </c>
      <c r="Q31" s="2"/>
      <c r="R31" s="6">
        <f t="shared" si="12"/>
        <v>0</v>
      </c>
      <c r="S31" s="2"/>
      <c r="T31" s="7">
        <v>56773.996153846128</v>
      </c>
      <c r="U31" s="2"/>
      <c r="V31" s="6">
        <f t="shared" si="13"/>
        <v>0</v>
      </c>
      <c r="W31" s="2"/>
      <c r="X31" s="7">
        <f t="shared" si="14"/>
        <v>5292.8138461538692</v>
      </c>
      <c r="Y31" s="2"/>
      <c r="Z31" s="6">
        <f t="shared" si="15"/>
        <v>9.3226022558133947E-2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>
        <v>4788.3100000000004</v>
      </c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4788.3100000000004</v>
      </c>
      <c r="M32" s="2"/>
      <c r="N32" s="6">
        <f t="shared" si="11"/>
        <v>0</v>
      </c>
      <c r="O32" s="11"/>
      <c r="P32" s="7">
        <v>4788.3100000000004</v>
      </c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4788.3100000000004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7">
        <v>9940.33</v>
      </c>
      <c r="E34" s="2"/>
      <c r="F34" s="6">
        <f t="shared" si="8"/>
        <v>0</v>
      </c>
      <c r="G34" s="2"/>
      <c r="H34" s="7">
        <v>10489.880999999999</v>
      </c>
      <c r="I34" s="2"/>
      <c r="J34" s="6">
        <f t="shared" si="9"/>
        <v>0</v>
      </c>
      <c r="K34" s="2"/>
      <c r="L34" s="7">
        <f t="shared" si="10"/>
        <v>-549.55099999999948</v>
      </c>
      <c r="M34" s="2"/>
      <c r="N34" s="6">
        <f t="shared" si="11"/>
        <v>-5.2388678193775462E-2</v>
      </c>
      <c r="O34" s="11"/>
      <c r="P34" s="7">
        <v>67939.740000000005</v>
      </c>
      <c r="Q34" s="2"/>
      <c r="R34" s="6">
        <f t="shared" si="12"/>
        <v>0</v>
      </c>
      <c r="S34" s="2"/>
      <c r="T34" s="7">
        <v>65037.262199999997</v>
      </c>
      <c r="U34" s="2"/>
      <c r="V34" s="6">
        <f t="shared" si="13"/>
        <v>0</v>
      </c>
      <c r="W34" s="2"/>
      <c r="X34" s="7">
        <f t="shared" si="14"/>
        <v>2902.4778000000078</v>
      </c>
      <c r="Y34" s="2"/>
      <c r="Z34" s="6">
        <f t="shared" si="15"/>
        <v>4.4627921007413009E-2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7">
        <v>4905.95</v>
      </c>
      <c r="E35" s="2"/>
      <c r="F35" s="6">
        <f t="shared" si="8"/>
        <v>0</v>
      </c>
      <c r="G35" s="2"/>
      <c r="H35" s="7">
        <v>8990</v>
      </c>
      <c r="I35" s="2"/>
      <c r="J35" s="6">
        <f t="shared" si="9"/>
        <v>0</v>
      </c>
      <c r="K35" s="2"/>
      <c r="L35" s="7">
        <f t="shared" si="10"/>
        <v>-4084.05</v>
      </c>
      <c r="M35" s="2"/>
      <c r="N35" s="6">
        <f t="shared" si="11"/>
        <v>-0.45428809788654062</v>
      </c>
      <c r="O35" s="11"/>
      <c r="P35" s="7">
        <v>35237.630000000005</v>
      </c>
      <c r="Q35" s="2"/>
      <c r="R35" s="6">
        <f t="shared" si="12"/>
        <v>0</v>
      </c>
      <c r="S35" s="2"/>
      <c r="T35" s="7">
        <v>55738</v>
      </c>
      <c r="U35" s="2"/>
      <c r="V35" s="6">
        <f t="shared" si="13"/>
        <v>0</v>
      </c>
      <c r="W35" s="2"/>
      <c r="X35" s="7">
        <f t="shared" si="14"/>
        <v>-20500.369999999995</v>
      </c>
      <c r="Y35" s="2"/>
      <c r="Z35" s="6">
        <f t="shared" si="15"/>
        <v>-0.36779880871218906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7">
        <v>3490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3490</v>
      </c>
      <c r="M37" s="2"/>
      <c r="N37" s="6">
        <f t="shared" si="11"/>
        <v>0</v>
      </c>
      <c r="O37" s="11"/>
      <c r="P37" s="7">
        <v>3490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3490</v>
      </c>
      <c r="Y37" s="2"/>
      <c r="Z37" s="6">
        <f t="shared" si="15"/>
        <v>0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7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153.30000000000001</v>
      </c>
      <c r="E41" s="1"/>
      <c r="F41" s="5">
        <f t="shared" ref="F41:F57" si="16">IF(D$12=0,0,D41/D$12)</f>
        <v>0</v>
      </c>
      <c r="G41" s="1"/>
      <c r="H41" s="1">
        <f>SUM(OSRRefH22_2x_0)</f>
        <v>260</v>
      </c>
      <c r="I41" s="1"/>
      <c r="J41" s="5">
        <f t="shared" ref="J41:J57" si="17">IF(H$12=0,0,H41/H$12)</f>
        <v>0</v>
      </c>
      <c r="K41" s="1"/>
      <c r="L41" s="1">
        <f t="shared" ref="L41:L57" si="18">+D41-H41</f>
        <v>-106.69999999999999</v>
      </c>
      <c r="M41" s="1"/>
      <c r="N41" s="5">
        <f t="shared" ref="N41:N57" si="19">IF(H41=0,0,L41/H41)</f>
        <v>-0.41038461538461535</v>
      </c>
      <c r="O41" s="13"/>
      <c r="P41" s="1">
        <f>SUM(OSRRefP22_2x_0)</f>
        <v>1541.04</v>
      </c>
      <c r="Q41" s="1"/>
      <c r="R41" s="5">
        <f t="shared" ref="R41:R57" si="20">IF(P$12=0,0,P41/P$12)</f>
        <v>0</v>
      </c>
      <c r="S41" s="1"/>
      <c r="T41" s="1">
        <f>SUM(OSRRefT22_2x_0)</f>
        <v>1820</v>
      </c>
      <c r="U41" s="1"/>
      <c r="V41" s="5">
        <f t="shared" ref="V41:V57" si="21">IF(T$12=0,0,T41/T$12)</f>
        <v>0</v>
      </c>
      <c r="W41" s="1"/>
      <c r="X41" s="1">
        <f t="shared" ref="X41:X57" si="22">+P41-T41</f>
        <v>-278.96000000000004</v>
      </c>
      <c r="Y41" s="1"/>
      <c r="Z41" s="5">
        <f t="shared" ref="Z41:Z57" si="23">IF(T41=0,0,X41/T41)</f>
        <v>-0.1532747252747253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7">
        <v>153.30000000000001</v>
      </c>
      <c r="E42" s="2"/>
      <c r="F42" s="6">
        <f t="shared" si="16"/>
        <v>0</v>
      </c>
      <c r="G42" s="2"/>
      <c r="H42" s="7">
        <v>260</v>
      </c>
      <c r="I42" s="2"/>
      <c r="J42" s="6">
        <f t="shared" si="17"/>
        <v>0</v>
      </c>
      <c r="K42" s="2"/>
      <c r="L42" s="7">
        <f t="shared" si="18"/>
        <v>-106.69999999999999</v>
      </c>
      <c r="M42" s="2"/>
      <c r="N42" s="6">
        <f t="shared" si="19"/>
        <v>-0.41038461538461535</v>
      </c>
      <c r="O42" s="11"/>
      <c r="P42" s="7">
        <v>1541.04</v>
      </c>
      <c r="Q42" s="2"/>
      <c r="R42" s="6">
        <f t="shared" si="20"/>
        <v>0</v>
      </c>
      <c r="S42" s="2"/>
      <c r="T42" s="7">
        <v>1820</v>
      </c>
      <c r="U42" s="2"/>
      <c r="V42" s="6">
        <f t="shared" si="21"/>
        <v>0</v>
      </c>
      <c r="W42" s="2"/>
      <c r="X42" s="7">
        <f t="shared" si="22"/>
        <v>-278.96000000000004</v>
      </c>
      <c r="Y42" s="2"/>
      <c r="Z42" s="6">
        <f t="shared" si="23"/>
        <v>-0.1532747252747253</v>
      </c>
    </row>
    <row r="43" spans="1:26" s="27" customFormat="1" outlineLevel="1" collapsed="1" x14ac:dyDescent="0.25">
      <c r="A43" s="26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224.18</v>
      </c>
      <c r="E43" s="1"/>
      <c r="F43" s="5">
        <f t="shared" si="16"/>
        <v>0</v>
      </c>
      <c r="G43" s="1"/>
      <c r="H43" s="1">
        <f>SUM(OSRRefH22_3x_0)</f>
        <v>224</v>
      </c>
      <c r="I43" s="1"/>
      <c r="J43" s="5">
        <f t="shared" si="17"/>
        <v>0</v>
      </c>
      <c r="K43" s="1"/>
      <c r="L43" s="1">
        <f t="shared" si="18"/>
        <v>0.18000000000000682</v>
      </c>
      <c r="M43" s="1"/>
      <c r="N43" s="5">
        <f t="shared" si="19"/>
        <v>8.0357142857145902E-4</v>
      </c>
      <c r="O43" s="13"/>
      <c r="P43" s="1">
        <f>SUM(OSRRefP22_3x_0)</f>
        <v>1569.26</v>
      </c>
      <c r="Q43" s="1"/>
      <c r="R43" s="5">
        <f t="shared" si="20"/>
        <v>0</v>
      </c>
      <c r="S43" s="1"/>
      <c r="T43" s="1">
        <f>SUM(OSRRefT22_3x_0)</f>
        <v>1568</v>
      </c>
      <c r="U43" s="1"/>
      <c r="V43" s="5">
        <f t="shared" si="21"/>
        <v>0</v>
      </c>
      <c r="W43" s="1"/>
      <c r="X43" s="1">
        <f t="shared" si="22"/>
        <v>1.2599999999999909</v>
      </c>
      <c r="Y43" s="1"/>
      <c r="Z43" s="5">
        <f t="shared" si="23"/>
        <v>8.0357142857142281E-4</v>
      </c>
    </row>
    <row r="44" spans="1:26" s="24" customFormat="1" hidden="1" outlineLevel="2" x14ac:dyDescent="0.25">
      <c r="A44" s="25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224.18</v>
      </c>
      <c r="E44" s="2"/>
      <c r="F44" s="6">
        <f t="shared" si="16"/>
        <v>0</v>
      </c>
      <c r="G44" s="2"/>
      <c r="H44" s="7">
        <v>224</v>
      </c>
      <c r="I44" s="2"/>
      <c r="J44" s="6">
        <f t="shared" si="17"/>
        <v>0</v>
      </c>
      <c r="K44" s="2"/>
      <c r="L44" s="7">
        <f t="shared" si="18"/>
        <v>0.18000000000000682</v>
      </c>
      <c r="M44" s="2"/>
      <c r="N44" s="6">
        <f t="shared" si="19"/>
        <v>8.0357142857145902E-4</v>
      </c>
      <c r="O44" s="11"/>
      <c r="P44" s="7">
        <v>1569.26</v>
      </c>
      <c r="Q44" s="2"/>
      <c r="R44" s="6">
        <f t="shared" si="20"/>
        <v>0</v>
      </c>
      <c r="S44" s="2"/>
      <c r="T44" s="7">
        <v>1568</v>
      </c>
      <c r="U44" s="2"/>
      <c r="V44" s="6">
        <f t="shared" si="21"/>
        <v>0</v>
      </c>
      <c r="W44" s="2"/>
      <c r="X44" s="7">
        <f t="shared" si="22"/>
        <v>1.2599999999999909</v>
      </c>
      <c r="Y44" s="2"/>
      <c r="Z44" s="6">
        <f t="shared" si="23"/>
        <v>8.0357142857142281E-4</v>
      </c>
    </row>
    <row r="45" spans="1:26" s="27" customFormat="1" outlineLevel="1" collapsed="1" x14ac:dyDescent="0.25">
      <c r="A45" s="26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2180.1799999999998</v>
      </c>
      <c r="E45" s="1"/>
      <c r="F45" s="5">
        <f t="shared" si="16"/>
        <v>0</v>
      </c>
      <c r="G45" s="1"/>
      <c r="H45" s="1">
        <f>SUM(OSRRefH22_4x_0)</f>
        <v>4083</v>
      </c>
      <c r="I45" s="1"/>
      <c r="J45" s="5">
        <f t="shared" si="17"/>
        <v>0</v>
      </c>
      <c r="K45" s="1"/>
      <c r="L45" s="1">
        <f t="shared" si="18"/>
        <v>-1902.8200000000002</v>
      </c>
      <c r="M45" s="1"/>
      <c r="N45" s="5">
        <f t="shared" si="19"/>
        <v>-0.46603477834925305</v>
      </c>
      <c r="O45" s="13"/>
      <c r="P45" s="1">
        <f>SUM(OSRRefP22_4x_0)</f>
        <v>27018.04</v>
      </c>
      <c r="Q45" s="1"/>
      <c r="R45" s="5">
        <f t="shared" si="20"/>
        <v>0</v>
      </c>
      <c r="S45" s="1"/>
      <c r="T45" s="1">
        <f>SUM(OSRRefT22_4x_0)</f>
        <v>29581</v>
      </c>
      <c r="U45" s="1"/>
      <c r="V45" s="5">
        <f t="shared" si="21"/>
        <v>0</v>
      </c>
      <c r="W45" s="1"/>
      <c r="X45" s="1">
        <f t="shared" si="22"/>
        <v>-2562.9599999999991</v>
      </c>
      <c r="Y45" s="1"/>
      <c r="Z45" s="5">
        <f t="shared" si="23"/>
        <v>-8.6642101348838749E-2</v>
      </c>
    </row>
    <row r="46" spans="1:26" s="24" customFormat="1" hidden="1" outlineLevel="2" x14ac:dyDescent="0.25">
      <c r="A46" s="25"/>
      <c r="B46" s="11" t="str">
        <f>CONCATENATE("          ", "6277", " - ", "EMPLOYEE APPRECIATION")</f>
        <v xml:space="preserve">          6277 - EMPLOYEE APPRECIATION</v>
      </c>
      <c r="C46" s="11"/>
      <c r="D46" s="7">
        <v>2180.1799999999998</v>
      </c>
      <c r="E46" s="2"/>
      <c r="F46" s="6">
        <f t="shared" si="16"/>
        <v>0</v>
      </c>
      <c r="G46" s="2"/>
      <c r="H46" s="7">
        <v>4083</v>
      </c>
      <c r="I46" s="2"/>
      <c r="J46" s="6">
        <f t="shared" si="17"/>
        <v>0</v>
      </c>
      <c r="K46" s="2"/>
      <c r="L46" s="7">
        <f t="shared" si="18"/>
        <v>-1902.8200000000002</v>
      </c>
      <c r="M46" s="2"/>
      <c r="N46" s="6">
        <f t="shared" si="19"/>
        <v>-0.46603477834925305</v>
      </c>
      <c r="O46" s="11"/>
      <c r="P46" s="7">
        <v>27018.04</v>
      </c>
      <c r="Q46" s="2"/>
      <c r="R46" s="6">
        <f t="shared" si="20"/>
        <v>0</v>
      </c>
      <c r="S46" s="2"/>
      <c r="T46" s="7">
        <v>29581</v>
      </c>
      <c r="U46" s="2"/>
      <c r="V46" s="6">
        <f t="shared" si="21"/>
        <v>0</v>
      </c>
      <c r="W46" s="2"/>
      <c r="X46" s="7">
        <f t="shared" si="22"/>
        <v>-2562.9599999999991</v>
      </c>
      <c r="Y46" s="2"/>
      <c r="Z46" s="6">
        <f t="shared" si="23"/>
        <v>-8.6642101348838749E-2</v>
      </c>
    </row>
    <row r="47" spans="1:26" s="27" customFormat="1" outlineLevel="1" collapsed="1" x14ac:dyDescent="0.25">
      <c r="A47" s="26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SUM(OSRRefD22_5x_0)</f>
        <v>0</v>
      </c>
      <c r="E47" s="1"/>
      <c r="F47" s="5">
        <f t="shared" si="16"/>
        <v>0</v>
      </c>
      <c r="G47" s="1"/>
      <c r="H47" s="1">
        <f>SUM(OSRRefH22_5x_0)</f>
        <v>90</v>
      </c>
      <c r="I47" s="1"/>
      <c r="J47" s="5">
        <f t="shared" si="17"/>
        <v>0</v>
      </c>
      <c r="K47" s="1"/>
      <c r="L47" s="1">
        <f t="shared" si="18"/>
        <v>-90</v>
      </c>
      <c r="M47" s="1"/>
      <c r="N47" s="5">
        <f t="shared" si="19"/>
        <v>-1</v>
      </c>
      <c r="O47" s="13"/>
      <c r="P47" s="1">
        <f>SUM(OSRRefP22_5x_0)</f>
        <v>273.77999999999997</v>
      </c>
      <c r="Q47" s="1"/>
      <c r="R47" s="5">
        <f t="shared" si="20"/>
        <v>0</v>
      </c>
      <c r="S47" s="1"/>
      <c r="T47" s="1">
        <f>SUM(OSRRefT22_5x_0)</f>
        <v>540</v>
      </c>
      <c r="U47" s="1"/>
      <c r="V47" s="5">
        <f t="shared" si="21"/>
        <v>0</v>
      </c>
      <c r="W47" s="1"/>
      <c r="X47" s="1">
        <f t="shared" si="22"/>
        <v>-266.22000000000003</v>
      </c>
      <c r="Y47" s="1"/>
      <c r="Z47" s="5">
        <f t="shared" si="23"/>
        <v>-0.49300000000000005</v>
      </c>
    </row>
    <row r="48" spans="1:26" s="24" customFormat="1" hidden="1" outlineLevel="2" x14ac:dyDescent="0.25">
      <c r="A48" s="25"/>
      <c r="B48" s="11" t="str">
        <f>CONCATENATE("          ", "6351", " - ", "EQUIPMENT RENTAL")</f>
        <v xml:space="preserve">          6351 - EQUIPMENT RENTAL</v>
      </c>
      <c r="C48" s="11"/>
      <c r="D48" s="7"/>
      <c r="E48" s="2"/>
      <c r="F48" s="6">
        <f t="shared" si="16"/>
        <v>0</v>
      </c>
      <c r="G48" s="2"/>
      <c r="H48" s="7">
        <v>90</v>
      </c>
      <c r="I48" s="2"/>
      <c r="J48" s="6">
        <f t="shared" si="17"/>
        <v>0</v>
      </c>
      <c r="K48" s="2"/>
      <c r="L48" s="7">
        <f t="shared" si="18"/>
        <v>-90</v>
      </c>
      <c r="M48" s="2"/>
      <c r="N48" s="6">
        <f t="shared" si="19"/>
        <v>-1</v>
      </c>
      <c r="O48" s="11"/>
      <c r="P48" s="7">
        <v>273.77999999999997</v>
      </c>
      <c r="Q48" s="2"/>
      <c r="R48" s="6">
        <f t="shared" si="20"/>
        <v>0</v>
      </c>
      <c r="S48" s="2"/>
      <c r="T48" s="7">
        <v>540</v>
      </c>
      <c r="U48" s="2"/>
      <c r="V48" s="6">
        <f t="shared" si="21"/>
        <v>0</v>
      </c>
      <c r="W48" s="2"/>
      <c r="X48" s="7">
        <f t="shared" si="22"/>
        <v>-266.22000000000003</v>
      </c>
      <c r="Y48" s="2"/>
      <c r="Z48" s="6">
        <f t="shared" si="23"/>
        <v>-0.49300000000000005</v>
      </c>
    </row>
    <row r="49" spans="1:26" s="27" customFormat="1" outlineLevel="1" collapsed="1" x14ac:dyDescent="0.25">
      <c r="A49" s="26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SUM(OSRRefD22_6x_0)</f>
        <v>573.29999999999995</v>
      </c>
      <c r="E49" s="1"/>
      <c r="F49" s="5">
        <f t="shared" si="16"/>
        <v>0</v>
      </c>
      <c r="G49" s="1"/>
      <c r="H49" s="1">
        <f>SUM(OSRRefH22_6x_0)</f>
        <v>95</v>
      </c>
      <c r="I49" s="1"/>
      <c r="J49" s="5">
        <f t="shared" si="17"/>
        <v>0</v>
      </c>
      <c r="K49" s="1"/>
      <c r="L49" s="1">
        <f t="shared" si="18"/>
        <v>478.29999999999995</v>
      </c>
      <c r="M49" s="1"/>
      <c r="N49" s="5">
        <f t="shared" si="19"/>
        <v>5.0347368421052625</v>
      </c>
      <c r="O49" s="13"/>
      <c r="P49" s="1">
        <f>SUM(OSRRefP22_6x_0)</f>
        <v>856.8</v>
      </c>
      <c r="Q49" s="1"/>
      <c r="R49" s="5">
        <f t="shared" si="20"/>
        <v>0</v>
      </c>
      <c r="S49" s="1"/>
      <c r="T49" s="1">
        <f>SUM(OSRRefT22_6x_0)</f>
        <v>570</v>
      </c>
      <c r="U49" s="1"/>
      <c r="V49" s="5">
        <f t="shared" si="21"/>
        <v>0</v>
      </c>
      <c r="W49" s="1"/>
      <c r="X49" s="1">
        <f t="shared" si="22"/>
        <v>286.79999999999995</v>
      </c>
      <c r="Y49" s="1"/>
      <c r="Z49" s="5">
        <f t="shared" si="23"/>
        <v>0.50315789473684203</v>
      </c>
    </row>
    <row r="50" spans="1:26" s="24" customFormat="1" hidden="1" outlineLevel="2" x14ac:dyDescent="0.25">
      <c r="A50" s="25"/>
      <c r="B50" s="11" t="str">
        <f>CONCATENATE("          ", "6307", " - ", "POSTAGE")</f>
        <v xml:space="preserve">          6307 - POSTAGE</v>
      </c>
      <c r="C50" s="11"/>
      <c r="D50" s="7">
        <v>573.29999999999995</v>
      </c>
      <c r="E50" s="2"/>
      <c r="F50" s="6">
        <f t="shared" si="16"/>
        <v>0</v>
      </c>
      <c r="G50" s="2"/>
      <c r="H50" s="7">
        <v>95</v>
      </c>
      <c r="I50" s="2"/>
      <c r="J50" s="6">
        <f t="shared" si="17"/>
        <v>0</v>
      </c>
      <c r="K50" s="2"/>
      <c r="L50" s="7">
        <f t="shared" si="18"/>
        <v>478.29999999999995</v>
      </c>
      <c r="M50" s="2"/>
      <c r="N50" s="6">
        <f t="shared" si="19"/>
        <v>5.0347368421052625</v>
      </c>
      <c r="O50" s="11"/>
      <c r="P50" s="7">
        <v>856.8</v>
      </c>
      <c r="Q50" s="2"/>
      <c r="R50" s="6">
        <f t="shared" si="20"/>
        <v>0</v>
      </c>
      <c r="S50" s="2"/>
      <c r="T50" s="7">
        <v>570</v>
      </c>
      <c r="U50" s="2"/>
      <c r="V50" s="6">
        <f t="shared" si="21"/>
        <v>0</v>
      </c>
      <c r="W50" s="2"/>
      <c r="X50" s="7">
        <f t="shared" si="22"/>
        <v>286.79999999999995</v>
      </c>
      <c r="Y50" s="2"/>
      <c r="Z50" s="6">
        <f t="shared" si="23"/>
        <v>0.50315789473684203</v>
      </c>
    </row>
    <row r="51" spans="1:26" s="27" customFormat="1" outlineLevel="1" collapsed="1" x14ac:dyDescent="0.25">
      <c r="A51" s="26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SUM(OSRRefD22_7x_0)</f>
        <v>0</v>
      </c>
      <c r="E51" s="1"/>
      <c r="F51" s="5">
        <f t="shared" si="16"/>
        <v>0</v>
      </c>
      <c r="G51" s="1"/>
      <c r="H51" s="1">
        <f>SUM(OSRRefH22_7x_0)</f>
        <v>390</v>
      </c>
      <c r="I51" s="1"/>
      <c r="J51" s="5">
        <f t="shared" si="17"/>
        <v>0</v>
      </c>
      <c r="K51" s="1"/>
      <c r="L51" s="1">
        <f t="shared" si="18"/>
        <v>-390</v>
      </c>
      <c r="M51" s="1"/>
      <c r="N51" s="5">
        <f t="shared" si="19"/>
        <v>-1</v>
      </c>
      <c r="O51" s="13"/>
      <c r="P51" s="1">
        <f>SUM(OSRRefP22_7x_0)</f>
        <v>700</v>
      </c>
      <c r="Q51" s="1"/>
      <c r="R51" s="5">
        <f t="shared" si="20"/>
        <v>0</v>
      </c>
      <c r="S51" s="1"/>
      <c r="T51" s="1">
        <f>SUM(OSRRefT22_7x_0)</f>
        <v>2340</v>
      </c>
      <c r="U51" s="1"/>
      <c r="V51" s="5">
        <f t="shared" si="21"/>
        <v>0</v>
      </c>
      <c r="W51" s="1"/>
      <c r="X51" s="1">
        <f t="shared" si="22"/>
        <v>-1640</v>
      </c>
      <c r="Y51" s="1"/>
      <c r="Z51" s="5">
        <f t="shared" si="23"/>
        <v>-0.70085470085470081</v>
      </c>
    </row>
    <row r="52" spans="1:26" s="24" customFormat="1" hidden="1" outlineLevel="2" x14ac:dyDescent="0.25">
      <c r="A52" s="25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16"/>
        <v>0</v>
      </c>
      <c r="G52" s="2"/>
      <c r="H52" s="7">
        <v>390</v>
      </c>
      <c r="I52" s="2"/>
      <c r="J52" s="6">
        <f t="shared" si="17"/>
        <v>0</v>
      </c>
      <c r="K52" s="2"/>
      <c r="L52" s="7">
        <f t="shared" si="18"/>
        <v>-390</v>
      </c>
      <c r="M52" s="2"/>
      <c r="N52" s="6">
        <f t="shared" si="19"/>
        <v>-1</v>
      </c>
      <c r="O52" s="11"/>
      <c r="P52" s="7">
        <v>700</v>
      </c>
      <c r="Q52" s="2"/>
      <c r="R52" s="6">
        <f t="shared" si="20"/>
        <v>0</v>
      </c>
      <c r="S52" s="2"/>
      <c r="T52" s="7">
        <v>2340</v>
      </c>
      <c r="U52" s="2"/>
      <c r="V52" s="6">
        <f t="shared" si="21"/>
        <v>0</v>
      </c>
      <c r="W52" s="2"/>
      <c r="X52" s="7">
        <f t="shared" si="22"/>
        <v>-1640</v>
      </c>
      <c r="Y52" s="2"/>
      <c r="Z52" s="6">
        <f t="shared" si="23"/>
        <v>-0.70085470085470081</v>
      </c>
    </row>
    <row r="53" spans="1:26" s="27" customFormat="1" outlineLevel="1" collapsed="1" x14ac:dyDescent="0.25">
      <c r="A53" s="26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SUM(OSRRefD22_8x_0)</f>
        <v>65.47</v>
      </c>
      <c r="E53" s="1"/>
      <c r="F53" s="5">
        <f t="shared" si="16"/>
        <v>0</v>
      </c>
      <c r="G53" s="1"/>
      <c r="H53" s="1">
        <f>SUM(OSRRefH22_8x_0)</f>
        <v>65</v>
      </c>
      <c r="I53" s="1"/>
      <c r="J53" s="5">
        <f t="shared" si="17"/>
        <v>0</v>
      </c>
      <c r="K53" s="1"/>
      <c r="L53" s="1">
        <f t="shared" si="18"/>
        <v>0.46999999999999886</v>
      </c>
      <c r="M53" s="1"/>
      <c r="N53" s="5">
        <f t="shared" si="19"/>
        <v>7.2307692307692134E-3</v>
      </c>
      <c r="O53" s="13"/>
      <c r="P53" s="1">
        <f>SUM(OSRRefP22_8x_0)</f>
        <v>458.29</v>
      </c>
      <c r="Q53" s="1"/>
      <c r="R53" s="5">
        <f t="shared" si="20"/>
        <v>0</v>
      </c>
      <c r="S53" s="1"/>
      <c r="T53" s="1">
        <f>SUM(OSRRefT22_8x_0)</f>
        <v>455</v>
      </c>
      <c r="U53" s="1"/>
      <c r="V53" s="5">
        <f t="shared" si="21"/>
        <v>0</v>
      </c>
      <c r="W53" s="1"/>
      <c r="X53" s="1">
        <f t="shared" si="22"/>
        <v>3.2900000000000205</v>
      </c>
      <c r="Y53" s="1"/>
      <c r="Z53" s="5">
        <f t="shared" si="23"/>
        <v>7.2307692307692758E-3</v>
      </c>
    </row>
    <row r="54" spans="1:26" s="24" customFormat="1" hidden="1" outlineLevel="2" x14ac:dyDescent="0.25">
      <c r="A54" s="25"/>
      <c r="B54" s="11" t="str">
        <f>CONCATENATE("          ", "6314", " - ", "LIABILITY INSURANCE")</f>
        <v xml:space="preserve">          6314 - LIABILITY INSURANCE</v>
      </c>
      <c r="C54" s="11"/>
      <c r="D54" s="7">
        <v>65.47</v>
      </c>
      <c r="E54" s="2"/>
      <c r="F54" s="6">
        <f t="shared" si="16"/>
        <v>0</v>
      </c>
      <c r="G54" s="2"/>
      <c r="H54" s="7">
        <v>65</v>
      </c>
      <c r="I54" s="2"/>
      <c r="J54" s="6">
        <f t="shared" si="17"/>
        <v>0</v>
      </c>
      <c r="K54" s="2"/>
      <c r="L54" s="7">
        <f t="shared" si="18"/>
        <v>0.46999999999999886</v>
      </c>
      <c r="M54" s="2"/>
      <c r="N54" s="6">
        <f t="shared" si="19"/>
        <v>7.2307692307692134E-3</v>
      </c>
      <c r="O54" s="11"/>
      <c r="P54" s="7">
        <v>458.29</v>
      </c>
      <c r="Q54" s="2"/>
      <c r="R54" s="6">
        <f t="shared" si="20"/>
        <v>0</v>
      </c>
      <c r="S54" s="2"/>
      <c r="T54" s="7">
        <v>455</v>
      </c>
      <c r="U54" s="2"/>
      <c r="V54" s="6">
        <f t="shared" si="21"/>
        <v>0</v>
      </c>
      <c r="W54" s="2"/>
      <c r="X54" s="7">
        <f t="shared" si="22"/>
        <v>3.2900000000000205</v>
      </c>
      <c r="Y54" s="2"/>
      <c r="Z54" s="6">
        <f t="shared" si="23"/>
        <v>7.2307692307692758E-3</v>
      </c>
    </row>
    <row r="55" spans="1:26" s="27" customFormat="1" outlineLevel="1" collapsed="1" x14ac:dyDescent="0.25">
      <c r="A55" s="26"/>
      <c r="B55" s="13" t="str">
        <f>CONCATENATE("     ","Professional Services                             ")</f>
        <v xml:space="preserve">     Professional Services                             </v>
      </c>
      <c r="C55" s="13"/>
      <c r="D55" s="1">
        <f>SUM(OSRRefD22_9x_0)</f>
        <v>521.95000000000005</v>
      </c>
      <c r="E55" s="1"/>
      <c r="F55" s="5">
        <f t="shared" si="16"/>
        <v>0</v>
      </c>
      <c r="G55" s="1"/>
      <c r="H55" s="1">
        <f>SUM(OSRRefH22_9x_0)</f>
        <v>833</v>
      </c>
      <c r="I55" s="1"/>
      <c r="J55" s="5">
        <f t="shared" si="17"/>
        <v>0</v>
      </c>
      <c r="K55" s="1"/>
      <c r="L55" s="1">
        <f t="shared" si="18"/>
        <v>-311.04999999999995</v>
      </c>
      <c r="M55" s="1"/>
      <c r="N55" s="5">
        <f t="shared" si="19"/>
        <v>-0.37340936374549816</v>
      </c>
      <c r="O55" s="13"/>
      <c r="P55" s="1">
        <f>SUM(OSRRefP22_9x_0)</f>
        <v>55355.990000000005</v>
      </c>
      <c r="Q55" s="1"/>
      <c r="R55" s="5">
        <f t="shared" si="20"/>
        <v>0</v>
      </c>
      <c r="S55" s="1"/>
      <c r="T55" s="1">
        <f>SUM(OSRRefT22_9x_0)</f>
        <v>37831</v>
      </c>
      <c r="U55" s="1"/>
      <c r="V55" s="5">
        <f t="shared" si="21"/>
        <v>0</v>
      </c>
      <c r="W55" s="1"/>
      <c r="X55" s="1">
        <f t="shared" si="22"/>
        <v>17524.990000000005</v>
      </c>
      <c r="Y55" s="1"/>
      <c r="Z55" s="5">
        <f t="shared" si="23"/>
        <v>0.46324416483836023</v>
      </c>
    </row>
    <row r="56" spans="1:26" s="24" customFormat="1" hidden="1" outlineLevel="2" x14ac:dyDescent="0.25">
      <c r="A56" s="25"/>
      <c r="B56" s="11" t="str">
        <f>CONCATENATE("          ", "6334", " - ", "LEGAL COUNCIL EXPENSE")</f>
        <v xml:space="preserve">          6334 - LEGAL COUNCIL EXPENSE</v>
      </c>
      <c r="C56" s="11"/>
      <c r="D56" s="7"/>
      <c r="E56" s="2"/>
      <c r="F56" s="6">
        <f t="shared" si="16"/>
        <v>0</v>
      </c>
      <c r="G56" s="2"/>
      <c r="H56" s="7">
        <v>833</v>
      </c>
      <c r="I56" s="2"/>
      <c r="J56" s="6">
        <f t="shared" si="17"/>
        <v>0</v>
      </c>
      <c r="K56" s="2"/>
      <c r="L56" s="7">
        <f t="shared" si="18"/>
        <v>-833</v>
      </c>
      <c r="M56" s="2"/>
      <c r="N56" s="6">
        <f t="shared" si="19"/>
        <v>-1</v>
      </c>
      <c r="O56" s="11"/>
      <c r="P56" s="7">
        <v>38010</v>
      </c>
      <c r="Q56" s="2"/>
      <c r="R56" s="6">
        <f t="shared" si="20"/>
        <v>0</v>
      </c>
      <c r="S56" s="2"/>
      <c r="T56" s="7">
        <v>5831</v>
      </c>
      <c r="U56" s="2"/>
      <c r="V56" s="6">
        <f t="shared" si="21"/>
        <v>0</v>
      </c>
      <c r="W56" s="2"/>
      <c r="X56" s="7">
        <f t="shared" si="22"/>
        <v>32179</v>
      </c>
      <c r="Y56" s="2"/>
      <c r="Z56" s="6">
        <f t="shared" si="23"/>
        <v>5.5186074429771912</v>
      </c>
    </row>
    <row r="57" spans="1:26" s="24" customFormat="1" hidden="1" outlineLevel="2" x14ac:dyDescent="0.25">
      <c r="A57" s="25"/>
      <c r="B57" s="11" t="str">
        <f>CONCATENATE("          ", "6336", " - ", "PROFESSIONAL SERVICES")</f>
        <v xml:space="preserve">          6336 - PROFESSIONAL SERVICES</v>
      </c>
      <c r="C57" s="11"/>
      <c r="D57" s="7">
        <v>521.95000000000005</v>
      </c>
      <c r="E57" s="2"/>
      <c r="F57" s="6">
        <f t="shared" si="16"/>
        <v>0</v>
      </c>
      <c r="G57" s="2"/>
      <c r="H57" s="7"/>
      <c r="I57" s="2"/>
      <c r="J57" s="6">
        <f t="shared" si="17"/>
        <v>0</v>
      </c>
      <c r="K57" s="2"/>
      <c r="L57" s="7">
        <f t="shared" si="18"/>
        <v>521.95000000000005</v>
      </c>
      <c r="M57" s="2"/>
      <c r="N57" s="6">
        <f t="shared" si="19"/>
        <v>0</v>
      </c>
      <c r="O57" s="11"/>
      <c r="P57" s="7">
        <v>17345.990000000002</v>
      </c>
      <c r="Q57" s="2"/>
      <c r="R57" s="6">
        <f t="shared" si="20"/>
        <v>0</v>
      </c>
      <c r="S57" s="2"/>
      <c r="T57" s="7">
        <v>32000</v>
      </c>
      <c r="U57" s="2"/>
      <c r="V57" s="6">
        <f t="shared" si="21"/>
        <v>0</v>
      </c>
      <c r="W57" s="2"/>
      <c r="X57" s="7">
        <f t="shared" si="22"/>
        <v>-14654.009999999998</v>
      </c>
      <c r="Y57" s="2"/>
      <c r="Z57" s="6">
        <f t="shared" si="23"/>
        <v>-0.45793781249999993</v>
      </c>
    </row>
    <row r="58" spans="1:26" s="27" customFormat="1" outlineLevel="1" collapsed="1" x14ac:dyDescent="0.25">
      <c r="A58" s="26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SUM(OSRRefD22_10x_0)</f>
        <v>13167.4</v>
      </c>
      <c r="E58" s="1"/>
      <c r="F58" s="5">
        <f t="shared" ref="F58:F60" si="24">IF(D$12=0,0,D58/D$12)</f>
        <v>0</v>
      </c>
      <c r="G58" s="1"/>
      <c r="H58" s="1">
        <f>SUM(OSRRefH22_10x_0)</f>
        <v>12920</v>
      </c>
      <c r="I58" s="1"/>
      <c r="J58" s="5">
        <f t="shared" ref="J58:J60" si="25">IF(H$12=0,0,H58/H$12)</f>
        <v>0</v>
      </c>
      <c r="K58" s="1"/>
      <c r="L58" s="1">
        <f t="shared" ref="L58:L60" si="26">+D58-H58</f>
        <v>247.39999999999964</v>
      </c>
      <c r="M58" s="1"/>
      <c r="N58" s="5">
        <f t="shared" ref="N58:N60" si="27">IF(H58=0,0,L58/H58)</f>
        <v>1.9148606811145483E-2</v>
      </c>
      <c r="O58" s="13"/>
      <c r="P58" s="1">
        <f>SUM(OSRRefP22_10x_0)</f>
        <v>85936.93</v>
      </c>
      <c r="Q58" s="1"/>
      <c r="R58" s="5">
        <f t="shared" ref="R58:R60" si="28">IF(P$12=0,0,P58/P$12)</f>
        <v>0</v>
      </c>
      <c r="S58" s="1"/>
      <c r="T58" s="1">
        <f>SUM(OSRRefT22_10x_0)</f>
        <v>77520</v>
      </c>
      <c r="U58" s="1"/>
      <c r="V58" s="5">
        <f t="shared" ref="V58:V60" si="29">IF(T$12=0,0,T58/T$12)</f>
        <v>0</v>
      </c>
      <c r="W58" s="1"/>
      <c r="X58" s="1">
        <f t="shared" ref="X58:X60" si="30">+P58-T58</f>
        <v>8416.929999999993</v>
      </c>
      <c r="Y58" s="1"/>
      <c r="Z58" s="5">
        <f t="shared" ref="Z58:Z60" si="31">IF(T58=0,0,X58/T58)</f>
        <v>0.10857752837977287</v>
      </c>
    </row>
    <row r="59" spans="1:26" s="24" customFormat="1" hidden="1" outlineLevel="2" x14ac:dyDescent="0.25">
      <c r="A59" s="25"/>
      <c r="B59" s="11" t="str">
        <f>CONCATENATE("          ", "6371", " - ", "COMPUTER SOFTWARE MAINTENANCE")</f>
        <v xml:space="preserve">          6371 - COMPUTER SOFTWARE MAINTENANCE</v>
      </c>
      <c r="C59" s="11"/>
      <c r="D59" s="7">
        <v>13167.4</v>
      </c>
      <c r="E59" s="2"/>
      <c r="F59" s="6">
        <f t="shared" si="24"/>
        <v>0</v>
      </c>
      <c r="G59" s="2"/>
      <c r="H59" s="7">
        <v>12920</v>
      </c>
      <c r="I59" s="2"/>
      <c r="J59" s="6">
        <f t="shared" si="25"/>
        <v>0</v>
      </c>
      <c r="K59" s="2"/>
      <c r="L59" s="7">
        <f t="shared" si="26"/>
        <v>247.39999999999964</v>
      </c>
      <c r="M59" s="2"/>
      <c r="N59" s="6">
        <f t="shared" si="27"/>
        <v>1.9148606811145483E-2</v>
      </c>
      <c r="O59" s="11"/>
      <c r="P59" s="7">
        <v>85654.01</v>
      </c>
      <c r="Q59" s="2"/>
      <c r="R59" s="6">
        <f t="shared" si="28"/>
        <v>0</v>
      </c>
      <c r="S59" s="2"/>
      <c r="T59" s="7">
        <v>77520</v>
      </c>
      <c r="U59" s="2"/>
      <c r="V59" s="6">
        <f t="shared" si="29"/>
        <v>0</v>
      </c>
      <c r="W59" s="2"/>
      <c r="X59" s="7">
        <f t="shared" si="30"/>
        <v>8134.0099999999948</v>
      </c>
      <c r="Y59" s="2"/>
      <c r="Z59" s="6">
        <f t="shared" si="31"/>
        <v>0.10492788957688332</v>
      </c>
    </row>
    <row r="60" spans="1:26" s="24" customFormat="1" hidden="1" outlineLevel="2" x14ac:dyDescent="0.25">
      <c r="A60" s="25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24"/>
        <v>0</v>
      </c>
      <c r="G60" s="2"/>
      <c r="H60" s="7"/>
      <c r="I60" s="2"/>
      <c r="J60" s="6">
        <f t="shared" si="25"/>
        <v>0</v>
      </c>
      <c r="K60" s="2"/>
      <c r="L60" s="7">
        <f t="shared" si="26"/>
        <v>0</v>
      </c>
      <c r="M60" s="2"/>
      <c r="N60" s="6">
        <f t="shared" si="27"/>
        <v>0</v>
      </c>
      <c r="O60" s="11"/>
      <c r="P60" s="7">
        <v>282.92</v>
      </c>
      <c r="Q60" s="2"/>
      <c r="R60" s="6">
        <f t="shared" si="28"/>
        <v>0</v>
      </c>
      <c r="S60" s="2"/>
      <c r="T60" s="7"/>
      <c r="U60" s="2"/>
      <c r="V60" s="6">
        <f t="shared" si="29"/>
        <v>0</v>
      </c>
      <c r="W60" s="2"/>
      <c r="X60" s="7">
        <f t="shared" si="30"/>
        <v>282.92</v>
      </c>
      <c r="Y60" s="2"/>
      <c r="Z60" s="6">
        <f t="shared" si="31"/>
        <v>0</v>
      </c>
    </row>
    <row r="61" spans="1:26" s="27" customFormat="1" outlineLevel="1" collapsed="1" x14ac:dyDescent="0.25">
      <c r="A61" s="26"/>
      <c r="B61" s="13" t="str">
        <f>CONCATENATE("     ","Subscriptions &amp; Dues                              ")</f>
        <v xml:space="preserve">     Subscriptions &amp; Dues                              </v>
      </c>
      <c r="C61" s="13"/>
      <c r="D61" s="1">
        <f>SUM(OSRRefD22_11x_0)</f>
        <v>0</v>
      </c>
      <c r="E61" s="1"/>
      <c r="F61" s="5">
        <f t="shared" ref="F61:F66" si="32">IF(D$12=0,0,D61/D$12)</f>
        <v>0</v>
      </c>
      <c r="G61" s="1"/>
      <c r="H61" s="1">
        <f>SUM(OSRRefH22_11x_0)</f>
        <v>0</v>
      </c>
      <c r="I61" s="1"/>
      <c r="J61" s="5">
        <f t="shared" ref="J61:J66" si="33">IF(H$12=0,0,H61/H$12)</f>
        <v>0</v>
      </c>
      <c r="K61" s="1"/>
      <c r="L61" s="1">
        <f t="shared" ref="L61:L66" si="34">+D61-H61</f>
        <v>0</v>
      </c>
      <c r="M61" s="1"/>
      <c r="N61" s="5">
        <f t="shared" ref="N61:N66" si="35">IF(H61=0,0,L61/H61)</f>
        <v>0</v>
      </c>
      <c r="O61" s="13"/>
      <c r="P61" s="1">
        <f>SUM(OSRRefP22_11x_0)</f>
        <v>587</v>
      </c>
      <c r="Q61" s="1"/>
      <c r="R61" s="5">
        <f t="shared" ref="R61:R66" si="36">IF(P$12=0,0,P61/P$12)</f>
        <v>0</v>
      </c>
      <c r="S61" s="1"/>
      <c r="T61" s="1">
        <f>SUM(OSRRefT22_11x_0)</f>
        <v>627</v>
      </c>
      <c r="U61" s="1"/>
      <c r="V61" s="5">
        <f t="shared" ref="V61:V66" si="37">IF(T$12=0,0,T61/T$12)</f>
        <v>0</v>
      </c>
      <c r="W61" s="1"/>
      <c r="X61" s="1">
        <f t="shared" ref="X61:X66" si="38">+P61-T61</f>
        <v>-40</v>
      </c>
      <c r="Y61" s="1"/>
      <c r="Z61" s="5">
        <f t="shared" ref="Z61:Z66" si="39">IF(T61=0,0,X61/T61)</f>
        <v>-6.3795853269537475E-2</v>
      </c>
    </row>
    <row r="62" spans="1:26" s="24" customFormat="1" hidden="1" outlineLevel="2" x14ac:dyDescent="0.25">
      <c r="A62" s="25"/>
      <c r="B62" s="11" t="str">
        <f>CONCATENATE("          ", "6258", " - ", "MEMBERSHIP DUES")</f>
        <v xml:space="preserve">          6258 - MEMBERSHIP DUES</v>
      </c>
      <c r="C62" s="11"/>
      <c r="D62" s="7"/>
      <c r="E62" s="2"/>
      <c r="F62" s="6">
        <f t="shared" si="32"/>
        <v>0</v>
      </c>
      <c r="G62" s="2"/>
      <c r="H62" s="7"/>
      <c r="I62" s="2"/>
      <c r="J62" s="6">
        <f t="shared" si="33"/>
        <v>0</v>
      </c>
      <c r="K62" s="2"/>
      <c r="L62" s="7">
        <f t="shared" si="34"/>
        <v>0</v>
      </c>
      <c r="M62" s="2"/>
      <c r="N62" s="6">
        <f t="shared" si="35"/>
        <v>0</v>
      </c>
      <c r="O62" s="11"/>
      <c r="P62" s="7">
        <v>587</v>
      </c>
      <c r="Q62" s="2"/>
      <c r="R62" s="6">
        <f t="shared" si="36"/>
        <v>0</v>
      </c>
      <c r="S62" s="2"/>
      <c r="T62" s="7">
        <v>627</v>
      </c>
      <c r="U62" s="2"/>
      <c r="V62" s="6">
        <f t="shared" si="37"/>
        <v>0</v>
      </c>
      <c r="W62" s="2"/>
      <c r="X62" s="7">
        <f t="shared" si="38"/>
        <v>-40</v>
      </c>
      <c r="Y62" s="2"/>
      <c r="Z62" s="6">
        <f t="shared" si="39"/>
        <v>-6.3795853269537475E-2</v>
      </c>
    </row>
    <row r="63" spans="1:26" s="27" customFormat="1" outlineLevel="1" collapsed="1" x14ac:dyDescent="0.25">
      <c r="A63" s="26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SUM(OSRRefD22_12x_0)</f>
        <v>2563.0300000000002</v>
      </c>
      <c r="E63" s="1"/>
      <c r="F63" s="5">
        <f t="shared" si="32"/>
        <v>0</v>
      </c>
      <c r="G63" s="1"/>
      <c r="H63" s="1">
        <f>SUM(OSRRefH22_12x_0)</f>
        <v>567</v>
      </c>
      <c r="I63" s="1"/>
      <c r="J63" s="5">
        <f t="shared" si="33"/>
        <v>0</v>
      </c>
      <c r="K63" s="1"/>
      <c r="L63" s="1">
        <f t="shared" si="34"/>
        <v>1996.0300000000002</v>
      </c>
      <c r="M63" s="1"/>
      <c r="N63" s="5">
        <f t="shared" si="35"/>
        <v>3.5203350970017642</v>
      </c>
      <c r="O63" s="13"/>
      <c r="P63" s="1">
        <f>SUM(OSRRefP22_12x_0)</f>
        <v>14953.490000000002</v>
      </c>
      <c r="Q63" s="1"/>
      <c r="R63" s="5">
        <f t="shared" si="36"/>
        <v>0</v>
      </c>
      <c r="S63" s="1"/>
      <c r="T63" s="1">
        <f>SUM(OSRRefT22_12x_0)</f>
        <v>13319</v>
      </c>
      <c r="U63" s="1"/>
      <c r="V63" s="5">
        <f t="shared" si="37"/>
        <v>0</v>
      </c>
      <c r="W63" s="1"/>
      <c r="X63" s="1">
        <f t="shared" si="38"/>
        <v>1634.4900000000016</v>
      </c>
      <c r="Y63" s="1"/>
      <c r="Z63" s="5">
        <f t="shared" si="39"/>
        <v>0.12271867257301611</v>
      </c>
    </row>
    <row r="64" spans="1:26" s="24" customFormat="1" hidden="1" outlineLevel="2" x14ac:dyDescent="0.25">
      <c r="A64" s="25"/>
      <c r="B64" s="11" t="str">
        <f>CONCATENATE("          ", "6241", " - ", "OFFICE EXPENSE")</f>
        <v xml:space="preserve">          6241 - OFFICE EXPENSE</v>
      </c>
      <c r="C64" s="11"/>
      <c r="D64" s="7">
        <v>2114.3200000000002</v>
      </c>
      <c r="E64" s="2"/>
      <c r="F64" s="6">
        <f t="shared" si="32"/>
        <v>0</v>
      </c>
      <c r="G64" s="2"/>
      <c r="H64" s="7">
        <v>150</v>
      </c>
      <c r="I64" s="2"/>
      <c r="J64" s="6">
        <f t="shared" si="33"/>
        <v>0</v>
      </c>
      <c r="K64" s="2"/>
      <c r="L64" s="7">
        <f t="shared" si="34"/>
        <v>1964.3200000000002</v>
      </c>
      <c r="M64" s="2"/>
      <c r="N64" s="6">
        <f t="shared" si="35"/>
        <v>13.095466666666669</v>
      </c>
      <c r="O64" s="11"/>
      <c r="P64" s="7">
        <v>10949.36</v>
      </c>
      <c r="Q64" s="2"/>
      <c r="R64" s="6">
        <f t="shared" si="36"/>
        <v>0</v>
      </c>
      <c r="S64" s="2"/>
      <c r="T64" s="7">
        <v>10400</v>
      </c>
      <c r="U64" s="2"/>
      <c r="V64" s="6">
        <f t="shared" si="37"/>
        <v>0</v>
      </c>
      <c r="W64" s="2"/>
      <c r="X64" s="7">
        <f t="shared" si="38"/>
        <v>549.36000000000058</v>
      </c>
      <c r="Y64" s="2"/>
      <c r="Z64" s="6">
        <f t="shared" si="39"/>
        <v>5.2823076923076979E-2</v>
      </c>
    </row>
    <row r="65" spans="1:26" s="24" customFormat="1" hidden="1" outlineLevel="2" x14ac:dyDescent="0.25">
      <c r="A65" s="25"/>
      <c r="B65" s="11" t="str">
        <f>CONCATENATE("          ", "6244", " - ", "SAFETY SUPPLY EXPENSE")</f>
        <v xml:space="preserve">          6244 - SAFETY SUPPLY EXPENSE</v>
      </c>
      <c r="C65" s="11"/>
      <c r="D65" s="7">
        <v>275</v>
      </c>
      <c r="E65" s="2"/>
      <c r="F65" s="6">
        <f t="shared" si="32"/>
        <v>0</v>
      </c>
      <c r="G65" s="2"/>
      <c r="H65" s="7">
        <v>417</v>
      </c>
      <c r="I65" s="2"/>
      <c r="J65" s="6">
        <f t="shared" si="33"/>
        <v>0</v>
      </c>
      <c r="K65" s="2"/>
      <c r="L65" s="7">
        <f t="shared" si="34"/>
        <v>-142</v>
      </c>
      <c r="M65" s="2"/>
      <c r="N65" s="6">
        <f t="shared" si="35"/>
        <v>-0.34052757793764987</v>
      </c>
      <c r="O65" s="11"/>
      <c r="P65" s="7">
        <v>1832.33</v>
      </c>
      <c r="Q65" s="2"/>
      <c r="R65" s="6">
        <f t="shared" si="36"/>
        <v>0</v>
      </c>
      <c r="S65" s="2"/>
      <c r="T65" s="7">
        <v>2919</v>
      </c>
      <c r="U65" s="2"/>
      <c r="V65" s="6">
        <f t="shared" si="37"/>
        <v>0</v>
      </c>
      <c r="W65" s="2"/>
      <c r="X65" s="7">
        <f t="shared" si="38"/>
        <v>-1086.67</v>
      </c>
      <c r="Y65" s="2"/>
      <c r="Z65" s="6">
        <f t="shared" si="39"/>
        <v>-0.37227475162726964</v>
      </c>
    </row>
    <row r="66" spans="1:26" s="24" customFormat="1" hidden="1" outlineLevel="2" x14ac:dyDescent="0.25">
      <c r="A66" s="25"/>
      <c r="B66" s="11" t="str">
        <f>CONCATENATE("          ", "6245", " - ", "PRINTING")</f>
        <v xml:space="preserve">          6245 - PRINTING</v>
      </c>
      <c r="C66" s="11"/>
      <c r="D66" s="7">
        <v>173.71</v>
      </c>
      <c r="E66" s="2"/>
      <c r="F66" s="6">
        <f t="shared" si="32"/>
        <v>0</v>
      </c>
      <c r="G66" s="2"/>
      <c r="H66" s="7"/>
      <c r="I66" s="2"/>
      <c r="J66" s="6">
        <f t="shared" si="33"/>
        <v>0</v>
      </c>
      <c r="K66" s="2"/>
      <c r="L66" s="7">
        <f t="shared" si="34"/>
        <v>173.71</v>
      </c>
      <c r="M66" s="2"/>
      <c r="N66" s="6">
        <f t="shared" si="35"/>
        <v>0</v>
      </c>
      <c r="O66" s="11"/>
      <c r="P66" s="7">
        <v>2171.8000000000002</v>
      </c>
      <c r="Q66" s="2"/>
      <c r="R66" s="6">
        <f t="shared" si="36"/>
        <v>0</v>
      </c>
      <c r="S66" s="2"/>
      <c r="T66" s="7"/>
      <c r="U66" s="2"/>
      <c r="V66" s="6">
        <f t="shared" si="37"/>
        <v>0</v>
      </c>
      <c r="W66" s="2"/>
      <c r="X66" s="7">
        <f t="shared" si="38"/>
        <v>2171.8000000000002</v>
      </c>
      <c r="Y66" s="2"/>
      <c r="Z66" s="6">
        <f t="shared" si="39"/>
        <v>0</v>
      </c>
    </row>
    <row r="67" spans="1:26" s="27" customFormat="1" outlineLevel="1" collapsed="1" x14ac:dyDescent="0.25">
      <c r="A67" s="26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SUM(OSRRefD22_13x_0)</f>
        <v>314.55</v>
      </c>
      <c r="E67" s="1"/>
      <c r="F67" s="5">
        <f t="shared" ref="F67:F72" si="40">IF(D$12=0,0,D67/D$12)</f>
        <v>0</v>
      </c>
      <c r="G67" s="1"/>
      <c r="H67" s="1">
        <f>SUM(OSRRefH22_13x_0)</f>
        <v>290</v>
      </c>
      <c r="I67" s="1"/>
      <c r="J67" s="5">
        <f t="shared" ref="J67:J72" si="41">IF(H$12=0,0,H67/H$12)</f>
        <v>0</v>
      </c>
      <c r="K67" s="1"/>
      <c r="L67" s="1">
        <f t="shared" ref="L67:L72" si="42">+D67-H67</f>
        <v>24.550000000000011</v>
      </c>
      <c r="M67" s="1"/>
      <c r="N67" s="5">
        <f t="shared" ref="N67:N72" si="43">IF(H67=0,0,L67/H67)</f>
        <v>8.4655172413793139E-2</v>
      </c>
      <c r="O67" s="13"/>
      <c r="P67" s="1">
        <f>SUM(OSRRefP22_13x_0)</f>
        <v>2278.15</v>
      </c>
      <c r="Q67" s="1"/>
      <c r="R67" s="5">
        <f t="shared" ref="R67:R72" si="44">IF(P$12=0,0,P67/P$12)</f>
        <v>0</v>
      </c>
      <c r="S67" s="1"/>
      <c r="T67" s="1">
        <f>SUM(OSRRefT22_13x_0)</f>
        <v>2030</v>
      </c>
      <c r="U67" s="1"/>
      <c r="V67" s="5">
        <f t="shared" ref="V67:V72" si="45">IF(T$12=0,0,T67/T$12)</f>
        <v>0</v>
      </c>
      <c r="W67" s="1"/>
      <c r="X67" s="1">
        <f t="shared" ref="X67:X72" si="46">+P67-T67</f>
        <v>248.15000000000009</v>
      </c>
      <c r="Y67" s="1"/>
      <c r="Z67" s="5">
        <f t="shared" ref="Z67:Z72" si="47">IF(T67=0,0,X67/T67)</f>
        <v>0.12224137931034487</v>
      </c>
    </row>
    <row r="68" spans="1:26" s="24" customFormat="1" hidden="1" outlineLevel="2" x14ac:dyDescent="0.25">
      <c r="A68" s="25"/>
      <c r="B68" s="11" t="str">
        <f>CONCATENATE("          ", "6309", " - ", "TELEPHONE")</f>
        <v xml:space="preserve">          6309 - TELEPHONE</v>
      </c>
      <c r="C68" s="11"/>
      <c r="D68" s="7">
        <v>314.55</v>
      </c>
      <c r="E68" s="2"/>
      <c r="F68" s="6">
        <f t="shared" si="40"/>
        <v>0</v>
      </c>
      <c r="G68" s="2"/>
      <c r="H68" s="7">
        <v>290</v>
      </c>
      <c r="I68" s="2"/>
      <c r="J68" s="6">
        <f t="shared" si="41"/>
        <v>0</v>
      </c>
      <c r="K68" s="2"/>
      <c r="L68" s="7">
        <f t="shared" si="42"/>
        <v>24.550000000000011</v>
      </c>
      <c r="M68" s="2"/>
      <c r="N68" s="6">
        <f t="shared" si="43"/>
        <v>8.4655172413793139E-2</v>
      </c>
      <c r="O68" s="11"/>
      <c r="P68" s="7">
        <v>2278.15</v>
      </c>
      <c r="Q68" s="2"/>
      <c r="R68" s="6">
        <f t="shared" si="44"/>
        <v>0</v>
      </c>
      <c r="S68" s="2"/>
      <c r="T68" s="7">
        <v>2030</v>
      </c>
      <c r="U68" s="2"/>
      <c r="V68" s="6">
        <f t="shared" si="45"/>
        <v>0</v>
      </c>
      <c r="W68" s="2"/>
      <c r="X68" s="7">
        <f t="shared" si="46"/>
        <v>248.15000000000009</v>
      </c>
      <c r="Y68" s="2"/>
      <c r="Z68" s="6">
        <f t="shared" si="47"/>
        <v>0.12224137931034487</v>
      </c>
    </row>
    <row r="69" spans="1:26" s="27" customFormat="1" outlineLevel="1" collapsed="1" x14ac:dyDescent="0.25">
      <c r="A69" s="26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SUM(OSRRefD22_14x_0)</f>
        <v>3305.59</v>
      </c>
      <c r="E69" s="1"/>
      <c r="F69" s="5">
        <f t="shared" si="40"/>
        <v>0</v>
      </c>
      <c r="G69" s="1"/>
      <c r="H69" s="1">
        <f>SUM(OSRRefH22_14x_0)</f>
        <v>2000</v>
      </c>
      <c r="I69" s="1"/>
      <c r="J69" s="5">
        <f t="shared" si="41"/>
        <v>0</v>
      </c>
      <c r="K69" s="1"/>
      <c r="L69" s="1">
        <f t="shared" si="42"/>
        <v>1305.5900000000001</v>
      </c>
      <c r="M69" s="1"/>
      <c r="N69" s="5">
        <f t="shared" si="43"/>
        <v>0.65279500000000013</v>
      </c>
      <c r="O69" s="13"/>
      <c r="P69" s="1">
        <f>SUM(OSRRefP22_14x_0)</f>
        <v>8784.7900000000009</v>
      </c>
      <c r="Q69" s="1"/>
      <c r="R69" s="5">
        <f t="shared" si="44"/>
        <v>0</v>
      </c>
      <c r="S69" s="1"/>
      <c r="T69" s="1">
        <f>SUM(OSRRefT22_14x_0)</f>
        <v>8000</v>
      </c>
      <c r="U69" s="1"/>
      <c r="V69" s="5">
        <f t="shared" si="45"/>
        <v>0</v>
      </c>
      <c r="W69" s="1"/>
      <c r="X69" s="1">
        <f t="shared" si="46"/>
        <v>784.79000000000087</v>
      </c>
      <c r="Y69" s="1"/>
      <c r="Z69" s="5">
        <f t="shared" si="47"/>
        <v>9.8098750000000109E-2</v>
      </c>
    </row>
    <row r="70" spans="1:26" s="24" customFormat="1" hidden="1" outlineLevel="2" x14ac:dyDescent="0.25">
      <c r="A70" s="25"/>
      <c r="B70" s="11" t="str">
        <f>CONCATENATE("          ", "6376", " - ", "TRAINING")</f>
        <v xml:space="preserve">          6376 - TRAINING</v>
      </c>
      <c r="C70" s="11"/>
      <c r="D70" s="7">
        <v>3305.59</v>
      </c>
      <c r="E70" s="2"/>
      <c r="F70" s="6">
        <f t="shared" si="40"/>
        <v>0</v>
      </c>
      <c r="G70" s="2"/>
      <c r="H70" s="7">
        <v>2000</v>
      </c>
      <c r="I70" s="2"/>
      <c r="J70" s="6">
        <f t="shared" si="41"/>
        <v>0</v>
      </c>
      <c r="K70" s="2"/>
      <c r="L70" s="7">
        <f t="shared" si="42"/>
        <v>1305.5900000000001</v>
      </c>
      <c r="M70" s="2"/>
      <c r="N70" s="6">
        <f t="shared" si="43"/>
        <v>0.65279500000000013</v>
      </c>
      <c r="O70" s="11"/>
      <c r="P70" s="7">
        <v>8784.7900000000009</v>
      </c>
      <c r="Q70" s="2"/>
      <c r="R70" s="6">
        <f t="shared" si="44"/>
        <v>0</v>
      </c>
      <c r="S70" s="2"/>
      <c r="T70" s="7">
        <v>8000</v>
      </c>
      <c r="U70" s="2"/>
      <c r="V70" s="6">
        <f t="shared" si="45"/>
        <v>0</v>
      </c>
      <c r="W70" s="2"/>
      <c r="X70" s="7">
        <f t="shared" si="46"/>
        <v>784.79000000000087</v>
      </c>
      <c r="Y70" s="2"/>
      <c r="Z70" s="6">
        <f t="shared" si="47"/>
        <v>9.8098750000000109E-2</v>
      </c>
    </row>
    <row r="71" spans="1:26" s="27" customFormat="1" outlineLevel="1" collapsed="1" x14ac:dyDescent="0.25">
      <c r="A71" s="26"/>
      <c r="B71" s="13" t="str">
        <f>CONCATENATE("     ","Travel                                            ")</f>
        <v xml:space="preserve">     Travel                                            </v>
      </c>
      <c r="C71" s="13"/>
      <c r="D71" s="1">
        <f>SUM(OSRRefD22_15x_0)</f>
        <v>0</v>
      </c>
      <c r="E71" s="1"/>
      <c r="F71" s="5">
        <f t="shared" si="40"/>
        <v>0</v>
      </c>
      <c r="G71" s="1"/>
      <c r="H71" s="1">
        <f>SUM(OSRRefH22_15x_0)</f>
        <v>1000</v>
      </c>
      <c r="I71" s="1"/>
      <c r="J71" s="5">
        <f t="shared" si="41"/>
        <v>0</v>
      </c>
      <c r="K71" s="1"/>
      <c r="L71" s="1">
        <f t="shared" si="42"/>
        <v>-1000</v>
      </c>
      <c r="M71" s="1"/>
      <c r="N71" s="5">
        <f t="shared" si="43"/>
        <v>-1</v>
      </c>
      <c r="O71" s="13"/>
      <c r="P71" s="1">
        <f>SUM(OSRRefP22_15x_0)</f>
        <v>3487.01</v>
      </c>
      <c r="Q71" s="1"/>
      <c r="R71" s="5">
        <f t="shared" si="44"/>
        <v>0</v>
      </c>
      <c r="S71" s="1"/>
      <c r="T71" s="1">
        <f>SUM(OSRRefT22_15x_0)</f>
        <v>4879</v>
      </c>
      <c r="U71" s="1"/>
      <c r="V71" s="5">
        <f t="shared" si="45"/>
        <v>0</v>
      </c>
      <c r="W71" s="1"/>
      <c r="X71" s="1">
        <f t="shared" si="46"/>
        <v>-1391.9899999999998</v>
      </c>
      <c r="Y71" s="1"/>
      <c r="Z71" s="5">
        <f t="shared" si="47"/>
        <v>-0.28530231604837053</v>
      </c>
    </row>
    <row r="72" spans="1:26" s="24" customFormat="1" hidden="1" outlineLevel="2" x14ac:dyDescent="0.25">
      <c r="A72" s="25"/>
      <c r="B72" s="11" t="str">
        <f>CONCATENATE("          ", "6292", " - ", "TRAVEL/CONFERENCE")</f>
        <v xml:space="preserve">          6292 - TRAVEL/CONFERENCE</v>
      </c>
      <c r="C72" s="11"/>
      <c r="D72" s="7"/>
      <c r="E72" s="2"/>
      <c r="F72" s="6">
        <f t="shared" si="40"/>
        <v>0</v>
      </c>
      <c r="G72" s="2"/>
      <c r="H72" s="7">
        <v>1000</v>
      </c>
      <c r="I72" s="2"/>
      <c r="J72" s="6">
        <f t="shared" si="41"/>
        <v>0</v>
      </c>
      <c r="K72" s="2"/>
      <c r="L72" s="7">
        <f t="shared" si="42"/>
        <v>-1000</v>
      </c>
      <c r="M72" s="2"/>
      <c r="N72" s="6">
        <f t="shared" si="43"/>
        <v>-1</v>
      </c>
      <c r="O72" s="11"/>
      <c r="P72" s="7">
        <v>3487.01</v>
      </c>
      <c r="Q72" s="2"/>
      <c r="R72" s="6">
        <f t="shared" si="44"/>
        <v>0</v>
      </c>
      <c r="S72" s="2"/>
      <c r="T72" s="7">
        <v>4879</v>
      </c>
      <c r="U72" s="2"/>
      <c r="V72" s="6">
        <f t="shared" si="45"/>
        <v>0</v>
      </c>
      <c r="W72" s="2"/>
      <c r="X72" s="7">
        <f t="shared" si="46"/>
        <v>-1391.9899999999998</v>
      </c>
      <c r="Y72" s="2"/>
      <c r="Z72" s="6">
        <f t="shared" si="47"/>
        <v>-0.28530231604837053</v>
      </c>
    </row>
    <row r="73" spans="1:26" s="53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8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9" t="s">
        <v>3</v>
      </c>
      <c r="C76" s="29"/>
      <c r="D76" s="21">
        <f>+D16-D18+D74</f>
        <v>-71552.580000000016</v>
      </c>
      <c r="E76" s="14"/>
      <c r="F76" s="20">
        <f>IF(D$12=0,0,D76/D$12)</f>
        <v>0</v>
      </c>
      <c r="G76" s="14"/>
      <c r="H76" s="21">
        <f>+H16-H18+H74</f>
        <v>-63265.587754592307</v>
      </c>
      <c r="I76" s="14"/>
      <c r="J76" s="20">
        <f>IF(H$12=0,0,H76/H$12)</f>
        <v>0</v>
      </c>
      <c r="K76" s="16"/>
      <c r="L76" s="21">
        <f>+D76-H76</f>
        <v>-8286.9922454077096</v>
      </c>
      <c r="M76" s="16"/>
      <c r="N76" s="20">
        <f>IF(H76=0,0,L76/H76)</f>
        <v>0.13098735883957982</v>
      </c>
      <c r="O76" s="28"/>
      <c r="P76" s="21">
        <f>+P16-P18+P74</f>
        <v>-474151.29</v>
      </c>
      <c r="Q76" s="14"/>
      <c r="R76" s="20">
        <f>IF(P$12=0,0,P76/P$12)</f>
        <v>0</v>
      </c>
      <c r="S76" s="14"/>
      <c r="T76" s="21">
        <f>+T16-T18+T74</f>
        <v>-434202.84407847223</v>
      </c>
      <c r="U76" s="14"/>
      <c r="V76" s="20">
        <f>IF(T$12=0,0,T76/T$12)</f>
        <v>0</v>
      </c>
      <c r="W76" s="16"/>
      <c r="X76" s="21">
        <f>+P76-T76</f>
        <v>-39948.445921527746</v>
      </c>
      <c r="Y76" s="16"/>
      <c r="Z76" s="20">
        <f>IF(T76=0,0,X76/T76)</f>
        <v>9.2004109292080041E-2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4</v>
      </c>
      <c r="C80" s="29"/>
      <c r="D80" s="34">
        <f>+D76-D78</f>
        <v>-71552.580000000016</v>
      </c>
      <c r="E80" s="14"/>
      <c r="F80" s="32">
        <f>IF(D$12=0,0,D80/D$12)</f>
        <v>0</v>
      </c>
      <c r="G80" s="14"/>
      <c r="H80" s="34">
        <f>+H76-H78</f>
        <v>-63265.587754592307</v>
      </c>
      <c r="I80" s="14"/>
      <c r="J80" s="32">
        <f>IF(H$12=0,0,H80/H$12)</f>
        <v>0</v>
      </c>
      <c r="K80" s="16"/>
      <c r="L80" s="34">
        <f>D80-H80</f>
        <v>-8286.9922454077096</v>
      </c>
      <c r="M80" s="16"/>
      <c r="N80" s="32">
        <f>IF(H80=0,0,L80/H80)</f>
        <v>0.13098735883957982</v>
      </c>
      <c r="O80" s="28"/>
      <c r="P80" s="34">
        <f>+P76-P78</f>
        <v>-474151.29</v>
      </c>
      <c r="Q80" s="14"/>
      <c r="R80" s="32">
        <f>IF(P$12=0,0,P80/P$12)</f>
        <v>0</v>
      </c>
      <c r="S80" s="14"/>
      <c r="T80" s="34">
        <f>+T76-T78</f>
        <v>-434202.84407847223</v>
      </c>
      <c r="U80" s="14"/>
      <c r="V80" s="32">
        <f>IF(T$12=0,0,T80/T$12)</f>
        <v>0</v>
      </c>
      <c r="W80" s="16"/>
      <c r="X80" s="34">
        <f>P80-T80</f>
        <v>-39948.445921527746</v>
      </c>
      <c r="Y80" s="16"/>
      <c r="Z80" s="32">
        <f>IF(T80=0,0,X80/T80)</f>
        <v>9.2004109292080041E-2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5</v>
      </c>
      <c r="C83" s="29"/>
      <c r="D83" s="31">
        <f>SUM(D80:D82)</f>
        <v>-71552.580000000016</v>
      </c>
      <c r="E83" s="14"/>
      <c r="F83" s="30">
        <f>IF(D$12=0,0,D83/D$12)</f>
        <v>0</v>
      </c>
      <c r="G83" s="14"/>
      <c r="H83" s="31">
        <f>SUM(H80:H82)</f>
        <v>-63265.587754592307</v>
      </c>
      <c r="I83" s="14"/>
      <c r="J83" s="30">
        <f>IF(H$12=0,0,H83/H$12)</f>
        <v>0</v>
      </c>
      <c r="K83" s="16"/>
      <c r="L83" s="31">
        <f>+D83-H83</f>
        <v>-8286.9922454077096</v>
      </c>
      <c r="M83" s="16"/>
      <c r="N83" s="30">
        <f>IF(H83=0,0,L83/H83)</f>
        <v>0.13098735883957982</v>
      </c>
      <c r="O83" s="28"/>
      <c r="P83" s="31">
        <f>SUM(P80:P82)</f>
        <v>-474151.29</v>
      </c>
      <c r="Q83" s="14"/>
      <c r="R83" s="30">
        <f>IF(P$12=0,0,P83/P$12)</f>
        <v>0</v>
      </c>
      <c r="S83" s="14"/>
      <c r="T83" s="31">
        <f>SUM(T80:T82)</f>
        <v>-434202.84407847223</v>
      </c>
      <c r="U83" s="14"/>
      <c r="V83" s="30">
        <f>IF(T$12=0,0,T83/T$12)</f>
        <v>0</v>
      </c>
      <c r="W83" s="16"/>
      <c r="X83" s="31">
        <f>+P83-T83</f>
        <v>-39948.445921527746</v>
      </c>
      <c r="Y83" s="16"/>
      <c r="Z83" s="30">
        <f>IF(T83=0,0,X83/T83)</f>
        <v>9.2004109292080041E-2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63">
        <v>43879.545986493053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7" t="s">
        <v>314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0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","204", " - ", "Information Technology")</f>
        <v>Department 204 - Information Technology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200</v>
      </c>
      <c r="U12" s="4"/>
      <c r="V12" s="12"/>
      <c r="W12" s="4"/>
      <c r="X12" s="4">
        <f t="shared" ref="X12:X13" si="2">+P12-T12</f>
        <v>-200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200</v>
      </c>
      <c r="U13" s="2"/>
      <c r="V13" s="19"/>
      <c r="W13" s="2"/>
      <c r="X13" s="2">
        <f t="shared" si="2"/>
        <v>-200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1">
        <f>D12-D15</f>
        <v>0</v>
      </c>
      <c r="E17" s="14"/>
      <c r="F17" s="20">
        <f>IF(D$12=0,0,D17/D$12)</f>
        <v>0</v>
      </c>
      <c r="G17" s="14"/>
      <c r="H17" s="21">
        <f>H12-H15</f>
        <v>0</v>
      </c>
      <c r="I17" s="14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8"/>
      <c r="P17" s="21">
        <f>P12-P15</f>
        <v>0</v>
      </c>
      <c r="Q17" s="14"/>
      <c r="R17" s="20">
        <f>IF(P$12=0,0,P17/P$12)</f>
        <v>0</v>
      </c>
      <c r="S17" s="14"/>
      <c r="T17" s="21">
        <f>T12-T15</f>
        <v>200</v>
      </c>
      <c r="U17" s="14"/>
      <c r="V17" s="20">
        <f>IF(T$12=0,0,T17/T$12)</f>
        <v>1</v>
      </c>
      <c r="W17" s="16"/>
      <c r="X17" s="21">
        <f>+P17-T17</f>
        <v>-200</v>
      </c>
      <c r="Y17" s="16"/>
      <c r="Z17" s="20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64226.119999999995</v>
      </c>
      <c r="E19" s="22"/>
      <c r="F19" s="35">
        <f t="shared" ref="F19:F30" si="4">IF(D$12=0,0,D19/D$12)</f>
        <v>0</v>
      </c>
      <c r="G19" s="22"/>
      <c r="H19" s="22">
        <f>SUM(OSRRefH22x_0)</f>
        <v>76558.390358153847</v>
      </c>
      <c r="I19" s="22"/>
      <c r="J19" s="35">
        <f t="shared" ref="J19:J30" si="5">IF(H$12=0,0,H19/H$12)</f>
        <v>0</v>
      </c>
      <c r="K19" s="4"/>
      <c r="L19" s="22">
        <f t="shared" ref="L19:L30" si="6">+D19-H19</f>
        <v>-12332.270358153852</v>
      </c>
      <c r="M19" s="4"/>
      <c r="N19" s="35">
        <f t="shared" ref="N19:N30" si="7">IF(H19=0,0,L19/H19)</f>
        <v>-0.16108319807223329</v>
      </c>
      <c r="O19" s="10"/>
      <c r="P19" s="22">
        <f>SUM(OSRRefP22x_0)</f>
        <v>424825.43</v>
      </c>
      <c r="Q19" s="22"/>
      <c r="R19" s="35">
        <f t="shared" ref="R19:R30" si="8">IF(P$12=0,0,P19/P$12)</f>
        <v>0</v>
      </c>
      <c r="S19" s="22"/>
      <c r="T19" s="22">
        <f>SUM(OSRRefT22x_0)</f>
        <v>473661.23440276907</v>
      </c>
      <c r="U19" s="22"/>
      <c r="V19" s="35">
        <f t="shared" ref="V19:V30" si="9">IF(T$12=0,0,T19/T$12)</f>
        <v>2368.3061720138453</v>
      </c>
      <c r="W19" s="4"/>
      <c r="X19" s="22">
        <f t="shared" ref="X19:X30" si="10">+P19-T19</f>
        <v>-48835.804402769078</v>
      </c>
      <c r="Y19" s="4"/>
      <c r="Z19" s="35">
        <f t="shared" ref="Z19:Z30" si="11">IF(T19=0,0,X19/T19)</f>
        <v>-0.1031028103119844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13523.080000000002</v>
      </c>
      <c r="E20" s="1"/>
      <c r="F20" s="5">
        <f t="shared" si="4"/>
        <v>0</v>
      </c>
      <c r="G20" s="1"/>
      <c r="H20" s="1">
        <f>SUM(OSRRefH22_0x_0)</f>
        <v>16508.629435076942</v>
      </c>
      <c r="I20" s="1"/>
      <c r="J20" s="5">
        <f t="shared" si="5"/>
        <v>0</v>
      </c>
      <c r="K20" s="1"/>
      <c r="L20" s="1">
        <f t="shared" si="6"/>
        <v>-2985.5494350769404</v>
      </c>
      <c r="M20" s="1"/>
      <c r="N20" s="5">
        <f t="shared" si="7"/>
        <v>-0.18084780731302577</v>
      </c>
      <c r="O20" s="13"/>
      <c r="P20" s="1">
        <f>SUM(OSRRefP22_0x_0)</f>
        <v>91580.74</v>
      </c>
      <c r="Q20" s="1"/>
      <c r="R20" s="5">
        <f t="shared" si="8"/>
        <v>0</v>
      </c>
      <c r="S20" s="1"/>
      <c r="T20" s="1">
        <f>SUM(OSRRefT22_0x_0)</f>
        <v>104624.05347969237</v>
      </c>
      <c r="U20" s="1"/>
      <c r="V20" s="5">
        <f t="shared" si="9"/>
        <v>523.12026739846192</v>
      </c>
      <c r="W20" s="1"/>
      <c r="X20" s="1">
        <f t="shared" si="10"/>
        <v>-13043.31347969237</v>
      </c>
      <c r="Y20" s="1"/>
      <c r="Z20" s="5">
        <f t="shared" si="11"/>
        <v>-0.12466840125080882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7">
        <v>1921.5</v>
      </c>
      <c r="E21" s="2"/>
      <c r="F21" s="6">
        <f t="shared" si="4"/>
        <v>0</v>
      </c>
      <c r="G21" s="2"/>
      <c r="H21" s="7">
        <v>2959.6811889230798</v>
      </c>
      <c r="I21" s="2"/>
      <c r="J21" s="6">
        <f t="shared" si="5"/>
        <v>0</v>
      </c>
      <c r="K21" s="2"/>
      <c r="L21" s="7">
        <f t="shared" si="6"/>
        <v>-1038.1811889230798</v>
      </c>
      <c r="M21" s="2"/>
      <c r="N21" s="6">
        <f t="shared" si="7"/>
        <v>-0.35077466884223302</v>
      </c>
      <c r="O21" s="11"/>
      <c r="P21" s="7">
        <v>15028.46</v>
      </c>
      <c r="Q21" s="2"/>
      <c r="R21" s="6">
        <f t="shared" si="8"/>
        <v>0</v>
      </c>
      <c r="S21" s="2"/>
      <c r="T21" s="7">
        <v>17815.837848923078</v>
      </c>
      <c r="U21" s="2"/>
      <c r="V21" s="6">
        <f t="shared" si="9"/>
        <v>89.079189244615392</v>
      </c>
      <c r="W21" s="2"/>
      <c r="X21" s="7">
        <f t="shared" si="10"/>
        <v>-2787.377848923079</v>
      </c>
      <c r="Y21" s="2"/>
      <c r="Z21" s="6">
        <f t="shared" si="11"/>
        <v>-0.15645505266492807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7">
        <v>92.19</v>
      </c>
      <c r="E22" s="2"/>
      <c r="F22" s="6">
        <f t="shared" si="4"/>
        <v>0</v>
      </c>
      <c r="G22" s="2"/>
      <c r="H22" s="7">
        <v>131.489821538462</v>
      </c>
      <c r="I22" s="2"/>
      <c r="J22" s="6">
        <f t="shared" si="5"/>
        <v>0</v>
      </c>
      <c r="K22" s="2"/>
      <c r="L22" s="7">
        <f t="shared" si="6"/>
        <v>-39.299821538461998</v>
      </c>
      <c r="M22" s="2"/>
      <c r="N22" s="6">
        <f t="shared" si="7"/>
        <v>-0.2988810926856908</v>
      </c>
      <c r="O22" s="11"/>
      <c r="P22" s="7">
        <v>550.69000000000005</v>
      </c>
      <c r="Q22" s="2"/>
      <c r="R22" s="6">
        <f t="shared" si="8"/>
        <v>0</v>
      </c>
      <c r="S22" s="2"/>
      <c r="T22" s="7">
        <v>804.83262153846204</v>
      </c>
      <c r="U22" s="2"/>
      <c r="V22" s="6">
        <f t="shared" si="9"/>
        <v>4.0241631076923099</v>
      </c>
      <c r="W22" s="2"/>
      <c r="X22" s="7">
        <f t="shared" si="10"/>
        <v>-254.14262153846198</v>
      </c>
      <c r="Y22" s="2"/>
      <c r="Z22" s="6">
        <f t="shared" si="11"/>
        <v>-0.31577077610579529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7">
        <v>5567.87</v>
      </c>
      <c r="E23" s="2"/>
      <c r="F23" s="6">
        <f t="shared" si="4"/>
        <v>0</v>
      </c>
      <c r="G23" s="2"/>
      <c r="H23" s="7">
        <v>7803.9230769230808</v>
      </c>
      <c r="I23" s="2"/>
      <c r="J23" s="6">
        <f t="shared" si="5"/>
        <v>0</v>
      </c>
      <c r="K23" s="2"/>
      <c r="L23" s="7">
        <f t="shared" si="6"/>
        <v>-2236.0530769230809</v>
      </c>
      <c r="M23" s="2"/>
      <c r="N23" s="6">
        <f t="shared" si="7"/>
        <v>-0.28652935900089738</v>
      </c>
      <c r="O23" s="11"/>
      <c r="P23" s="7">
        <v>36543.65</v>
      </c>
      <c r="Q23" s="2"/>
      <c r="R23" s="6">
        <f t="shared" si="8"/>
        <v>0</v>
      </c>
      <c r="S23" s="2"/>
      <c r="T23" s="7">
        <v>51440.538461538476</v>
      </c>
      <c r="U23" s="2"/>
      <c r="V23" s="6">
        <f t="shared" si="9"/>
        <v>257.20269230769236</v>
      </c>
      <c r="W23" s="2"/>
      <c r="X23" s="7">
        <f t="shared" si="10"/>
        <v>-14896.888461538474</v>
      </c>
      <c r="Y23" s="2"/>
      <c r="Z23" s="6">
        <f t="shared" si="11"/>
        <v>-0.28959433371166426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7">
        <v>70.5</v>
      </c>
      <c r="E24" s="2"/>
      <c r="F24" s="6">
        <f t="shared" si="4"/>
        <v>0</v>
      </c>
      <c r="G24" s="2"/>
      <c r="H24" s="7">
        <v>100.55104</v>
      </c>
      <c r="I24" s="2"/>
      <c r="J24" s="6">
        <f t="shared" si="5"/>
        <v>0</v>
      </c>
      <c r="K24" s="2"/>
      <c r="L24" s="7">
        <f t="shared" si="6"/>
        <v>-30.05104</v>
      </c>
      <c r="M24" s="2"/>
      <c r="N24" s="6">
        <f t="shared" si="7"/>
        <v>-0.29886354233631002</v>
      </c>
      <c r="O24" s="11"/>
      <c r="P24" s="7">
        <v>547</v>
      </c>
      <c r="Q24" s="2"/>
      <c r="R24" s="6">
        <f t="shared" si="8"/>
        <v>0</v>
      </c>
      <c r="S24" s="2"/>
      <c r="T24" s="7">
        <v>615.46024</v>
      </c>
      <c r="U24" s="2"/>
      <c r="V24" s="6">
        <f t="shared" si="9"/>
        <v>3.0773012</v>
      </c>
      <c r="W24" s="2"/>
      <c r="X24" s="7">
        <f t="shared" si="10"/>
        <v>-68.460239999999999</v>
      </c>
      <c r="Y24" s="2"/>
      <c r="Z24" s="6">
        <f t="shared" si="11"/>
        <v>-0.11123422042665176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7">
        <v>2030.52</v>
      </c>
      <c r="E25" s="2"/>
      <c r="F25" s="6">
        <f t="shared" si="4"/>
        <v>0</v>
      </c>
      <c r="G25" s="2"/>
      <c r="H25" s="7">
        <v>2010.0846153846198</v>
      </c>
      <c r="I25" s="2"/>
      <c r="J25" s="6">
        <f t="shared" si="5"/>
        <v>0</v>
      </c>
      <c r="K25" s="2"/>
      <c r="L25" s="7">
        <f t="shared" si="6"/>
        <v>20.435384615380144</v>
      </c>
      <c r="M25" s="2"/>
      <c r="N25" s="6">
        <f t="shared" si="7"/>
        <v>1.0166430039299582E-2</v>
      </c>
      <c r="O25" s="11"/>
      <c r="P25" s="7">
        <v>11805.58</v>
      </c>
      <c r="Q25" s="2"/>
      <c r="R25" s="6">
        <f t="shared" si="8"/>
        <v>0</v>
      </c>
      <c r="S25" s="2"/>
      <c r="T25" s="7">
        <v>12462.52461538462</v>
      </c>
      <c r="U25" s="2"/>
      <c r="V25" s="6">
        <f t="shared" si="9"/>
        <v>62.312623076923103</v>
      </c>
      <c r="W25" s="2"/>
      <c r="X25" s="7">
        <f t="shared" si="10"/>
        <v>-656.94461538462019</v>
      </c>
      <c r="Y25" s="2"/>
      <c r="Z25" s="6">
        <f t="shared" si="11"/>
        <v>-5.2713606244246966E-2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>
        <v>134</v>
      </c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134</v>
      </c>
      <c r="Y26" s="2"/>
      <c r="Z26" s="6">
        <f t="shared" si="11"/>
        <v>0</v>
      </c>
    </row>
    <row r="27" spans="1:26" s="24" customFormat="1" hidden="1" outlineLevel="2" x14ac:dyDescent="0.25">
      <c r="A27" s="25"/>
      <c r="B27" s="11" t="str">
        <f>CONCATENATE("          ", "6117", " - ", "RETIREMENT STAFF HOURLY")</f>
        <v xml:space="preserve">          6117 - RETIREMENT STAFF HOURLY</v>
      </c>
      <c r="C27" s="11"/>
      <c r="D27" s="7">
        <v>738.59</v>
      </c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738.59</v>
      </c>
      <c r="M27" s="2"/>
      <c r="N27" s="6">
        <f t="shared" si="7"/>
        <v>0</v>
      </c>
      <c r="O27" s="11"/>
      <c r="P27" s="7">
        <v>3130</v>
      </c>
      <c r="Q27" s="2"/>
      <c r="R27" s="6">
        <f t="shared" si="8"/>
        <v>0</v>
      </c>
      <c r="S27" s="2"/>
      <c r="T27" s="7"/>
      <c r="U27" s="2"/>
      <c r="V27" s="6">
        <f t="shared" si="9"/>
        <v>0</v>
      </c>
      <c r="W27" s="2"/>
      <c r="X27" s="7">
        <f t="shared" si="10"/>
        <v>3130</v>
      </c>
      <c r="Y27" s="2"/>
      <c r="Z27" s="6">
        <f t="shared" si="11"/>
        <v>0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7">
        <v>1438.28</v>
      </c>
      <c r="E28" s="2"/>
      <c r="F28" s="6">
        <f t="shared" si="4"/>
        <v>0</v>
      </c>
      <c r="G28" s="2"/>
      <c r="H28" s="7">
        <v>1673.3538461538501</v>
      </c>
      <c r="I28" s="2"/>
      <c r="J28" s="6">
        <f t="shared" si="5"/>
        <v>0</v>
      </c>
      <c r="K28" s="2"/>
      <c r="L28" s="7">
        <f t="shared" si="6"/>
        <v>-235.07384615385013</v>
      </c>
      <c r="M28" s="2"/>
      <c r="N28" s="6">
        <f t="shared" si="7"/>
        <v>-0.14048065607531832</v>
      </c>
      <c r="O28" s="11"/>
      <c r="P28" s="7">
        <v>11609.08</v>
      </c>
      <c r="Q28" s="2"/>
      <c r="R28" s="6">
        <f t="shared" si="8"/>
        <v>0</v>
      </c>
      <c r="S28" s="2"/>
      <c r="T28" s="7">
        <v>10273.85384615387</v>
      </c>
      <c r="U28" s="2"/>
      <c r="V28" s="6">
        <f t="shared" si="9"/>
        <v>51.369269230769348</v>
      </c>
      <c r="W28" s="2"/>
      <c r="X28" s="7">
        <f t="shared" si="10"/>
        <v>1335.2261538461298</v>
      </c>
      <c r="Y28" s="2"/>
      <c r="Z28" s="6">
        <f t="shared" si="11"/>
        <v>0.12996351455262198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7">
        <v>966.36</v>
      </c>
      <c r="E29" s="2"/>
      <c r="F29" s="6">
        <f t="shared" si="4"/>
        <v>0</v>
      </c>
      <c r="G29" s="2"/>
      <c r="H29" s="7">
        <v>1829.5458461538501</v>
      </c>
      <c r="I29" s="2"/>
      <c r="J29" s="6">
        <f t="shared" si="5"/>
        <v>0</v>
      </c>
      <c r="K29" s="2"/>
      <c r="L29" s="7">
        <f t="shared" si="6"/>
        <v>-863.18584615385009</v>
      </c>
      <c r="M29" s="2"/>
      <c r="N29" s="6">
        <f t="shared" si="7"/>
        <v>-0.47180334287248199</v>
      </c>
      <c r="O29" s="11"/>
      <c r="P29" s="7">
        <v>7773.02</v>
      </c>
      <c r="Q29" s="2"/>
      <c r="R29" s="6">
        <f t="shared" si="8"/>
        <v>0</v>
      </c>
      <c r="S29" s="2"/>
      <c r="T29" s="7">
        <v>11211.00584615387</v>
      </c>
      <c r="U29" s="2"/>
      <c r="V29" s="6">
        <f t="shared" si="9"/>
        <v>56.05502923076935</v>
      </c>
      <c r="W29" s="2"/>
      <c r="X29" s="7">
        <f t="shared" si="10"/>
        <v>-3437.9858461538697</v>
      </c>
      <c r="Y29" s="2"/>
      <c r="Z29" s="6">
        <f t="shared" si="11"/>
        <v>-0.30666167633239888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7">
        <v>697.27</v>
      </c>
      <c r="E30" s="2"/>
      <c r="F30" s="6">
        <f t="shared" si="4"/>
        <v>0</v>
      </c>
      <c r="G30" s="2"/>
      <c r="H30" s="7"/>
      <c r="I30" s="2"/>
      <c r="J30" s="6">
        <f t="shared" si="5"/>
        <v>0</v>
      </c>
      <c r="K30" s="2"/>
      <c r="L30" s="7">
        <f t="shared" si="6"/>
        <v>697.27</v>
      </c>
      <c r="M30" s="2"/>
      <c r="N30" s="6">
        <f t="shared" si="7"/>
        <v>0</v>
      </c>
      <c r="O30" s="11"/>
      <c r="P30" s="7">
        <v>4459.26</v>
      </c>
      <c r="Q30" s="2"/>
      <c r="R30" s="6">
        <f t="shared" si="8"/>
        <v>0</v>
      </c>
      <c r="S30" s="2"/>
      <c r="T30" s="7"/>
      <c r="U30" s="2"/>
      <c r="V30" s="6">
        <f t="shared" si="9"/>
        <v>0</v>
      </c>
      <c r="W30" s="2"/>
      <c r="X30" s="7">
        <f t="shared" si="10"/>
        <v>4459.26</v>
      </c>
      <c r="Y30" s="2"/>
      <c r="Z30" s="6">
        <f t="shared" si="11"/>
        <v>0</v>
      </c>
    </row>
    <row r="31" spans="1:26" s="27" customFormat="1" outlineLevel="1" collapsed="1" x14ac:dyDescent="0.25">
      <c r="A31" s="26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31723.230000000003</v>
      </c>
      <c r="E31" s="1"/>
      <c r="F31" s="5">
        <f t="shared" ref="F31:F41" si="12">IF(D$12=0,0,D31/D$12)</f>
        <v>0</v>
      </c>
      <c r="G31" s="1"/>
      <c r="H31" s="1">
        <f>SUM(OSRRefH22_1x_0)</f>
        <v>35668.760923076901</v>
      </c>
      <c r="I31" s="1"/>
      <c r="J31" s="5">
        <f t="shared" ref="J31:J41" si="13">IF(H$12=0,0,H31/H$12)</f>
        <v>0</v>
      </c>
      <c r="K31" s="1"/>
      <c r="L31" s="1">
        <f t="shared" ref="L31:L41" si="14">+D31-H31</f>
        <v>-3945.530923076898</v>
      </c>
      <c r="M31" s="1"/>
      <c r="N31" s="5">
        <f t="shared" ref="N31:N41" si="15">IF(H31=0,0,L31/H31)</f>
        <v>-0.11061586724545361</v>
      </c>
      <c r="O31" s="13"/>
      <c r="P31" s="1">
        <f>SUM(OSRRefP22_1x_0)</f>
        <v>187876.75</v>
      </c>
      <c r="Q31" s="1"/>
      <c r="R31" s="5">
        <f t="shared" ref="R31:R41" si="16">IF(P$12=0,0,P31/P$12)</f>
        <v>0</v>
      </c>
      <c r="S31" s="1"/>
      <c r="T31" s="1">
        <f>SUM(OSRRefT22_1x_0)</f>
        <v>218687.1809230767</v>
      </c>
      <c r="U31" s="1"/>
      <c r="V31" s="5">
        <f t="shared" ref="V31:V41" si="17">IF(T$12=0,0,T31/T$12)</f>
        <v>1093.4359046153834</v>
      </c>
      <c r="W31" s="1"/>
      <c r="X31" s="1">
        <f t="shared" ref="X31:X41" si="18">+P31-T31</f>
        <v>-30810.430923076696</v>
      </c>
      <c r="Y31" s="1"/>
      <c r="Z31" s="5">
        <f t="shared" ref="Z31:Z41" si="19">IF(T31=0,0,X31/T31)</f>
        <v>-0.1408881434797693</v>
      </c>
    </row>
    <row r="32" spans="1:26" s="24" customFormat="1" hidden="1" outlineLevel="2" x14ac:dyDescent="0.25">
      <c r="A32" s="25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7">
        <v>14024.68</v>
      </c>
      <c r="E33" s="2"/>
      <c r="F33" s="6">
        <f t="shared" si="12"/>
        <v>0</v>
      </c>
      <c r="G33" s="2"/>
      <c r="H33" s="7">
        <v>23373.0769230769</v>
      </c>
      <c r="I33" s="2"/>
      <c r="J33" s="6">
        <f t="shared" si="13"/>
        <v>0</v>
      </c>
      <c r="K33" s="2"/>
      <c r="L33" s="7">
        <f t="shared" si="14"/>
        <v>-9348.3969230768998</v>
      </c>
      <c r="M33" s="2"/>
      <c r="N33" s="6">
        <f t="shared" si="15"/>
        <v>-0.39996432450222091</v>
      </c>
      <c r="O33" s="11"/>
      <c r="P33" s="7">
        <v>88787.28</v>
      </c>
      <c r="Q33" s="2"/>
      <c r="R33" s="6">
        <f t="shared" si="16"/>
        <v>0</v>
      </c>
      <c r="S33" s="2"/>
      <c r="T33" s="7">
        <v>144913.0769230767</v>
      </c>
      <c r="U33" s="2"/>
      <c r="V33" s="6">
        <f t="shared" si="17"/>
        <v>724.56538461538355</v>
      </c>
      <c r="W33" s="2"/>
      <c r="X33" s="7">
        <f t="shared" si="18"/>
        <v>-56125.796923076705</v>
      </c>
      <c r="Y33" s="2"/>
      <c r="Z33" s="6">
        <f t="shared" si="19"/>
        <v>-0.38730664005477994</v>
      </c>
    </row>
    <row r="34" spans="1:26" s="24" customFormat="1" hidden="1" outlineLevel="2" x14ac:dyDescent="0.25">
      <c r="A34" s="25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5"/>
      <c r="B35" s="11" t="str">
        <f>CONCATENATE("          ", "6004", " - ", "STAFF HOURLY")</f>
        <v xml:space="preserve">          6004 - STAFF HOURLY</v>
      </c>
      <c r="C35" s="11"/>
      <c r="D35" s="7">
        <v>9687.8700000000008</v>
      </c>
      <c r="E35" s="2"/>
      <c r="F35" s="6">
        <f t="shared" si="12"/>
        <v>0</v>
      </c>
      <c r="G35" s="2"/>
      <c r="H35" s="7">
        <v>10055.683999999999</v>
      </c>
      <c r="I35" s="2"/>
      <c r="J35" s="6">
        <f t="shared" si="13"/>
        <v>0</v>
      </c>
      <c r="K35" s="2"/>
      <c r="L35" s="7">
        <f t="shared" si="14"/>
        <v>-367.81399999999849</v>
      </c>
      <c r="M35" s="2"/>
      <c r="N35" s="6">
        <f t="shared" si="15"/>
        <v>-3.6577720620496676E-2</v>
      </c>
      <c r="O35" s="11"/>
      <c r="P35" s="7">
        <v>56841.53</v>
      </c>
      <c r="Q35" s="2"/>
      <c r="R35" s="6">
        <f t="shared" si="16"/>
        <v>0</v>
      </c>
      <c r="S35" s="2"/>
      <c r="T35" s="7">
        <v>60334.104000000007</v>
      </c>
      <c r="U35" s="2"/>
      <c r="V35" s="6">
        <f t="shared" si="17"/>
        <v>301.67052000000001</v>
      </c>
      <c r="W35" s="2"/>
      <c r="X35" s="7">
        <f t="shared" si="18"/>
        <v>-3492.5740000000078</v>
      </c>
      <c r="Y35" s="2"/>
      <c r="Z35" s="6">
        <f t="shared" si="19"/>
        <v>-5.788722742944865E-2</v>
      </c>
    </row>
    <row r="36" spans="1:26" s="24" customFormat="1" hidden="1" outlineLevel="2" x14ac:dyDescent="0.25">
      <c r="A36" s="25"/>
      <c r="B36" s="11" t="str">
        <f>CONCATENATE("          ", "6005", " - ", "TEMPORARY WAGES-HOURLY")</f>
        <v xml:space="preserve">          6005 - TEMPORARY WAGES-HOURLY</v>
      </c>
      <c r="C36" s="11"/>
      <c r="D36" s="7">
        <v>2145</v>
      </c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2145</v>
      </c>
      <c r="M36" s="2"/>
      <c r="N36" s="6">
        <f t="shared" si="15"/>
        <v>0</v>
      </c>
      <c r="O36" s="11"/>
      <c r="P36" s="7">
        <v>17270.25</v>
      </c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17270.25</v>
      </c>
      <c r="Y36" s="2"/>
      <c r="Z36" s="6">
        <f t="shared" si="19"/>
        <v>0</v>
      </c>
    </row>
    <row r="37" spans="1:26" s="24" customFormat="1" hidden="1" outlineLevel="2" x14ac:dyDescent="0.25">
      <c r="A37" s="25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5"/>
      <c r="B38" s="11" t="str">
        <f>CONCATENATE("          ", "6007", " - ", "STUDENT HOURLY")</f>
        <v xml:space="preserve">          6007 - STUDENT HOURLY</v>
      </c>
      <c r="C38" s="11"/>
      <c r="D38" s="7">
        <v>5865.68</v>
      </c>
      <c r="E38" s="2"/>
      <c r="F38" s="6">
        <f t="shared" si="12"/>
        <v>0</v>
      </c>
      <c r="G38" s="2"/>
      <c r="H38" s="7">
        <v>2240</v>
      </c>
      <c r="I38" s="2"/>
      <c r="J38" s="6">
        <f t="shared" si="13"/>
        <v>0</v>
      </c>
      <c r="K38" s="2"/>
      <c r="L38" s="7">
        <f t="shared" si="14"/>
        <v>3625.6800000000003</v>
      </c>
      <c r="M38" s="2"/>
      <c r="N38" s="6">
        <f t="shared" si="15"/>
        <v>1.6186071428571429</v>
      </c>
      <c r="O38" s="11"/>
      <c r="P38" s="7">
        <v>22457.69</v>
      </c>
      <c r="Q38" s="2"/>
      <c r="R38" s="6">
        <f t="shared" si="16"/>
        <v>0</v>
      </c>
      <c r="S38" s="2"/>
      <c r="T38" s="7">
        <v>9520</v>
      </c>
      <c r="U38" s="2"/>
      <c r="V38" s="6">
        <f t="shared" si="17"/>
        <v>47.6</v>
      </c>
      <c r="W38" s="2"/>
      <c r="X38" s="7">
        <f t="shared" si="18"/>
        <v>12937.689999999999</v>
      </c>
      <c r="Y38" s="2"/>
      <c r="Z38" s="6">
        <f t="shared" si="19"/>
        <v>1.3590010504201679</v>
      </c>
    </row>
    <row r="39" spans="1:26" s="24" customFormat="1" hidden="1" outlineLevel="2" x14ac:dyDescent="0.25">
      <c r="A39" s="25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>
        <v>2520</v>
      </c>
      <c r="Q39" s="2"/>
      <c r="R39" s="6">
        <f t="shared" si="16"/>
        <v>0</v>
      </c>
      <c r="S39" s="2"/>
      <c r="T39" s="7">
        <v>3920</v>
      </c>
      <c r="U39" s="2"/>
      <c r="V39" s="6">
        <f t="shared" si="17"/>
        <v>19.600000000000001</v>
      </c>
      <c r="W39" s="2"/>
      <c r="X39" s="7">
        <f t="shared" si="18"/>
        <v>-1400</v>
      </c>
      <c r="Y39" s="2"/>
      <c r="Z39" s="6">
        <f t="shared" si="19"/>
        <v>-0.35714285714285715</v>
      </c>
    </row>
    <row r="40" spans="1:26" s="24" customFormat="1" hidden="1" outlineLevel="2" x14ac:dyDescent="0.25">
      <c r="A40" s="25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5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7" customFormat="1" outlineLevel="1" collapsed="1" x14ac:dyDescent="0.25">
      <c r="A42" s="26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46" si="20">IF(D$12=0,0,D42/D$12)</f>
        <v>0</v>
      </c>
      <c r="G42" s="1"/>
      <c r="H42" s="1">
        <f>SUM(OSRRefH22_2x_0)</f>
        <v>0</v>
      </c>
      <c r="I42" s="1"/>
      <c r="J42" s="5">
        <f t="shared" ref="J42:J46" si="21">IF(H$12=0,0,H42/H$12)</f>
        <v>0</v>
      </c>
      <c r="K42" s="1"/>
      <c r="L42" s="1">
        <f t="shared" ref="L42:L46" si="22">+D42-H42</f>
        <v>0</v>
      </c>
      <c r="M42" s="1"/>
      <c r="N42" s="5">
        <f t="shared" ref="N42:N46" si="23">IF(H42=0,0,L42/H42)</f>
        <v>0</v>
      </c>
      <c r="O42" s="13"/>
      <c r="P42" s="1">
        <f>SUM(OSRRefP22_2x_0)</f>
        <v>9.99</v>
      </c>
      <c r="Q42" s="1"/>
      <c r="R42" s="5">
        <f t="shared" ref="R42:R46" si="24">IF(P$12=0,0,P42/P$12)</f>
        <v>0</v>
      </c>
      <c r="S42" s="1"/>
      <c r="T42" s="1">
        <f>SUM(OSRRefT22_2x_0)</f>
        <v>0</v>
      </c>
      <c r="U42" s="1"/>
      <c r="V42" s="5">
        <f t="shared" ref="V42:V46" si="25">IF(T$12=0,0,T42/T$12)</f>
        <v>0</v>
      </c>
      <c r="W42" s="1"/>
      <c r="X42" s="1">
        <f t="shared" ref="X42:X46" si="26">+P42-T42</f>
        <v>9.99</v>
      </c>
      <c r="Y42" s="1"/>
      <c r="Z42" s="5">
        <f t="shared" ref="Z42:Z46" si="27">IF(T42=0,0,X42/T42)</f>
        <v>0</v>
      </c>
    </row>
    <row r="43" spans="1:26" s="24" customFormat="1" hidden="1" outlineLevel="2" x14ac:dyDescent="0.25">
      <c r="A43" s="25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/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>
        <v>9.99</v>
      </c>
      <c r="Q43" s="2"/>
      <c r="R43" s="6">
        <f t="shared" si="24"/>
        <v>0</v>
      </c>
      <c r="S43" s="2"/>
      <c r="T43" s="7"/>
      <c r="U43" s="2"/>
      <c r="V43" s="6">
        <f t="shared" si="25"/>
        <v>0</v>
      </c>
      <c r="W43" s="2"/>
      <c r="X43" s="7">
        <f t="shared" si="26"/>
        <v>9.99</v>
      </c>
      <c r="Y43" s="2"/>
      <c r="Z43" s="6">
        <f t="shared" si="27"/>
        <v>0</v>
      </c>
    </row>
    <row r="44" spans="1:26" s="27" customFormat="1" outlineLevel="1" collapsed="1" x14ac:dyDescent="0.25">
      <c r="A44" s="26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SUM(OSRRefD22_3x_0)</f>
        <v>6175.97</v>
      </c>
      <c r="E44" s="1"/>
      <c r="F44" s="5">
        <f t="shared" si="20"/>
        <v>0</v>
      </c>
      <c r="G44" s="1"/>
      <c r="H44" s="1">
        <f>SUM(OSRRefH22_3x_0)</f>
        <v>6476</v>
      </c>
      <c r="I44" s="1"/>
      <c r="J44" s="5">
        <f t="shared" si="21"/>
        <v>0</v>
      </c>
      <c r="K44" s="1"/>
      <c r="L44" s="1">
        <f t="shared" si="22"/>
        <v>-300.02999999999975</v>
      </c>
      <c r="M44" s="1"/>
      <c r="N44" s="5">
        <f t="shared" si="23"/>
        <v>-4.6329524397776364E-2</v>
      </c>
      <c r="O44" s="13"/>
      <c r="P44" s="1">
        <f>SUM(OSRRefP22_3x_0)</f>
        <v>43231.79</v>
      </c>
      <c r="Q44" s="1"/>
      <c r="R44" s="5">
        <f t="shared" si="24"/>
        <v>0</v>
      </c>
      <c r="S44" s="1"/>
      <c r="T44" s="1">
        <f>SUM(OSRRefT22_3x_0)</f>
        <v>43715</v>
      </c>
      <c r="U44" s="1"/>
      <c r="V44" s="5">
        <f t="shared" si="25"/>
        <v>218.57499999999999</v>
      </c>
      <c r="W44" s="1"/>
      <c r="X44" s="1">
        <f t="shared" si="26"/>
        <v>-483.20999999999913</v>
      </c>
      <c r="Y44" s="1"/>
      <c r="Z44" s="5">
        <f t="shared" si="27"/>
        <v>-1.1053642914331445E-2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6175.97</v>
      </c>
      <c r="E45" s="2"/>
      <c r="F45" s="6">
        <f t="shared" si="20"/>
        <v>0</v>
      </c>
      <c r="G45" s="2"/>
      <c r="H45" s="7">
        <v>6176</v>
      </c>
      <c r="I45" s="2"/>
      <c r="J45" s="6">
        <f t="shared" si="21"/>
        <v>0</v>
      </c>
      <c r="K45" s="2"/>
      <c r="L45" s="7">
        <f t="shared" si="22"/>
        <v>-2.9999999999745341E-2</v>
      </c>
      <c r="M45" s="2"/>
      <c r="N45" s="6">
        <f t="shared" si="23"/>
        <v>-4.8575129533266417E-6</v>
      </c>
      <c r="O45" s="11"/>
      <c r="P45" s="7">
        <v>43231.79</v>
      </c>
      <c r="Q45" s="2"/>
      <c r="R45" s="6">
        <f t="shared" si="24"/>
        <v>0</v>
      </c>
      <c r="S45" s="2"/>
      <c r="T45" s="7">
        <v>43232</v>
      </c>
      <c r="U45" s="2"/>
      <c r="V45" s="6">
        <f t="shared" si="25"/>
        <v>216.16</v>
      </c>
      <c r="W45" s="2"/>
      <c r="X45" s="7">
        <f t="shared" si="26"/>
        <v>-0.20999999999912689</v>
      </c>
      <c r="Y45" s="2"/>
      <c r="Z45" s="6">
        <f t="shared" si="27"/>
        <v>-4.8575129533476794E-6</v>
      </c>
    </row>
    <row r="46" spans="1:26" s="24" customFormat="1" hidden="1" outlineLevel="2" x14ac:dyDescent="0.25">
      <c r="A46" s="25"/>
      <c r="B46" s="11" t="str">
        <f>CONCATENATE("          ", "6324", " - ", "FURNITURE + FIXT DEPRECIATION")</f>
        <v xml:space="preserve">          6324 - FURNITURE + FIXT DEPRECIATION</v>
      </c>
      <c r="C46" s="11"/>
      <c r="D46" s="7"/>
      <c r="E46" s="2"/>
      <c r="F46" s="6">
        <f t="shared" si="20"/>
        <v>0</v>
      </c>
      <c r="G46" s="2"/>
      <c r="H46" s="7">
        <v>300</v>
      </c>
      <c r="I46" s="2"/>
      <c r="J46" s="6">
        <f t="shared" si="21"/>
        <v>0</v>
      </c>
      <c r="K46" s="2"/>
      <c r="L46" s="7">
        <f t="shared" si="22"/>
        <v>-300</v>
      </c>
      <c r="M46" s="2"/>
      <c r="N46" s="6">
        <f t="shared" si="23"/>
        <v>-1</v>
      </c>
      <c r="O46" s="11"/>
      <c r="P46" s="7"/>
      <c r="Q46" s="2"/>
      <c r="R46" s="6">
        <f t="shared" si="24"/>
        <v>0</v>
      </c>
      <c r="S46" s="2"/>
      <c r="T46" s="7">
        <v>483</v>
      </c>
      <c r="U46" s="2"/>
      <c r="V46" s="6">
        <f t="shared" si="25"/>
        <v>2.415</v>
      </c>
      <c r="W46" s="2"/>
      <c r="X46" s="7">
        <f t="shared" si="26"/>
        <v>-483</v>
      </c>
      <c r="Y46" s="2"/>
      <c r="Z46" s="6">
        <f t="shared" si="27"/>
        <v>-1</v>
      </c>
    </row>
    <row r="47" spans="1:26" s="27" customFormat="1" outlineLevel="1" collapsed="1" x14ac:dyDescent="0.25">
      <c r="A47" s="26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SUM(OSRRefD22_4x_0)</f>
        <v>0</v>
      </c>
      <c r="E47" s="1"/>
      <c r="F47" s="5">
        <f t="shared" ref="F47:F57" si="28">IF(D$12=0,0,D47/D$12)</f>
        <v>0</v>
      </c>
      <c r="G47" s="1"/>
      <c r="H47" s="1">
        <f>SUM(OSRRefH22_4x_0)</f>
        <v>100</v>
      </c>
      <c r="I47" s="1"/>
      <c r="J47" s="5">
        <f t="shared" ref="J47:J57" si="29">IF(H$12=0,0,H47/H$12)</f>
        <v>0</v>
      </c>
      <c r="K47" s="1"/>
      <c r="L47" s="1">
        <f t="shared" ref="L47:L57" si="30">+D47-H47</f>
        <v>-100</v>
      </c>
      <c r="M47" s="1"/>
      <c r="N47" s="5">
        <f t="shared" ref="N47:N57" si="31">IF(H47=0,0,L47/H47)</f>
        <v>-1</v>
      </c>
      <c r="O47" s="13"/>
      <c r="P47" s="1">
        <f>SUM(OSRRefP22_4x_0)</f>
        <v>0</v>
      </c>
      <c r="Q47" s="1"/>
      <c r="R47" s="5">
        <f t="shared" ref="R47:R57" si="32">IF(P$12=0,0,P47/P$12)</f>
        <v>0</v>
      </c>
      <c r="S47" s="1"/>
      <c r="T47" s="1">
        <f>SUM(OSRRefT22_4x_0)</f>
        <v>700</v>
      </c>
      <c r="U47" s="1"/>
      <c r="V47" s="5">
        <f t="shared" ref="V47:V57" si="33">IF(T$12=0,0,T47/T$12)</f>
        <v>3.5</v>
      </c>
      <c r="W47" s="1"/>
      <c r="X47" s="1">
        <f t="shared" ref="X47:X57" si="34">+P47-T47</f>
        <v>-700</v>
      </c>
      <c r="Y47" s="1"/>
      <c r="Z47" s="5">
        <f t="shared" ref="Z47:Z57" si="35">IF(T47=0,0,X47/T47)</f>
        <v>-1</v>
      </c>
    </row>
    <row r="48" spans="1:26" s="24" customFormat="1" hidden="1" outlineLevel="2" x14ac:dyDescent="0.25">
      <c r="A48" s="25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28"/>
        <v>0</v>
      </c>
      <c r="G48" s="2"/>
      <c r="H48" s="7">
        <v>100</v>
      </c>
      <c r="I48" s="2"/>
      <c r="J48" s="6">
        <f t="shared" si="29"/>
        <v>0</v>
      </c>
      <c r="K48" s="2"/>
      <c r="L48" s="7">
        <f t="shared" si="30"/>
        <v>-100</v>
      </c>
      <c r="M48" s="2"/>
      <c r="N48" s="6">
        <f t="shared" si="31"/>
        <v>-1</v>
      </c>
      <c r="O48" s="11"/>
      <c r="P48" s="7"/>
      <c r="Q48" s="2"/>
      <c r="R48" s="6">
        <f t="shared" si="32"/>
        <v>0</v>
      </c>
      <c r="S48" s="2"/>
      <c r="T48" s="7">
        <v>700</v>
      </c>
      <c r="U48" s="2"/>
      <c r="V48" s="6">
        <f t="shared" si="33"/>
        <v>3.5</v>
      </c>
      <c r="W48" s="2"/>
      <c r="X48" s="7">
        <f t="shared" si="34"/>
        <v>-700</v>
      </c>
      <c r="Y48" s="2"/>
      <c r="Z48" s="6">
        <f t="shared" si="35"/>
        <v>-1</v>
      </c>
    </row>
    <row r="49" spans="1:26" s="27" customFormat="1" outlineLevel="1" collapsed="1" x14ac:dyDescent="0.25">
      <c r="A49" s="26"/>
      <c r="B49" s="13" t="str">
        <f>CONCATENATE("     ","Insurance                                         ")</f>
        <v xml:space="preserve">     Insurance                                         </v>
      </c>
      <c r="C49" s="13"/>
      <c r="D49" s="1">
        <f>SUM(OSRRefD22_5x_0)</f>
        <v>56.34</v>
      </c>
      <c r="E49" s="1"/>
      <c r="F49" s="5">
        <f t="shared" si="28"/>
        <v>0</v>
      </c>
      <c r="G49" s="1"/>
      <c r="H49" s="1">
        <f>SUM(OSRRefH22_5x_0)</f>
        <v>55</v>
      </c>
      <c r="I49" s="1"/>
      <c r="J49" s="5">
        <f t="shared" si="29"/>
        <v>0</v>
      </c>
      <c r="K49" s="1"/>
      <c r="L49" s="1">
        <f t="shared" si="30"/>
        <v>1.3400000000000034</v>
      </c>
      <c r="M49" s="1"/>
      <c r="N49" s="5">
        <f t="shared" si="31"/>
        <v>2.4363636363636424E-2</v>
      </c>
      <c r="O49" s="13"/>
      <c r="P49" s="1">
        <f>SUM(OSRRefP22_5x_0)</f>
        <v>394.38</v>
      </c>
      <c r="Q49" s="1"/>
      <c r="R49" s="5">
        <f t="shared" si="32"/>
        <v>0</v>
      </c>
      <c r="S49" s="1"/>
      <c r="T49" s="1">
        <f>SUM(OSRRefT22_5x_0)</f>
        <v>385</v>
      </c>
      <c r="U49" s="1"/>
      <c r="V49" s="5">
        <f t="shared" si="33"/>
        <v>1.925</v>
      </c>
      <c r="W49" s="1"/>
      <c r="X49" s="1">
        <f t="shared" si="34"/>
        <v>9.3799999999999955</v>
      </c>
      <c r="Y49" s="1"/>
      <c r="Z49" s="5">
        <f t="shared" si="35"/>
        <v>2.4363636363636351E-2</v>
      </c>
    </row>
    <row r="50" spans="1:26" s="24" customFormat="1" hidden="1" outlineLevel="2" x14ac:dyDescent="0.25">
      <c r="A50" s="25"/>
      <c r="B50" s="11" t="str">
        <f>CONCATENATE("          ", "6314", " - ", "LIABILITY INSURANCE")</f>
        <v xml:space="preserve">          6314 - LIABILITY INSURANCE</v>
      </c>
      <c r="C50" s="11"/>
      <c r="D50" s="7">
        <v>56.34</v>
      </c>
      <c r="E50" s="2"/>
      <c r="F50" s="6">
        <f t="shared" si="28"/>
        <v>0</v>
      </c>
      <c r="G50" s="2"/>
      <c r="H50" s="7">
        <v>55</v>
      </c>
      <c r="I50" s="2"/>
      <c r="J50" s="6">
        <f t="shared" si="29"/>
        <v>0</v>
      </c>
      <c r="K50" s="2"/>
      <c r="L50" s="7">
        <f t="shared" si="30"/>
        <v>1.3400000000000034</v>
      </c>
      <c r="M50" s="2"/>
      <c r="N50" s="6">
        <f t="shared" si="31"/>
        <v>2.4363636363636424E-2</v>
      </c>
      <c r="O50" s="11"/>
      <c r="P50" s="7">
        <v>394.38</v>
      </c>
      <c r="Q50" s="2"/>
      <c r="R50" s="6">
        <f t="shared" si="32"/>
        <v>0</v>
      </c>
      <c r="S50" s="2"/>
      <c r="T50" s="7">
        <v>385</v>
      </c>
      <c r="U50" s="2"/>
      <c r="V50" s="6">
        <f t="shared" si="33"/>
        <v>1.925</v>
      </c>
      <c r="W50" s="2"/>
      <c r="X50" s="7">
        <f t="shared" si="34"/>
        <v>9.3799999999999955</v>
      </c>
      <c r="Y50" s="2"/>
      <c r="Z50" s="6">
        <f t="shared" si="35"/>
        <v>2.4363636363636351E-2</v>
      </c>
    </row>
    <row r="51" spans="1:26" s="27" customFormat="1" outlineLevel="1" collapsed="1" x14ac:dyDescent="0.25">
      <c r="A51" s="26"/>
      <c r="B51" s="13" t="str">
        <f>CONCATENATE("     ","Professional Services                             ")</f>
        <v xml:space="preserve">     Professional Services                             </v>
      </c>
      <c r="C51" s="13"/>
      <c r="D51" s="1">
        <f>SUM(OSRRefD22_6x_0)</f>
        <v>0</v>
      </c>
      <c r="E51" s="1"/>
      <c r="F51" s="5">
        <f t="shared" si="28"/>
        <v>0</v>
      </c>
      <c r="G51" s="1"/>
      <c r="H51" s="1">
        <f>SUM(OSRRefH22_6x_0)</f>
        <v>500</v>
      </c>
      <c r="I51" s="1"/>
      <c r="J51" s="5">
        <f t="shared" si="29"/>
        <v>0</v>
      </c>
      <c r="K51" s="1"/>
      <c r="L51" s="1">
        <f t="shared" si="30"/>
        <v>-500</v>
      </c>
      <c r="M51" s="1"/>
      <c r="N51" s="5">
        <f t="shared" si="31"/>
        <v>-1</v>
      </c>
      <c r="O51" s="13"/>
      <c r="P51" s="1">
        <f>SUM(OSRRefP22_6x_0)</f>
        <v>0</v>
      </c>
      <c r="Q51" s="1"/>
      <c r="R51" s="5">
        <f t="shared" si="32"/>
        <v>0</v>
      </c>
      <c r="S51" s="1"/>
      <c r="T51" s="1">
        <f>SUM(OSRRefT22_6x_0)</f>
        <v>3500</v>
      </c>
      <c r="U51" s="1"/>
      <c r="V51" s="5">
        <f t="shared" si="33"/>
        <v>17.5</v>
      </c>
      <c r="W51" s="1"/>
      <c r="X51" s="1">
        <f t="shared" si="34"/>
        <v>-3500</v>
      </c>
      <c r="Y51" s="1"/>
      <c r="Z51" s="5">
        <f t="shared" si="35"/>
        <v>-1</v>
      </c>
    </row>
    <row r="52" spans="1:26" s="24" customFormat="1" hidden="1" outlineLevel="2" x14ac:dyDescent="0.25">
      <c r="A52" s="25"/>
      <c r="B52" s="11" t="str">
        <f>CONCATENATE("          ", "6332", " - ", "CONSULTANT FEES")</f>
        <v xml:space="preserve">          6332 - CONSULTANT FEES</v>
      </c>
      <c r="C52" s="11"/>
      <c r="D52" s="7"/>
      <c r="E52" s="2"/>
      <c r="F52" s="6">
        <f t="shared" si="28"/>
        <v>0</v>
      </c>
      <c r="G52" s="2"/>
      <c r="H52" s="7">
        <v>500</v>
      </c>
      <c r="I52" s="2"/>
      <c r="J52" s="6">
        <f t="shared" si="29"/>
        <v>0</v>
      </c>
      <c r="K52" s="2"/>
      <c r="L52" s="7">
        <f t="shared" si="30"/>
        <v>-500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3500</v>
      </c>
      <c r="U52" s="2"/>
      <c r="V52" s="6">
        <f t="shared" si="33"/>
        <v>17.5</v>
      </c>
      <c r="W52" s="2"/>
      <c r="X52" s="7">
        <f t="shared" si="34"/>
        <v>-3500</v>
      </c>
      <c r="Y52" s="2"/>
      <c r="Z52" s="6">
        <f t="shared" si="35"/>
        <v>-1</v>
      </c>
    </row>
    <row r="53" spans="1:26" s="27" customFormat="1" outlineLevel="1" collapsed="1" x14ac:dyDescent="0.25">
      <c r="A53" s="26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SUM(OSRRefD22_7x_0)</f>
        <v>9698.69</v>
      </c>
      <c r="E53" s="1"/>
      <c r="F53" s="5">
        <f t="shared" si="28"/>
        <v>0</v>
      </c>
      <c r="G53" s="1"/>
      <c r="H53" s="1">
        <f>SUM(OSRRefH22_7x_0)</f>
        <v>13100</v>
      </c>
      <c r="I53" s="1"/>
      <c r="J53" s="5">
        <f t="shared" si="29"/>
        <v>0</v>
      </c>
      <c r="K53" s="1"/>
      <c r="L53" s="1">
        <f t="shared" si="30"/>
        <v>-3401.3099999999995</v>
      </c>
      <c r="M53" s="1"/>
      <c r="N53" s="5">
        <f t="shared" si="31"/>
        <v>-0.2596419847328244</v>
      </c>
      <c r="O53" s="13"/>
      <c r="P53" s="1">
        <f>SUM(OSRRefP22_7x_0)</f>
        <v>67052.94</v>
      </c>
      <c r="Q53" s="1"/>
      <c r="R53" s="5">
        <f t="shared" si="32"/>
        <v>0</v>
      </c>
      <c r="S53" s="1"/>
      <c r="T53" s="1">
        <f>SUM(OSRRefT22_7x_0)</f>
        <v>80100</v>
      </c>
      <c r="U53" s="1"/>
      <c r="V53" s="5">
        <f t="shared" si="33"/>
        <v>400.5</v>
      </c>
      <c r="W53" s="1"/>
      <c r="X53" s="1">
        <f t="shared" si="34"/>
        <v>-13047.059999999998</v>
      </c>
      <c r="Y53" s="1"/>
      <c r="Z53" s="5">
        <f t="shared" si="35"/>
        <v>-0.16288464419475651</v>
      </c>
    </row>
    <row r="54" spans="1:26" s="24" customFormat="1" hidden="1" outlineLevel="2" x14ac:dyDescent="0.25">
      <c r="A54" s="25"/>
      <c r="B54" s="11" t="str">
        <f>CONCATENATE("          ", "6371", " - ", "COMPUTER SOFTWARE MAINTENANCE")</f>
        <v xml:space="preserve">          6371 - COMPUTER SOFTWARE MAINTENANCE</v>
      </c>
      <c r="C54" s="11"/>
      <c r="D54" s="7">
        <v>209.75</v>
      </c>
      <c r="E54" s="2"/>
      <c r="F54" s="6">
        <f t="shared" si="28"/>
        <v>0</v>
      </c>
      <c r="G54" s="2"/>
      <c r="H54" s="7">
        <v>500</v>
      </c>
      <c r="I54" s="2"/>
      <c r="J54" s="6">
        <f t="shared" si="29"/>
        <v>0</v>
      </c>
      <c r="K54" s="2"/>
      <c r="L54" s="7">
        <f t="shared" si="30"/>
        <v>-290.25</v>
      </c>
      <c r="M54" s="2"/>
      <c r="N54" s="6">
        <f t="shared" si="31"/>
        <v>-0.58050000000000002</v>
      </c>
      <c r="O54" s="11"/>
      <c r="P54" s="7">
        <v>755.45</v>
      </c>
      <c r="Q54" s="2"/>
      <c r="R54" s="6">
        <f t="shared" si="32"/>
        <v>0</v>
      </c>
      <c r="S54" s="2"/>
      <c r="T54" s="7">
        <v>4500</v>
      </c>
      <c r="U54" s="2"/>
      <c r="V54" s="6">
        <f t="shared" si="33"/>
        <v>22.5</v>
      </c>
      <c r="W54" s="2"/>
      <c r="X54" s="7">
        <f t="shared" si="34"/>
        <v>-3744.55</v>
      </c>
      <c r="Y54" s="2"/>
      <c r="Z54" s="6">
        <f t="shared" si="35"/>
        <v>-0.83212222222222221</v>
      </c>
    </row>
    <row r="55" spans="1:26" s="24" customFormat="1" hidden="1" outlineLevel="2" x14ac:dyDescent="0.25">
      <c r="A55" s="25"/>
      <c r="B55" s="11" t="str">
        <f>CONCATENATE("          ", "6372", " - ", "COMPUTER HARDWARE MAINTENANCE")</f>
        <v xml:space="preserve">          6372 - COMPUTER HARDWARE MAINTENANCE</v>
      </c>
      <c r="C55" s="11"/>
      <c r="D55" s="7"/>
      <c r="E55" s="2"/>
      <c r="F55" s="6">
        <f t="shared" si="28"/>
        <v>0</v>
      </c>
      <c r="G55" s="2"/>
      <c r="H55" s="7">
        <v>1000</v>
      </c>
      <c r="I55" s="2"/>
      <c r="J55" s="6">
        <f t="shared" si="29"/>
        <v>0</v>
      </c>
      <c r="K55" s="2"/>
      <c r="L55" s="7">
        <f t="shared" si="30"/>
        <v>-1000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6000</v>
      </c>
      <c r="U55" s="2"/>
      <c r="V55" s="6">
        <f t="shared" si="33"/>
        <v>30</v>
      </c>
      <c r="W55" s="2"/>
      <c r="X55" s="7">
        <f t="shared" si="34"/>
        <v>-6000</v>
      </c>
      <c r="Y55" s="2"/>
      <c r="Z55" s="6">
        <f t="shared" si="35"/>
        <v>-1</v>
      </c>
    </row>
    <row r="56" spans="1:26" s="24" customFormat="1" hidden="1" outlineLevel="2" x14ac:dyDescent="0.25">
      <c r="A56" s="25"/>
      <c r="B56" s="11" t="str">
        <f>CONCATENATE("          ", "6373", " - ", "MAINTENANCE CONTRACTS")</f>
        <v xml:space="preserve">          6373 - MAINTENANCE CONTRACTS</v>
      </c>
      <c r="C56" s="11"/>
      <c r="D56" s="7">
        <v>9488.94</v>
      </c>
      <c r="E56" s="2"/>
      <c r="F56" s="6">
        <f t="shared" si="28"/>
        <v>0</v>
      </c>
      <c r="G56" s="2"/>
      <c r="H56" s="7">
        <v>11600</v>
      </c>
      <c r="I56" s="2"/>
      <c r="J56" s="6">
        <f t="shared" si="29"/>
        <v>0</v>
      </c>
      <c r="K56" s="2"/>
      <c r="L56" s="7">
        <f t="shared" si="30"/>
        <v>-2111.0599999999995</v>
      </c>
      <c r="M56" s="2"/>
      <c r="N56" s="6">
        <f t="shared" si="31"/>
        <v>-0.18198793103448271</v>
      </c>
      <c r="O56" s="11"/>
      <c r="P56" s="7">
        <v>66139.090000000011</v>
      </c>
      <c r="Q56" s="2"/>
      <c r="R56" s="6">
        <f t="shared" si="32"/>
        <v>0</v>
      </c>
      <c r="S56" s="2"/>
      <c r="T56" s="7">
        <v>69600</v>
      </c>
      <c r="U56" s="2"/>
      <c r="V56" s="6">
        <f t="shared" si="33"/>
        <v>348</v>
      </c>
      <c r="W56" s="2"/>
      <c r="X56" s="7">
        <f t="shared" si="34"/>
        <v>-3460.9099999999889</v>
      </c>
      <c r="Y56" s="2"/>
      <c r="Z56" s="6">
        <f t="shared" si="35"/>
        <v>-4.972571839080444E-2</v>
      </c>
    </row>
    <row r="57" spans="1:26" s="24" customFormat="1" hidden="1" outlineLevel="2" x14ac:dyDescent="0.25">
      <c r="A57" s="25"/>
      <c r="B57" s="11" t="str">
        <f>CONCATENATE("          ", "6375", " - ", "OUTSIDE REPAIRS &amp; MAINTENANCE")</f>
        <v xml:space="preserve">          6375 - OUTSIDE REPAIRS &amp; MAINTENANCE</v>
      </c>
      <c r="C57" s="11"/>
      <c r="D57" s="7"/>
      <c r="E57" s="2"/>
      <c r="F57" s="6">
        <f t="shared" si="28"/>
        <v>0</v>
      </c>
      <c r="G57" s="2"/>
      <c r="H57" s="7"/>
      <c r="I57" s="2"/>
      <c r="J57" s="6">
        <f t="shared" si="29"/>
        <v>0</v>
      </c>
      <c r="K57" s="2"/>
      <c r="L57" s="7">
        <f t="shared" si="30"/>
        <v>0</v>
      </c>
      <c r="M57" s="2"/>
      <c r="N57" s="6">
        <f t="shared" si="31"/>
        <v>0</v>
      </c>
      <c r="O57" s="11"/>
      <c r="P57" s="7">
        <v>158.4</v>
      </c>
      <c r="Q57" s="2"/>
      <c r="R57" s="6">
        <f t="shared" si="32"/>
        <v>0</v>
      </c>
      <c r="S57" s="2"/>
      <c r="T57" s="7"/>
      <c r="U57" s="2"/>
      <c r="V57" s="6">
        <f t="shared" si="33"/>
        <v>0</v>
      </c>
      <c r="W57" s="2"/>
      <c r="X57" s="7">
        <f t="shared" si="34"/>
        <v>158.4</v>
      </c>
      <c r="Y57" s="2"/>
      <c r="Z57" s="6">
        <f t="shared" si="35"/>
        <v>0</v>
      </c>
    </row>
    <row r="58" spans="1:26" s="27" customFormat="1" outlineLevel="1" collapsed="1" x14ac:dyDescent="0.25">
      <c r="A58" s="26"/>
      <c r="B58" s="13" t="str">
        <f>CONCATENATE("     ","Subscriptions &amp; Dues                              ")</f>
        <v xml:space="preserve">     Subscriptions &amp; Dues                              </v>
      </c>
      <c r="C58" s="13"/>
      <c r="D58" s="1">
        <f>SUM(OSRRefD22_8x_0)</f>
        <v>0</v>
      </c>
      <c r="E58" s="1"/>
      <c r="F58" s="5">
        <f t="shared" ref="F58:F62" si="36">IF(D$12=0,0,D58/D$12)</f>
        <v>0</v>
      </c>
      <c r="G58" s="1"/>
      <c r="H58" s="1">
        <f>SUM(OSRRefH22_8x_0)</f>
        <v>100</v>
      </c>
      <c r="I58" s="1"/>
      <c r="J58" s="5">
        <f t="shared" ref="J58:J62" si="37">IF(H$12=0,0,H58/H$12)</f>
        <v>0</v>
      </c>
      <c r="K58" s="1"/>
      <c r="L58" s="1">
        <f t="shared" ref="L58:L62" si="38">+D58-H58</f>
        <v>-100</v>
      </c>
      <c r="M58" s="1"/>
      <c r="N58" s="5">
        <f t="shared" ref="N58:N62" si="39">IF(H58=0,0,L58/H58)</f>
        <v>-1</v>
      </c>
      <c r="O58" s="13"/>
      <c r="P58" s="1">
        <f>SUM(OSRRefP22_8x_0)</f>
        <v>0</v>
      </c>
      <c r="Q58" s="1"/>
      <c r="R58" s="5">
        <f t="shared" ref="R58:R62" si="40">IF(P$12=0,0,P58/P$12)</f>
        <v>0</v>
      </c>
      <c r="S58" s="1"/>
      <c r="T58" s="1">
        <f>SUM(OSRRefT22_8x_0)</f>
        <v>800</v>
      </c>
      <c r="U58" s="1"/>
      <c r="V58" s="5">
        <f t="shared" ref="V58:V62" si="41">IF(T$12=0,0,T58/T$12)</f>
        <v>4</v>
      </c>
      <c r="W58" s="1"/>
      <c r="X58" s="1">
        <f t="shared" ref="X58:X62" si="42">+P58-T58</f>
        <v>-800</v>
      </c>
      <c r="Y58" s="1"/>
      <c r="Z58" s="5">
        <f t="shared" ref="Z58:Z62" si="43">IF(T58=0,0,X58/T58)</f>
        <v>-1</v>
      </c>
    </row>
    <row r="59" spans="1:26" s="24" customFormat="1" hidden="1" outlineLevel="2" x14ac:dyDescent="0.25">
      <c r="A59" s="25"/>
      <c r="B59" s="11" t="str">
        <f>CONCATENATE("          ", "6275", " - ", "SUBSCRIPTIONS")</f>
        <v xml:space="preserve">          6275 - SUBSCRIPTIONS</v>
      </c>
      <c r="C59" s="11"/>
      <c r="D59" s="7"/>
      <c r="E59" s="2"/>
      <c r="F59" s="6">
        <f t="shared" si="36"/>
        <v>0</v>
      </c>
      <c r="G59" s="2"/>
      <c r="H59" s="7">
        <v>100</v>
      </c>
      <c r="I59" s="2"/>
      <c r="J59" s="6">
        <f t="shared" si="37"/>
        <v>0</v>
      </c>
      <c r="K59" s="2"/>
      <c r="L59" s="7">
        <f t="shared" si="38"/>
        <v>-100</v>
      </c>
      <c r="M59" s="2"/>
      <c r="N59" s="6">
        <f t="shared" si="39"/>
        <v>-1</v>
      </c>
      <c r="O59" s="11"/>
      <c r="P59" s="7"/>
      <c r="Q59" s="2"/>
      <c r="R59" s="6">
        <f t="shared" si="40"/>
        <v>0</v>
      </c>
      <c r="S59" s="2"/>
      <c r="T59" s="7">
        <v>800</v>
      </c>
      <c r="U59" s="2"/>
      <c r="V59" s="6">
        <f t="shared" si="41"/>
        <v>4</v>
      </c>
      <c r="W59" s="2"/>
      <c r="X59" s="7">
        <f t="shared" si="42"/>
        <v>-800</v>
      </c>
      <c r="Y59" s="2"/>
      <c r="Z59" s="6">
        <f t="shared" si="43"/>
        <v>-1</v>
      </c>
    </row>
    <row r="60" spans="1:26" s="27" customFormat="1" outlineLevel="1" collapsed="1" x14ac:dyDescent="0.25">
      <c r="A60" s="26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SUM(OSRRefD22_9x_0)</f>
        <v>1258.5899999999999</v>
      </c>
      <c r="E60" s="1"/>
      <c r="F60" s="5">
        <f t="shared" si="36"/>
        <v>0</v>
      </c>
      <c r="G60" s="1"/>
      <c r="H60" s="1">
        <f>SUM(OSRRefH22_9x_0)</f>
        <v>1100</v>
      </c>
      <c r="I60" s="1"/>
      <c r="J60" s="5">
        <f t="shared" si="37"/>
        <v>0</v>
      </c>
      <c r="K60" s="1"/>
      <c r="L60" s="1">
        <f t="shared" si="38"/>
        <v>158.58999999999992</v>
      </c>
      <c r="M60" s="1"/>
      <c r="N60" s="5">
        <f t="shared" si="39"/>
        <v>0.1441727272727272</v>
      </c>
      <c r="O60" s="13"/>
      <c r="P60" s="1">
        <f>SUM(OSRRefP22_9x_0)</f>
        <v>22290.230000000003</v>
      </c>
      <c r="Q60" s="1"/>
      <c r="R60" s="5">
        <f t="shared" si="40"/>
        <v>0</v>
      </c>
      <c r="S60" s="1"/>
      <c r="T60" s="1">
        <f>SUM(OSRRefT22_9x_0)</f>
        <v>3400</v>
      </c>
      <c r="U60" s="1"/>
      <c r="V60" s="5">
        <f t="shared" si="41"/>
        <v>17</v>
      </c>
      <c r="W60" s="1"/>
      <c r="X60" s="1">
        <f t="shared" si="42"/>
        <v>18890.230000000003</v>
      </c>
      <c r="Y60" s="1"/>
      <c r="Z60" s="5">
        <f t="shared" si="43"/>
        <v>5.5559500000000011</v>
      </c>
    </row>
    <row r="61" spans="1:26" s="24" customFormat="1" hidden="1" outlineLevel="2" x14ac:dyDescent="0.25">
      <c r="A61" s="25"/>
      <c r="B61" s="11" t="str">
        <f>CONCATENATE("          ", "6241", " - ", "OFFICE EXPENSE")</f>
        <v xml:space="preserve">          6241 - OFFICE EXPENSE</v>
      </c>
      <c r="C61" s="11"/>
      <c r="D61" s="7">
        <v>1258.5899999999999</v>
      </c>
      <c r="E61" s="2"/>
      <c r="F61" s="6">
        <f t="shared" si="36"/>
        <v>0</v>
      </c>
      <c r="G61" s="2"/>
      <c r="H61" s="7">
        <v>400</v>
      </c>
      <c r="I61" s="2"/>
      <c r="J61" s="6">
        <f t="shared" si="37"/>
        <v>0</v>
      </c>
      <c r="K61" s="2"/>
      <c r="L61" s="7">
        <f t="shared" si="38"/>
        <v>858.58999999999992</v>
      </c>
      <c r="M61" s="2"/>
      <c r="N61" s="6">
        <f t="shared" si="39"/>
        <v>2.1464749999999997</v>
      </c>
      <c r="O61" s="11"/>
      <c r="P61" s="7">
        <v>22290.230000000003</v>
      </c>
      <c r="Q61" s="2"/>
      <c r="R61" s="6">
        <f t="shared" si="40"/>
        <v>0</v>
      </c>
      <c r="S61" s="2"/>
      <c r="T61" s="7">
        <v>2700</v>
      </c>
      <c r="U61" s="2"/>
      <c r="V61" s="6">
        <f t="shared" si="41"/>
        <v>13.5</v>
      </c>
      <c r="W61" s="2"/>
      <c r="X61" s="7">
        <f t="shared" si="42"/>
        <v>19590.230000000003</v>
      </c>
      <c r="Y61" s="2"/>
      <c r="Z61" s="6">
        <f t="shared" si="43"/>
        <v>7.2556407407407422</v>
      </c>
    </row>
    <row r="62" spans="1:26" s="24" customFormat="1" hidden="1" outlineLevel="2" x14ac:dyDescent="0.25">
      <c r="A62" s="25"/>
      <c r="B62" s="11" t="str">
        <f>CONCATENATE("          ", "6248", " - ", "UNIFORMS")</f>
        <v xml:space="preserve">          6248 - UNIFORMS</v>
      </c>
      <c r="C62" s="11"/>
      <c r="D62" s="7"/>
      <c r="E62" s="2"/>
      <c r="F62" s="6">
        <f t="shared" si="36"/>
        <v>0</v>
      </c>
      <c r="G62" s="2"/>
      <c r="H62" s="7">
        <v>700</v>
      </c>
      <c r="I62" s="2"/>
      <c r="J62" s="6">
        <f t="shared" si="37"/>
        <v>0</v>
      </c>
      <c r="K62" s="2"/>
      <c r="L62" s="7">
        <f t="shared" si="38"/>
        <v>-700</v>
      </c>
      <c r="M62" s="2"/>
      <c r="N62" s="6">
        <f t="shared" si="39"/>
        <v>-1</v>
      </c>
      <c r="O62" s="11"/>
      <c r="P62" s="7"/>
      <c r="Q62" s="2"/>
      <c r="R62" s="6">
        <f t="shared" si="40"/>
        <v>0</v>
      </c>
      <c r="S62" s="2"/>
      <c r="T62" s="7">
        <v>700</v>
      </c>
      <c r="U62" s="2"/>
      <c r="V62" s="6">
        <f t="shared" si="41"/>
        <v>3.5</v>
      </c>
      <c r="W62" s="2"/>
      <c r="X62" s="7">
        <f t="shared" si="42"/>
        <v>-700</v>
      </c>
      <c r="Y62" s="2"/>
      <c r="Z62" s="6">
        <f t="shared" si="43"/>
        <v>-1</v>
      </c>
    </row>
    <row r="63" spans="1:26" s="27" customFormat="1" outlineLevel="1" collapsed="1" x14ac:dyDescent="0.25">
      <c r="A63" s="26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SUM(OSRRefD22_10x_0)</f>
        <v>869.23</v>
      </c>
      <c r="E63" s="1"/>
      <c r="F63" s="5">
        <f t="shared" ref="F63:F65" si="44">IF(D$12=0,0,D63/D$12)</f>
        <v>0</v>
      </c>
      <c r="G63" s="1"/>
      <c r="H63" s="1">
        <f>SUM(OSRRefH22_10x_0)</f>
        <v>450</v>
      </c>
      <c r="I63" s="1"/>
      <c r="J63" s="5">
        <f t="shared" ref="J63:J65" si="45">IF(H$12=0,0,H63/H$12)</f>
        <v>0</v>
      </c>
      <c r="K63" s="1"/>
      <c r="L63" s="1">
        <f t="shared" ref="L63:L65" si="46">+D63-H63</f>
        <v>419.23</v>
      </c>
      <c r="M63" s="1"/>
      <c r="N63" s="5">
        <f t="shared" ref="N63:N65" si="47">IF(H63=0,0,L63/H63)</f>
        <v>0.93162222222222224</v>
      </c>
      <c r="O63" s="13"/>
      <c r="P63" s="1">
        <f>SUM(OSRRefP22_10x_0)</f>
        <v>9601.35</v>
      </c>
      <c r="Q63" s="1"/>
      <c r="R63" s="5">
        <f t="shared" ref="R63:R65" si="48">IF(P$12=0,0,P63/P$12)</f>
        <v>0</v>
      </c>
      <c r="S63" s="1"/>
      <c r="T63" s="1">
        <f>SUM(OSRRefT22_10x_0)</f>
        <v>3250</v>
      </c>
      <c r="U63" s="1"/>
      <c r="V63" s="5">
        <f t="shared" ref="V63:V65" si="49">IF(T$12=0,0,T63/T$12)</f>
        <v>16.25</v>
      </c>
      <c r="W63" s="1"/>
      <c r="X63" s="1">
        <f t="shared" ref="X63:X65" si="50">+P63-T63</f>
        <v>6351.35</v>
      </c>
      <c r="Y63" s="1"/>
      <c r="Z63" s="5">
        <f t="shared" ref="Z63:Z65" si="51">IF(T63=0,0,X63/T63)</f>
        <v>1.9542615384615385</v>
      </c>
    </row>
    <row r="64" spans="1:26" s="24" customFormat="1" hidden="1" outlineLevel="2" x14ac:dyDescent="0.25">
      <c r="A64" s="25"/>
      <c r="B64" s="11" t="str">
        <f>CONCATENATE("          ", "6303", " - ", "DATA PHONE LINES")</f>
        <v xml:space="preserve">          6303 - DATA PHONE LINES</v>
      </c>
      <c r="C64" s="11"/>
      <c r="D64" s="7">
        <v>78.989999999999995</v>
      </c>
      <c r="E64" s="2"/>
      <c r="F64" s="6">
        <f t="shared" si="44"/>
        <v>0</v>
      </c>
      <c r="G64" s="2"/>
      <c r="H64" s="7">
        <v>200</v>
      </c>
      <c r="I64" s="2"/>
      <c r="J64" s="6">
        <f t="shared" si="45"/>
        <v>0</v>
      </c>
      <c r="K64" s="2"/>
      <c r="L64" s="7">
        <f t="shared" si="46"/>
        <v>-121.01</v>
      </c>
      <c r="M64" s="2"/>
      <c r="N64" s="6">
        <f t="shared" si="47"/>
        <v>-0.60504999999999998</v>
      </c>
      <c r="O64" s="11"/>
      <c r="P64" s="7">
        <v>1105.06</v>
      </c>
      <c r="Q64" s="2"/>
      <c r="R64" s="6">
        <f t="shared" si="48"/>
        <v>0</v>
      </c>
      <c r="S64" s="2"/>
      <c r="T64" s="7">
        <v>1500</v>
      </c>
      <c r="U64" s="2"/>
      <c r="V64" s="6">
        <f t="shared" si="49"/>
        <v>7.5</v>
      </c>
      <c r="W64" s="2"/>
      <c r="X64" s="7">
        <f t="shared" si="50"/>
        <v>-394.94000000000005</v>
      </c>
      <c r="Y64" s="2"/>
      <c r="Z64" s="6">
        <f t="shared" si="51"/>
        <v>-0.26329333333333338</v>
      </c>
    </row>
    <row r="65" spans="1:26" s="24" customFormat="1" hidden="1" outlineLevel="2" x14ac:dyDescent="0.25">
      <c r="A65" s="25"/>
      <c r="B65" s="11" t="str">
        <f>CONCATENATE("          ", "6309", " - ", "TELEPHONE")</f>
        <v xml:space="preserve">          6309 - TELEPHONE</v>
      </c>
      <c r="C65" s="11"/>
      <c r="D65" s="7">
        <v>790.24</v>
      </c>
      <c r="E65" s="2"/>
      <c r="F65" s="6">
        <f t="shared" si="44"/>
        <v>0</v>
      </c>
      <c r="G65" s="2"/>
      <c r="H65" s="7">
        <v>250</v>
      </c>
      <c r="I65" s="2"/>
      <c r="J65" s="6">
        <f t="shared" si="45"/>
        <v>0</v>
      </c>
      <c r="K65" s="2"/>
      <c r="L65" s="7">
        <f t="shared" si="46"/>
        <v>540.24</v>
      </c>
      <c r="M65" s="2"/>
      <c r="N65" s="6">
        <f t="shared" si="47"/>
        <v>2.1609600000000002</v>
      </c>
      <c r="O65" s="11"/>
      <c r="P65" s="7">
        <v>8496.2900000000009</v>
      </c>
      <c r="Q65" s="2"/>
      <c r="R65" s="6">
        <f t="shared" si="48"/>
        <v>0</v>
      </c>
      <c r="S65" s="2"/>
      <c r="T65" s="7">
        <v>1750</v>
      </c>
      <c r="U65" s="2"/>
      <c r="V65" s="6">
        <f t="shared" si="49"/>
        <v>8.75</v>
      </c>
      <c r="W65" s="2"/>
      <c r="X65" s="7">
        <f t="shared" si="50"/>
        <v>6746.2900000000009</v>
      </c>
      <c r="Y65" s="2"/>
      <c r="Z65" s="6">
        <f t="shared" si="51"/>
        <v>3.8550228571428575</v>
      </c>
    </row>
    <row r="66" spans="1:26" s="27" customFormat="1" outlineLevel="1" collapsed="1" x14ac:dyDescent="0.25">
      <c r="A66" s="26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SUM(OSRRefD22_11x_0)</f>
        <v>920.99</v>
      </c>
      <c r="E66" s="1"/>
      <c r="F66" s="5">
        <f t="shared" ref="F66:F70" si="52">IF(D$12=0,0,D66/D$12)</f>
        <v>0</v>
      </c>
      <c r="G66" s="1"/>
      <c r="H66" s="1">
        <f>SUM(OSRRefH22_11x_0)</f>
        <v>1000</v>
      </c>
      <c r="I66" s="1"/>
      <c r="J66" s="5">
        <f t="shared" ref="J66:J70" si="53">IF(H$12=0,0,H66/H$12)</f>
        <v>0</v>
      </c>
      <c r="K66" s="1"/>
      <c r="L66" s="1">
        <f t="shared" ref="L66:L70" si="54">+D66-H66</f>
        <v>-79.009999999999991</v>
      </c>
      <c r="M66" s="1"/>
      <c r="N66" s="5">
        <f t="shared" ref="N66:N70" si="55">IF(H66=0,0,L66/H66)</f>
        <v>-7.9009999999999997E-2</v>
      </c>
      <c r="O66" s="13"/>
      <c r="P66" s="1">
        <f>SUM(OSRRefP22_11x_0)</f>
        <v>1404.05</v>
      </c>
      <c r="Q66" s="1"/>
      <c r="R66" s="5">
        <f t="shared" ref="R66:R70" si="56">IF(P$12=0,0,P66/P$12)</f>
        <v>0</v>
      </c>
      <c r="S66" s="1"/>
      <c r="T66" s="1">
        <f>SUM(OSRRefT22_11x_0)</f>
        <v>7000</v>
      </c>
      <c r="U66" s="1"/>
      <c r="V66" s="5">
        <f t="shared" ref="V66:V70" si="57">IF(T$12=0,0,T66/T$12)</f>
        <v>35</v>
      </c>
      <c r="W66" s="1"/>
      <c r="X66" s="1">
        <f t="shared" ref="X66:X70" si="58">+P66-T66</f>
        <v>-5595.95</v>
      </c>
      <c r="Y66" s="1"/>
      <c r="Z66" s="5">
        <f t="shared" ref="Z66:Z70" si="59">IF(T66=0,0,X66/T66)</f>
        <v>-0.79942142857142851</v>
      </c>
    </row>
    <row r="67" spans="1:26" s="24" customFormat="1" hidden="1" outlineLevel="2" x14ac:dyDescent="0.25">
      <c r="A67" s="25"/>
      <c r="B67" s="11" t="str">
        <f>CONCATENATE("          ", "6376", " - ", "TRAINING")</f>
        <v xml:space="preserve">          6376 - TRAINING</v>
      </c>
      <c r="C67" s="11"/>
      <c r="D67" s="7">
        <v>920.99</v>
      </c>
      <c r="E67" s="2"/>
      <c r="F67" s="6">
        <f t="shared" si="52"/>
        <v>0</v>
      </c>
      <c r="G67" s="2"/>
      <c r="H67" s="7">
        <v>1000</v>
      </c>
      <c r="I67" s="2"/>
      <c r="J67" s="6">
        <f t="shared" si="53"/>
        <v>0</v>
      </c>
      <c r="K67" s="2"/>
      <c r="L67" s="7">
        <f t="shared" si="54"/>
        <v>-79.009999999999991</v>
      </c>
      <c r="M67" s="2"/>
      <c r="N67" s="6">
        <f t="shared" si="55"/>
        <v>-7.9009999999999997E-2</v>
      </c>
      <c r="O67" s="11"/>
      <c r="P67" s="7">
        <v>1404.05</v>
      </c>
      <c r="Q67" s="2"/>
      <c r="R67" s="6">
        <f t="shared" si="56"/>
        <v>0</v>
      </c>
      <c r="S67" s="2"/>
      <c r="T67" s="7">
        <v>7000</v>
      </c>
      <c r="U67" s="2"/>
      <c r="V67" s="6">
        <f t="shared" si="57"/>
        <v>35</v>
      </c>
      <c r="W67" s="2"/>
      <c r="X67" s="7">
        <f t="shared" si="58"/>
        <v>-5595.95</v>
      </c>
      <c r="Y67" s="2"/>
      <c r="Z67" s="6">
        <f t="shared" si="59"/>
        <v>-0.79942142857142851</v>
      </c>
    </row>
    <row r="68" spans="1:26" s="27" customFormat="1" outlineLevel="1" collapsed="1" x14ac:dyDescent="0.25">
      <c r="A68" s="26"/>
      <c r="B68" s="13" t="str">
        <f>CONCATENATE("     ","Travel                                            ")</f>
        <v xml:space="preserve">     Travel                                            </v>
      </c>
      <c r="C68" s="13"/>
      <c r="D68" s="1">
        <f>SUM(OSRRefD22_12x_0)</f>
        <v>0</v>
      </c>
      <c r="E68" s="1"/>
      <c r="F68" s="5">
        <f t="shared" si="52"/>
        <v>0</v>
      </c>
      <c r="G68" s="1"/>
      <c r="H68" s="1">
        <f>SUM(OSRRefH22_12x_0)</f>
        <v>1500</v>
      </c>
      <c r="I68" s="1"/>
      <c r="J68" s="5">
        <f t="shared" si="53"/>
        <v>0</v>
      </c>
      <c r="K68" s="1"/>
      <c r="L68" s="1">
        <f t="shared" si="54"/>
        <v>-1500</v>
      </c>
      <c r="M68" s="1"/>
      <c r="N68" s="5">
        <f t="shared" si="55"/>
        <v>-1</v>
      </c>
      <c r="O68" s="13"/>
      <c r="P68" s="1">
        <f>SUM(OSRRefP22_12x_0)</f>
        <v>1383.21</v>
      </c>
      <c r="Q68" s="1"/>
      <c r="R68" s="5">
        <f t="shared" si="56"/>
        <v>0</v>
      </c>
      <c r="S68" s="1"/>
      <c r="T68" s="1">
        <f>SUM(OSRRefT22_12x_0)</f>
        <v>7500</v>
      </c>
      <c r="U68" s="1"/>
      <c r="V68" s="5">
        <f t="shared" si="57"/>
        <v>37.5</v>
      </c>
      <c r="W68" s="1"/>
      <c r="X68" s="1">
        <f t="shared" si="58"/>
        <v>-6116.79</v>
      </c>
      <c r="Y68" s="1"/>
      <c r="Z68" s="5">
        <f t="shared" si="59"/>
        <v>-0.81557199999999996</v>
      </c>
    </row>
    <row r="69" spans="1:26" s="24" customFormat="1" hidden="1" outlineLevel="2" x14ac:dyDescent="0.25">
      <c r="A69" s="25"/>
      <c r="B69" s="11" t="str">
        <f>CONCATENATE("          ", "6292", " - ", "TRAVEL/CONFERENCE")</f>
        <v xml:space="preserve">          6292 - TRAVEL/CONFERENCE</v>
      </c>
      <c r="C69" s="11"/>
      <c r="D69" s="7"/>
      <c r="E69" s="2"/>
      <c r="F69" s="6">
        <f t="shared" si="52"/>
        <v>0</v>
      </c>
      <c r="G69" s="2"/>
      <c r="H69" s="7">
        <v>1500</v>
      </c>
      <c r="I69" s="2"/>
      <c r="J69" s="6">
        <f t="shared" si="53"/>
        <v>0</v>
      </c>
      <c r="K69" s="2"/>
      <c r="L69" s="7">
        <f t="shared" si="54"/>
        <v>-1500</v>
      </c>
      <c r="M69" s="2"/>
      <c r="N69" s="6">
        <f t="shared" si="55"/>
        <v>-1</v>
      </c>
      <c r="O69" s="11"/>
      <c r="P69" s="7">
        <v>1359.31</v>
      </c>
      <c r="Q69" s="2"/>
      <c r="R69" s="6">
        <f t="shared" si="56"/>
        <v>0</v>
      </c>
      <c r="S69" s="2"/>
      <c r="T69" s="7">
        <v>7500</v>
      </c>
      <c r="U69" s="2"/>
      <c r="V69" s="6">
        <f t="shared" si="57"/>
        <v>37.5</v>
      </c>
      <c r="W69" s="2"/>
      <c r="X69" s="7">
        <f t="shared" si="58"/>
        <v>-6140.6900000000005</v>
      </c>
      <c r="Y69" s="2"/>
      <c r="Z69" s="6">
        <f t="shared" si="59"/>
        <v>-0.81875866666666675</v>
      </c>
    </row>
    <row r="70" spans="1:26" s="24" customFormat="1" hidden="1" outlineLevel="2" x14ac:dyDescent="0.25">
      <c r="A70" s="25"/>
      <c r="B70" s="11" t="str">
        <f>CONCATENATE("          ", "6294", " - ", "TRAVEL OPERATIONAL")</f>
        <v xml:space="preserve">          6294 - TRAVEL OPERATIONAL</v>
      </c>
      <c r="C70" s="11"/>
      <c r="D70" s="7"/>
      <c r="E70" s="2"/>
      <c r="F70" s="6">
        <f t="shared" si="52"/>
        <v>0</v>
      </c>
      <c r="G70" s="2"/>
      <c r="H70" s="7"/>
      <c r="I70" s="2"/>
      <c r="J70" s="6">
        <f t="shared" si="53"/>
        <v>0</v>
      </c>
      <c r="K70" s="2"/>
      <c r="L70" s="7">
        <f t="shared" si="54"/>
        <v>0</v>
      </c>
      <c r="M70" s="2"/>
      <c r="N70" s="6">
        <f t="shared" si="55"/>
        <v>0</v>
      </c>
      <c r="O70" s="11"/>
      <c r="P70" s="7">
        <v>23.9</v>
      </c>
      <c r="Q70" s="2"/>
      <c r="R70" s="6">
        <f t="shared" si="56"/>
        <v>0</v>
      </c>
      <c r="S70" s="2"/>
      <c r="T70" s="7"/>
      <c r="U70" s="2"/>
      <c r="V70" s="6">
        <f t="shared" si="57"/>
        <v>0</v>
      </c>
      <c r="W70" s="2"/>
      <c r="X70" s="7">
        <f t="shared" si="58"/>
        <v>23.9</v>
      </c>
      <c r="Y70" s="2"/>
      <c r="Z70" s="6">
        <f t="shared" si="59"/>
        <v>0</v>
      </c>
    </row>
    <row r="71" spans="1:26" s="53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8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9" t="s">
        <v>3</v>
      </c>
      <c r="C74" s="29"/>
      <c r="D74" s="21">
        <f>+D17-D19+D72</f>
        <v>-64226.119999999995</v>
      </c>
      <c r="E74" s="14"/>
      <c r="F74" s="20">
        <f>IF(D$12=0,0,D74/D$12)</f>
        <v>0</v>
      </c>
      <c r="G74" s="14"/>
      <c r="H74" s="21">
        <f>+H17-H19+H72</f>
        <v>-76558.390358153847</v>
      </c>
      <c r="I74" s="14"/>
      <c r="J74" s="20">
        <f>IF(H$12=0,0,H74/H$12)</f>
        <v>0</v>
      </c>
      <c r="K74" s="16"/>
      <c r="L74" s="21">
        <f>+D74-H74</f>
        <v>12332.270358153852</v>
      </c>
      <c r="M74" s="16"/>
      <c r="N74" s="20">
        <f>IF(H74=0,0,L74/H74)</f>
        <v>-0.16108319807223329</v>
      </c>
      <c r="O74" s="28"/>
      <c r="P74" s="21">
        <f>+P17-P19+P72</f>
        <v>-424825.43</v>
      </c>
      <c r="Q74" s="14"/>
      <c r="R74" s="20">
        <f>IF(P$12=0,0,P74/P$12)</f>
        <v>0</v>
      </c>
      <c r="S74" s="14"/>
      <c r="T74" s="21">
        <f>+T17-T19+T72</f>
        <v>-473461.23440276907</v>
      </c>
      <c r="U74" s="14"/>
      <c r="V74" s="20">
        <f>IF(T$12=0,0,T74/T$12)</f>
        <v>-2367.3061720138453</v>
      </c>
      <c r="W74" s="16"/>
      <c r="X74" s="21">
        <f>+P74-T74</f>
        <v>48635.804402769078</v>
      </c>
      <c r="Y74" s="16"/>
      <c r="Z74" s="20">
        <f>IF(T74=0,0,X74/T74)</f>
        <v>-0.10272394204378527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14</v>
      </c>
      <c r="C76" s="10"/>
      <c r="D76" s="4"/>
      <c r="E76" s="4"/>
      <c r="F76" s="12">
        <f>IF(D$12=0,0,D76/D$12)</f>
        <v>0</v>
      </c>
      <c r="G76" s="4"/>
      <c r="H76" s="4"/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/>
      <c r="Q76" s="4"/>
      <c r="R76" s="12">
        <f>IF(P$12=0,0,P76/P$12)</f>
        <v>0</v>
      </c>
      <c r="S76" s="4"/>
      <c r="T76" s="4"/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4</v>
      </c>
      <c r="C78" s="29"/>
      <c r="D78" s="34">
        <f>+D74-D76</f>
        <v>-64226.119999999995</v>
      </c>
      <c r="E78" s="14"/>
      <c r="F78" s="32">
        <f>IF(D$12=0,0,D78/D$12)</f>
        <v>0</v>
      </c>
      <c r="G78" s="14"/>
      <c r="H78" s="34">
        <f>+H74-H76</f>
        <v>-76558.390358153847</v>
      </c>
      <c r="I78" s="14"/>
      <c r="J78" s="32">
        <f>IF(H$12=0,0,H78/H$12)</f>
        <v>0</v>
      </c>
      <c r="K78" s="16"/>
      <c r="L78" s="34">
        <f>D78-H78</f>
        <v>12332.270358153852</v>
      </c>
      <c r="M78" s="16"/>
      <c r="N78" s="32">
        <f>IF(H78=0,0,L78/H78)</f>
        <v>-0.16108319807223329</v>
      </c>
      <c r="O78" s="28"/>
      <c r="P78" s="34">
        <f>+P74-P76</f>
        <v>-424825.43</v>
      </c>
      <c r="Q78" s="14"/>
      <c r="R78" s="32">
        <f>IF(P$12=0,0,P78/P$12)</f>
        <v>0</v>
      </c>
      <c r="S78" s="14"/>
      <c r="T78" s="34">
        <f>+T74-T76</f>
        <v>-473461.23440276907</v>
      </c>
      <c r="U78" s="14"/>
      <c r="V78" s="32">
        <f>IF(T$12=0,0,T78/T$12)</f>
        <v>-2367.3061720138453</v>
      </c>
      <c r="W78" s="16"/>
      <c r="X78" s="34">
        <f>P78-T78</f>
        <v>48635.804402769078</v>
      </c>
      <c r="Y78" s="16"/>
      <c r="Z78" s="32">
        <f>IF(T78=0,0,X78/T78)</f>
        <v>-0.10272394204378527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5</v>
      </c>
      <c r="C81" s="29"/>
      <c r="D81" s="31">
        <f>SUM(D78:D80)</f>
        <v>-64226.119999999995</v>
      </c>
      <c r="E81" s="14"/>
      <c r="F81" s="30">
        <f>IF(D$12=0,0,D81/D$12)</f>
        <v>0</v>
      </c>
      <c r="G81" s="14"/>
      <c r="H81" s="31">
        <f>SUM(H78:H80)</f>
        <v>-76558.390358153847</v>
      </c>
      <c r="I81" s="14"/>
      <c r="J81" s="30">
        <f>IF(H$12=0,0,H81/H$12)</f>
        <v>0</v>
      </c>
      <c r="K81" s="16"/>
      <c r="L81" s="31">
        <f>+D81-H81</f>
        <v>12332.270358153852</v>
      </c>
      <c r="M81" s="16"/>
      <c r="N81" s="30">
        <f>IF(H81=0,0,L81/H81)</f>
        <v>-0.16108319807223329</v>
      </c>
      <c r="O81" s="28"/>
      <c r="P81" s="31">
        <f>SUM(P78:P80)</f>
        <v>-424825.43</v>
      </c>
      <c r="Q81" s="14"/>
      <c r="R81" s="30">
        <f>IF(P$12=0,0,P81/P$12)</f>
        <v>0</v>
      </c>
      <c r="S81" s="14"/>
      <c r="T81" s="31">
        <f>SUM(T78:T80)</f>
        <v>-473461.23440276907</v>
      </c>
      <c r="U81" s="14"/>
      <c r="V81" s="30">
        <f>IF(T$12=0,0,T81/T$12)</f>
        <v>-2367.3061720138453</v>
      </c>
      <c r="W81" s="16"/>
      <c r="X81" s="31">
        <f>+P81-T81</f>
        <v>48635.804402769078</v>
      </c>
      <c r="Y81" s="16"/>
      <c r="Z81" s="30">
        <f>IF(T81=0,0,X81/T81)</f>
        <v>-0.10272394204378527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6" x14ac:dyDescent="0.25">
      <c r="A83" s="9"/>
      <c r="B83" s="63">
        <v>43879.546000613424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7" t="s">
        <v>314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60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","205", " - ", "Maintenance")</f>
        <v>Department 205 - Maintenance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9742.5400000000009</v>
      </c>
      <c r="E18" s="22"/>
      <c r="F18" s="35">
        <f t="shared" ref="F18:F28" si="0">IF(D$12=0,0,D18/D$12)</f>
        <v>0</v>
      </c>
      <c r="G18" s="22"/>
      <c r="H18" s="22">
        <f>SUM(OSRRefH22x_0)</f>
        <v>8957.3863066730846</v>
      </c>
      <c r="I18" s="22"/>
      <c r="J18" s="35">
        <f t="shared" ref="J18:J28" si="1">IF(H$12=0,0,H18/H$12)</f>
        <v>0</v>
      </c>
      <c r="K18" s="4"/>
      <c r="L18" s="22">
        <f t="shared" ref="L18:L28" si="2">+D18-H18</f>
        <v>785.15369332691625</v>
      </c>
      <c r="M18" s="4"/>
      <c r="N18" s="35">
        <f t="shared" ref="N18:N28" si="3">IF(H18=0,0,L18/H18)</f>
        <v>8.7654329783900406E-2</v>
      </c>
      <c r="O18" s="10"/>
      <c r="P18" s="22">
        <f>SUM(OSRRefP22x_0)</f>
        <v>59625.219999999994</v>
      </c>
      <c r="Q18" s="22"/>
      <c r="R18" s="35">
        <f t="shared" ref="R18:R28" si="4">IF(P$12=0,0,P18/P$12)</f>
        <v>0</v>
      </c>
      <c r="S18" s="22"/>
      <c r="T18" s="22">
        <f>SUM(OSRRefT22x_0)</f>
        <v>60414.195101373087</v>
      </c>
      <c r="U18" s="22"/>
      <c r="V18" s="35">
        <f t="shared" ref="V18:V28" si="5">IF(T$12=0,0,T18/T$12)</f>
        <v>0</v>
      </c>
      <c r="W18" s="4"/>
      <c r="X18" s="22">
        <f t="shared" ref="X18:X28" si="6">+P18-T18</f>
        <v>-788.97510137309291</v>
      </c>
      <c r="Y18" s="4"/>
      <c r="Z18" s="35">
        <f t="shared" ref="Z18:Z28" si="7">IF(T18=0,0,X18/T18)</f>
        <v>-1.305943247359694E-2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2737.1899999999996</v>
      </c>
      <c r="E19" s="1"/>
      <c r="F19" s="5">
        <f t="shared" si="0"/>
        <v>0</v>
      </c>
      <c r="G19" s="1"/>
      <c r="H19" s="1">
        <f>SUM(OSRRefH22_0x_0)</f>
        <v>2665.227902826924</v>
      </c>
      <c r="I19" s="1"/>
      <c r="J19" s="5">
        <f t="shared" si="1"/>
        <v>0</v>
      </c>
      <c r="K19" s="1"/>
      <c r="L19" s="1">
        <f t="shared" si="2"/>
        <v>71.962097173075563</v>
      </c>
      <c r="M19" s="1"/>
      <c r="N19" s="5">
        <f t="shared" si="3"/>
        <v>2.7000354114838591E-2</v>
      </c>
      <c r="O19" s="13"/>
      <c r="P19" s="1">
        <f>SUM(OSRRefP22_0x_0)</f>
        <v>18998.84</v>
      </c>
      <c r="Q19" s="1"/>
      <c r="R19" s="5">
        <f t="shared" si="4"/>
        <v>0</v>
      </c>
      <c r="S19" s="1"/>
      <c r="T19" s="1">
        <f>SUM(OSRRefT22_0x_0)</f>
        <v>17174.812997526926</v>
      </c>
      <c r="U19" s="1"/>
      <c r="V19" s="5">
        <f t="shared" si="5"/>
        <v>0</v>
      </c>
      <c r="W19" s="1"/>
      <c r="X19" s="1">
        <f t="shared" si="6"/>
        <v>1824.0270024730744</v>
      </c>
      <c r="Y19" s="1"/>
      <c r="Z19" s="5">
        <f t="shared" si="7"/>
        <v>0.10620360191029293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336.64</v>
      </c>
      <c r="E20" s="2"/>
      <c r="F20" s="6">
        <f t="shared" si="0"/>
        <v>0</v>
      </c>
      <c r="G20" s="2"/>
      <c r="H20" s="7">
        <v>401.75438994230797</v>
      </c>
      <c r="I20" s="2"/>
      <c r="J20" s="6">
        <f t="shared" si="1"/>
        <v>0</v>
      </c>
      <c r="K20" s="2"/>
      <c r="L20" s="7">
        <f t="shared" si="2"/>
        <v>-65.11438994230798</v>
      </c>
      <c r="M20" s="2"/>
      <c r="N20" s="6">
        <f t="shared" si="3"/>
        <v>-0.1620751174658189</v>
      </c>
      <c r="O20" s="11"/>
      <c r="P20" s="7">
        <v>2460.44</v>
      </c>
      <c r="Q20" s="2"/>
      <c r="R20" s="6">
        <f t="shared" si="4"/>
        <v>0</v>
      </c>
      <c r="S20" s="2"/>
      <c r="T20" s="7">
        <v>2490.8772176423081</v>
      </c>
      <c r="U20" s="2"/>
      <c r="V20" s="6">
        <f t="shared" si="5"/>
        <v>0</v>
      </c>
      <c r="W20" s="2"/>
      <c r="X20" s="7">
        <f t="shared" si="6"/>
        <v>-30.437217642308042</v>
      </c>
      <c r="Y20" s="2"/>
      <c r="Z20" s="6">
        <f t="shared" si="7"/>
        <v>-1.2219477309731792E-2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292.58999999999997</v>
      </c>
      <c r="E21" s="2"/>
      <c r="F21" s="6">
        <f t="shared" si="0"/>
        <v>0</v>
      </c>
      <c r="G21" s="2"/>
      <c r="H21" s="7">
        <v>355.40013326923099</v>
      </c>
      <c r="I21" s="2"/>
      <c r="J21" s="6">
        <f t="shared" si="1"/>
        <v>0</v>
      </c>
      <c r="K21" s="2"/>
      <c r="L21" s="7">
        <f t="shared" si="2"/>
        <v>-62.810133269231017</v>
      </c>
      <c r="M21" s="2"/>
      <c r="N21" s="6">
        <f t="shared" si="3"/>
        <v>-0.17673075328210308</v>
      </c>
      <c r="O21" s="11"/>
      <c r="P21" s="7">
        <v>1813.41</v>
      </c>
      <c r="Q21" s="2"/>
      <c r="R21" s="6">
        <f t="shared" si="4"/>
        <v>0</v>
      </c>
      <c r="S21" s="2"/>
      <c r="T21" s="7">
        <v>2203.4808262692331</v>
      </c>
      <c r="U21" s="2"/>
      <c r="V21" s="6">
        <f t="shared" si="5"/>
        <v>0</v>
      </c>
      <c r="W21" s="2"/>
      <c r="X21" s="7">
        <f t="shared" si="6"/>
        <v>-390.07082626923307</v>
      </c>
      <c r="Y21" s="2"/>
      <c r="Z21" s="6">
        <f t="shared" si="7"/>
        <v>-0.17702483344485073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696.16</v>
      </c>
      <c r="E22" s="2"/>
      <c r="F22" s="6">
        <f t="shared" si="0"/>
        <v>0</v>
      </c>
      <c r="G22" s="2"/>
      <c r="H22" s="7">
        <v>663</v>
      </c>
      <c r="I22" s="2"/>
      <c r="J22" s="6">
        <f t="shared" si="1"/>
        <v>0</v>
      </c>
      <c r="K22" s="2"/>
      <c r="L22" s="7">
        <f t="shared" si="2"/>
        <v>33.159999999999968</v>
      </c>
      <c r="M22" s="2"/>
      <c r="N22" s="6">
        <f t="shared" si="3"/>
        <v>5.001508295625938E-2</v>
      </c>
      <c r="O22" s="11"/>
      <c r="P22" s="7">
        <v>4867</v>
      </c>
      <c r="Q22" s="2"/>
      <c r="R22" s="6">
        <f t="shared" si="4"/>
        <v>0</v>
      </c>
      <c r="S22" s="2"/>
      <c r="T22" s="7">
        <v>4641</v>
      </c>
      <c r="U22" s="2"/>
      <c r="V22" s="6">
        <f t="shared" si="5"/>
        <v>0</v>
      </c>
      <c r="W22" s="2"/>
      <c r="X22" s="7">
        <f t="shared" si="6"/>
        <v>226</v>
      </c>
      <c r="Y22" s="2"/>
      <c r="Z22" s="6">
        <f t="shared" si="7"/>
        <v>4.8696401637578109E-2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11.24</v>
      </c>
      <c r="E23" s="2"/>
      <c r="F23" s="6">
        <f t="shared" si="0"/>
        <v>0</v>
      </c>
      <c r="G23" s="2"/>
      <c r="H23" s="7">
        <v>13.649044999999999</v>
      </c>
      <c r="I23" s="2"/>
      <c r="J23" s="6">
        <f t="shared" si="1"/>
        <v>0</v>
      </c>
      <c r="K23" s="2"/>
      <c r="L23" s="7">
        <f t="shared" si="2"/>
        <v>-2.409044999999999</v>
      </c>
      <c r="M23" s="2"/>
      <c r="N23" s="6">
        <f t="shared" si="3"/>
        <v>-0.17649916166295879</v>
      </c>
      <c r="O23" s="11"/>
      <c r="P23" s="7">
        <v>82.68</v>
      </c>
      <c r="Q23" s="2"/>
      <c r="R23" s="6">
        <f t="shared" si="4"/>
        <v>0</v>
      </c>
      <c r="S23" s="2"/>
      <c r="T23" s="7">
        <v>84.624078999999995</v>
      </c>
      <c r="U23" s="2"/>
      <c r="V23" s="6">
        <f t="shared" si="5"/>
        <v>0</v>
      </c>
      <c r="W23" s="2"/>
      <c r="X23" s="7">
        <f t="shared" si="6"/>
        <v>-1.9440789999999879</v>
      </c>
      <c r="Y23" s="2"/>
      <c r="Z23" s="6">
        <f t="shared" si="7"/>
        <v>-2.297311856120748E-2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643.88</v>
      </c>
      <c r="E24" s="2"/>
      <c r="F24" s="6">
        <f t="shared" si="0"/>
        <v>0</v>
      </c>
      <c r="G24" s="2"/>
      <c r="H24" s="7">
        <v>451.46841153846202</v>
      </c>
      <c r="I24" s="2"/>
      <c r="J24" s="6">
        <f t="shared" si="1"/>
        <v>0</v>
      </c>
      <c r="K24" s="2"/>
      <c r="L24" s="7">
        <f t="shared" si="2"/>
        <v>192.41158846153797</v>
      </c>
      <c r="M24" s="2"/>
      <c r="N24" s="6">
        <f t="shared" si="3"/>
        <v>0.42619058951624089</v>
      </c>
      <c r="O24" s="11"/>
      <c r="P24" s="7">
        <v>3219.44</v>
      </c>
      <c r="Q24" s="2"/>
      <c r="R24" s="6">
        <f t="shared" si="4"/>
        <v>0</v>
      </c>
      <c r="S24" s="2"/>
      <c r="T24" s="7">
        <v>2799.1041515384618</v>
      </c>
      <c r="U24" s="2"/>
      <c r="V24" s="6">
        <f t="shared" si="5"/>
        <v>0</v>
      </c>
      <c r="W24" s="2"/>
      <c r="X24" s="7">
        <f t="shared" si="6"/>
        <v>420.33584846153826</v>
      </c>
      <c r="Y24" s="2"/>
      <c r="Z24" s="6">
        <f t="shared" si="7"/>
        <v>0.15016799150918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387.96</v>
      </c>
      <c r="E26" s="2"/>
      <c r="F26" s="6">
        <f t="shared" si="0"/>
        <v>0</v>
      </c>
      <c r="G26" s="2"/>
      <c r="H26" s="7">
        <v>524.96326923076901</v>
      </c>
      <c r="I26" s="2"/>
      <c r="J26" s="6">
        <f t="shared" si="1"/>
        <v>0</v>
      </c>
      <c r="K26" s="2"/>
      <c r="L26" s="7">
        <f t="shared" si="2"/>
        <v>-137.00326923076904</v>
      </c>
      <c r="M26" s="2"/>
      <c r="N26" s="6">
        <f t="shared" si="3"/>
        <v>-0.26097686687969718</v>
      </c>
      <c r="O26" s="11"/>
      <c r="P26" s="7">
        <v>3224.93</v>
      </c>
      <c r="Q26" s="2"/>
      <c r="R26" s="6">
        <f t="shared" si="4"/>
        <v>0</v>
      </c>
      <c r="S26" s="2"/>
      <c r="T26" s="7">
        <v>3254.7722692307671</v>
      </c>
      <c r="U26" s="2"/>
      <c r="V26" s="6">
        <f t="shared" si="5"/>
        <v>0</v>
      </c>
      <c r="W26" s="2"/>
      <c r="X26" s="7">
        <f t="shared" si="6"/>
        <v>-29.842269230767215</v>
      </c>
      <c r="Y26" s="2"/>
      <c r="Z26" s="6">
        <f t="shared" si="7"/>
        <v>-9.1687733464130006E-3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193.72</v>
      </c>
      <c r="E27" s="2"/>
      <c r="F27" s="6">
        <f t="shared" si="0"/>
        <v>0</v>
      </c>
      <c r="G27" s="2"/>
      <c r="H27" s="7">
        <v>104.992653846154</v>
      </c>
      <c r="I27" s="2"/>
      <c r="J27" s="6">
        <f t="shared" si="1"/>
        <v>0</v>
      </c>
      <c r="K27" s="2"/>
      <c r="L27" s="7">
        <f t="shared" si="2"/>
        <v>88.727346153846</v>
      </c>
      <c r="M27" s="2"/>
      <c r="N27" s="6">
        <f t="shared" si="3"/>
        <v>0.8450814690698113</v>
      </c>
      <c r="O27" s="11"/>
      <c r="P27" s="7">
        <v>2297.94</v>
      </c>
      <c r="Q27" s="2"/>
      <c r="R27" s="6">
        <f t="shared" si="4"/>
        <v>0</v>
      </c>
      <c r="S27" s="2"/>
      <c r="T27" s="7">
        <v>650.95445384615448</v>
      </c>
      <c r="U27" s="2"/>
      <c r="V27" s="6">
        <f t="shared" si="5"/>
        <v>0</v>
      </c>
      <c r="W27" s="2"/>
      <c r="X27" s="7">
        <f t="shared" si="6"/>
        <v>1646.9855461538455</v>
      </c>
      <c r="Y27" s="2"/>
      <c r="Z27" s="6">
        <f t="shared" si="7"/>
        <v>2.5301087294551201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>
        <v>175</v>
      </c>
      <c r="E28" s="2"/>
      <c r="F28" s="6">
        <f t="shared" si="0"/>
        <v>0</v>
      </c>
      <c r="G28" s="2"/>
      <c r="H28" s="7">
        <v>150</v>
      </c>
      <c r="I28" s="2"/>
      <c r="J28" s="6">
        <f t="shared" si="1"/>
        <v>0</v>
      </c>
      <c r="K28" s="2"/>
      <c r="L28" s="7">
        <f t="shared" si="2"/>
        <v>25</v>
      </c>
      <c r="M28" s="2"/>
      <c r="N28" s="6">
        <f t="shared" si="3"/>
        <v>0.16666666666666666</v>
      </c>
      <c r="O28" s="11"/>
      <c r="P28" s="7">
        <v>1033</v>
      </c>
      <c r="Q28" s="2"/>
      <c r="R28" s="6">
        <f t="shared" si="4"/>
        <v>0</v>
      </c>
      <c r="S28" s="2"/>
      <c r="T28" s="7">
        <v>1050</v>
      </c>
      <c r="U28" s="2"/>
      <c r="V28" s="6">
        <f t="shared" si="5"/>
        <v>0</v>
      </c>
      <c r="W28" s="2"/>
      <c r="X28" s="7">
        <f t="shared" si="6"/>
        <v>-17</v>
      </c>
      <c r="Y28" s="2"/>
      <c r="Z28" s="6">
        <f t="shared" si="7"/>
        <v>-1.6190476190476189E-2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5276</v>
      </c>
      <c r="E29" s="1"/>
      <c r="F29" s="5">
        <f t="shared" ref="F29:F39" si="8">IF(D$12=0,0,D29/D$12)</f>
        <v>0</v>
      </c>
      <c r="G29" s="1"/>
      <c r="H29" s="1">
        <f>SUM(OSRRefH22_1x_0)</f>
        <v>4882.1584038461606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393.84159615383942</v>
      </c>
      <c r="M29" s="1"/>
      <c r="N29" s="5">
        <f t="shared" ref="N29:N39" si="11">IF(H29=0,0,L29/H29)</f>
        <v>8.0669565297916454E-2</v>
      </c>
      <c r="O29" s="13"/>
      <c r="P29" s="1">
        <f>SUM(OSRRefP22_1x_0)</f>
        <v>30093.900000000005</v>
      </c>
      <c r="Q29" s="1"/>
      <c r="R29" s="5">
        <f t="shared" ref="R29:R39" si="12">IF(P$12=0,0,P29/P$12)</f>
        <v>0</v>
      </c>
      <c r="S29" s="1"/>
      <c r="T29" s="1">
        <f>SUM(OSRRefT22_1x_0)</f>
        <v>30269.382103846157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-175.48210384615231</v>
      </c>
      <c r="Y29" s="1"/>
      <c r="Z29" s="5">
        <f t="shared" ref="Z29:Z39" si="15">IF(T29=0,0,X29/T29)</f>
        <v>-5.7973467460987515E-3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>
        <v>5276</v>
      </c>
      <c r="E31" s="2"/>
      <c r="F31" s="6">
        <f t="shared" si="8"/>
        <v>0</v>
      </c>
      <c r="G31" s="2"/>
      <c r="H31" s="7">
        <v>4882.1584038461606</v>
      </c>
      <c r="I31" s="2"/>
      <c r="J31" s="6">
        <f t="shared" si="9"/>
        <v>0</v>
      </c>
      <c r="K31" s="2"/>
      <c r="L31" s="7">
        <f t="shared" si="10"/>
        <v>393.84159615383942</v>
      </c>
      <c r="M31" s="2"/>
      <c r="N31" s="6">
        <f t="shared" si="11"/>
        <v>8.0669565297916454E-2</v>
      </c>
      <c r="O31" s="11"/>
      <c r="P31" s="7">
        <v>30093.900000000005</v>
      </c>
      <c r="Q31" s="2"/>
      <c r="R31" s="6">
        <f t="shared" si="12"/>
        <v>0</v>
      </c>
      <c r="S31" s="2"/>
      <c r="T31" s="7">
        <v>30269.382103846157</v>
      </c>
      <c r="U31" s="2"/>
      <c r="V31" s="6">
        <f t="shared" si="13"/>
        <v>0</v>
      </c>
      <c r="W31" s="2"/>
      <c r="X31" s="7">
        <f t="shared" si="14"/>
        <v>-175.48210384615231</v>
      </c>
      <c r="Y31" s="2"/>
      <c r="Z31" s="6">
        <f t="shared" si="15"/>
        <v>-5.7973467460987515E-3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6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SUM(OSRRefD22_2x_0)</f>
        <v>0</v>
      </c>
      <c r="E40" s="1"/>
      <c r="F40" s="5">
        <f t="shared" ref="F40:F48" si="16">IF(D$12=0,0,D40/D$12)</f>
        <v>0</v>
      </c>
      <c r="G40" s="1"/>
      <c r="H40" s="1">
        <f>SUM(OSRRefH22_2x_0)</f>
        <v>-500</v>
      </c>
      <c r="I40" s="1"/>
      <c r="J40" s="5">
        <f t="shared" ref="J40:J48" si="17">IF(H$12=0,0,H40/H$12)</f>
        <v>0</v>
      </c>
      <c r="K40" s="1"/>
      <c r="L40" s="1">
        <f t="shared" ref="L40:L48" si="18">+D40-H40</f>
        <v>500</v>
      </c>
      <c r="M40" s="1"/>
      <c r="N40" s="5">
        <f t="shared" ref="N40:N48" si="19">IF(H40=0,0,L40/H40)</f>
        <v>-1</v>
      </c>
      <c r="O40" s="13"/>
      <c r="P40" s="1">
        <f>SUM(OSRRefP22_2x_0)</f>
        <v>-618.78</v>
      </c>
      <c r="Q40" s="1"/>
      <c r="R40" s="5">
        <f t="shared" ref="R40:R48" si="20">IF(P$12=0,0,P40/P$12)</f>
        <v>0</v>
      </c>
      <c r="S40" s="1"/>
      <c r="T40" s="1">
        <f>SUM(OSRRefT22_2x_0)</f>
        <v>-3500</v>
      </c>
      <c r="U40" s="1"/>
      <c r="V40" s="5">
        <f t="shared" ref="V40:V48" si="21">IF(T$12=0,0,T40/T$12)</f>
        <v>0</v>
      </c>
      <c r="W40" s="1"/>
      <c r="X40" s="1">
        <f t="shared" ref="X40:X48" si="22">+P40-T40</f>
        <v>2881.2200000000003</v>
      </c>
      <c r="Y40" s="1"/>
      <c r="Z40" s="5">
        <f t="shared" ref="Z40:Z48" si="23">IF(T40=0,0,X40/T40)</f>
        <v>-0.82320571428571432</v>
      </c>
    </row>
    <row r="41" spans="1:26" s="24" customFormat="1" hidden="1" outlineLevel="2" x14ac:dyDescent="0.25">
      <c r="A41" s="25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>
        <v>-500</v>
      </c>
      <c r="I41" s="2"/>
      <c r="J41" s="6">
        <f t="shared" si="17"/>
        <v>0</v>
      </c>
      <c r="K41" s="2"/>
      <c r="L41" s="7">
        <f t="shared" si="18"/>
        <v>500</v>
      </c>
      <c r="M41" s="2"/>
      <c r="N41" s="6">
        <f t="shared" si="19"/>
        <v>-1</v>
      </c>
      <c r="O41" s="11"/>
      <c r="P41" s="7">
        <v>-618.78</v>
      </c>
      <c r="Q41" s="2"/>
      <c r="R41" s="6">
        <f t="shared" si="20"/>
        <v>0</v>
      </c>
      <c r="S41" s="2"/>
      <c r="T41" s="7">
        <v>-3500</v>
      </c>
      <c r="U41" s="2"/>
      <c r="V41" s="6">
        <f t="shared" si="21"/>
        <v>0</v>
      </c>
      <c r="W41" s="2"/>
      <c r="X41" s="7">
        <f t="shared" si="22"/>
        <v>2881.2200000000003</v>
      </c>
      <c r="Y41" s="2"/>
      <c r="Z41" s="6">
        <f t="shared" si="23"/>
        <v>-0.82320571428571432</v>
      </c>
    </row>
    <row r="42" spans="1:26" s="27" customFormat="1" outlineLevel="1" collapsed="1" x14ac:dyDescent="0.25">
      <c r="A42" s="26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25</v>
      </c>
      <c r="I42" s="1"/>
      <c r="J42" s="5">
        <f t="shared" si="17"/>
        <v>0</v>
      </c>
      <c r="K42" s="1"/>
      <c r="L42" s="1">
        <f t="shared" si="18"/>
        <v>-0.44000000000000128</v>
      </c>
      <c r="M42" s="1"/>
      <c r="N42" s="5">
        <f t="shared" si="19"/>
        <v>-1.760000000000005E-2</v>
      </c>
      <c r="O42" s="13"/>
      <c r="P42" s="1">
        <f>SUM(OSRRefP22_3x_0)</f>
        <v>171.92</v>
      </c>
      <c r="Q42" s="1"/>
      <c r="R42" s="5">
        <f t="shared" si="20"/>
        <v>0</v>
      </c>
      <c r="S42" s="1"/>
      <c r="T42" s="1">
        <f>SUM(OSRRefT22_3x_0)</f>
        <v>175</v>
      </c>
      <c r="U42" s="1"/>
      <c r="V42" s="5">
        <f t="shared" si="21"/>
        <v>0</v>
      </c>
      <c r="W42" s="1"/>
      <c r="X42" s="1">
        <f t="shared" si="22"/>
        <v>-3.0800000000000125</v>
      </c>
      <c r="Y42" s="1"/>
      <c r="Z42" s="5">
        <f t="shared" si="23"/>
        <v>-1.760000000000007E-2</v>
      </c>
    </row>
    <row r="43" spans="1:26" s="24" customFormat="1" hidden="1" outlineLevel="2" x14ac:dyDescent="0.25">
      <c r="A43" s="25"/>
      <c r="B43" s="11" t="str">
        <f>CONCATENATE("          ", "6314", " - ", "LIABILITY INSURANCE")</f>
        <v xml:space="preserve">          6314 - LIABILITY INSURANCE</v>
      </c>
      <c r="C43" s="11"/>
      <c r="D43" s="7">
        <v>24.56</v>
      </c>
      <c r="E43" s="2"/>
      <c r="F43" s="6">
        <f t="shared" si="16"/>
        <v>0</v>
      </c>
      <c r="G43" s="2"/>
      <c r="H43" s="7">
        <v>25</v>
      </c>
      <c r="I43" s="2"/>
      <c r="J43" s="6">
        <f t="shared" si="17"/>
        <v>0</v>
      </c>
      <c r="K43" s="2"/>
      <c r="L43" s="7">
        <f t="shared" si="18"/>
        <v>-0.44000000000000128</v>
      </c>
      <c r="M43" s="2"/>
      <c r="N43" s="6">
        <f t="shared" si="19"/>
        <v>-1.760000000000005E-2</v>
      </c>
      <c r="O43" s="11"/>
      <c r="P43" s="7">
        <v>171.92</v>
      </c>
      <c r="Q43" s="2"/>
      <c r="R43" s="6">
        <f t="shared" si="20"/>
        <v>0</v>
      </c>
      <c r="S43" s="2"/>
      <c r="T43" s="7">
        <v>175</v>
      </c>
      <c r="U43" s="2"/>
      <c r="V43" s="6">
        <f t="shared" si="21"/>
        <v>0</v>
      </c>
      <c r="W43" s="2"/>
      <c r="X43" s="7">
        <f t="shared" si="22"/>
        <v>-3.0800000000000125</v>
      </c>
      <c r="Y43" s="2"/>
      <c r="Z43" s="6">
        <f t="shared" si="23"/>
        <v>-1.760000000000007E-2</v>
      </c>
    </row>
    <row r="44" spans="1:26" s="27" customFormat="1" outlineLevel="1" collapsed="1" x14ac:dyDescent="0.25">
      <c r="A44" s="26"/>
      <c r="B44" s="13" t="str">
        <f>CONCATENATE("     ","Professional Services                             ")</f>
        <v xml:space="preserve">     Professional Services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4500</v>
      </c>
      <c r="U44" s="1"/>
      <c r="V44" s="5">
        <f t="shared" si="21"/>
        <v>0</v>
      </c>
      <c r="W44" s="1"/>
      <c r="X44" s="1">
        <f t="shared" si="22"/>
        <v>-4500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"6336", " - ", "PROFESSIONAL SERVICES")</f>
        <v xml:space="preserve">          6336 - PROFESSIONAL SERVICES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4500</v>
      </c>
      <c r="U45" s="2"/>
      <c r="V45" s="6">
        <f t="shared" si="21"/>
        <v>0</v>
      </c>
      <c r="W45" s="2"/>
      <c r="X45" s="7">
        <f t="shared" si="22"/>
        <v>-4500</v>
      </c>
      <c r="Y45" s="2"/>
      <c r="Z45" s="6">
        <f t="shared" si="23"/>
        <v>-1</v>
      </c>
    </row>
    <row r="46" spans="1:26" s="27" customFormat="1" outlineLevel="1" collapsed="1" x14ac:dyDescent="0.25">
      <c r="A46" s="26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SUM(OSRRefD22_5x_0)</f>
        <v>1471.95</v>
      </c>
      <c r="E46" s="1"/>
      <c r="F46" s="5">
        <f t="shared" si="16"/>
        <v>0</v>
      </c>
      <c r="G46" s="1"/>
      <c r="H46" s="1">
        <f>SUM(OSRRefH22_5x_0)</f>
        <v>1500</v>
      </c>
      <c r="I46" s="1"/>
      <c r="J46" s="5">
        <f t="shared" si="17"/>
        <v>0</v>
      </c>
      <c r="K46" s="1"/>
      <c r="L46" s="1">
        <f t="shared" si="18"/>
        <v>-28.049999999999955</v>
      </c>
      <c r="M46" s="1"/>
      <c r="N46" s="5">
        <f t="shared" si="19"/>
        <v>-1.869999999999997E-2</v>
      </c>
      <c r="O46" s="13"/>
      <c r="P46" s="1">
        <f>SUM(OSRRefP22_5x_0)</f>
        <v>8996.8100000000013</v>
      </c>
      <c r="Q46" s="1"/>
      <c r="R46" s="5">
        <f t="shared" si="20"/>
        <v>0</v>
      </c>
      <c r="S46" s="1"/>
      <c r="T46" s="1">
        <f>SUM(OSRRefT22_5x_0)</f>
        <v>10500</v>
      </c>
      <c r="U46" s="1"/>
      <c r="V46" s="5">
        <f t="shared" si="21"/>
        <v>0</v>
      </c>
      <c r="W46" s="1"/>
      <c r="X46" s="1">
        <f t="shared" si="22"/>
        <v>-1503.1899999999987</v>
      </c>
      <c r="Y46" s="1"/>
      <c r="Z46" s="5">
        <f t="shared" si="23"/>
        <v>-0.14316095238095225</v>
      </c>
    </row>
    <row r="47" spans="1:26" s="24" customFormat="1" hidden="1" outlineLevel="2" x14ac:dyDescent="0.25">
      <c r="A47" s="25"/>
      <c r="B47" s="11" t="str">
        <f>CONCATENATE("          ", "6373", " - ", "MAINTENANCE CONTRACTS")</f>
        <v xml:space="preserve">          6373 - MAINTENANCE CONTRACTS</v>
      </c>
      <c r="C47" s="11"/>
      <c r="D47" s="7">
        <v>1405.95</v>
      </c>
      <c r="E47" s="2"/>
      <c r="F47" s="6">
        <f t="shared" si="16"/>
        <v>0</v>
      </c>
      <c r="G47" s="2"/>
      <c r="H47" s="7">
        <v>1500</v>
      </c>
      <c r="I47" s="2"/>
      <c r="J47" s="6">
        <f t="shared" si="17"/>
        <v>0</v>
      </c>
      <c r="K47" s="2"/>
      <c r="L47" s="7">
        <f t="shared" si="18"/>
        <v>-94.049999999999955</v>
      </c>
      <c r="M47" s="2"/>
      <c r="N47" s="6">
        <f t="shared" si="19"/>
        <v>-6.2699999999999964E-2</v>
      </c>
      <c r="O47" s="11"/>
      <c r="P47" s="7">
        <v>8435.7000000000007</v>
      </c>
      <c r="Q47" s="2"/>
      <c r="R47" s="6">
        <f t="shared" si="20"/>
        <v>0</v>
      </c>
      <c r="S47" s="2"/>
      <c r="T47" s="7">
        <v>10500</v>
      </c>
      <c r="U47" s="2"/>
      <c r="V47" s="6">
        <f t="shared" si="21"/>
        <v>0</v>
      </c>
      <c r="W47" s="2"/>
      <c r="X47" s="7">
        <f t="shared" si="22"/>
        <v>-2064.2999999999993</v>
      </c>
      <c r="Y47" s="2"/>
      <c r="Z47" s="6">
        <f t="shared" si="23"/>
        <v>-0.19659999999999994</v>
      </c>
    </row>
    <row r="48" spans="1:26" s="24" customFormat="1" hidden="1" outlineLevel="2" x14ac:dyDescent="0.25">
      <c r="A48" s="25"/>
      <c r="B48" s="11" t="str">
        <f>CONCATENATE("          ", "6375", " - ", "OUTSIDE REPAIRS &amp; MAINTENANCE")</f>
        <v xml:space="preserve">          6375 - OUTSIDE REPAIRS &amp; MAINTENANCE</v>
      </c>
      <c r="C48" s="11"/>
      <c r="D48" s="7">
        <v>66</v>
      </c>
      <c r="E48" s="2"/>
      <c r="F48" s="6">
        <f t="shared" si="16"/>
        <v>0</v>
      </c>
      <c r="G48" s="2"/>
      <c r="H48" s="7"/>
      <c r="I48" s="2"/>
      <c r="J48" s="6">
        <f t="shared" si="17"/>
        <v>0</v>
      </c>
      <c r="K48" s="2"/>
      <c r="L48" s="7">
        <f t="shared" si="18"/>
        <v>66</v>
      </c>
      <c r="M48" s="2"/>
      <c r="N48" s="6">
        <f t="shared" si="19"/>
        <v>0</v>
      </c>
      <c r="O48" s="11"/>
      <c r="P48" s="7">
        <v>561.11</v>
      </c>
      <c r="Q48" s="2"/>
      <c r="R48" s="6">
        <f t="shared" si="20"/>
        <v>0</v>
      </c>
      <c r="S48" s="2"/>
      <c r="T48" s="7"/>
      <c r="U48" s="2"/>
      <c r="V48" s="6">
        <f t="shared" si="21"/>
        <v>0</v>
      </c>
      <c r="W48" s="2"/>
      <c r="X48" s="7">
        <f t="shared" si="22"/>
        <v>561.11</v>
      </c>
      <c r="Y48" s="2"/>
      <c r="Z48" s="6">
        <f t="shared" si="23"/>
        <v>0</v>
      </c>
    </row>
    <row r="49" spans="1:26" s="27" customFormat="1" outlineLevel="1" collapsed="1" x14ac:dyDescent="0.25">
      <c r="A49" s="26"/>
      <c r="B49" s="13" t="str">
        <f>CONCATENATE("     ","Services                                          ")</f>
        <v xml:space="preserve">     Services                                          </v>
      </c>
      <c r="C49" s="13"/>
      <c r="D49" s="1">
        <f>SUM(OSRRefD22_6x_0)</f>
        <v>8.84</v>
      </c>
      <c r="E49" s="1"/>
      <c r="F49" s="5">
        <f t="shared" ref="F49:F53" si="24">IF(D$12=0,0,D49/D$12)</f>
        <v>0</v>
      </c>
      <c r="G49" s="1"/>
      <c r="H49" s="1">
        <f>SUM(OSRRefH22_6x_0)</f>
        <v>10</v>
      </c>
      <c r="I49" s="1"/>
      <c r="J49" s="5">
        <f t="shared" ref="J49:J53" si="25">IF(H$12=0,0,H49/H$12)</f>
        <v>0</v>
      </c>
      <c r="K49" s="1"/>
      <c r="L49" s="1">
        <f t="shared" ref="L49:L53" si="26">+D49-H49</f>
        <v>-1.1600000000000001</v>
      </c>
      <c r="M49" s="1"/>
      <c r="N49" s="5">
        <f t="shared" ref="N49:N53" si="27">IF(H49=0,0,L49/H49)</f>
        <v>-0.11600000000000002</v>
      </c>
      <c r="O49" s="13"/>
      <c r="P49" s="1">
        <f>SUM(OSRRefP22_6x_0)</f>
        <v>57.46</v>
      </c>
      <c r="Q49" s="1"/>
      <c r="R49" s="5">
        <f t="shared" ref="R49:R53" si="28">IF(P$12=0,0,P49/P$12)</f>
        <v>0</v>
      </c>
      <c r="S49" s="1"/>
      <c r="T49" s="1">
        <f>SUM(OSRRefT22_6x_0)</f>
        <v>70</v>
      </c>
      <c r="U49" s="1"/>
      <c r="V49" s="5">
        <f t="shared" ref="V49:V53" si="29">IF(T$12=0,0,T49/T$12)</f>
        <v>0</v>
      </c>
      <c r="W49" s="1"/>
      <c r="X49" s="1">
        <f t="shared" ref="X49:X53" si="30">+P49-T49</f>
        <v>-12.54</v>
      </c>
      <c r="Y49" s="1"/>
      <c r="Z49" s="5">
        <f t="shared" ref="Z49:Z53" si="31">IF(T49=0,0,X49/T49)</f>
        <v>-0.17914285714285713</v>
      </c>
    </row>
    <row r="50" spans="1:26" s="24" customFormat="1" hidden="1" outlineLevel="2" x14ac:dyDescent="0.25">
      <c r="A50" s="25"/>
      <c r="B50" s="11" t="str">
        <f>CONCATENATE("          ", "6286", " - ", "LAUNDRY EXPENSE")</f>
        <v xml:space="preserve">          6286 - LAUNDRY EXPENSE</v>
      </c>
      <c r="C50" s="11"/>
      <c r="D50" s="7">
        <v>8.84</v>
      </c>
      <c r="E50" s="2"/>
      <c r="F50" s="6">
        <f t="shared" si="24"/>
        <v>0</v>
      </c>
      <c r="G50" s="2"/>
      <c r="H50" s="7">
        <v>10</v>
      </c>
      <c r="I50" s="2"/>
      <c r="J50" s="6">
        <f t="shared" si="25"/>
        <v>0</v>
      </c>
      <c r="K50" s="2"/>
      <c r="L50" s="7">
        <f t="shared" si="26"/>
        <v>-1.1600000000000001</v>
      </c>
      <c r="M50" s="2"/>
      <c r="N50" s="6">
        <f t="shared" si="27"/>
        <v>-0.11600000000000002</v>
      </c>
      <c r="O50" s="11"/>
      <c r="P50" s="7">
        <v>57.46</v>
      </c>
      <c r="Q50" s="2"/>
      <c r="R50" s="6">
        <f t="shared" si="28"/>
        <v>0</v>
      </c>
      <c r="S50" s="2"/>
      <c r="T50" s="7">
        <v>70</v>
      </c>
      <c r="U50" s="2"/>
      <c r="V50" s="6">
        <f t="shared" si="29"/>
        <v>0</v>
      </c>
      <c r="W50" s="2"/>
      <c r="X50" s="7">
        <f t="shared" si="30"/>
        <v>-12.54</v>
      </c>
      <c r="Y50" s="2"/>
      <c r="Z50" s="6">
        <f t="shared" si="31"/>
        <v>-0.17914285714285713</v>
      </c>
    </row>
    <row r="51" spans="1:26" s="27" customFormat="1" outlineLevel="1" collapsed="1" x14ac:dyDescent="0.25">
      <c r="A51" s="26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SUM(OSRRefD22_7x_0)</f>
        <v>0</v>
      </c>
      <c r="E51" s="1"/>
      <c r="F51" s="5">
        <f t="shared" si="24"/>
        <v>0</v>
      </c>
      <c r="G51" s="1"/>
      <c r="H51" s="1">
        <f>SUM(OSRRefH22_7x_0)</f>
        <v>210</v>
      </c>
      <c r="I51" s="1"/>
      <c r="J51" s="5">
        <f t="shared" si="25"/>
        <v>0</v>
      </c>
      <c r="K51" s="1"/>
      <c r="L51" s="1">
        <f t="shared" si="26"/>
        <v>-210</v>
      </c>
      <c r="M51" s="1"/>
      <c r="N51" s="5">
        <f t="shared" si="27"/>
        <v>-1</v>
      </c>
      <c r="O51" s="13"/>
      <c r="P51" s="1">
        <f>SUM(OSRRefP22_7x_0)</f>
        <v>1058.01</v>
      </c>
      <c r="Q51" s="1"/>
      <c r="R51" s="5">
        <f t="shared" si="28"/>
        <v>0</v>
      </c>
      <c r="S51" s="1"/>
      <c r="T51" s="1">
        <f>SUM(OSRRefT22_7x_0)</f>
        <v>670</v>
      </c>
      <c r="U51" s="1"/>
      <c r="V51" s="5">
        <f t="shared" si="29"/>
        <v>0</v>
      </c>
      <c r="W51" s="1"/>
      <c r="X51" s="1">
        <f t="shared" si="30"/>
        <v>388.01</v>
      </c>
      <c r="Y51" s="1"/>
      <c r="Z51" s="5">
        <f t="shared" si="31"/>
        <v>0.57911940298507458</v>
      </c>
    </row>
    <row r="52" spans="1:26" s="24" customFormat="1" hidden="1" outlineLevel="2" x14ac:dyDescent="0.25">
      <c r="A52" s="25"/>
      <c r="B52" s="11" t="str">
        <f>CONCATENATE("          ", "6234", " - ", "EXPENDABLE SUPPLIES &amp; EQUIPMEN")</f>
        <v xml:space="preserve">          6234 - EXPENDABLE SUPPLIES &amp; EQUIPMEN</v>
      </c>
      <c r="C52" s="11"/>
      <c r="D52" s="7"/>
      <c r="E52" s="2"/>
      <c r="F52" s="6">
        <f t="shared" si="24"/>
        <v>0</v>
      </c>
      <c r="G52" s="2"/>
      <c r="H52" s="7">
        <v>200</v>
      </c>
      <c r="I52" s="2"/>
      <c r="J52" s="6">
        <f t="shared" si="25"/>
        <v>0</v>
      </c>
      <c r="K52" s="2"/>
      <c r="L52" s="7">
        <f t="shared" si="26"/>
        <v>-200</v>
      </c>
      <c r="M52" s="2"/>
      <c r="N52" s="6">
        <f t="shared" si="27"/>
        <v>-1</v>
      </c>
      <c r="O52" s="11"/>
      <c r="P52" s="7">
        <v>1006.59</v>
      </c>
      <c r="Q52" s="2"/>
      <c r="R52" s="6">
        <f t="shared" si="28"/>
        <v>0</v>
      </c>
      <c r="S52" s="2"/>
      <c r="T52" s="7">
        <v>600</v>
      </c>
      <c r="U52" s="2"/>
      <c r="V52" s="6">
        <f t="shared" si="29"/>
        <v>0</v>
      </c>
      <c r="W52" s="2"/>
      <c r="X52" s="7">
        <f t="shared" si="30"/>
        <v>406.59000000000003</v>
      </c>
      <c r="Y52" s="2"/>
      <c r="Z52" s="6">
        <f t="shared" si="31"/>
        <v>0.67765000000000009</v>
      </c>
    </row>
    <row r="53" spans="1:26" s="24" customFormat="1" hidden="1" outlineLevel="2" x14ac:dyDescent="0.25">
      <c r="A53" s="25"/>
      <c r="B53" s="11" t="str">
        <f>CONCATENATE("          ", "6241", " - ", "OFFICE EXPENSE")</f>
        <v xml:space="preserve">          6241 - OFFICE EXPENSE</v>
      </c>
      <c r="C53" s="11"/>
      <c r="D53" s="7"/>
      <c r="E53" s="2"/>
      <c r="F53" s="6">
        <f t="shared" si="24"/>
        <v>0</v>
      </c>
      <c r="G53" s="2"/>
      <c r="H53" s="7">
        <v>10</v>
      </c>
      <c r="I53" s="2"/>
      <c r="J53" s="6">
        <f t="shared" si="25"/>
        <v>0</v>
      </c>
      <c r="K53" s="2"/>
      <c r="L53" s="7">
        <f t="shared" si="26"/>
        <v>-10</v>
      </c>
      <c r="M53" s="2"/>
      <c r="N53" s="6">
        <f t="shared" si="27"/>
        <v>-1</v>
      </c>
      <c r="O53" s="11"/>
      <c r="P53" s="7">
        <v>51.42</v>
      </c>
      <c r="Q53" s="2"/>
      <c r="R53" s="6">
        <f t="shared" si="28"/>
        <v>0</v>
      </c>
      <c r="S53" s="2"/>
      <c r="T53" s="7">
        <v>70</v>
      </c>
      <c r="U53" s="2"/>
      <c r="V53" s="6">
        <f t="shared" si="29"/>
        <v>0</v>
      </c>
      <c r="W53" s="2"/>
      <c r="X53" s="7">
        <f t="shared" si="30"/>
        <v>-18.579999999999998</v>
      </c>
      <c r="Y53" s="2"/>
      <c r="Z53" s="6">
        <f t="shared" si="31"/>
        <v>-0.2654285714285714</v>
      </c>
    </row>
    <row r="54" spans="1:26" s="27" customFormat="1" outlineLevel="1" collapsed="1" x14ac:dyDescent="0.25">
      <c r="A54" s="26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224</v>
      </c>
      <c r="E54" s="1"/>
      <c r="F54" s="5">
        <f t="shared" ref="F54:F57" si="32">IF(D$12=0,0,D54/D$12)</f>
        <v>0</v>
      </c>
      <c r="G54" s="1"/>
      <c r="H54" s="1">
        <f>SUM(OSRRefH22_8x_0)</f>
        <v>165</v>
      </c>
      <c r="I54" s="1"/>
      <c r="J54" s="5">
        <f t="shared" ref="J54:J57" si="33">IF(H$12=0,0,H54/H$12)</f>
        <v>0</v>
      </c>
      <c r="K54" s="1"/>
      <c r="L54" s="1">
        <f t="shared" ref="L54:L57" si="34">+D54-H54</f>
        <v>59</v>
      </c>
      <c r="M54" s="1"/>
      <c r="N54" s="5">
        <f t="shared" ref="N54:N57" si="35">IF(H54=0,0,L54/H54)</f>
        <v>0.3575757575757576</v>
      </c>
      <c r="O54" s="13"/>
      <c r="P54" s="1">
        <f>SUM(OSRRefP22_8x_0)</f>
        <v>610.20000000000005</v>
      </c>
      <c r="Q54" s="1"/>
      <c r="R54" s="5">
        <f t="shared" ref="R54:R57" si="36">IF(P$12=0,0,P54/P$12)</f>
        <v>0</v>
      </c>
      <c r="S54" s="1"/>
      <c r="T54" s="1">
        <f>SUM(OSRRefT22_8x_0)</f>
        <v>555</v>
      </c>
      <c r="U54" s="1"/>
      <c r="V54" s="5">
        <f t="shared" ref="V54:V57" si="37">IF(T$12=0,0,T54/T$12)</f>
        <v>0</v>
      </c>
      <c r="W54" s="1"/>
      <c r="X54" s="1">
        <f t="shared" ref="X54:X57" si="38">+P54-T54</f>
        <v>55.200000000000045</v>
      </c>
      <c r="Y54" s="1"/>
      <c r="Z54" s="5">
        <f t="shared" ref="Z54:Z57" si="39">IF(T54=0,0,X54/T54)</f>
        <v>9.945945945945954E-2</v>
      </c>
    </row>
    <row r="55" spans="1:26" s="24" customFormat="1" hidden="1" outlineLevel="2" x14ac:dyDescent="0.25">
      <c r="A55" s="25"/>
      <c r="B55" s="11" t="str">
        <f>CONCATENATE("          ", "6309", " - ", "TELEPHONE")</f>
        <v xml:space="preserve">          6309 - TELEPHONE</v>
      </c>
      <c r="C55" s="11"/>
      <c r="D55" s="7">
        <v>224</v>
      </c>
      <c r="E55" s="2"/>
      <c r="F55" s="6">
        <f t="shared" si="32"/>
        <v>0</v>
      </c>
      <c r="G55" s="2"/>
      <c r="H55" s="7">
        <v>165</v>
      </c>
      <c r="I55" s="2"/>
      <c r="J55" s="6">
        <f t="shared" si="33"/>
        <v>0</v>
      </c>
      <c r="K55" s="2"/>
      <c r="L55" s="7">
        <f t="shared" si="34"/>
        <v>59</v>
      </c>
      <c r="M55" s="2"/>
      <c r="N55" s="6">
        <f t="shared" si="35"/>
        <v>0.3575757575757576</v>
      </c>
      <c r="O55" s="11"/>
      <c r="P55" s="7">
        <v>610.20000000000005</v>
      </c>
      <c r="Q55" s="2"/>
      <c r="R55" s="6">
        <f t="shared" si="36"/>
        <v>0</v>
      </c>
      <c r="S55" s="2"/>
      <c r="T55" s="7">
        <v>555</v>
      </c>
      <c r="U55" s="2"/>
      <c r="V55" s="6">
        <f t="shared" si="37"/>
        <v>0</v>
      </c>
      <c r="W55" s="2"/>
      <c r="X55" s="7">
        <f t="shared" si="38"/>
        <v>55.200000000000045</v>
      </c>
      <c r="Y55" s="2"/>
      <c r="Z55" s="6">
        <f t="shared" si="39"/>
        <v>9.945945945945954E-2</v>
      </c>
    </row>
    <row r="56" spans="1:26" s="27" customFormat="1" outlineLevel="1" collapsed="1" x14ac:dyDescent="0.25">
      <c r="A56" s="26"/>
      <c r="B56" s="13" t="str">
        <f>CONCATENATE("     ","Travel                                            ")</f>
        <v xml:space="preserve">     Travel                                            </v>
      </c>
      <c r="C56" s="13"/>
      <c r="D56" s="1">
        <f>SUM(OSRRefD22_9x_0)</f>
        <v>0</v>
      </c>
      <c r="E56" s="1"/>
      <c r="F56" s="5">
        <f t="shared" si="32"/>
        <v>0</v>
      </c>
      <c r="G56" s="1"/>
      <c r="H56" s="1">
        <f>SUM(OSRRefH22_9x_0)</f>
        <v>0</v>
      </c>
      <c r="I56" s="1"/>
      <c r="J56" s="5">
        <f t="shared" si="33"/>
        <v>0</v>
      </c>
      <c r="K56" s="1"/>
      <c r="L56" s="1">
        <f t="shared" si="34"/>
        <v>0</v>
      </c>
      <c r="M56" s="1"/>
      <c r="N56" s="5">
        <f t="shared" si="35"/>
        <v>0</v>
      </c>
      <c r="O56" s="13"/>
      <c r="P56" s="1">
        <f>SUM(OSRRefP22_9x_0)</f>
        <v>256.86</v>
      </c>
      <c r="Q56" s="1"/>
      <c r="R56" s="5">
        <f t="shared" si="36"/>
        <v>0</v>
      </c>
      <c r="S56" s="1"/>
      <c r="T56" s="1">
        <f>SUM(OSRRefT22_9x_0)</f>
        <v>0</v>
      </c>
      <c r="U56" s="1"/>
      <c r="V56" s="5">
        <f t="shared" si="37"/>
        <v>0</v>
      </c>
      <c r="W56" s="1"/>
      <c r="X56" s="1">
        <f t="shared" si="38"/>
        <v>256.86</v>
      </c>
      <c r="Y56" s="1"/>
      <c r="Z56" s="5">
        <f t="shared" si="39"/>
        <v>0</v>
      </c>
    </row>
    <row r="57" spans="1:26" s="24" customFormat="1" hidden="1" outlineLevel="2" x14ac:dyDescent="0.25">
      <c r="A57" s="25"/>
      <c r="B57" s="11" t="str">
        <f>CONCATENATE("          ", "6292", " - ", "TRAVEL/CONFERENCE")</f>
        <v xml:space="preserve">          6292 - TRAVEL/CONFERENCE</v>
      </c>
      <c r="C57" s="11"/>
      <c r="D57" s="7"/>
      <c r="E57" s="2"/>
      <c r="F57" s="6">
        <f t="shared" si="32"/>
        <v>0</v>
      </c>
      <c r="G57" s="2"/>
      <c r="H57" s="7"/>
      <c r="I57" s="2"/>
      <c r="J57" s="6">
        <f t="shared" si="33"/>
        <v>0</v>
      </c>
      <c r="K57" s="2"/>
      <c r="L57" s="7">
        <f t="shared" si="34"/>
        <v>0</v>
      </c>
      <c r="M57" s="2"/>
      <c r="N57" s="6">
        <f t="shared" si="35"/>
        <v>0</v>
      </c>
      <c r="O57" s="11"/>
      <c r="P57" s="7">
        <v>256.86</v>
      </c>
      <c r="Q57" s="2"/>
      <c r="R57" s="6">
        <f t="shared" si="36"/>
        <v>0</v>
      </c>
      <c r="S57" s="2"/>
      <c r="T57" s="7"/>
      <c r="U57" s="2"/>
      <c r="V57" s="6">
        <f t="shared" si="37"/>
        <v>0</v>
      </c>
      <c r="W57" s="2"/>
      <c r="X57" s="7">
        <f t="shared" si="38"/>
        <v>256.86</v>
      </c>
      <c r="Y57" s="2"/>
      <c r="Z57" s="6">
        <f t="shared" si="39"/>
        <v>0</v>
      </c>
    </row>
    <row r="58" spans="1:26" s="53" customFormat="1" x14ac:dyDescent="0.25">
      <c r="A58" s="36"/>
      <c r="B58" s="36"/>
      <c r="C58" s="36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6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8" t="s">
        <v>0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9" t="s">
        <v>3</v>
      </c>
      <c r="C61" s="29"/>
      <c r="D61" s="21">
        <f>+D16-D18+D59</f>
        <v>-9742.5400000000009</v>
      </c>
      <c r="E61" s="14"/>
      <c r="F61" s="20">
        <f>IF(D$12=0,0,D61/D$12)</f>
        <v>0</v>
      </c>
      <c r="G61" s="14"/>
      <c r="H61" s="21">
        <f>+H16-H18+H59</f>
        <v>-8957.3863066730846</v>
      </c>
      <c r="I61" s="14"/>
      <c r="J61" s="20">
        <f>IF(H$12=0,0,H61/H$12)</f>
        <v>0</v>
      </c>
      <c r="K61" s="16"/>
      <c r="L61" s="21">
        <f>+D61-H61</f>
        <v>-785.15369332691625</v>
      </c>
      <c r="M61" s="16"/>
      <c r="N61" s="20">
        <f>IF(H61=0,0,L61/H61)</f>
        <v>8.7654329783900406E-2</v>
      </c>
      <c r="O61" s="28"/>
      <c r="P61" s="21">
        <f>+P16-P18+P59</f>
        <v>-59625.219999999994</v>
      </c>
      <c r="Q61" s="14"/>
      <c r="R61" s="20">
        <f>IF(P$12=0,0,P61/P$12)</f>
        <v>0</v>
      </c>
      <c r="S61" s="14"/>
      <c r="T61" s="21">
        <f>+T16-T18+T59</f>
        <v>-60414.195101373087</v>
      </c>
      <c r="U61" s="14"/>
      <c r="V61" s="20">
        <f>IF(T$12=0,0,T61/T$12)</f>
        <v>0</v>
      </c>
      <c r="W61" s="16"/>
      <c r="X61" s="21">
        <f>+P61-T61</f>
        <v>788.97510137309291</v>
      </c>
      <c r="Y61" s="16"/>
      <c r="Z61" s="20">
        <f>IF(T61=0,0,X61/T61)</f>
        <v>-1.305943247359694E-2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2"/>
      <c r="B63" s="10" t="s">
        <v>14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9" t="s">
        <v>4</v>
      </c>
      <c r="C65" s="29"/>
      <c r="D65" s="34">
        <f>+D61-D63</f>
        <v>-9742.5400000000009</v>
      </c>
      <c r="E65" s="14"/>
      <c r="F65" s="32">
        <f>IF(D$12=0,0,D65/D$12)</f>
        <v>0</v>
      </c>
      <c r="G65" s="14"/>
      <c r="H65" s="34">
        <f>+H61-H63</f>
        <v>-8957.3863066730846</v>
      </c>
      <c r="I65" s="14"/>
      <c r="J65" s="32">
        <f>IF(H$12=0,0,H65/H$12)</f>
        <v>0</v>
      </c>
      <c r="K65" s="16"/>
      <c r="L65" s="34">
        <f>D65-H65</f>
        <v>-785.15369332691625</v>
      </c>
      <c r="M65" s="16"/>
      <c r="N65" s="32">
        <f>IF(H65=0,0,L65/H65)</f>
        <v>8.7654329783900406E-2</v>
      </c>
      <c r="O65" s="28"/>
      <c r="P65" s="34">
        <f>+P61-P63</f>
        <v>-59625.219999999994</v>
      </c>
      <c r="Q65" s="14"/>
      <c r="R65" s="32">
        <f>IF(P$12=0,0,P65/P$12)</f>
        <v>0</v>
      </c>
      <c r="S65" s="14"/>
      <c r="T65" s="34">
        <f>+T61-T63</f>
        <v>-60414.195101373087</v>
      </c>
      <c r="U65" s="14"/>
      <c r="V65" s="32">
        <f>IF(T$12=0,0,T65/T$12)</f>
        <v>0</v>
      </c>
      <c r="W65" s="16"/>
      <c r="X65" s="34">
        <f>P65-T65</f>
        <v>788.97510137309291</v>
      </c>
      <c r="Y65" s="16"/>
      <c r="Z65" s="32">
        <f>IF(T65=0,0,X65/T65)</f>
        <v>-1.305943247359694E-2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9" t="s">
        <v>5</v>
      </c>
      <c r="C68" s="29"/>
      <c r="D68" s="31">
        <f>SUM(D65:D67)</f>
        <v>-9742.5400000000009</v>
      </c>
      <c r="E68" s="14"/>
      <c r="F68" s="30">
        <f>IF(D$12=0,0,D68/D$12)</f>
        <v>0</v>
      </c>
      <c r="G68" s="14"/>
      <c r="H68" s="31">
        <f>SUM(H65:H67)</f>
        <v>-8957.3863066730846</v>
      </c>
      <c r="I68" s="14"/>
      <c r="J68" s="30">
        <f>IF(H$12=0,0,H68/H$12)</f>
        <v>0</v>
      </c>
      <c r="K68" s="16"/>
      <c r="L68" s="31">
        <f>+D68-H68</f>
        <v>-785.15369332691625</v>
      </c>
      <c r="M68" s="16"/>
      <c r="N68" s="30">
        <f>IF(H68=0,0,L68/H68)</f>
        <v>8.7654329783900406E-2</v>
      </c>
      <c r="O68" s="28"/>
      <c r="P68" s="31">
        <f>SUM(P65:P67)</f>
        <v>-59625.219999999994</v>
      </c>
      <c r="Q68" s="14"/>
      <c r="R68" s="30">
        <f>IF(P$12=0,0,P68/P$12)</f>
        <v>0</v>
      </c>
      <c r="S68" s="14"/>
      <c r="T68" s="31">
        <f>SUM(T65:T67)</f>
        <v>-60414.195101373087</v>
      </c>
      <c r="U68" s="14"/>
      <c r="V68" s="30">
        <f>IF(T$12=0,0,T68/T$12)</f>
        <v>0</v>
      </c>
      <c r="W68" s="16"/>
      <c r="X68" s="31">
        <f>+P68-T68</f>
        <v>788.97510137309291</v>
      </c>
      <c r="Y68" s="16"/>
      <c r="Z68" s="30">
        <f>IF(T68=0,0,X68/T68)</f>
        <v>-1.305943247359694E-2</v>
      </c>
    </row>
    <row r="69" spans="1:26" ht="15.75" thickTop="1" x14ac:dyDescent="0.25">
      <c r="A69" s="9"/>
      <c r="C69" s="9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63">
        <v>43879.546014664353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57" t="s">
        <v>314</v>
      </c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60"/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","206", " - ", "Graphics")</f>
        <v>Department 206 - Graphics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8096.0500000000011</v>
      </c>
      <c r="E18" s="22"/>
      <c r="F18" s="35">
        <f t="shared" ref="F18:F28" si="0">IF(D$12=0,0,D18/D$12)</f>
        <v>0</v>
      </c>
      <c r="G18" s="22"/>
      <c r="H18" s="22">
        <f>SUM(OSRRefH22x_0)</f>
        <v>19510.476526269998</v>
      </c>
      <c r="I18" s="22"/>
      <c r="J18" s="35">
        <f t="shared" ref="J18:J28" si="1">IF(H$12=0,0,H18/H$12)</f>
        <v>0</v>
      </c>
      <c r="K18" s="4"/>
      <c r="L18" s="22">
        <f t="shared" ref="L18:L28" si="2">+D18-H18</f>
        <v>-11414.426526269997</v>
      </c>
      <c r="M18" s="4"/>
      <c r="N18" s="35">
        <f t="shared" ref="N18:N28" si="3">IF(H18=0,0,L18/H18)</f>
        <v>-0.58504088871950277</v>
      </c>
      <c r="O18" s="10"/>
      <c r="P18" s="22">
        <f>SUM(OSRRefP22x_0)</f>
        <v>51817.57</v>
      </c>
      <c r="Q18" s="22"/>
      <c r="R18" s="35">
        <f t="shared" ref="R18:R28" si="4">IF(P$12=0,0,P18/P$12)</f>
        <v>0</v>
      </c>
      <c r="S18" s="22"/>
      <c r="T18" s="22">
        <f>SUM(OSRRefT22x_0)</f>
        <v>111283.71095812399</v>
      </c>
      <c r="U18" s="22"/>
      <c r="V18" s="35">
        <f t="shared" ref="V18:V28" si="5">IF(T$12=0,0,T18/T$12)</f>
        <v>0</v>
      </c>
      <c r="W18" s="4"/>
      <c r="X18" s="22">
        <f t="shared" ref="X18:X28" si="6">+P18-T18</f>
        <v>-59466.140958123993</v>
      </c>
      <c r="Y18" s="4"/>
      <c r="Z18" s="35">
        <f t="shared" ref="Z18:Z28" si="7">IF(T18=0,0,X18/T18)</f>
        <v>-0.53436518647819964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1686.26</v>
      </c>
      <c r="E19" s="1"/>
      <c r="F19" s="5">
        <f t="shared" si="0"/>
        <v>0</v>
      </c>
      <c r="G19" s="1"/>
      <c r="H19" s="1">
        <f>SUM(OSRRefH22_0x_0)</f>
        <v>6631.6146762699991</v>
      </c>
      <c r="I19" s="1"/>
      <c r="J19" s="5">
        <f t="shared" si="1"/>
        <v>0</v>
      </c>
      <c r="K19" s="1"/>
      <c r="L19" s="1">
        <f t="shared" si="2"/>
        <v>-4945.3546762699989</v>
      </c>
      <c r="M19" s="1"/>
      <c r="N19" s="5">
        <f t="shared" si="3"/>
        <v>-0.74572406837297589</v>
      </c>
      <c r="O19" s="13"/>
      <c r="P19" s="1">
        <f>SUM(OSRRefP22_0x_0)</f>
        <v>12899.28</v>
      </c>
      <c r="Q19" s="1"/>
      <c r="R19" s="5">
        <f t="shared" si="4"/>
        <v>0</v>
      </c>
      <c r="S19" s="1"/>
      <c r="T19" s="1">
        <f>SUM(OSRRefT22_0x_0)</f>
        <v>41486.642488124002</v>
      </c>
      <c r="U19" s="1"/>
      <c r="V19" s="5">
        <f t="shared" si="5"/>
        <v>0</v>
      </c>
      <c r="W19" s="1"/>
      <c r="X19" s="1">
        <f t="shared" si="6"/>
        <v>-28587.362488124003</v>
      </c>
      <c r="Y19" s="1"/>
      <c r="Z19" s="5">
        <f t="shared" si="7"/>
        <v>-0.68907389881712999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342.68</v>
      </c>
      <c r="E20" s="2"/>
      <c r="F20" s="6">
        <f t="shared" si="0"/>
        <v>0</v>
      </c>
      <c r="G20" s="2"/>
      <c r="H20" s="7">
        <v>1545.2293982699998</v>
      </c>
      <c r="I20" s="2"/>
      <c r="J20" s="6">
        <f t="shared" si="1"/>
        <v>0</v>
      </c>
      <c r="K20" s="2"/>
      <c r="L20" s="7">
        <f t="shared" si="2"/>
        <v>-1202.5493982699998</v>
      </c>
      <c r="M20" s="2"/>
      <c r="N20" s="6">
        <f t="shared" si="3"/>
        <v>-0.77823357465004483</v>
      </c>
      <c r="O20" s="11"/>
      <c r="P20" s="7">
        <v>3485.22</v>
      </c>
      <c r="Q20" s="2"/>
      <c r="R20" s="6">
        <f t="shared" si="4"/>
        <v>0</v>
      </c>
      <c r="S20" s="2"/>
      <c r="T20" s="7">
        <v>8550.2844645240002</v>
      </c>
      <c r="U20" s="2"/>
      <c r="V20" s="6">
        <f t="shared" si="5"/>
        <v>0</v>
      </c>
      <c r="W20" s="2"/>
      <c r="X20" s="7">
        <f t="shared" si="6"/>
        <v>-5065.0644645240009</v>
      </c>
      <c r="Y20" s="2"/>
      <c r="Z20" s="6">
        <f t="shared" si="7"/>
        <v>-0.59238549144645047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36.020000000000003</v>
      </c>
      <c r="E21" s="2"/>
      <c r="F21" s="6">
        <f t="shared" si="0"/>
        <v>0</v>
      </c>
      <c r="G21" s="2"/>
      <c r="H21" s="7">
        <v>68.649940599999994</v>
      </c>
      <c r="I21" s="2"/>
      <c r="J21" s="6">
        <f t="shared" si="1"/>
        <v>0</v>
      </c>
      <c r="K21" s="2"/>
      <c r="L21" s="7">
        <f t="shared" si="2"/>
        <v>-32.629940599999991</v>
      </c>
      <c r="M21" s="2"/>
      <c r="N21" s="6">
        <f t="shared" si="3"/>
        <v>-0.47530908715746206</v>
      </c>
      <c r="O21" s="11"/>
      <c r="P21" s="7">
        <v>147.26</v>
      </c>
      <c r="Q21" s="2"/>
      <c r="R21" s="6">
        <f t="shared" si="4"/>
        <v>0</v>
      </c>
      <c r="S21" s="2"/>
      <c r="T21" s="7">
        <v>408.55117672</v>
      </c>
      <c r="U21" s="2"/>
      <c r="V21" s="6">
        <f t="shared" si="5"/>
        <v>0</v>
      </c>
      <c r="W21" s="2"/>
      <c r="X21" s="7">
        <f t="shared" si="6"/>
        <v>-261.29117672000001</v>
      </c>
      <c r="Y21" s="2"/>
      <c r="Z21" s="6">
        <f t="shared" si="7"/>
        <v>-0.63955556025500215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700.87</v>
      </c>
      <c r="E22" s="2"/>
      <c r="F22" s="6">
        <f t="shared" si="0"/>
        <v>0</v>
      </c>
      <c r="G22" s="2"/>
      <c r="H22" s="7">
        <v>2742</v>
      </c>
      <c r="I22" s="2"/>
      <c r="J22" s="6">
        <f t="shared" si="1"/>
        <v>0</v>
      </c>
      <c r="K22" s="2"/>
      <c r="L22" s="7">
        <f t="shared" si="2"/>
        <v>-2041.13</v>
      </c>
      <c r="M22" s="2"/>
      <c r="N22" s="6">
        <f t="shared" si="3"/>
        <v>-0.74439460247994171</v>
      </c>
      <c r="O22" s="11"/>
      <c r="P22" s="7">
        <v>4906.33</v>
      </c>
      <c r="Q22" s="2"/>
      <c r="R22" s="6">
        <f t="shared" si="4"/>
        <v>0</v>
      </c>
      <c r="S22" s="2"/>
      <c r="T22" s="7">
        <v>18582</v>
      </c>
      <c r="U22" s="2"/>
      <c r="V22" s="6">
        <f t="shared" si="5"/>
        <v>0</v>
      </c>
      <c r="W22" s="2"/>
      <c r="X22" s="7">
        <f t="shared" si="6"/>
        <v>-13675.67</v>
      </c>
      <c r="Y22" s="2"/>
      <c r="Z22" s="6">
        <f t="shared" si="7"/>
        <v>-0.73596329781508985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27.55</v>
      </c>
      <c r="E23" s="2"/>
      <c r="F23" s="6">
        <f t="shared" si="0"/>
        <v>0</v>
      </c>
      <c r="G23" s="2"/>
      <c r="H23" s="7">
        <v>52.4970134</v>
      </c>
      <c r="I23" s="2"/>
      <c r="J23" s="6">
        <f t="shared" si="1"/>
        <v>0</v>
      </c>
      <c r="K23" s="2"/>
      <c r="L23" s="7">
        <f t="shared" si="2"/>
        <v>-24.947013399999999</v>
      </c>
      <c r="M23" s="2"/>
      <c r="N23" s="6">
        <f t="shared" si="3"/>
        <v>-0.47520824108443471</v>
      </c>
      <c r="O23" s="11"/>
      <c r="P23" s="7">
        <v>188.78</v>
      </c>
      <c r="Q23" s="2"/>
      <c r="R23" s="6">
        <f t="shared" si="4"/>
        <v>0</v>
      </c>
      <c r="S23" s="2"/>
      <c r="T23" s="7">
        <v>312.42148808000002</v>
      </c>
      <c r="U23" s="2"/>
      <c r="V23" s="6">
        <f t="shared" si="5"/>
        <v>0</v>
      </c>
      <c r="W23" s="2"/>
      <c r="X23" s="7">
        <f t="shared" si="6"/>
        <v>-123.64148808000002</v>
      </c>
      <c r="Y23" s="2"/>
      <c r="Z23" s="6">
        <f t="shared" si="7"/>
        <v>-0.39575218990167488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749.74554899999998</v>
      </c>
      <c r="I24" s="2"/>
      <c r="J24" s="6">
        <f t="shared" si="1"/>
        <v>0</v>
      </c>
      <c r="K24" s="2"/>
      <c r="L24" s="7">
        <f t="shared" si="2"/>
        <v>-749.74554899999998</v>
      </c>
      <c r="M24" s="2"/>
      <c r="N24" s="6">
        <f t="shared" si="3"/>
        <v>-1</v>
      </c>
      <c r="O24" s="11"/>
      <c r="P24" s="7"/>
      <c r="Q24" s="2"/>
      <c r="R24" s="6">
        <f t="shared" si="4"/>
        <v>0</v>
      </c>
      <c r="S24" s="2"/>
      <c r="T24" s="7">
        <v>4648.4224038000002</v>
      </c>
      <c r="U24" s="2"/>
      <c r="V24" s="6">
        <f t="shared" si="5"/>
        <v>0</v>
      </c>
      <c r="W24" s="2"/>
      <c r="X24" s="7">
        <f t="shared" si="6"/>
        <v>-4648.4224038000002</v>
      </c>
      <c r="Y24" s="2"/>
      <c r="Z24" s="6">
        <f t="shared" si="7"/>
        <v>-1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184.8</v>
      </c>
      <c r="E26" s="2"/>
      <c r="F26" s="6">
        <f t="shared" si="0"/>
        <v>0</v>
      </c>
      <c r="G26" s="2"/>
      <c r="H26" s="7">
        <v>693.39857500000005</v>
      </c>
      <c r="I26" s="2"/>
      <c r="J26" s="6">
        <f t="shared" si="1"/>
        <v>0</v>
      </c>
      <c r="K26" s="2"/>
      <c r="L26" s="7">
        <f t="shared" si="2"/>
        <v>-508.59857500000004</v>
      </c>
      <c r="M26" s="2"/>
      <c r="N26" s="6">
        <f t="shared" si="3"/>
        <v>-0.73348661698648576</v>
      </c>
      <c r="O26" s="11"/>
      <c r="P26" s="7">
        <v>1386</v>
      </c>
      <c r="Q26" s="2"/>
      <c r="R26" s="6">
        <f t="shared" si="4"/>
        <v>0</v>
      </c>
      <c r="S26" s="2"/>
      <c r="T26" s="7">
        <v>4299.0711650000003</v>
      </c>
      <c r="U26" s="2"/>
      <c r="V26" s="6">
        <f t="shared" si="5"/>
        <v>0</v>
      </c>
      <c r="W26" s="2"/>
      <c r="X26" s="7">
        <f t="shared" si="6"/>
        <v>-2913.0711650000003</v>
      </c>
      <c r="Y26" s="2"/>
      <c r="Z26" s="6">
        <f t="shared" si="7"/>
        <v>-0.67760477861268442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221.4</v>
      </c>
      <c r="E27" s="2"/>
      <c r="F27" s="6">
        <f t="shared" si="0"/>
        <v>0</v>
      </c>
      <c r="G27" s="2"/>
      <c r="H27" s="7">
        <v>780.0942</v>
      </c>
      <c r="I27" s="2"/>
      <c r="J27" s="6">
        <f t="shared" si="1"/>
        <v>0</v>
      </c>
      <c r="K27" s="2"/>
      <c r="L27" s="7">
        <f t="shared" si="2"/>
        <v>-558.69420000000002</v>
      </c>
      <c r="M27" s="2"/>
      <c r="N27" s="6">
        <f t="shared" si="3"/>
        <v>-0.71618812189604797</v>
      </c>
      <c r="O27" s="11"/>
      <c r="P27" s="7">
        <v>1660.5</v>
      </c>
      <c r="Q27" s="2"/>
      <c r="R27" s="6">
        <f t="shared" si="4"/>
        <v>0</v>
      </c>
      <c r="S27" s="2"/>
      <c r="T27" s="7">
        <v>4685.8917900000006</v>
      </c>
      <c r="U27" s="2"/>
      <c r="V27" s="6">
        <f t="shared" si="5"/>
        <v>0</v>
      </c>
      <c r="W27" s="2"/>
      <c r="X27" s="7">
        <f t="shared" si="6"/>
        <v>-3025.3917900000006</v>
      </c>
      <c r="Y27" s="2"/>
      <c r="Z27" s="6">
        <f t="shared" si="7"/>
        <v>-0.64563842392954618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>
        <v>172.94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172.94</v>
      </c>
      <c r="M28" s="2"/>
      <c r="N28" s="6">
        <f t="shared" si="3"/>
        <v>0</v>
      </c>
      <c r="O28" s="11"/>
      <c r="P28" s="7">
        <v>1125.19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1125.19</v>
      </c>
      <c r="Y28" s="2"/>
      <c r="Z28" s="6">
        <f t="shared" si="7"/>
        <v>0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13149.53</v>
      </c>
      <c r="E29" s="1"/>
      <c r="F29" s="5">
        <f t="shared" ref="F29:F39" si="8">IF(D$12=0,0,D29/D$12)</f>
        <v>0</v>
      </c>
      <c r="G29" s="1"/>
      <c r="H29" s="1">
        <f>SUM(OSRRefH22_1x_0)</f>
        <v>19164.861850000001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-6015.3318500000005</v>
      </c>
      <c r="M29" s="1"/>
      <c r="N29" s="5">
        <f t="shared" ref="N29:N39" si="11">IF(H29=0,0,L29/H29)</f>
        <v>-0.3138729565118154</v>
      </c>
      <c r="O29" s="13"/>
      <c r="P29" s="1">
        <f>SUM(OSRRefP22_1x_0)</f>
        <v>77032.53</v>
      </c>
      <c r="Q29" s="1"/>
      <c r="R29" s="5">
        <f t="shared" ref="R29:R39" si="12">IF(P$12=0,0,P29/P$12)</f>
        <v>0</v>
      </c>
      <c r="S29" s="1"/>
      <c r="T29" s="1">
        <f>SUM(OSRRefT22_1x_0)</f>
        <v>113799.06847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-36766.53847</v>
      </c>
      <c r="Y29" s="1"/>
      <c r="Z29" s="5">
        <f t="shared" ref="Z29:Z39" si="15">IF(T29=0,0,X29/T29)</f>
        <v>-0.32308294755235617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7846.1743500000002</v>
      </c>
      <c r="I30" s="2"/>
      <c r="J30" s="6">
        <f t="shared" si="9"/>
        <v>0</v>
      </c>
      <c r="K30" s="2"/>
      <c r="L30" s="7">
        <f t="shared" si="10"/>
        <v>-7846.1743500000002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48646.28097</v>
      </c>
      <c r="U30" s="2"/>
      <c r="V30" s="6">
        <f t="shared" si="13"/>
        <v>0</v>
      </c>
      <c r="W30" s="2"/>
      <c r="X30" s="7">
        <f t="shared" si="14"/>
        <v>-48646.28097</v>
      </c>
      <c r="Y30" s="2"/>
      <c r="Z30" s="6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>
        <v>4136.25</v>
      </c>
      <c r="E33" s="2"/>
      <c r="F33" s="6">
        <f t="shared" si="8"/>
        <v>0</v>
      </c>
      <c r="G33" s="2"/>
      <c r="H33" s="7">
        <v>4995.5</v>
      </c>
      <c r="I33" s="2"/>
      <c r="J33" s="6">
        <f t="shared" si="9"/>
        <v>0</v>
      </c>
      <c r="K33" s="2"/>
      <c r="L33" s="7">
        <f t="shared" si="10"/>
        <v>-859.25</v>
      </c>
      <c r="M33" s="2"/>
      <c r="N33" s="6">
        <f t="shared" si="11"/>
        <v>-0.17200480432389151</v>
      </c>
      <c r="O33" s="11"/>
      <c r="P33" s="7">
        <v>35973.75</v>
      </c>
      <c r="Q33" s="2"/>
      <c r="R33" s="6">
        <f t="shared" si="12"/>
        <v>0</v>
      </c>
      <c r="S33" s="2"/>
      <c r="T33" s="7">
        <v>30972.099999999995</v>
      </c>
      <c r="U33" s="2"/>
      <c r="V33" s="6">
        <f t="shared" si="13"/>
        <v>0</v>
      </c>
      <c r="W33" s="2"/>
      <c r="X33" s="7">
        <f t="shared" si="14"/>
        <v>5001.6500000000051</v>
      </c>
      <c r="Y33" s="2"/>
      <c r="Z33" s="6">
        <f t="shared" si="15"/>
        <v>0.16148888838664494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>
        <v>2361.4299999999998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2361.4299999999998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>
        <v>7904.6</v>
      </c>
      <c r="E36" s="2"/>
      <c r="F36" s="6">
        <f t="shared" si="8"/>
        <v>0</v>
      </c>
      <c r="G36" s="2"/>
      <c r="H36" s="7">
        <v>6323.1875</v>
      </c>
      <c r="I36" s="2"/>
      <c r="J36" s="6">
        <f t="shared" si="9"/>
        <v>0</v>
      </c>
      <c r="K36" s="2"/>
      <c r="L36" s="7">
        <f t="shared" si="10"/>
        <v>1581.4125000000004</v>
      </c>
      <c r="M36" s="2"/>
      <c r="N36" s="6">
        <f t="shared" si="11"/>
        <v>0.25009735991539084</v>
      </c>
      <c r="O36" s="11"/>
      <c r="P36" s="7">
        <v>32870.03</v>
      </c>
      <c r="Q36" s="2"/>
      <c r="R36" s="6">
        <f t="shared" si="12"/>
        <v>0</v>
      </c>
      <c r="S36" s="2"/>
      <c r="T36" s="7">
        <v>25743.1875</v>
      </c>
      <c r="U36" s="2"/>
      <c r="V36" s="6">
        <f t="shared" si="13"/>
        <v>0</v>
      </c>
      <c r="W36" s="2"/>
      <c r="X36" s="7">
        <f t="shared" si="14"/>
        <v>7126.8424999999988</v>
      </c>
      <c r="Y36" s="2"/>
      <c r="Z36" s="6">
        <f t="shared" si="15"/>
        <v>0.27684382518676054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>
        <v>1108.68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1108.68</v>
      </c>
      <c r="M37" s="2"/>
      <c r="N37" s="6">
        <f t="shared" si="11"/>
        <v>0</v>
      </c>
      <c r="O37" s="11"/>
      <c r="P37" s="7">
        <v>5827.32</v>
      </c>
      <c r="Q37" s="2"/>
      <c r="R37" s="6">
        <f t="shared" si="12"/>
        <v>0</v>
      </c>
      <c r="S37" s="2"/>
      <c r="T37" s="7">
        <v>8437.5</v>
      </c>
      <c r="U37" s="2"/>
      <c r="V37" s="6">
        <f t="shared" si="13"/>
        <v>0</v>
      </c>
      <c r="W37" s="2"/>
      <c r="X37" s="7">
        <f t="shared" si="14"/>
        <v>-2610.1800000000003</v>
      </c>
      <c r="Y37" s="2"/>
      <c r="Z37" s="6">
        <f t="shared" si="15"/>
        <v>-0.30935466666666672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-7382.72</v>
      </c>
      <c r="E40" s="1"/>
      <c r="F40" s="5">
        <f t="shared" ref="F40:F52" si="16">IF(D$12=0,0,D40/D$12)</f>
        <v>0</v>
      </c>
      <c r="G40" s="1"/>
      <c r="H40" s="1">
        <f>SUM(OSRRefH22_2x_0)</f>
        <v>-9000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1617.2799999999997</v>
      </c>
      <c r="M40" s="1"/>
      <c r="N40" s="5">
        <f t="shared" ref="N40:N52" si="19">IF(H40=0,0,L40/H40)</f>
        <v>-0.17969777777777776</v>
      </c>
      <c r="O40" s="13"/>
      <c r="P40" s="1">
        <f>SUM(OSRRefP22_2x_0)</f>
        <v>-42957.08</v>
      </c>
      <c r="Q40" s="1"/>
      <c r="R40" s="5">
        <f t="shared" ref="R40:R52" si="20">IF(P$12=0,0,P40/P$12)</f>
        <v>0</v>
      </c>
      <c r="S40" s="1"/>
      <c r="T40" s="1">
        <f>SUM(OSRRefT22_2x_0)</f>
        <v>-63000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20042.919999999998</v>
      </c>
      <c r="Y40" s="1"/>
      <c r="Z40" s="5">
        <f t="shared" ref="Z40:Z52" si="23">IF(T40=0,0,X40/T40)</f>
        <v>-0.31814158730158726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7">
        <v>-7382.72</v>
      </c>
      <c r="E41" s="2"/>
      <c r="F41" s="6">
        <f t="shared" si="16"/>
        <v>0</v>
      </c>
      <c r="G41" s="2"/>
      <c r="H41" s="7">
        <v>-9000</v>
      </c>
      <c r="I41" s="2"/>
      <c r="J41" s="6">
        <f t="shared" si="17"/>
        <v>0</v>
      </c>
      <c r="K41" s="2"/>
      <c r="L41" s="7">
        <f t="shared" si="18"/>
        <v>1617.2799999999997</v>
      </c>
      <c r="M41" s="2"/>
      <c r="N41" s="6">
        <f t="shared" si="19"/>
        <v>-0.17969777777777776</v>
      </c>
      <c r="O41" s="11"/>
      <c r="P41" s="7">
        <v>-42957.08</v>
      </c>
      <c r="Q41" s="2"/>
      <c r="R41" s="6">
        <f t="shared" si="20"/>
        <v>0</v>
      </c>
      <c r="S41" s="2"/>
      <c r="T41" s="7">
        <v>-63000</v>
      </c>
      <c r="U41" s="2"/>
      <c r="V41" s="6">
        <f t="shared" si="21"/>
        <v>0</v>
      </c>
      <c r="W41" s="2"/>
      <c r="X41" s="7">
        <f t="shared" si="22"/>
        <v>20042.919999999998</v>
      </c>
      <c r="Y41" s="2"/>
      <c r="Z41" s="6">
        <f t="shared" si="23"/>
        <v>-0.31814158730158726</v>
      </c>
    </row>
    <row r="42" spans="1:26" s="27" customFormat="1" outlineLevel="1" collapsed="1" x14ac:dyDescent="0.25">
      <c r="A42" s="26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295.67</v>
      </c>
      <c r="E42" s="1"/>
      <c r="F42" s="5">
        <f t="shared" si="16"/>
        <v>0</v>
      </c>
      <c r="G42" s="1"/>
      <c r="H42" s="1">
        <f>SUM(OSRRefH22_3x_0)</f>
        <v>289</v>
      </c>
      <c r="I42" s="1"/>
      <c r="J42" s="5">
        <f t="shared" si="17"/>
        <v>0</v>
      </c>
      <c r="K42" s="1"/>
      <c r="L42" s="1">
        <f t="shared" si="18"/>
        <v>6.6700000000000159</v>
      </c>
      <c r="M42" s="1"/>
      <c r="N42" s="5">
        <f t="shared" si="19"/>
        <v>2.3079584775086561E-2</v>
      </c>
      <c r="O42" s="13"/>
      <c r="P42" s="1">
        <f>SUM(OSRRefP22_3x_0)</f>
        <v>2069.69</v>
      </c>
      <c r="Q42" s="1"/>
      <c r="R42" s="5">
        <f t="shared" si="20"/>
        <v>0</v>
      </c>
      <c r="S42" s="1"/>
      <c r="T42" s="1">
        <f>SUM(OSRRefT22_3x_0)</f>
        <v>2023</v>
      </c>
      <c r="U42" s="1"/>
      <c r="V42" s="5">
        <f t="shared" si="21"/>
        <v>0</v>
      </c>
      <c r="W42" s="1"/>
      <c r="X42" s="1">
        <f t="shared" si="22"/>
        <v>46.690000000000055</v>
      </c>
      <c r="Y42" s="1"/>
      <c r="Z42" s="5">
        <f t="shared" si="23"/>
        <v>2.3079584775086533E-2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295.67</v>
      </c>
      <c r="E43" s="2"/>
      <c r="F43" s="6">
        <f t="shared" si="16"/>
        <v>0</v>
      </c>
      <c r="G43" s="2"/>
      <c r="H43" s="7">
        <v>289</v>
      </c>
      <c r="I43" s="2"/>
      <c r="J43" s="6">
        <f t="shared" si="17"/>
        <v>0</v>
      </c>
      <c r="K43" s="2"/>
      <c r="L43" s="7">
        <f t="shared" si="18"/>
        <v>6.6700000000000159</v>
      </c>
      <c r="M43" s="2"/>
      <c r="N43" s="6">
        <f t="shared" si="19"/>
        <v>2.3079584775086561E-2</v>
      </c>
      <c r="O43" s="11"/>
      <c r="P43" s="7">
        <v>2069.69</v>
      </c>
      <c r="Q43" s="2"/>
      <c r="R43" s="6">
        <f t="shared" si="20"/>
        <v>0</v>
      </c>
      <c r="S43" s="2"/>
      <c r="T43" s="7">
        <v>2023</v>
      </c>
      <c r="U43" s="2"/>
      <c r="V43" s="6">
        <f t="shared" si="21"/>
        <v>0</v>
      </c>
      <c r="W43" s="2"/>
      <c r="X43" s="7">
        <f t="shared" si="22"/>
        <v>46.690000000000055</v>
      </c>
      <c r="Y43" s="2"/>
      <c r="Z43" s="6">
        <f t="shared" si="23"/>
        <v>2.3079584775086533E-2</v>
      </c>
    </row>
    <row r="44" spans="1:26" s="27" customFormat="1" outlineLevel="1" collapsed="1" x14ac:dyDescent="0.25">
      <c r="A44" s="26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200</v>
      </c>
      <c r="I44" s="1"/>
      <c r="J44" s="5">
        <f t="shared" si="17"/>
        <v>0</v>
      </c>
      <c r="K44" s="1"/>
      <c r="L44" s="1">
        <f t="shared" si="18"/>
        <v>-200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1400</v>
      </c>
      <c r="U44" s="1"/>
      <c r="V44" s="5">
        <f t="shared" si="21"/>
        <v>0</v>
      </c>
      <c r="W44" s="1"/>
      <c r="X44" s="1">
        <f t="shared" si="22"/>
        <v>-1400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>
        <v>200</v>
      </c>
      <c r="I45" s="2"/>
      <c r="J45" s="6">
        <f t="shared" si="17"/>
        <v>0</v>
      </c>
      <c r="K45" s="2"/>
      <c r="L45" s="7">
        <f t="shared" si="18"/>
        <v>-200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1400</v>
      </c>
      <c r="U45" s="2"/>
      <c r="V45" s="6">
        <f t="shared" si="21"/>
        <v>0</v>
      </c>
      <c r="W45" s="2"/>
      <c r="X45" s="7">
        <f t="shared" si="22"/>
        <v>-1400</v>
      </c>
      <c r="Y45" s="2"/>
      <c r="Z45" s="6">
        <f t="shared" si="23"/>
        <v>-1</v>
      </c>
    </row>
    <row r="46" spans="1:26" s="27" customFormat="1" outlineLevel="1" collapsed="1" x14ac:dyDescent="0.25">
      <c r="A46" s="26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173.21</v>
      </c>
      <c r="E46" s="1"/>
      <c r="F46" s="5">
        <f t="shared" si="16"/>
        <v>0</v>
      </c>
      <c r="G46" s="1"/>
      <c r="H46" s="1">
        <f>SUM(OSRRefH22_5x_0)</f>
        <v>0</v>
      </c>
      <c r="I46" s="1"/>
      <c r="J46" s="5">
        <f t="shared" si="17"/>
        <v>0</v>
      </c>
      <c r="K46" s="1"/>
      <c r="L46" s="1">
        <f t="shared" si="18"/>
        <v>173.21</v>
      </c>
      <c r="M46" s="1"/>
      <c r="N46" s="5">
        <f t="shared" si="19"/>
        <v>0</v>
      </c>
      <c r="O46" s="13"/>
      <c r="P46" s="1">
        <f>SUM(OSRRefP22_5x_0)</f>
        <v>1026.8</v>
      </c>
      <c r="Q46" s="1"/>
      <c r="R46" s="5">
        <f t="shared" si="20"/>
        <v>0</v>
      </c>
      <c r="S46" s="1"/>
      <c r="T46" s="1">
        <f>SUM(OSRRefT22_5x_0)</f>
        <v>0</v>
      </c>
      <c r="U46" s="1"/>
      <c r="V46" s="5">
        <f t="shared" si="21"/>
        <v>0</v>
      </c>
      <c r="W46" s="1"/>
      <c r="X46" s="1">
        <f t="shared" si="22"/>
        <v>1026.8</v>
      </c>
      <c r="Y46" s="1"/>
      <c r="Z46" s="5">
        <f t="shared" si="23"/>
        <v>0</v>
      </c>
    </row>
    <row r="47" spans="1:26" s="24" customFormat="1" hidden="1" outlineLevel="2" x14ac:dyDescent="0.25">
      <c r="A47" s="25"/>
      <c r="B47" s="11" t="str">
        <f>CONCATENATE("          ", "6279", " - ", "GENERAL EXPENSE")</f>
        <v xml:space="preserve">          6279 - GENERAL EXPENSE</v>
      </c>
      <c r="C47" s="11"/>
      <c r="D47" s="7">
        <v>173.21</v>
      </c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173.21</v>
      </c>
      <c r="M47" s="2"/>
      <c r="N47" s="6">
        <f t="shared" si="19"/>
        <v>0</v>
      </c>
      <c r="O47" s="11"/>
      <c r="P47" s="7">
        <v>1026.8</v>
      </c>
      <c r="Q47" s="2"/>
      <c r="R47" s="6">
        <f t="shared" si="20"/>
        <v>0</v>
      </c>
      <c r="S47" s="2"/>
      <c r="T47" s="7"/>
      <c r="U47" s="2"/>
      <c r="V47" s="6">
        <f t="shared" si="21"/>
        <v>0</v>
      </c>
      <c r="W47" s="2"/>
      <c r="X47" s="7">
        <f t="shared" si="22"/>
        <v>1026.8</v>
      </c>
      <c r="Y47" s="2"/>
      <c r="Z47" s="6">
        <f t="shared" si="23"/>
        <v>0</v>
      </c>
    </row>
    <row r="48" spans="1:26" s="27" customFormat="1" outlineLevel="1" collapsed="1" x14ac:dyDescent="0.25">
      <c r="A48" s="26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400</v>
      </c>
      <c r="I48" s="1"/>
      <c r="J48" s="5">
        <f t="shared" si="17"/>
        <v>0</v>
      </c>
      <c r="K48" s="1"/>
      <c r="L48" s="1">
        <f t="shared" si="18"/>
        <v>-400</v>
      </c>
      <c r="M48" s="1"/>
      <c r="N48" s="5">
        <f t="shared" si="19"/>
        <v>-1</v>
      </c>
      <c r="O48" s="13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2800</v>
      </c>
      <c r="U48" s="1"/>
      <c r="V48" s="5">
        <f t="shared" si="21"/>
        <v>0</v>
      </c>
      <c r="W48" s="1"/>
      <c r="X48" s="1">
        <f t="shared" si="22"/>
        <v>-2800</v>
      </c>
      <c r="Y48" s="1"/>
      <c r="Z48" s="5">
        <f t="shared" si="23"/>
        <v>-1</v>
      </c>
    </row>
    <row r="49" spans="1:26" s="24" customFormat="1" hidden="1" outlineLevel="2" x14ac:dyDescent="0.25">
      <c r="A49" s="25"/>
      <c r="B49" s="11" t="str">
        <f>CONCATENATE("          ", "6371", " - ", "COMPUTER SOFTWARE MAINTENANCE")</f>
        <v xml:space="preserve">          6371 - COMPUTER SOFTWARE MAINTENANCE</v>
      </c>
      <c r="C49" s="11"/>
      <c r="D49" s="7"/>
      <c r="E49" s="2"/>
      <c r="F49" s="6">
        <f t="shared" si="16"/>
        <v>0</v>
      </c>
      <c r="G49" s="2"/>
      <c r="H49" s="7">
        <v>400</v>
      </c>
      <c r="I49" s="2"/>
      <c r="J49" s="6">
        <f t="shared" si="17"/>
        <v>0</v>
      </c>
      <c r="K49" s="2"/>
      <c r="L49" s="7">
        <f t="shared" si="18"/>
        <v>-400</v>
      </c>
      <c r="M49" s="2"/>
      <c r="N49" s="6">
        <f t="shared" si="19"/>
        <v>-1</v>
      </c>
      <c r="O49" s="11"/>
      <c r="P49" s="7"/>
      <c r="Q49" s="2"/>
      <c r="R49" s="6">
        <f t="shared" si="20"/>
        <v>0</v>
      </c>
      <c r="S49" s="2"/>
      <c r="T49" s="7">
        <v>2800</v>
      </c>
      <c r="U49" s="2"/>
      <c r="V49" s="6">
        <f t="shared" si="21"/>
        <v>0</v>
      </c>
      <c r="W49" s="2"/>
      <c r="X49" s="7">
        <f t="shared" si="22"/>
        <v>-2800</v>
      </c>
      <c r="Y49" s="2"/>
      <c r="Z49" s="6">
        <f t="shared" si="23"/>
        <v>-1</v>
      </c>
    </row>
    <row r="50" spans="1:26" s="27" customFormat="1" outlineLevel="1" collapsed="1" x14ac:dyDescent="0.25">
      <c r="A50" s="26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102</v>
      </c>
      <c r="E50" s="1"/>
      <c r="F50" s="5">
        <f t="shared" si="16"/>
        <v>0</v>
      </c>
      <c r="G50" s="1"/>
      <c r="H50" s="1">
        <f>SUM(OSRRefH22_7x_0)</f>
        <v>975</v>
      </c>
      <c r="I50" s="1"/>
      <c r="J50" s="5">
        <f t="shared" si="17"/>
        <v>0</v>
      </c>
      <c r="K50" s="1"/>
      <c r="L50" s="1">
        <f t="shared" si="18"/>
        <v>-873</v>
      </c>
      <c r="M50" s="1"/>
      <c r="N50" s="5">
        <f t="shared" si="19"/>
        <v>-0.89538461538461533</v>
      </c>
      <c r="O50" s="13"/>
      <c r="P50" s="1">
        <f>SUM(OSRRefP22_7x_0)</f>
        <v>1114.1300000000001</v>
      </c>
      <c r="Q50" s="1"/>
      <c r="R50" s="5">
        <f t="shared" si="20"/>
        <v>0</v>
      </c>
      <c r="S50" s="1"/>
      <c r="T50" s="1">
        <f>SUM(OSRRefT22_7x_0)</f>
        <v>6825</v>
      </c>
      <c r="U50" s="1"/>
      <c r="V50" s="5">
        <f t="shared" si="21"/>
        <v>0</v>
      </c>
      <c r="W50" s="1"/>
      <c r="X50" s="1">
        <f t="shared" si="22"/>
        <v>-5710.87</v>
      </c>
      <c r="Y50" s="1"/>
      <c r="Z50" s="5">
        <f t="shared" si="23"/>
        <v>-0.83675750915750913</v>
      </c>
    </row>
    <row r="51" spans="1:26" s="24" customFormat="1" hidden="1" outlineLevel="2" x14ac:dyDescent="0.25">
      <c r="A51" s="25"/>
      <c r="B51" s="11" t="str">
        <f>CONCATENATE("          ", "6241", " - ", "OFFICE EXPENSE")</f>
        <v xml:space="preserve">          6241 - OFFICE EXPENSE</v>
      </c>
      <c r="C51" s="11"/>
      <c r="D51" s="7">
        <v>102</v>
      </c>
      <c r="E51" s="2"/>
      <c r="F51" s="6">
        <f t="shared" si="16"/>
        <v>0</v>
      </c>
      <c r="G51" s="2"/>
      <c r="H51" s="7">
        <v>975</v>
      </c>
      <c r="I51" s="2"/>
      <c r="J51" s="6">
        <f t="shared" si="17"/>
        <v>0</v>
      </c>
      <c r="K51" s="2"/>
      <c r="L51" s="7">
        <f t="shared" si="18"/>
        <v>-873</v>
      </c>
      <c r="M51" s="2"/>
      <c r="N51" s="6">
        <f t="shared" si="19"/>
        <v>-0.89538461538461533</v>
      </c>
      <c r="O51" s="11"/>
      <c r="P51" s="7">
        <v>767.71</v>
      </c>
      <c r="Q51" s="2"/>
      <c r="R51" s="6">
        <f t="shared" si="20"/>
        <v>0</v>
      </c>
      <c r="S51" s="2"/>
      <c r="T51" s="7">
        <v>6825</v>
      </c>
      <c r="U51" s="2"/>
      <c r="V51" s="6">
        <f t="shared" si="21"/>
        <v>0</v>
      </c>
      <c r="W51" s="2"/>
      <c r="X51" s="7">
        <f t="shared" si="22"/>
        <v>-6057.29</v>
      </c>
      <c r="Y51" s="2"/>
      <c r="Z51" s="6">
        <f t="shared" si="23"/>
        <v>-0.88751501831501833</v>
      </c>
    </row>
    <row r="52" spans="1:26" s="24" customFormat="1" hidden="1" outlineLevel="2" x14ac:dyDescent="0.25">
      <c r="A52" s="25"/>
      <c r="B52" s="11" t="str">
        <f>CONCATENATE("          ", "6245", " - ", "PRINTING")</f>
        <v xml:space="preserve">          6245 - PRINTING</v>
      </c>
      <c r="C52" s="11"/>
      <c r="D52" s="7"/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0</v>
      </c>
      <c r="M52" s="2"/>
      <c r="N52" s="6">
        <f t="shared" si="19"/>
        <v>0</v>
      </c>
      <c r="O52" s="11"/>
      <c r="P52" s="7">
        <v>346.42</v>
      </c>
      <c r="Q52" s="2"/>
      <c r="R52" s="6">
        <f t="shared" si="20"/>
        <v>0</v>
      </c>
      <c r="S52" s="2"/>
      <c r="T52" s="7"/>
      <c r="U52" s="2"/>
      <c r="V52" s="6">
        <f t="shared" si="21"/>
        <v>0</v>
      </c>
      <c r="W52" s="2"/>
      <c r="X52" s="7">
        <f t="shared" si="22"/>
        <v>346.42</v>
      </c>
      <c r="Y52" s="2"/>
      <c r="Z52" s="6">
        <f t="shared" si="23"/>
        <v>0</v>
      </c>
    </row>
    <row r="53" spans="1:26" s="27" customFormat="1" outlineLevel="1" collapsed="1" x14ac:dyDescent="0.25">
      <c r="A53" s="26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SUM(OSRRefD22_8x_0)</f>
        <v>72.099999999999994</v>
      </c>
      <c r="E53" s="1"/>
      <c r="F53" s="5">
        <f t="shared" ref="F53:F58" si="24">IF(D$12=0,0,D53/D$12)</f>
        <v>0</v>
      </c>
      <c r="G53" s="1"/>
      <c r="H53" s="1">
        <f>SUM(OSRRefH22_8x_0)</f>
        <v>150</v>
      </c>
      <c r="I53" s="1"/>
      <c r="J53" s="5">
        <f t="shared" ref="J53:J58" si="25">IF(H$12=0,0,H53/H$12)</f>
        <v>0</v>
      </c>
      <c r="K53" s="1"/>
      <c r="L53" s="1">
        <f t="shared" ref="L53:L58" si="26">+D53-H53</f>
        <v>-77.900000000000006</v>
      </c>
      <c r="M53" s="1"/>
      <c r="N53" s="5">
        <f t="shared" ref="N53:N58" si="27">IF(H53=0,0,L53/H53)</f>
        <v>-0.51933333333333342</v>
      </c>
      <c r="O53" s="13"/>
      <c r="P53" s="1">
        <f>SUM(OSRRefP22_8x_0)</f>
        <v>513.9</v>
      </c>
      <c r="Q53" s="1"/>
      <c r="R53" s="5">
        <f t="shared" ref="R53:R58" si="28">IF(P$12=0,0,P53/P$12)</f>
        <v>0</v>
      </c>
      <c r="S53" s="1"/>
      <c r="T53" s="1">
        <f>SUM(OSRRefT22_8x_0)</f>
        <v>1050</v>
      </c>
      <c r="U53" s="1"/>
      <c r="V53" s="5">
        <f t="shared" ref="V53:V58" si="29">IF(T$12=0,0,T53/T$12)</f>
        <v>0</v>
      </c>
      <c r="W53" s="1"/>
      <c r="X53" s="1">
        <f t="shared" ref="X53:X58" si="30">+P53-T53</f>
        <v>-536.1</v>
      </c>
      <c r="Y53" s="1"/>
      <c r="Z53" s="5">
        <f t="shared" ref="Z53:Z58" si="31">IF(T53=0,0,X53/T53)</f>
        <v>-0.51057142857142856</v>
      </c>
    </row>
    <row r="54" spans="1:26" s="24" customFormat="1" hidden="1" outlineLevel="2" x14ac:dyDescent="0.25">
      <c r="A54" s="25"/>
      <c r="B54" s="11" t="str">
        <f>CONCATENATE("          ", "6309", " - ", "TELEPHONE")</f>
        <v xml:space="preserve">          6309 - TELEPHONE</v>
      </c>
      <c r="C54" s="11"/>
      <c r="D54" s="7">
        <v>72.099999999999994</v>
      </c>
      <c r="E54" s="2"/>
      <c r="F54" s="6">
        <f t="shared" si="24"/>
        <v>0</v>
      </c>
      <c r="G54" s="2"/>
      <c r="H54" s="7">
        <v>150</v>
      </c>
      <c r="I54" s="2"/>
      <c r="J54" s="6">
        <f t="shared" si="25"/>
        <v>0</v>
      </c>
      <c r="K54" s="2"/>
      <c r="L54" s="7">
        <f t="shared" si="26"/>
        <v>-77.900000000000006</v>
      </c>
      <c r="M54" s="2"/>
      <c r="N54" s="6">
        <f t="shared" si="27"/>
        <v>-0.51933333333333342</v>
      </c>
      <c r="O54" s="11"/>
      <c r="P54" s="7">
        <v>513.9</v>
      </c>
      <c r="Q54" s="2"/>
      <c r="R54" s="6">
        <f t="shared" si="28"/>
        <v>0</v>
      </c>
      <c r="S54" s="2"/>
      <c r="T54" s="7">
        <v>1050</v>
      </c>
      <c r="U54" s="2"/>
      <c r="V54" s="6">
        <f t="shared" si="29"/>
        <v>0</v>
      </c>
      <c r="W54" s="2"/>
      <c r="X54" s="7">
        <f t="shared" si="30"/>
        <v>-536.1</v>
      </c>
      <c r="Y54" s="2"/>
      <c r="Z54" s="6">
        <f t="shared" si="31"/>
        <v>-0.51057142857142856</v>
      </c>
    </row>
    <row r="55" spans="1:26" s="27" customFormat="1" outlineLevel="1" collapsed="1" x14ac:dyDescent="0.25">
      <c r="A55" s="26"/>
      <c r="B55" s="13" t="str">
        <f>CONCATENATE("     ","Training                                          ")</f>
        <v xml:space="preserve">     Training                                          </v>
      </c>
      <c r="C55" s="13"/>
      <c r="D55" s="1">
        <f>SUM(OSRRefD22_9x_0)</f>
        <v>0</v>
      </c>
      <c r="E55" s="1"/>
      <c r="F55" s="5">
        <f t="shared" si="24"/>
        <v>0</v>
      </c>
      <c r="G55" s="1"/>
      <c r="H55" s="1">
        <f>SUM(OSRRefH22_9x_0)</f>
        <v>200</v>
      </c>
      <c r="I55" s="1"/>
      <c r="J55" s="5">
        <f t="shared" si="25"/>
        <v>0</v>
      </c>
      <c r="K55" s="1"/>
      <c r="L55" s="1">
        <f t="shared" si="26"/>
        <v>-200</v>
      </c>
      <c r="M55" s="1"/>
      <c r="N55" s="5">
        <f t="shared" si="27"/>
        <v>-1</v>
      </c>
      <c r="O55" s="13"/>
      <c r="P55" s="1">
        <f>SUM(OSRRefP22_9x_0)</f>
        <v>0</v>
      </c>
      <c r="Q55" s="1"/>
      <c r="R55" s="5">
        <f t="shared" si="28"/>
        <v>0</v>
      </c>
      <c r="S55" s="1"/>
      <c r="T55" s="1">
        <f>SUM(OSRRefT22_9x_0)</f>
        <v>1400</v>
      </c>
      <c r="U55" s="1"/>
      <c r="V55" s="5">
        <f t="shared" si="29"/>
        <v>0</v>
      </c>
      <c r="W55" s="1"/>
      <c r="X55" s="1">
        <f t="shared" si="30"/>
        <v>-1400</v>
      </c>
      <c r="Y55" s="1"/>
      <c r="Z55" s="5">
        <f t="shared" si="31"/>
        <v>-1</v>
      </c>
    </row>
    <row r="56" spans="1:26" s="24" customFormat="1" hidden="1" outlineLevel="2" x14ac:dyDescent="0.25">
      <c r="A56" s="25"/>
      <c r="B56" s="11" t="str">
        <f>CONCATENATE("          ", "6376", " - ", "TRAINING")</f>
        <v xml:space="preserve">          6376 - TRAINING</v>
      </c>
      <c r="C56" s="11"/>
      <c r="D56" s="7"/>
      <c r="E56" s="2"/>
      <c r="F56" s="6">
        <f t="shared" si="24"/>
        <v>0</v>
      </c>
      <c r="G56" s="2"/>
      <c r="H56" s="7">
        <v>200</v>
      </c>
      <c r="I56" s="2"/>
      <c r="J56" s="6">
        <f t="shared" si="25"/>
        <v>0</v>
      </c>
      <c r="K56" s="2"/>
      <c r="L56" s="7">
        <f t="shared" si="26"/>
        <v>-200</v>
      </c>
      <c r="M56" s="2"/>
      <c r="N56" s="6">
        <f t="shared" si="27"/>
        <v>-1</v>
      </c>
      <c r="O56" s="11"/>
      <c r="P56" s="7"/>
      <c r="Q56" s="2"/>
      <c r="R56" s="6">
        <f t="shared" si="28"/>
        <v>0</v>
      </c>
      <c r="S56" s="2"/>
      <c r="T56" s="7">
        <v>1400</v>
      </c>
      <c r="U56" s="2"/>
      <c r="V56" s="6">
        <f t="shared" si="29"/>
        <v>0</v>
      </c>
      <c r="W56" s="2"/>
      <c r="X56" s="7">
        <f t="shared" si="30"/>
        <v>-1400</v>
      </c>
      <c r="Y56" s="2"/>
      <c r="Z56" s="6">
        <f t="shared" si="31"/>
        <v>-1</v>
      </c>
    </row>
    <row r="57" spans="1:26" s="27" customFormat="1" outlineLevel="1" collapsed="1" x14ac:dyDescent="0.25">
      <c r="A57" s="26"/>
      <c r="B57" s="13" t="str">
        <f>CONCATENATE("     ","Travel                                            ")</f>
        <v xml:space="preserve">     Travel                                            </v>
      </c>
      <c r="C57" s="13"/>
      <c r="D57" s="1">
        <f>SUM(OSRRefD22_10x_0)</f>
        <v>0</v>
      </c>
      <c r="E57" s="1"/>
      <c r="F57" s="5">
        <f t="shared" si="24"/>
        <v>0</v>
      </c>
      <c r="G57" s="1"/>
      <c r="H57" s="1">
        <f>SUM(OSRRefH22_10x_0)</f>
        <v>500</v>
      </c>
      <c r="I57" s="1"/>
      <c r="J57" s="5">
        <f t="shared" si="25"/>
        <v>0</v>
      </c>
      <c r="K57" s="1"/>
      <c r="L57" s="1">
        <f t="shared" si="26"/>
        <v>-500</v>
      </c>
      <c r="M57" s="1"/>
      <c r="N57" s="5">
        <f t="shared" si="27"/>
        <v>-1</v>
      </c>
      <c r="O57" s="13"/>
      <c r="P57" s="1">
        <f>SUM(OSRRefP22_10x_0)</f>
        <v>118.32</v>
      </c>
      <c r="Q57" s="1"/>
      <c r="R57" s="5">
        <f t="shared" si="28"/>
        <v>0</v>
      </c>
      <c r="S57" s="1"/>
      <c r="T57" s="1">
        <f>SUM(OSRRefT22_10x_0)</f>
        <v>3500</v>
      </c>
      <c r="U57" s="1"/>
      <c r="V57" s="5">
        <f t="shared" si="29"/>
        <v>0</v>
      </c>
      <c r="W57" s="1"/>
      <c r="X57" s="1">
        <f t="shared" si="30"/>
        <v>-3381.68</v>
      </c>
      <c r="Y57" s="1"/>
      <c r="Z57" s="5">
        <f t="shared" si="31"/>
        <v>-0.96619428571428567</v>
      </c>
    </row>
    <row r="58" spans="1:26" s="24" customFormat="1" hidden="1" outlineLevel="2" x14ac:dyDescent="0.25">
      <c r="A58" s="25"/>
      <c r="B58" s="11" t="str">
        <f>CONCATENATE("          ", "6292", " - ", "TRAVEL/CONFERENCE")</f>
        <v xml:space="preserve">          6292 - TRAVEL/CONFERENCE</v>
      </c>
      <c r="C58" s="11"/>
      <c r="D58" s="7"/>
      <c r="E58" s="2"/>
      <c r="F58" s="6">
        <f t="shared" si="24"/>
        <v>0</v>
      </c>
      <c r="G58" s="2"/>
      <c r="H58" s="7">
        <v>500</v>
      </c>
      <c r="I58" s="2"/>
      <c r="J58" s="6">
        <f t="shared" si="25"/>
        <v>0</v>
      </c>
      <c r="K58" s="2"/>
      <c r="L58" s="7">
        <f t="shared" si="26"/>
        <v>-500</v>
      </c>
      <c r="M58" s="2"/>
      <c r="N58" s="6">
        <f t="shared" si="27"/>
        <v>-1</v>
      </c>
      <c r="O58" s="11"/>
      <c r="P58" s="7">
        <v>118.32</v>
      </c>
      <c r="Q58" s="2"/>
      <c r="R58" s="6">
        <f t="shared" si="28"/>
        <v>0</v>
      </c>
      <c r="S58" s="2"/>
      <c r="T58" s="7">
        <v>3500</v>
      </c>
      <c r="U58" s="2"/>
      <c r="V58" s="6">
        <f t="shared" si="29"/>
        <v>0</v>
      </c>
      <c r="W58" s="2"/>
      <c r="X58" s="7">
        <f t="shared" si="30"/>
        <v>-3381.68</v>
      </c>
      <c r="Y58" s="2"/>
      <c r="Z58" s="6">
        <f t="shared" si="31"/>
        <v>-0.96619428571428567</v>
      </c>
    </row>
    <row r="59" spans="1:26" s="53" customFormat="1" x14ac:dyDescent="0.25">
      <c r="A59" s="36"/>
      <c r="B59" s="36"/>
      <c r="C59" s="36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8" t="s">
        <v>0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9" t="s">
        <v>3</v>
      </c>
      <c r="C62" s="29"/>
      <c r="D62" s="21">
        <f>+D16-D18+D60</f>
        <v>-8096.0500000000011</v>
      </c>
      <c r="E62" s="14"/>
      <c r="F62" s="20">
        <f>IF(D$12=0,0,D62/D$12)</f>
        <v>0</v>
      </c>
      <c r="G62" s="14"/>
      <c r="H62" s="21">
        <f>+H16-H18+H60</f>
        <v>-19510.476526269998</v>
      </c>
      <c r="I62" s="14"/>
      <c r="J62" s="20">
        <f>IF(H$12=0,0,H62/H$12)</f>
        <v>0</v>
      </c>
      <c r="K62" s="16"/>
      <c r="L62" s="21">
        <f>+D62-H62</f>
        <v>11414.426526269997</v>
      </c>
      <c r="M62" s="16"/>
      <c r="N62" s="20">
        <f>IF(H62=0,0,L62/H62)</f>
        <v>-0.58504088871950277</v>
      </c>
      <c r="O62" s="28"/>
      <c r="P62" s="21">
        <f>+P16-P18+P60</f>
        <v>-51817.57</v>
      </c>
      <c r="Q62" s="14"/>
      <c r="R62" s="20">
        <f>IF(P$12=0,0,P62/P$12)</f>
        <v>0</v>
      </c>
      <c r="S62" s="14"/>
      <c r="T62" s="21">
        <f>+T16-T18+T60</f>
        <v>-111283.71095812399</v>
      </c>
      <c r="U62" s="14"/>
      <c r="V62" s="20">
        <f>IF(T$12=0,0,T62/T$12)</f>
        <v>0</v>
      </c>
      <c r="W62" s="16"/>
      <c r="X62" s="21">
        <f>+P62-T62</f>
        <v>59466.140958123993</v>
      </c>
      <c r="Y62" s="16"/>
      <c r="Z62" s="20">
        <f>IF(T62=0,0,X62/T62)</f>
        <v>-0.53436518647819964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2"/>
      <c r="B64" s="10" t="s">
        <v>14</v>
      </c>
      <c r="C64" s="10"/>
      <c r="D64" s="4"/>
      <c r="E64" s="4"/>
      <c r="F64" s="12">
        <f>IF(D$12=0,0,D64/D$12)</f>
        <v>0</v>
      </c>
      <c r="G64" s="4"/>
      <c r="H64" s="4"/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/>
      <c r="Q64" s="4"/>
      <c r="R64" s="12">
        <f>IF(P$12=0,0,P64/P$12)</f>
        <v>0</v>
      </c>
      <c r="S64" s="4"/>
      <c r="T64" s="4"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9" t="s">
        <v>4</v>
      </c>
      <c r="C66" s="29"/>
      <c r="D66" s="34">
        <f>+D62-D64</f>
        <v>-8096.0500000000011</v>
      </c>
      <c r="E66" s="14"/>
      <c r="F66" s="32">
        <f>IF(D$12=0,0,D66/D$12)</f>
        <v>0</v>
      </c>
      <c r="G66" s="14"/>
      <c r="H66" s="34">
        <f>+H62-H64</f>
        <v>-19510.476526269998</v>
      </c>
      <c r="I66" s="14"/>
      <c r="J66" s="32">
        <f>IF(H$12=0,0,H66/H$12)</f>
        <v>0</v>
      </c>
      <c r="K66" s="16"/>
      <c r="L66" s="34">
        <f>D66-H66</f>
        <v>11414.426526269997</v>
      </c>
      <c r="M66" s="16"/>
      <c r="N66" s="32">
        <f>IF(H66=0,0,L66/H66)</f>
        <v>-0.58504088871950277</v>
      </c>
      <c r="O66" s="28"/>
      <c r="P66" s="34">
        <f>+P62-P64</f>
        <v>-51817.57</v>
      </c>
      <c r="Q66" s="14"/>
      <c r="R66" s="32">
        <f>IF(P$12=0,0,P66/P$12)</f>
        <v>0</v>
      </c>
      <c r="S66" s="14"/>
      <c r="T66" s="34">
        <f>+T62-T64</f>
        <v>-111283.71095812399</v>
      </c>
      <c r="U66" s="14"/>
      <c r="V66" s="32">
        <f>IF(T$12=0,0,T66/T$12)</f>
        <v>0</v>
      </c>
      <c r="W66" s="16"/>
      <c r="X66" s="34">
        <f>P66-T66</f>
        <v>59466.140958123993</v>
      </c>
      <c r="Y66" s="16"/>
      <c r="Z66" s="32">
        <f>IF(T66=0,0,X66/T66)</f>
        <v>-0.53436518647819964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5</v>
      </c>
      <c r="C69" s="29"/>
      <c r="D69" s="31">
        <f>SUM(D66:D68)</f>
        <v>-8096.0500000000011</v>
      </c>
      <c r="E69" s="14"/>
      <c r="F69" s="30">
        <f>IF(D$12=0,0,D69/D$12)</f>
        <v>0</v>
      </c>
      <c r="G69" s="14"/>
      <c r="H69" s="31">
        <f>SUM(H66:H68)</f>
        <v>-19510.476526269998</v>
      </c>
      <c r="I69" s="14"/>
      <c r="J69" s="30">
        <f>IF(H$12=0,0,H69/H$12)</f>
        <v>0</v>
      </c>
      <c r="K69" s="16"/>
      <c r="L69" s="31">
        <f>+D69-H69</f>
        <v>11414.426526269997</v>
      </c>
      <c r="M69" s="16"/>
      <c r="N69" s="30">
        <f>IF(H69=0,0,L69/H69)</f>
        <v>-0.58504088871950277</v>
      </c>
      <c r="O69" s="28"/>
      <c r="P69" s="31">
        <f>SUM(P66:P68)</f>
        <v>-51817.57</v>
      </c>
      <c r="Q69" s="14"/>
      <c r="R69" s="30">
        <f>IF(P$12=0,0,P69/P$12)</f>
        <v>0</v>
      </c>
      <c r="S69" s="14"/>
      <c r="T69" s="31">
        <f>SUM(T66:T68)</f>
        <v>-111283.71095812399</v>
      </c>
      <c r="U69" s="14"/>
      <c r="V69" s="30">
        <f>IF(T$12=0,0,T69/T$12)</f>
        <v>0</v>
      </c>
      <c r="W69" s="16"/>
      <c r="X69" s="31">
        <f>+P69-T69</f>
        <v>59466.140958123993</v>
      </c>
      <c r="Y69" s="16"/>
      <c r="Z69" s="30">
        <f>IF(T69=0,0,X69/T69)</f>
        <v>-0.53436518647819964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63">
        <v>43879.546029166668</v>
      </c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57" t="s">
        <v>314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60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9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308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2354621.2199999997</v>
      </c>
      <c r="E12" s="4"/>
      <c r="F12" s="12"/>
      <c r="G12" s="4"/>
      <c r="H12" s="4">
        <f>SUM(OSRRefH13x_0)</f>
        <v>2603596.4049499999</v>
      </c>
      <c r="I12" s="4"/>
      <c r="J12" s="12"/>
      <c r="K12" s="4"/>
      <c r="L12" s="4">
        <f t="shared" ref="L12:L107" si="0">+D12-H12</f>
        <v>-248975.18495000014</v>
      </c>
      <c r="M12" s="4"/>
      <c r="N12" s="12">
        <f t="shared" ref="N12:N107" si="1">IF(H12=0,0,L12/H12)</f>
        <v>-9.5627411559120482E-2</v>
      </c>
      <c r="O12" s="10"/>
      <c r="P12" s="4">
        <f>SUM(OSRRefP13x_0)</f>
        <v>9496598.349999994</v>
      </c>
      <c r="Q12" s="4"/>
      <c r="R12" s="12"/>
      <c r="S12" s="4"/>
      <c r="T12" s="4">
        <f>SUM(OSRRefT13x_0)</f>
        <v>10073514.57423</v>
      </c>
      <c r="U12" s="4"/>
      <c r="V12" s="12"/>
      <c r="W12" s="4"/>
      <c r="X12" s="4">
        <f t="shared" ref="X12:X107" si="2">+P12-T12</f>
        <v>-576916.22423000634</v>
      </c>
      <c r="Y12" s="4"/>
      <c r="Z12" s="12">
        <f t="shared" ref="Z12:Z107" si="3">IF(T12=0,0,X12/T12)</f>
        <v>-5.7270600045178838E-2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503628.40495</v>
      </c>
      <c r="I13" s="2"/>
      <c r="J13" s="19"/>
      <c r="K13" s="2"/>
      <c r="L13" s="2">
        <f t="shared" si="0"/>
        <v>-503628.40495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3386843.5742299999</v>
      </c>
      <c r="U13" s="2"/>
      <c r="V13" s="19"/>
      <c r="W13" s="2"/>
      <c r="X13" s="2">
        <f t="shared" si="2"/>
        <v>-3386843.5742299999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--745942.38</f>
        <v>745942.38</v>
      </c>
      <c r="E14" s="2"/>
      <c r="F14" s="19"/>
      <c r="G14" s="2"/>
      <c r="H14" s="2"/>
      <c r="I14" s="2"/>
      <c r="J14" s="19"/>
      <c r="K14" s="2"/>
      <c r="L14" s="2">
        <f t="shared" si="0"/>
        <v>745942.38</v>
      </c>
      <c r="M14" s="2"/>
      <c r="N14" s="19">
        <f t="shared" si="1"/>
        <v>0</v>
      </c>
      <c r="O14" s="11"/>
      <c r="P14" s="2">
        <f>--2285976.76</f>
        <v>2285976.7599999998</v>
      </c>
      <c r="Q14" s="2"/>
      <c r="R14" s="19"/>
      <c r="S14" s="2"/>
      <c r="T14" s="2"/>
      <c r="U14" s="2"/>
      <c r="V14" s="19"/>
      <c r="W14" s="2"/>
      <c r="X14" s="2">
        <f t="shared" si="2"/>
        <v>2285976.7599999998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--512319.44</f>
        <v>512319.44</v>
      </c>
      <c r="E15" s="2"/>
      <c r="F15" s="19"/>
      <c r="G15" s="2"/>
      <c r="H15" s="2"/>
      <c r="I15" s="2"/>
      <c r="J15" s="19"/>
      <c r="K15" s="2"/>
      <c r="L15" s="2">
        <f t="shared" si="0"/>
        <v>512319.44</v>
      </c>
      <c r="M15" s="2"/>
      <c r="N15" s="19">
        <f t="shared" si="1"/>
        <v>0</v>
      </c>
      <c r="O15" s="11"/>
      <c r="P15" s="2">
        <f>--1193414.41</f>
        <v>1193414.4099999999</v>
      </c>
      <c r="Q15" s="2"/>
      <c r="R15" s="19"/>
      <c r="S15" s="2"/>
      <c r="T15" s="2"/>
      <c r="U15" s="2"/>
      <c r="V15" s="19"/>
      <c r="W15" s="2"/>
      <c r="X15" s="2">
        <f t="shared" si="2"/>
        <v>1193414.4099999999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--15841.34</f>
        <v>15841.34</v>
      </c>
      <c r="E16" s="2"/>
      <c r="F16" s="19"/>
      <c r="G16" s="2"/>
      <c r="H16" s="2"/>
      <c r="I16" s="2"/>
      <c r="J16" s="19"/>
      <c r="K16" s="2"/>
      <c r="L16" s="2">
        <f t="shared" si="0"/>
        <v>15841.34</v>
      </c>
      <c r="M16" s="2"/>
      <c r="N16" s="19">
        <f t="shared" si="1"/>
        <v>0</v>
      </c>
      <c r="O16" s="11"/>
      <c r="P16" s="2">
        <f>--32272.01</f>
        <v>32272.01</v>
      </c>
      <c r="Q16" s="2"/>
      <c r="R16" s="19"/>
      <c r="S16" s="2"/>
      <c r="T16" s="2"/>
      <c r="U16" s="2"/>
      <c r="V16" s="19"/>
      <c r="W16" s="2"/>
      <c r="X16" s="2">
        <f t="shared" si="2"/>
        <v>32272.01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--10921.53</f>
        <v>10921.53</v>
      </c>
      <c r="E17" s="2"/>
      <c r="F17" s="19"/>
      <c r="G17" s="2"/>
      <c r="H17" s="2"/>
      <c r="I17" s="2"/>
      <c r="J17" s="19"/>
      <c r="K17" s="2"/>
      <c r="L17" s="2">
        <f t="shared" si="0"/>
        <v>10921.53</v>
      </c>
      <c r="M17" s="2"/>
      <c r="N17" s="19">
        <f t="shared" si="1"/>
        <v>0</v>
      </c>
      <c r="O17" s="11"/>
      <c r="P17" s="2">
        <f>--41201.41</f>
        <v>41201.410000000003</v>
      </c>
      <c r="Q17" s="2"/>
      <c r="R17" s="19"/>
      <c r="S17" s="2"/>
      <c r="T17" s="2"/>
      <c r="U17" s="2"/>
      <c r="V17" s="19"/>
      <c r="W17" s="2"/>
      <c r="X17" s="2">
        <f t="shared" si="2"/>
        <v>41201.410000000003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--13.22</f>
        <v>13.22</v>
      </c>
      <c r="Q18" s="2"/>
      <c r="R18" s="19"/>
      <c r="S18" s="2"/>
      <c r="T18" s="2"/>
      <c r="U18" s="2"/>
      <c r="V18" s="19"/>
      <c r="W18" s="2"/>
      <c r="X18" s="2">
        <f t="shared" si="2"/>
        <v>13.22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--229.57</f>
        <v>229.57</v>
      </c>
      <c r="E19" s="2"/>
      <c r="F19" s="19"/>
      <c r="G19" s="2"/>
      <c r="H19" s="2"/>
      <c r="I19" s="2"/>
      <c r="J19" s="19"/>
      <c r="K19" s="2"/>
      <c r="L19" s="2">
        <f t="shared" si="0"/>
        <v>229.57</v>
      </c>
      <c r="M19" s="2"/>
      <c r="N19" s="19">
        <f t="shared" si="1"/>
        <v>0</v>
      </c>
      <c r="O19" s="11"/>
      <c r="P19" s="2">
        <f>--1509.89</f>
        <v>1509.89</v>
      </c>
      <c r="Q19" s="2"/>
      <c r="R19" s="19"/>
      <c r="S19" s="2"/>
      <c r="T19" s="2"/>
      <c r="U19" s="2"/>
      <c r="V19" s="19"/>
      <c r="W19" s="2"/>
      <c r="X19" s="2">
        <f t="shared" si="2"/>
        <v>1509.89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--107.48</f>
        <v>107.48</v>
      </c>
      <c r="E20" s="2"/>
      <c r="F20" s="19"/>
      <c r="G20" s="2"/>
      <c r="H20" s="2"/>
      <c r="I20" s="2"/>
      <c r="J20" s="19"/>
      <c r="K20" s="2"/>
      <c r="L20" s="2">
        <f t="shared" si="0"/>
        <v>107.48</v>
      </c>
      <c r="M20" s="2"/>
      <c r="N20" s="19">
        <f t="shared" si="1"/>
        <v>0</v>
      </c>
      <c r="O20" s="11"/>
      <c r="P20" s="2">
        <f>--1100.17</f>
        <v>1100.17</v>
      </c>
      <c r="Q20" s="2"/>
      <c r="R20" s="19"/>
      <c r="S20" s="2"/>
      <c r="T20" s="2"/>
      <c r="U20" s="2"/>
      <c r="V20" s="19"/>
      <c r="W20" s="2"/>
      <c r="X20" s="2">
        <f t="shared" si="2"/>
        <v>1100.17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--12.98</f>
        <v>12.98</v>
      </c>
      <c r="E21" s="2"/>
      <c r="F21" s="19"/>
      <c r="G21" s="2"/>
      <c r="H21" s="2"/>
      <c r="I21" s="2"/>
      <c r="J21" s="19"/>
      <c r="K21" s="2"/>
      <c r="L21" s="2">
        <f t="shared" si="0"/>
        <v>12.98</v>
      </c>
      <c r="M21" s="2"/>
      <c r="N21" s="19">
        <f t="shared" si="1"/>
        <v>0</v>
      </c>
      <c r="O21" s="11"/>
      <c r="P21" s="2">
        <f>--255.12</f>
        <v>255.12</v>
      </c>
      <c r="Q21" s="2"/>
      <c r="R21" s="19"/>
      <c r="S21" s="2"/>
      <c r="T21" s="2"/>
      <c r="U21" s="2"/>
      <c r="V21" s="19"/>
      <c r="W21" s="2"/>
      <c r="X21" s="2">
        <f t="shared" si="2"/>
        <v>255.12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--737.51</f>
        <v>737.51</v>
      </c>
      <c r="E22" s="2"/>
      <c r="F22" s="19"/>
      <c r="G22" s="2"/>
      <c r="H22" s="2"/>
      <c r="I22" s="2"/>
      <c r="J22" s="19"/>
      <c r="K22" s="2"/>
      <c r="L22" s="2">
        <f t="shared" si="0"/>
        <v>737.51</v>
      </c>
      <c r="M22" s="2"/>
      <c r="N22" s="19">
        <f t="shared" si="1"/>
        <v>0</v>
      </c>
      <c r="O22" s="11"/>
      <c r="P22" s="2">
        <f>--3627.9</f>
        <v>3627.9</v>
      </c>
      <c r="Q22" s="2"/>
      <c r="R22" s="19"/>
      <c r="S22" s="2"/>
      <c r="T22" s="2"/>
      <c r="U22" s="2"/>
      <c r="V22" s="19"/>
      <c r="W22" s="2"/>
      <c r="X22" s="2">
        <f t="shared" si="2"/>
        <v>3627.9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--33.88</f>
        <v>33.880000000000003</v>
      </c>
      <c r="Q23" s="2"/>
      <c r="R23" s="19"/>
      <c r="S23" s="2"/>
      <c r="T23" s="2"/>
      <c r="U23" s="2"/>
      <c r="V23" s="19"/>
      <c r="W23" s="2"/>
      <c r="X23" s="2">
        <f t="shared" si="2"/>
        <v>33.880000000000003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--5307.35</f>
        <v>5307.35</v>
      </c>
      <c r="E24" s="2"/>
      <c r="F24" s="19"/>
      <c r="G24" s="2"/>
      <c r="H24" s="2"/>
      <c r="I24" s="2"/>
      <c r="J24" s="19"/>
      <c r="K24" s="2"/>
      <c r="L24" s="2">
        <f t="shared" si="0"/>
        <v>5307.35</v>
      </c>
      <c r="M24" s="2"/>
      <c r="N24" s="19">
        <f t="shared" si="1"/>
        <v>0</v>
      </c>
      <c r="O24" s="11"/>
      <c r="P24" s="2">
        <f>--40440.45</f>
        <v>40440.449999999997</v>
      </c>
      <c r="Q24" s="2"/>
      <c r="R24" s="19"/>
      <c r="S24" s="2"/>
      <c r="T24" s="2"/>
      <c r="U24" s="2"/>
      <c r="V24" s="19"/>
      <c r="W24" s="2"/>
      <c r="X24" s="2">
        <f t="shared" si="2"/>
        <v>40440.449999999997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--13761.32</f>
        <v>13761.32</v>
      </c>
      <c r="E25" s="2"/>
      <c r="F25" s="19"/>
      <c r="G25" s="2"/>
      <c r="H25" s="2"/>
      <c r="I25" s="2"/>
      <c r="J25" s="19"/>
      <c r="K25" s="2"/>
      <c r="L25" s="2">
        <f t="shared" si="0"/>
        <v>13761.32</v>
      </c>
      <c r="M25" s="2"/>
      <c r="N25" s="19">
        <f t="shared" si="1"/>
        <v>0</v>
      </c>
      <c r="O25" s="11"/>
      <c r="P25" s="2">
        <f>--63689.49</f>
        <v>63689.49</v>
      </c>
      <c r="Q25" s="2"/>
      <c r="R25" s="19"/>
      <c r="S25" s="2"/>
      <c r="T25" s="2"/>
      <c r="U25" s="2"/>
      <c r="V25" s="19"/>
      <c r="W25" s="2"/>
      <c r="X25" s="2">
        <f t="shared" si="2"/>
        <v>63689.49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--66289.85</f>
        <v>66289.850000000006</v>
      </c>
      <c r="E26" s="2"/>
      <c r="F26" s="19"/>
      <c r="G26" s="2"/>
      <c r="H26" s="2"/>
      <c r="I26" s="2"/>
      <c r="J26" s="19"/>
      <c r="K26" s="2"/>
      <c r="L26" s="2">
        <f t="shared" si="0"/>
        <v>66289.850000000006</v>
      </c>
      <c r="M26" s="2"/>
      <c r="N26" s="19">
        <f t="shared" si="1"/>
        <v>0</v>
      </c>
      <c r="O26" s="11"/>
      <c r="P26" s="2">
        <f>--231647.32</f>
        <v>231647.32</v>
      </c>
      <c r="Q26" s="2"/>
      <c r="R26" s="19"/>
      <c r="S26" s="2"/>
      <c r="T26" s="2"/>
      <c r="U26" s="2"/>
      <c r="V26" s="19"/>
      <c r="W26" s="2"/>
      <c r="X26" s="2">
        <f t="shared" si="2"/>
        <v>231647.32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--43035.21</f>
        <v>43035.21</v>
      </c>
      <c r="E27" s="2"/>
      <c r="F27" s="19"/>
      <c r="G27" s="2"/>
      <c r="H27" s="2"/>
      <c r="I27" s="2"/>
      <c r="J27" s="19"/>
      <c r="K27" s="2"/>
      <c r="L27" s="2">
        <f t="shared" si="0"/>
        <v>43035.21</v>
      </c>
      <c r="M27" s="2"/>
      <c r="N27" s="19">
        <f t="shared" si="1"/>
        <v>0</v>
      </c>
      <c r="O27" s="11"/>
      <c r="P27" s="2">
        <f>--232672.78</f>
        <v>232672.78</v>
      </c>
      <c r="Q27" s="2"/>
      <c r="R27" s="19"/>
      <c r="S27" s="2"/>
      <c r="T27" s="2"/>
      <c r="U27" s="2"/>
      <c r="V27" s="19"/>
      <c r="W27" s="2"/>
      <c r="X27" s="2">
        <f t="shared" si="2"/>
        <v>232672.78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--43.03</f>
        <v>43.03</v>
      </c>
      <c r="E28" s="2"/>
      <c r="F28" s="19"/>
      <c r="G28" s="2"/>
      <c r="H28" s="2"/>
      <c r="I28" s="2"/>
      <c r="J28" s="19"/>
      <c r="K28" s="2"/>
      <c r="L28" s="2">
        <f t="shared" si="0"/>
        <v>43.03</v>
      </c>
      <c r="M28" s="2"/>
      <c r="N28" s="19">
        <f t="shared" si="1"/>
        <v>0</v>
      </c>
      <c r="O28" s="11"/>
      <c r="P28" s="2">
        <f>--349.97</f>
        <v>349.97</v>
      </c>
      <c r="Q28" s="2"/>
      <c r="R28" s="19"/>
      <c r="S28" s="2"/>
      <c r="T28" s="2"/>
      <c r="U28" s="2"/>
      <c r="V28" s="19"/>
      <c r="W28" s="2"/>
      <c r="X28" s="2">
        <f t="shared" si="2"/>
        <v>349.97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--21699.65</f>
        <v>21699.65</v>
      </c>
      <c r="E29" s="2"/>
      <c r="F29" s="19"/>
      <c r="G29" s="2"/>
      <c r="H29" s="2"/>
      <c r="I29" s="2"/>
      <c r="J29" s="19"/>
      <c r="K29" s="2"/>
      <c r="L29" s="2">
        <f t="shared" si="0"/>
        <v>21699.65</v>
      </c>
      <c r="M29" s="2"/>
      <c r="N29" s="19">
        <f t="shared" si="1"/>
        <v>0</v>
      </c>
      <c r="O29" s="11"/>
      <c r="P29" s="2">
        <f>--212514.87</f>
        <v>212514.87</v>
      </c>
      <c r="Q29" s="2"/>
      <c r="R29" s="19"/>
      <c r="S29" s="2"/>
      <c r="T29" s="2"/>
      <c r="U29" s="2"/>
      <c r="V29" s="19"/>
      <c r="W29" s="2"/>
      <c r="X29" s="2">
        <f t="shared" si="2"/>
        <v>212514.87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--15.13</f>
        <v>15.13</v>
      </c>
      <c r="E30" s="2"/>
      <c r="F30" s="19"/>
      <c r="G30" s="2"/>
      <c r="H30" s="2"/>
      <c r="I30" s="2"/>
      <c r="J30" s="19"/>
      <c r="K30" s="2"/>
      <c r="L30" s="2">
        <f t="shared" si="0"/>
        <v>15.13</v>
      </c>
      <c r="M30" s="2"/>
      <c r="N30" s="19">
        <f t="shared" si="1"/>
        <v>0</v>
      </c>
      <c r="O30" s="11"/>
      <c r="P30" s="2">
        <f>--146.15</f>
        <v>146.15</v>
      </c>
      <c r="Q30" s="2"/>
      <c r="R30" s="19"/>
      <c r="S30" s="2"/>
      <c r="T30" s="2"/>
      <c r="U30" s="2"/>
      <c r="V30" s="19"/>
      <c r="W30" s="2"/>
      <c r="X30" s="2">
        <f t="shared" si="2"/>
        <v>146.15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--781.82</f>
        <v>781.82</v>
      </c>
      <c r="E31" s="2"/>
      <c r="F31" s="19"/>
      <c r="G31" s="2"/>
      <c r="H31" s="2"/>
      <c r="I31" s="2"/>
      <c r="J31" s="19"/>
      <c r="K31" s="2"/>
      <c r="L31" s="2">
        <f t="shared" si="0"/>
        <v>781.82</v>
      </c>
      <c r="M31" s="2"/>
      <c r="N31" s="19">
        <f t="shared" si="1"/>
        <v>0</v>
      </c>
      <c r="O31" s="11"/>
      <c r="P31" s="2">
        <f>--8255.25</f>
        <v>8255.25</v>
      </c>
      <c r="Q31" s="2"/>
      <c r="R31" s="19"/>
      <c r="S31" s="2"/>
      <c r="T31" s="2"/>
      <c r="U31" s="2"/>
      <c r="V31" s="19"/>
      <c r="W31" s="2"/>
      <c r="X31" s="2">
        <f t="shared" si="2"/>
        <v>8255.25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--171.4</f>
        <v>171.4</v>
      </c>
      <c r="E32" s="2"/>
      <c r="F32" s="19"/>
      <c r="G32" s="2"/>
      <c r="H32" s="2"/>
      <c r="I32" s="2"/>
      <c r="J32" s="19"/>
      <c r="K32" s="2"/>
      <c r="L32" s="2">
        <f t="shared" si="0"/>
        <v>171.4</v>
      </c>
      <c r="M32" s="2"/>
      <c r="N32" s="19">
        <f t="shared" si="1"/>
        <v>0</v>
      </c>
      <c r="O32" s="11"/>
      <c r="P32" s="2">
        <f>--1438.49</f>
        <v>1438.49</v>
      </c>
      <c r="Q32" s="2"/>
      <c r="R32" s="19"/>
      <c r="S32" s="2"/>
      <c r="T32" s="2"/>
      <c r="U32" s="2"/>
      <c r="V32" s="19"/>
      <c r="W32" s="2"/>
      <c r="X32" s="2">
        <f t="shared" si="2"/>
        <v>1438.49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--17.84</f>
        <v>17.84</v>
      </c>
      <c r="E33" s="2"/>
      <c r="F33" s="19"/>
      <c r="G33" s="2"/>
      <c r="H33" s="2"/>
      <c r="I33" s="2"/>
      <c r="J33" s="19"/>
      <c r="K33" s="2"/>
      <c r="L33" s="2">
        <f t="shared" si="0"/>
        <v>17.84</v>
      </c>
      <c r="M33" s="2"/>
      <c r="N33" s="19">
        <f t="shared" si="1"/>
        <v>0</v>
      </c>
      <c r="O33" s="11"/>
      <c r="P33" s="2">
        <f>--414.1</f>
        <v>414.1</v>
      </c>
      <c r="Q33" s="2"/>
      <c r="R33" s="19"/>
      <c r="S33" s="2"/>
      <c r="T33" s="2"/>
      <c r="U33" s="2"/>
      <c r="V33" s="19"/>
      <c r="W33" s="2"/>
      <c r="X33" s="2">
        <f t="shared" si="2"/>
        <v>414.1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--192827.81</f>
        <v>192827.81</v>
      </c>
      <c r="E34" s="2"/>
      <c r="F34" s="19"/>
      <c r="G34" s="2"/>
      <c r="H34" s="2"/>
      <c r="I34" s="2"/>
      <c r="J34" s="19"/>
      <c r="K34" s="2"/>
      <c r="L34" s="2">
        <f t="shared" si="0"/>
        <v>192827.81</v>
      </c>
      <c r="M34" s="2"/>
      <c r="N34" s="19">
        <f t="shared" si="1"/>
        <v>0</v>
      </c>
      <c r="O34" s="11"/>
      <c r="P34" s="2">
        <f>--1484618.99</f>
        <v>1484618.99</v>
      </c>
      <c r="Q34" s="2"/>
      <c r="R34" s="19"/>
      <c r="S34" s="2"/>
      <c r="T34" s="2"/>
      <c r="U34" s="2"/>
      <c r="V34" s="19"/>
      <c r="W34" s="2"/>
      <c r="X34" s="2">
        <f t="shared" si="2"/>
        <v>1484618.99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--104441.67</f>
        <v>104441.67</v>
      </c>
      <c r="E35" s="2"/>
      <c r="F35" s="19"/>
      <c r="G35" s="2"/>
      <c r="H35" s="2"/>
      <c r="I35" s="2"/>
      <c r="J35" s="19"/>
      <c r="K35" s="2"/>
      <c r="L35" s="2">
        <f t="shared" si="0"/>
        <v>104441.67</v>
      </c>
      <c r="M35" s="2"/>
      <c r="N35" s="19">
        <f t="shared" si="1"/>
        <v>0</v>
      </c>
      <c r="O35" s="11"/>
      <c r="P35" s="2">
        <f>--400568.48</f>
        <v>400568.48</v>
      </c>
      <c r="Q35" s="2"/>
      <c r="R35" s="19"/>
      <c r="S35" s="2"/>
      <c r="T35" s="2"/>
      <c r="U35" s="2"/>
      <c r="V35" s="19"/>
      <c r="W35" s="2"/>
      <c r="X35" s="2">
        <f t="shared" si="2"/>
        <v>400568.48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--33043.12</f>
        <v>33043.120000000003</v>
      </c>
      <c r="E36" s="2"/>
      <c r="F36" s="19"/>
      <c r="G36" s="2"/>
      <c r="H36" s="2"/>
      <c r="I36" s="2"/>
      <c r="J36" s="19"/>
      <c r="K36" s="2"/>
      <c r="L36" s="2">
        <f t="shared" si="0"/>
        <v>33043.120000000003</v>
      </c>
      <c r="M36" s="2"/>
      <c r="N36" s="19">
        <f t="shared" si="1"/>
        <v>0</v>
      </c>
      <c r="O36" s="11"/>
      <c r="P36" s="2">
        <f>--232995.22</f>
        <v>232995.22</v>
      </c>
      <c r="Q36" s="2"/>
      <c r="R36" s="19"/>
      <c r="S36" s="2"/>
      <c r="T36" s="2"/>
      <c r="U36" s="2"/>
      <c r="V36" s="19"/>
      <c r="W36" s="2"/>
      <c r="X36" s="2">
        <f t="shared" si="2"/>
        <v>232995.22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--8310.25</f>
        <v>8310.25</v>
      </c>
      <c r="E37" s="2"/>
      <c r="F37" s="19"/>
      <c r="G37" s="2"/>
      <c r="H37" s="2"/>
      <c r="I37" s="2"/>
      <c r="J37" s="19"/>
      <c r="K37" s="2"/>
      <c r="L37" s="2">
        <f t="shared" si="0"/>
        <v>8310.25</v>
      </c>
      <c r="M37" s="2"/>
      <c r="N37" s="19">
        <f t="shared" si="1"/>
        <v>0</v>
      </c>
      <c r="O37" s="11"/>
      <c r="P37" s="2">
        <f>--22630.71</f>
        <v>22630.71</v>
      </c>
      <c r="Q37" s="2"/>
      <c r="R37" s="19"/>
      <c r="S37" s="2"/>
      <c r="T37" s="2"/>
      <c r="U37" s="2"/>
      <c r="V37" s="19"/>
      <c r="W37" s="2"/>
      <c r="X37" s="2">
        <f t="shared" si="2"/>
        <v>22630.71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--6349.96</f>
        <v>6349.96</v>
      </c>
      <c r="E38" s="2"/>
      <c r="F38" s="19"/>
      <c r="G38" s="2"/>
      <c r="H38" s="2"/>
      <c r="I38" s="2"/>
      <c r="J38" s="19"/>
      <c r="K38" s="2"/>
      <c r="L38" s="2">
        <f t="shared" si="0"/>
        <v>6349.96</v>
      </c>
      <c r="M38" s="2"/>
      <c r="N38" s="19">
        <f t="shared" si="1"/>
        <v>0</v>
      </c>
      <c r="O38" s="11"/>
      <c r="P38" s="2">
        <f>--53086.16</f>
        <v>53086.16</v>
      </c>
      <c r="Q38" s="2"/>
      <c r="R38" s="19"/>
      <c r="S38" s="2"/>
      <c r="T38" s="2"/>
      <c r="U38" s="2"/>
      <c r="V38" s="19"/>
      <c r="W38" s="2"/>
      <c r="X38" s="2">
        <f t="shared" si="2"/>
        <v>53086.16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--8732.21</f>
        <v>8732.2099999999991</v>
      </c>
      <c r="E39" s="2"/>
      <c r="F39" s="19"/>
      <c r="G39" s="2"/>
      <c r="H39" s="2"/>
      <c r="I39" s="2"/>
      <c r="J39" s="19"/>
      <c r="K39" s="2"/>
      <c r="L39" s="2">
        <f t="shared" si="0"/>
        <v>8732.2099999999991</v>
      </c>
      <c r="M39" s="2"/>
      <c r="N39" s="19">
        <f t="shared" si="1"/>
        <v>0</v>
      </c>
      <c r="O39" s="11"/>
      <c r="P39" s="2">
        <f>--69738.03</f>
        <v>69738.03</v>
      </c>
      <c r="Q39" s="2"/>
      <c r="R39" s="19"/>
      <c r="S39" s="2"/>
      <c r="T39" s="2"/>
      <c r="U39" s="2"/>
      <c r="V39" s="19"/>
      <c r="W39" s="2"/>
      <c r="X39" s="2">
        <f t="shared" si="2"/>
        <v>69738.03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--183.1</f>
        <v>183.1</v>
      </c>
      <c r="E40" s="2"/>
      <c r="F40" s="19"/>
      <c r="G40" s="2"/>
      <c r="H40" s="2"/>
      <c r="I40" s="2"/>
      <c r="J40" s="19"/>
      <c r="K40" s="2"/>
      <c r="L40" s="2">
        <f t="shared" si="0"/>
        <v>183.1</v>
      </c>
      <c r="M40" s="2"/>
      <c r="N40" s="19">
        <f t="shared" si="1"/>
        <v>0</v>
      </c>
      <c r="O40" s="11"/>
      <c r="P40" s="2">
        <f>--1977.04</f>
        <v>1977.04</v>
      </c>
      <c r="Q40" s="2"/>
      <c r="R40" s="19"/>
      <c r="S40" s="2"/>
      <c r="T40" s="2"/>
      <c r="U40" s="2"/>
      <c r="V40" s="19"/>
      <c r="W40" s="2"/>
      <c r="X40" s="2">
        <f t="shared" si="2"/>
        <v>1977.04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--8565.55</f>
        <v>8565.5499999999993</v>
      </c>
      <c r="E41" s="2"/>
      <c r="F41" s="19"/>
      <c r="G41" s="2"/>
      <c r="H41" s="2"/>
      <c r="I41" s="2"/>
      <c r="J41" s="19"/>
      <c r="K41" s="2"/>
      <c r="L41" s="2">
        <f t="shared" si="0"/>
        <v>8565.5499999999993</v>
      </c>
      <c r="M41" s="2"/>
      <c r="N41" s="19">
        <f t="shared" si="1"/>
        <v>0</v>
      </c>
      <c r="O41" s="11"/>
      <c r="P41" s="2">
        <f>--116936.71</f>
        <v>116936.71</v>
      </c>
      <c r="Q41" s="2"/>
      <c r="R41" s="19"/>
      <c r="S41" s="2"/>
      <c r="T41" s="2"/>
      <c r="U41" s="2"/>
      <c r="V41" s="19"/>
      <c r="W41" s="2"/>
      <c r="X41" s="2">
        <f t="shared" si="2"/>
        <v>116936.71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>--266.85</f>
        <v>266.85000000000002</v>
      </c>
      <c r="E42" s="2"/>
      <c r="F42" s="19"/>
      <c r="G42" s="2"/>
      <c r="H42" s="2"/>
      <c r="I42" s="2"/>
      <c r="J42" s="19"/>
      <c r="K42" s="2"/>
      <c r="L42" s="2">
        <f t="shared" si="0"/>
        <v>266.85000000000002</v>
      </c>
      <c r="M42" s="2"/>
      <c r="N42" s="19">
        <f t="shared" si="1"/>
        <v>0</v>
      </c>
      <c r="O42" s="11"/>
      <c r="P42" s="2">
        <f>--2801.28</f>
        <v>2801.28</v>
      </c>
      <c r="Q42" s="2"/>
      <c r="R42" s="19"/>
      <c r="S42" s="2"/>
      <c r="T42" s="2"/>
      <c r="U42" s="2"/>
      <c r="V42" s="19"/>
      <c r="W42" s="2"/>
      <c r="X42" s="2">
        <f t="shared" si="2"/>
        <v>2801.28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>--38</f>
        <v>38</v>
      </c>
      <c r="E43" s="2"/>
      <c r="F43" s="19"/>
      <c r="G43" s="2"/>
      <c r="H43" s="2"/>
      <c r="I43" s="2"/>
      <c r="J43" s="19"/>
      <c r="K43" s="2"/>
      <c r="L43" s="2">
        <f t="shared" si="0"/>
        <v>38</v>
      </c>
      <c r="M43" s="2"/>
      <c r="N43" s="19">
        <f t="shared" si="1"/>
        <v>0</v>
      </c>
      <c r="O43" s="11"/>
      <c r="P43" s="2">
        <f>--219</f>
        <v>219</v>
      </c>
      <c r="Q43" s="2"/>
      <c r="R43" s="19"/>
      <c r="S43" s="2"/>
      <c r="T43" s="2"/>
      <c r="U43" s="2"/>
      <c r="V43" s="19"/>
      <c r="W43" s="2"/>
      <c r="X43" s="2">
        <f t="shared" si="2"/>
        <v>219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>--149.91</f>
        <v>149.91</v>
      </c>
      <c r="E44" s="2"/>
      <c r="F44" s="19"/>
      <c r="G44" s="2"/>
      <c r="H44" s="2"/>
      <c r="I44" s="2"/>
      <c r="J44" s="19"/>
      <c r="K44" s="2"/>
      <c r="L44" s="2">
        <f t="shared" si="0"/>
        <v>149.91</v>
      </c>
      <c r="M44" s="2"/>
      <c r="N44" s="19">
        <f t="shared" si="1"/>
        <v>0</v>
      </c>
      <c r="O44" s="11"/>
      <c r="P44" s="2">
        <f>--849.39</f>
        <v>849.39</v>
      </c>
      <c r="Q44" s="2"/>
      <c r="R44" s="19"/>
      <c r="S44" s="2"/>
      <c r="T44" s="2"/>
      <c r="U44" s="2"/>
      <c r="V44" s="19"/>
      <c r="W44" s="2"/>
      <c r="X44" s="2">
        <f t="shared" si="2"/>
        <v>849.39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>--76.99</f>
        <v>76.989999999999995</v>
      </c>
      <c r="E45" s="2"/>
      <c r="F45" s="19"/>
      <c r="G45" s="2"/>
      <c r="H45" s="2"/>
      <c r="I45" s="2"/>
      <c r="J45" s="19"/>
      <c r="K45" s="2"/>
      <c r="L45" s="2">
        <f t="shared" si="0"/>
        <v>76.989999999999995</v>
      </c>
      <c r="M45" s="2"/>
      <c r="N45" s="19">
        <f t="shared" si="1"/>
        <v>0</v>
      </c>
      <c r="O45" s="11"/>
      <c r="P45" s="2">
        <f>--775.76</f>
        <v>775.76</v>
      </c>
      <c r="Q45" s="2"/>
      <c r="R45" s="19"/>
      <c r="S45" s="2"/>
      <c r="T45" s="2"/>
      <c r="U45" s="2"/>
      <c r="V45" s="19"/>
      <c r="W45" s="2"/>
      <c r="X45" s="2">
        <f t="shared" si="2"/>
        <v>775.76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>0</f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--7659.37</f>
        <v>7659.37</v>
      </c>
      <c r="Q46" s="2"/>
      <c r="R46" s="19"/>
      <c r="S46" s="2"/>
      <c r="T46" s="2"/>
      <c r="U46" s="2"/>
      <c r="V46" s="19"/>
      <c r="W46" s="2"/>
      <c r="X46" s="2">
        <f t="shared" si="2"/>
        <v>7659.37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--11.93</f>
        <v>11.93</v>
      </c>
      <c r="E47" s="2"/>
      <c r="F47" s="19"/>
      <c r="G47" s="2"/>
      <c r="H47" s="2"/>
      <c r="I47" s="2"/>
      <c r="J47" s="19"/>
      <c r="K47" s="2"/>
      <c r="L47" s="2">
        <f t="shared" si="0"/>
        <v>11.93</v>
      </c>
      <c r="M47" s="2"/>
      <c r="N47" s="19">
        <f t="shared" si="1"/>
        <v>0</v>
      </c>
      <c r="O47" s="11"/>
      <c r="P47" s="2">
        <f>--309.26</f>
        <v>309.26</v>
      </c>
      <c r="Q47" s="2"/>
      <c r="R47" s="19"/>
      <c r="S47" s="2"/>
      <c r="T47" s="2"/>
      <c r="U47" s="2"/>
      <c r="V47" s="19"/>
      <c r="W47" s="2"/>
      <c r="X47" s="2">
        <f t="shared" si="2"/>
        <v>309.26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--214291.61</f>
        <v>214291.61</v>
      </c>
      <c r="E48" s="2"/>
      <c r="F48" s="19"/>
      <c r="G48" s="2"/>
      <c r="H48" s="2">
        <v>2099968</v>
      </c>
      <c r="I48" s="2"/>
      <c r="J48" s="19"/>
      <c r="K48" s="2"/>
      <c r="L48" s="2">
        <f t="shared" si="0"/>
        <v>-1885676.3900000001</v>
      </c>
      <c r="M48" s="2"/>
      <c r="N48" s="19">
        <f t="shared" si="1"/>
        <v>-0.89795482121632331</v>
      </c>
      <c r="O48" s="11"/>
      <c r="P48" s="2">
        <f>--550220.16</f>
        <v>550220.16</v>
      </c>
      <c r="Q48" s="2"/>
      <c r="R48" s="19"/>
      <c r="S48" s="2"/>
      <c r="T48" s="2">
        <v>6686671</v>
      </c>
      <c r="U48" s="2"/>
      <c r="V48" s="19"/>
      <c r="W48" s="2"/>
      <c r="X48" s="2">
        <f t="shared" si="2"/>
        <v>-6136450.8399999999</v>
      </c>
      <c r="Y48" s="2"/>
      <c r="Z48" s="19">
        <f t="shared" si="3"/>
        <v>-0.9177138878225054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--37117.66</f>
        <v>37117.660000000003</v>
      </c>
      <c r="E49" s="2"/>
      <c r="F49" s="19"/>
      <c r="G49" s="2"/>
      <c r="H49" s="2"/>
      <c r="I49" s="2"/>
      <c r="J49" s="19"/>
      <c r="K49" s="2"/>
      <c r="L49" s="2">
        <f t="shared" si="0"/>
        <v>37117.660000000003</v>
      </c>
      <c r="M49" s="2"/>
      <c r="N49" s="19">
        <f t="shared" si="1"/>
        <v>0</v>
      </c>
      <c r="O49" s="11"/>
      <c r="P49" s="2">
        <f>--132405.23</f>
        <v>132405.23000000001</v>
      </c>
      <c r="Q49" s="2"/>
      <c r="R49" s="19"/>
      <c r="S49" s="2"/>
      <c r="T49" s="2"/>
      <c r="U49" s="2"/>
      <c r="V49" s="19"/>
      <c r="W49" s="2"/>
      <c r="X49" s="2">
        <f t="shared" si="2"/>
        <v>132405.23000000001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--28414.21</f>
        <v>28414.21</v>
      </c>
      <c r="E50" s="2"/>
      <c r="F50" s="19"/>
      <c r="G50" s="2"/>
      <c r="H50" s="2"/>
      <c r="I50" s="2"/>
      <c r="J50" s="19"/>
      <c r="K50" s="2"/>
      <c r="L50" s="2">
        <f t="shared" si="0"/>
        <v>28414.21</v>
      </c>
      <c r="M50" s="2"/>
      <c r="N50" s="19">
        <f t="shared" si="1"/>
        <v>0</v>
      </c>
      <c r="O50" s="11"/>
      <c r="P50" s="2">
        <f>--66616.8</f>
        <v>66616.800000000003</v>
      </c>
      <c r="Q50" s="2"/>
      <c r="R50" s="19"/>
      <c r="S50" s="2"/>
      <c r="T50" s="2"/>
      <c r="U50" s="2"/>
      <c r="V50" s="19"/>
      <c r="W50" s="2"/>
      <c r="X50" s="2">
        <f t="shared" si="2"/>
        <v>66616.800000000003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--334.99</f>
        <v>334.99</v>
      </c>
      <c r="E51" s="2"/>
      <c r="F51" s="19"/>
      <c r="G51" s="2"/>
      <c r="H51" s="2"/>
      <c r="I51" s="2"/>
      <c r="J51" s="19"/>
      <c r="K51" s="2"/>
      <c r="L51" s="2">
        <f t="shared" si="0"/>
        <v>334.99</v>
      </c>
      <c r="M51" s="2"/>
      <c r="N51" s="19">
        <f t="shared" si="1"/>
        <v>0</v>
      </c>
      <c r="O51" s="11"/>
      <c r="P51" s="2">
        <f>--664.97</f>
        <v>664.97</v>
      </c>
      <c r="Q51" s="2"/>
      <c r="R51" s="19"/>
      <c r="S51" s="2"/>
      <c r="T51" s="2"/>
      <c r="U51" s="2"/>
      <c r="V51" s="19"/>
      <c r="W51" s="2"/>
      <c r="X51" s="2">
        <f t="shared" si="2"/>
        <v>664.97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--169179.13</f>
        <v>169179.13</v>
      </c>
      <c r="E52" s="2"/>
      <c r="F52" s="19"/>
      <c r="G52" s="2"/>
      <c r="H52" s="2"/>
      <c r="I52" s="2"/>
      <c r="J52" s="19"/>
      <c r="K52" s="2"/>
      <c r="L52" s="2">
        <f t="shared" si="0"/>
        <v>169179.13</v>
      </c>
      <c r="M52" s="2"/>
      <c r="N52" s="19">
        <f t="shared" si="1"/>
        <v>0</v>
      </c>
      <c r="O52" s="11"/>
      <c r="P52" s="2">
        <f>--502067.96</f>
        <v>502067.96</v>
      </c>
      <c r="Q52" s="2"/>
      <c r="R52" s="19"/>
      <c r="S52" s="2"/>
      <c r="T52" s="2"/>
      <c r="U52" s="2"/>
      <c r="V52" s="19"/>
      <c r="W52" s="2"/>
      <c r="X52" s="2">
        <f t="shared" si="2"/>
        <v>502067.96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--4684.53</f>
        <v>4684.53</v>
      </c>
      <c r="E53" s="2"/>
      <c r="F53" s="19"/>
      <c r="G53" s="2"/>
      <c r="H53" s="2"/>
      <c r="I53" s="2"/>
      <c r="J53" s="19"/>
      <c r="K53" s="2"/>
      <c r="L53" s="2">
        <f t="shared" si="0"/>
        <v>4684.53</v>
      </c>
      <c r="M53" s="2"/>
      <c r="N53" s="19">
        <f t="shared" si="1"/>
        <v>0</v>
      </c>
      <c r="O53" s="11"/>
      <c r="P53" s="2">
        <f>--12708.5</f>
        <v>12708.5</v>
      </c>
      <c r="Q53" s="2"/>
      <c r="R53" s="19"/>
      <c r="S53" s="2"/>
      <c r="T53" s="2"/>
      <c r="U53" s="2"/>
      <c r="V53" s="19"/>
      <c r="W53" s="2"/>
      <c r="X53" s="2">
        <f t="shared" si="2"/>
        <v>12708.5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 t="shared" ref="D54:D55" si="4">0</f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--1146.72</f>
        <v>1146.72</v>
      </c>
      <c r="Q54" s="2"/>
      <c r="R54" s="19"/>
      <c r="S54" s="2"/>
      <c r="T54" s="2"/>
      <c r="U54" s="2"/>
      <c r="V54" s="19"/>
      <c r="W54" s="2"/>
      <c r="X54" s="2">
        <f t="shared" si="2"/>
        <v>1146.72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 t="shared" si="4"/>
        <v>0</v>
      </c>
      <c r="E55" s="2"/>
      <c r="F55" s="19"/>
      <c r="G55" s="2"/>
      <c r="H55" s="2"/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--41.91</f>
        <v>41.91</v>
      </c>
      <c r="Q55" s="2"/>
      <c r="R55" s="19"/>
      <c r="S55" s="2"/>
      <c r="T55" s="2"/>
      <c r="U55" s="2"/>
      <c r="V55" s="19"/>
      <c r="W55" s="2"/>
      <c r="X55" s="2">
        <f t="shared" si="2"/>
        <v>41.91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>--98.5</f>
        <v>98.5</v>
      </c>
      <c r="E56" s="2"/>
      <c r="F56" s="19"/>
      <c r="G56" s="2"/>
      <c r="H56" s="2"/>
      <c r="I56" s="2"/>
      <c r="J56" s="19"/>
      <c r="K56" s="2"/>
      <c r="L56" s="2">
        <f t="shared" si="0"/>
        <v>98.5</v>
      </c>
      <c r="M56" s="2"/>
      <c r="N56" s="19">
        <f t="shared" si="1"/>
        <v>0</v>
      </c>
      <c r="O56" s="11"/>
      <c r="P56" s="2">
        <f>--222.68</f>
        <v>222.68</v>
      </c>
      <c r="Q56" s="2"/>
      <c r="R56" s="19"/>
      <c r="S56" s="2"/>
      <c r="T56" s="2"/>
      <c r="U56" s="2"/>
      <c r="V56" s="19"/>
      <c r="W56" s="2"/>
      <c r="X56" s="2">
        <f t="shared" si="2"/>
        <v>222.68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>--1047.53</f>
        <v>1047.53</v>
      </c>
      <c r="E57" s="2"/>
      <c r="F57" s="19"/>
      <c r="G57" s="2"/>
      <c r="H57" s="2"/>
      <c r="I57" s="2"/>
      <c r="J57" s="19"/>
      <c r="K57" s="2"/>
      <c r="L57" s="2">
        <f t="shared" si="0"/>
        <v>1047.53</v>
      </c>
      <c r="M57" s="2"/>
      <c r="N57" s="19">
        <f t="shared" si="1"/>
        <v>0</v>
      </c>
      <c r="O57" s="11"/>
      <c r="P57" s="2">
        <f>--2556.64</f>
        <v>2556.64</v>
      </c>
      <c r="Q57" s="2"/>
      <c r="R57" s="19"/>
      <c r="S57" s="2"/>
      <c r="T57" s="2"/>
      <c r="U57" s="2"/>
      <c r="V57" s="19"/>
      <c r="W57" s="2"/>
      <c r="X57" s="2">
        <f t="shared" si="2"/>
        <v>2556.64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--1531.2</f>
        <v>1531.2</v>
      </c>
      <c r="E58" s="2"/>
      <c r="F58" s="19"/>
      <c r="G58" s="2"/>
      <c r="H58" s="2"/>
      <c r="I58" s="2"/>
      <c r="J58" s="19"/>
      <c r="K58" s="2"/>
      <c r="L58" s="2">
        <f t="shared" si="0"/>
        <v>1531.2</v>
      </c>
      <c r="M58" s="2"/>
      <c r="N58" s="19">
        <f t="shared" si="1"/>
        <v>0</v>
      </c>
      <c r="O58" s="11"/>
      <c r="P58" s="2">
        <f>--4134.6</f>
        <v>4134.6000000000004</v>
      </c>
      <c r="Q58" s="2"/>
      <c r="R58" s="19"/>
      <c r="S58" s="2"/>
      <c r="T58" s="2"/>
      <c r="U58" s="2"/>
      <c r="V58" s="19"/>
      <c r="W58" s="2"/>
      <c r="X58" s="2">
        <f t="shared" si="2"/>
        <v>4134.6000000000004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--182.3</f>
        <v>182.3</v>
      </c>
      <c r="E59" s="2"/>
      <c r="F59" s="19"/>
      <c r="G59" s="2"/>
      <c r="H59" s="2"/>
      <c r="I59" s="2"/>
      <c r="J59" s="19"/>
      <c r="K59" s="2"/>
      <c r="L59" s="2">
        <f t="shared" si="0"/>
        <v>182.3</v>
      </c>
      <c r="M59" s="2"/>
      <c r="N59" s="19">
        <f t="shared" si="1"/>
        <v>0</v>
      </c>
      <c r="O59" s="11"/>
      <c r="P59" s="2">
        <f>--531.02</f>
        <v>531.02</v>
      </c>
      <c r="Q59" s="2"/>
      <c r="R59" s="19"/>
      <c r="S59" s="2"/>
      <c r="T59" s="2"/>
      <c r="U59" s="2"/>
      <c r="V59" s="19"/>
      <c r="W59" s="2"/>
      <c r="X59" s="2">
        <f t="shared" si="2"/>
        <v>531.02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--3944.61</f>
        <v>3944.61</v>
      </c>
      <c r="E60" s="2"/>
      <c r="F60" s="19"/>
      <c r="G60" s="2"/>
      <c r="H60" s="2"/>
      <c r="I60" s="2"/>
      <c r="J60" s="19"/>
      <c r="K60" s="2"/>
      <c r="L60" s="2">
        <f t="shared" si="0"/>
        <v>3944.61</v>
      </c>
      <c r="M60" s="2"/>
      <c r="N60" s="19">
        <f t="shared" si="1"/>
        <v>0</v>
      </c>
      <c r="O60" s="11"/>
      <c r="P60" s="2">
        <f>--43030.34</f>
        <v>43030.34</v>
      </c>
      <c r="Q60" s="2"/>
      <c r="R60" s="19"/>
      <c r="S60" s="2"/>
      <c r="T60" s="2"/>
      <c r="U60" s="2"/>
      <c r="V60" s="19"/>
      <c r="W60" s="2"/>
      <c r="X60" s="2">
        <f t="shared" si="2"/>
        <v>43030.34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>--92164.81</f>
        <v>92164.81</v>
      </c>
      <c r="E61" s="2"/>
      <c r="F61" s="19"/>
      <c r="G61" s="2"/>
      <c r="H61" s="2"/>
      <c r="I61" s="2"/>
      <c r="J61" s="19"/>
      <c r="K61" s="2"/>
      <c r="L61" s="2">
        <f t="shared" si="0"/>
        <v>92164.81</v>
      </c>
      <c r="M61" s="2"/>
      <c r="N61" s="19">
        <f t="shared" si="1"/>
        <v>0</v>
      </c>
      <c r="O61" s="11"/>
      <c r="P61" s="2">
        <f>--842731.73</f>
        <v>842731.73</v>
      </c>
      <c r="Q61" s="2"/>
      <c r="R61" s="19"/>
      <c r="S61" s="2"/>
      <c r="T61" s="2"/>
      <c r="U61" s="2"/>
      <c r="V61" s="19"/>
      <c r="W61" s="2"/>
      <c r="X61" s="2">
        <f t="shared" si="2"/>
        <v>842731.73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>--1437.99</f>
        <v>1437.99</v>
      </c>
      <c r="E62" s="2"/>
      <c r="F62" s="19"/>
      <c r="G62" s="2"/>
      <c r="H62" s="2"/>
      <c r="I62" s="2"/>
      <c r="J62" s="19"/>
      <c r="K62" s="2"/>
      <c r="L62" s="2">
        <f t="shared" si="0"/>
        <v>1437.99</v>
      </c>
      <c r="M62" s="2"/>
      <c r="N62" s="19">
        <f t="shared" si="1"/>
        <v>0</v>
      </c>
      <c r="O62" s="11"/>
      <c r="P62" s="2">
        <f>--13559.77</f>
        <v>13559.77</v>
      </c>
      <c r="Q62" s="2"/>
      <c r="R62" s="19"/>
      <c r="S62" s="2"/>
      <c r="T62" s="2"/>
      <c r="U62" s="2"/>
      <c r="V62" s="19"/>
      <c r="W62" s="2"/>
      <c r="X62" s="2">
        <f t="shared" si="2"/>
        <v>13559.77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>--8.02</f>
        <v>8.02</v>
      </c>
      <c r="E63" s="2"/>
      <c r="F63" s="19"/>
      <c r="G63" s="2"/>
      <c r="H63" s="2"/>
      <c r="I63" s="2"/>
      <c r="J63" s="19"/>
      <c r="K63" s="2"/>
      <c r="L63" s="2">
        <f t="shared" si="0"/>
        <v>8.02</v>
      </c>
      <c r="M63" s="2"/>
      <c r="N63" s="19">
        <f t="shared" si="1"/>
        <v>0</v>
      </c>
      <c r="O63" s="11"/>
      <c r="P63" s="2">
        <f>--8.41</f>
        <v>8.41</v>
      </c>
      <c r="Q63" s="2"/>
      <c r="R63" s="19"/>
      <c r="S63" s="2"/>
      <c r="T63" s="2"/>
      <c r="U63" s="2"/>
      <c r="V63" s="19"/>
      <c r="W63" s="2"/>
      <c r="X63" s="2">
        <f t="shared" si="2"/>
        <v>8.41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>--21.54</f>
        <v>21.54</v>
      </c>
      <c r="E64" s="2"/>
      <c r="F64" s="19"/>
      <c r="G64" s="2"/>
      <c r="H64" s="2"/>
      <c r="I64" s="2"/>
      <c r="J64" s="19"/>
      <c r="K64" s="2"/>
      <c r="L64" s="2">
        <f t="shared" si="0"/>
        <v>21.54</v>
      </c>
      <c r="M64" s="2"/>
      <c r="N64" s="19">
        <f t="shared" si="1"/>
        <v>0</v>
      </c>
      <c r="O64" s="11"/>
      <c r="P64" s="2">
        <f>--139.86</f>
        <v>139.86000000000001</v>
      </c>
      <c r="Q64" s="2"/>
      <c r="R64" s="19"/>
      <c r="S64" s="2"/>
      <c r="T64" s="2"/>
      <c r="U64" s="2"/>
      <c r="V64" s="19"/>
      <c r="W64" s="2"/>
      <c r="X64" s="2">
        <f t="shared" si="2"/>
        <v>139.86000000000001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>--768.57</f>
        <v>768.57</v>
      </c>
      <c r="E65" s="2"/>
      <c r="F65" s="19"/>
      <c r="G65" s="2"/>
      <c r="H65" s="2"/>
      <c r="I65" s="2"/>
      <c r="J65" s="19"/>
      <c r="K65" s="2"/>
      <c r="L65" s="2">
        <f t="shared" si="0"/>
        <v>768.57</v>
      </c>
      <c r="M65" s="2"/>
      <c r="N65" s="19">
        <f t="shared" si="1"/>
        <v>0</v>
      </c>
      <c r="O65" s="11"/>
      <c r="P65" s="2">
        <f>--7831.74</f>
        <v>7831.74</v>
      </c>
      <c r="Q65" s="2"/>
      <c r="R65" s="19"/>
      <c r="S65" s="2"/>
      <c r="T65" s="2"/>
      <c r="U65" s="2"/>
      <c r="V65" s="19"/>
      <c r="W65" s="2"/>
      <c r="X65" s="2">
        <f t="shared" si="2"/>
        <v>7831.74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--3758.83</f>
        <v>3758.83</v>
      </c>
      <c r="E66" s="2"/>
      <c r="F66" s="19"/>
      <c r="G66" s="2"/>
      <c r="H66" s="2"/>
      <c r="I66" s="2"/>
      <c r="J66" s="19"/>
      <c r="K66" s="2"/>
      <c r="L66" s="2">
        <f t="shared" si="0"/>
        <v>3758.83</v>
      </c>
      <c r="M66" s="2"/>
      <c r="N66" s="19">
        <f t="shared" si="1"/>
        <v>0</v>
      </c>
      <c r="O66" s="11"/>
      <c r="P66" s="2">
        <f>--42582.67</f>
        <v>42582.67</v>
      </c>
      <c r="Q66" s="2"/>
      <c r="R66" s="19"/>
      <c r="S66" s="2"/>
      <c r="T66" s="2"/>
      <c r="U66" s="2"/>
      <c r="V66" s="19"/>
      <c r="W66" s="2"/>
      <c r="X66" s="2">
        <f t="shared" si="2"/>
        <v>42582.67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--1719.12</f>
        <v>1719.12</v>
      </c>
      <c r="E67" s="2"/>
      <c r="F67" s="19"/>
      <c r="G67" s="2"/>
      <c r="H67" s="2"/>
      <c r="I67" s="2"/>
      <c r="J67" s="19"/>
      <c r="K67" s="2"/>
      <c r="L67" s="2">
        <f t="shared" si="0"/>
        <v>1719.12</v>
      </c>
      <c r="M67" s="2"/>
      <c r="N67" s="19">
        <f t="shared" si="1"/>
        <v>0</v>
      </c>
      <c r="O67" s="11"/>
      <c r="P67" s="2">
        <f>--4249</f>
        <v>4249</v>
      </c>
      <c r="Q67" s="2"/>
      <c r="R67" s="19"/>
      <c r="S67" s="2"/>
      <c r="T67" s="2"/>
      <c r="U67" s="2"/>
      <c r="V67" s="19"/>
      <c r="W67" s="2"/>
      <c r="X67" s="2">
        <f t="shared" si="2"/>
        <v>4249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--1947.91</f>
        <v>1947.91</v>
      </c>
      <c r="E68" s="2"/>
      <c r="F68" s="19"/>
      <c r="G68" s="2"/>
      <c r="H68" s="2"/>
      <c r="I68" s="2"/>
      <c r="J68" s="19"/>
      <c r="K68" s="2"/>
      <c r="L68" s="2">
        <f t="shared" si="0"/>
        <v>1947.91</v>
      </c>
      <c r="M68" s="2"/>
      <c r="N68" s="19">
        <f t="shared" si="1"/>
        <v>0</v>
      </c>
      <c r="O68" s="11"/>
      <c r="P68" s="2">
        <f>--12435.29</f>
        <v>12435.29</v>
      </c>
      <c r="Q68" s="2"/>
      <c r="R68" s="19"/>
      <c r="S68" s="2"/>
      <c r="T68" s="2"/>
      <c r="U68" s="2"/>
      <c r="V68" s="19"/>
      <c r="W68" s="2"/>
      <c r="X68" s="2">
        <f t="shared" si="2"/>
        <v>12435.29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--374.48</f>
        <v>374.48</v>
      </c>
      <c r="E69" s="2"/>
      <c r="F69" s="19"/>
      <c r="G69" s="2"/>
      <c r="H69" s="2"/>
      <c r="I69" s="2"/>
      <c r="J69" s="19"/>
      <c r="K69" s="2"/>
      <c r="L69" s="2">
        <f t="shared" si="0"/>
        <v>374.48</v>
      </c>
      <c r="M69" s="2"/>
      <c r="N69" s="19">
        <f t="shared" si="1"/>
        <v>0</v>
      </c>
      <c r="O69" s="11"/>
      <c r="P69" s="2">
        <f>--967.33</f>
        <v>967.33</v>
      </c>
      <c r="Q69" s="2"/>
      <c r="R69" s="19"/>
      <c r="S69" s="2"/>
      <c r="T69" s="2"/>
      <c r="U69" s="2"/>
      <c r="V69" s="19"/>
      <c r="W69" s="2"/>
      <c r="X69" s="2">
        <f t="shared" si="2"/>
        <v>967.33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0</f>
        <v>0</v>
      </c>
      <c r="E70" s="2"/>
      <c r="F70" s="19"/>
      <c r="G70" s="2"/>
      <c r="H70" s="2"/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--140</f>
        <v>140</v>
      </c>
      <c r="Q70" s="2"/>
      <c r="R70" s="19"/>
      <c r="S70" s="2"/>
      <c r="T70" s="2"/>
      <c r="U70" s="2"/>
      <c r="V70" s="19"/>
      <c r="W70" s="2"/>
      <c r="X70" s="2">
        <f t="shared" si="2"/>
        <v>140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--17086.55</f>
        <v>17086.55</v>
      </c>
      <c r="E71" s="2"/>
      <c r="F71" s="19"/>
      <c r="G71" s="2"/>
      <c r="H71" s="2"/>
      <c r="I71" s="2"/>
      <c r="J71" s="19"/>
      <c r="K71" s="2"/>
      <c r="L71" s="2">
        <f t="shared" si="0"/>
        <v>17086.55</v>
      </c>
      <c r="M71" s="2"/>
      <c r="N71" s="19">
        <f t="shared" si="1"/>
        <v>0</v>
      </c>
      <c r="O71" s="11"/>
      <c r="P71" s="2">
        <f>--163554.5</f>
        <v>163554.5</v>
      </c>
      <c r="Q71" s="2"/>
      <c r="R71" s="19"/>
      <c r="S71" s="2"/>
      <c r="T71" s="2"/>
      <c r="U71" s="2"/>
      <c r="V71" s="19"/>
      <c r="W71" s="2"/>
      <c r="X71" s="2">
        <f t="shared" si="2"/>
        <v>163554.5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"4147", " - ", "NON-TAXABLE SALES-MISC")</f>
        <v xml:space="preserve">          4147 - NON-TAXABLE SALES-MISC</v>
      </c>
      <c r="C72" s="11"/>
      <c r="D72" s="2">
        <f>--11.5</f>
        <v>11.5</v>
      </c>
      <c r="E72" s="2"/>
      <c r="F72" s="19"/>
      <c r="G72" s="2"/>
      <c r="H72" s="2"/>
      <c r="I72" s="2"/>
      <c r="J72" s="19"/>
      <c r="K72" s="2"/>
      <c r="L72" s="2">
        <f t="shared" si="0"/>
        <v>11.5</v>
      </c>
      <c r="M72" s="2"/>
      <c r="N72" s="19">
        <f t="shared" si="1"/>
        <v>0</v>
      </c>
      <c r="O72" s="11"/>
      <c r="P72" s="2">
        <f>--318.9</f>
        <v>318.89999999999998</v>
      </c>
      <c r="Q72" s="2"/>
      <c r="R72" s="19"/>
      <c r="S72" s="2"/>
      <c r="T72" s="2"/>
      <c r="U72" s="2"/>
      <c r="V72" s="19"/>
      <c r="W72" s="2"/>
      <c r="X72" s="2">
        <f t="shared" si="2"/>
        <v>318.89999999999998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"4151", " - ", "NON-TAXABLE SALES-FOOD")</f>
        <v xml:space="preserve">          4151 - NON-TAXABLE SALES-FOOD</v>
      </c>
      <c r="C73" s="11"/>
      <c r="D73" s="2">
        <f>--58945.98</f>
        <v>58945.98</v>
      </c>
      <c r="E73" s="2"/>
      <c r="F73" s="19"/>
      <c r="G73" s="2"/>
      <c r="H73" s="2"/>
      <c r="I73" s="2"/>
      <c r="J73" s="19"/>
      <c r="K73" s="2"/>
      <c r="L73" s="2">
        <f t="shared" si="0"/>
        <v>58945.98</v>
      </c>
      <c r="M73" s="2"/>
      <c r="N73" s="19">
        <f t="shared" si="1"/>
        <v>0</v>
      </c>
      <c r="O73" s="11"/>
      <c r="P73" s="2">
        <f>--635384.63</f>
        <v>635384.63</v>
      </c>
      <c r="Q73" s="2"/>
      <c r="R73" s="19"/>
      <c r="S73" s="2"/>
      <c r="T73" s="2"/>
      <c r="U73" s="2"/>
      <c r="V73" s="19"/>
      <c r="W73" s="2"/>
      <c r="X73" s="2">
        <f t="shared" si="2"/>
        <v>635384.63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"4153", " - ", "NON-TAXABLE SALES-FOOD")</f>
        <v xml:space="preserve">          4153 - NON-TAXABLE SALES-FOOD</v>
      </c>
      <c r="C74" s="11"/>
      <c r="D74" s="2">
        <f>--715</f>
        <v>715</v>
      </c>
      <c r="E74" s="2"/>
      <c r="F74" s="19"/>
      <c r="G74" s="2"/>
      <c r="H74" s="2"/>
      <c r="I74" s="2"/>
      <c r="J74" s="19"/>
      <c r="K74" s="2"/>
      <c r="L74" s="2">
        <f t="shared" si="0"/>
        <v>715</v>
      </c>
      <c r="M74" s="2"/>
      <c r="N74" s="19">
        <f t="shared" si="1"/>
        <v>0</v>
      </c>
      <c r="O74" s="11"/>
      <c r="P74" s="2">
        <f>--10275</f>
        <v>10275</v>
      </c>
      <c r="Q74" s="2"/>
      <c r="R74" s="19"/>
      <c r="S74" s="2"/>
      <c r="T74" s="2"/>
      <c r="U74" s="2"/>
      <c r="V74" s="19"/>
      <c r="W74" s="2"/>
      <c r="X74" s="2">
        <f t="shared" si="2"/>
        <v>10275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"4186", " - ", "NON-TAXABLE SALES-COMPUTER SUP")</f>
        <v xml:space="preserve">          4186 - NON-TAXABLE SALES-COMPUTER SUP</v>
      </c>
      <c r="C75" s="11"/>
      <c r="D75" s="2">
        <f>0</f>
        <v>0</v>
      </c>
      <c r="E75" s="2"/>
      <c r="F75" s="19"/>
      <c r="G75" s="2"/>
      <c r="H75" s="2"/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-30.97</f>
        <v>-30.97</v>
      </c>
      <c r="Q75" s="2"/>
      <c r="R75" s="19"/>
      <c r="S75" s="2"/>
      <c r="T75" s="2"/>
      <c r="U75" s="2"/>
      <c r="V75" s="19"/>
      <c r="W75" s="2"/>
      <c r="X75" s="2">
        <f t="shared" si="2"/>
        <v>-30.97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"4201", " - ", "SALES RETURN TAXABLE-NEW TEXT")</f>
        <v xml:space="preserve">          4201 - SALES RETURN TAXABLE-NEW TEXT</v>
      </c>
      <c r="C76" s="11"/>
      <c r="D76" s="2">
        <f>-37895.48</f>
        <v>-37895.480000000003</v>
      </c>
      <c r="E76" s="2"/>
      <c r="F76" s="19"/>
      <c r="G76" s="2"/>
      <c r="H76" s="2"/>
      <c r="I76" s="2"/>
      <c r="J76" s="19"/>
      <c r="K76" s="2"/>
      <c r="L76" s="2">
        <f t="shared" si="0"/>
        <v>-37895.480000000003</v>
      </c>
      <c r="M76" s="2"/>
      <c r="N76" s="19">
        <f t="shared" si="1"/>
        <v>0</v>
      </c>
      <c r="O76" s="11"/>
      <c r="P76" s="2">
        <f>-116625.85</f>
        <v>-116625.85</v>
      </c>
      <c r="Q76" s="2"/>
      <c r="R76" s="19"/>
      <c r="S76" s="2"/>
      <c r="T76" s="2"/>
      <c r="U76" s="2"/>
      <c r="V76" s="19"/>
      <c r="W76" s="2"/>
      <c r="X76" s="2">
        <f t="shared" si="2"/>
        <v>-116625.85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"4202", " - ", "SALES RETURN TAXABLE-USED TEXT")</f>
        <v xml:space="preserve">          4202 - SALES RETURN TAXABLE-USED TEXT</v>
      </c>
      <c r="C77" s="11"/>
      <c r="D77" s="2">
        <f>-16170.8</f>
        <v>-16170.8</v>
      </c>
      <c r="E77" s="2"/>
      <c r="F77" s="19"/>
      <c r="G77" s="2"/>
      <c r="H77" s="2"/>
      <c r="I77" s="2"/>
      <c r="J77" s="19"/>
      <c r="K77" s="2"/>
      <c r="L77" s="2">
        <f t="shared" si="0"/>
        <v>-16170.8</v>
      </c>
      <c r="M77" s="2"/>
      <c r="N77" s="19">
        <f t="shared" si="1"/>
        <v>0</v>
      </c>
      <c r="O77" s="11"/>
      <c r="P77" s="2">
        <f>-43379.15</f>
        <v>-43379.15</v>
      </c>
      <c r="Q77" s="2"/>
      <c r="R77" s="19"/>
      <c r="S77" s="2"/>
      <c r="T77" s="2"/>
      <c r="U77" s="2"/>
      <c r="V77" s="19"/>
      <c r="W77" s="2"/>
      <c r="X77" s="2">
        <f t="shared" si="2"/>
        <v>-43379.15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"4203", " - ", "SALES RETURN TAXABLE-RENTAL TE")</f>
        <v xml:space="preserve">          4203 - SALES RETURN TAXABLE-RENTAL TE</v>
      </c>
      <c r="C78" s="11"/>
      <c r="D78" s="2">
        <f>0</f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-144.99</f>
        <v>-144.99</v>
      </c>
      <c r="Q78" s="2"/>
      <c r="R78" s="19"/>
      <c r="S78" s="2"/>
      <c r="T78" s="2"/>
      <c r="U78" s="2"/>
      <c r="V78" s="19"/>
      <c r="W78" s="2"/>
      <c r="X78" s="2">
        <f t="shared" si="2"/>
        <v>-144.99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"4204", " - ", "SALES RETURN TAXABLE-DIGITAL T")</f>
        <v xml:space="preserve">          4204 - SALES RETURN TAXABLE-DIGITAL T</v>
      </c>
      <c r="C79" s="11"/>
      <c r="D79" s="2">
        <f>-4891.98</f>
        <v>-4891.9799999999996</v>
      </c>
      <c r="E79" s="2"/>
      <c r="F79" s="19"/>
      <c r="G79" s="2"/>
      <c r="H79" s="2"/>
      <c r="I79" s="2"/>
      <c r="J79" s="19"/>
      <c r="K79" s="2"/>
      <c r="L79" s="2">
        <f t="shared" si="0"/>
        <v>-4891.9799999999996</v>
      </c>
      <c r="M79" s="2"/>
      <c r="N79" s="19">
        <f t="shared" si="1"/>
        <v>0</v>
      </c>
      <c r="O79" s="11"/>
      <c r="P79" s="2">
        <f>-16261.44</f>
        <v>-16261.44</v>
      </c>
      <c r="Q79" s="2"/>
      <c r="R79" s="19"/>
      <c r="S79" s="2"/>
      <c r="T79" s="2"/>
      <c r="U79" s="2"/>
      <c r="V79" s="19"/>
      <c r="W79" s="2"/>
      <c r="X79" s="2">
        <f t="shared" si="2"/>
        <v>-16261.44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"4213", " - ", "NON-TAXABLE SALES-TRADE BOOKS")</f>
        <v xml:space="preserve">          4213 - NON-TAXABLE SALES-TRADE BOOKS</v>
      </c>
      <c r="C80" s="11"/>
      <c r="D80" s="2">
        <f>-13.95</f>
        <v>-13.95</v>
      </c>
      <c r="E80" s="2"/>
      <c r="F80" s="19"/>
      <c r="G80" s="2"/>
      <c r="H80" s="2"/>
      <c r="I80" s="2"/>
      <c r="J80" s="19"/>
      <c r="K80" s="2"/>
      <c r="L80" s="2">
        <f t="shared" si="0"/>
        <v>-13.95</v>
      </c>
      <c r="M80" s="2"/>
      <c r="N80" s="19">
        <f t="shared" si="1"/>
        <v>0</v>
      </c>
      <c r="O80" s="11"/>
      <c r="P80" s="2">
        <f>-116.66</f>
        <v>-116.66</v>
      </c>
      <c r="Q80" s="2"/>
      <c r="R80" s="19"/>
      <c r="S80" s="2"/>
      <c r="T80" s="2"/>
      <c r="U80" s="2"/>
      <c r="V80" s="19"/>
      <c r="W80" s="2"/>
      <c r="X80" s="2">
        <f t="shared" si="2"/>
        <v>-116.66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"4214", " - ", "SALES RETURN TAXABLE-REMAINDER")</f>
        <v xml:space="preserve">          4214 - SALES RETURN TAXABLE-REMAINDER</v>
      </c>
      <c r="C81" s="11"/>
      <c r="D81" s="2">
        <f t="shared" ref="D81:D82" si="5">0</f>
        <v>0</v>
      </c>
      <c r="E81" s="2"/>
      <c r="F81" s="19"/>
      <c r="G81" s="2"/>
      <c r="H81" s="2"/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-11.94</f>
        <v>-11.94</v>
      </c>
      <c r="Q81" s="2"/>
      <c r="R81" s="19"/>
      <c r="S81" s="2"/>
      <c r="T81" s="2"/>
      <c r="U81" s="2"/>
      <c r="V81" s="19"/>
      <c r="W81" s="2"/>
      <c r="X81" s="2">
        <f t="shared" si="2"/>
        <v>-11.94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"4217", " - ", "NON-TAXABLE SALES-DORM/HOUSEWA")</f>
        <v xml:space="preserve">          4217 - NON-TAXABLE SALES-DORM/HOUSEWA</v>
      </c>
      <c r="C82" s="11"/>
      <c r="D82" s="2">
        <f t="shared" si="5"/>
        <v>0</v>
      </c>
      <c r="E82" s="2"/>
      <c r="F82" s="19"/>
      <c r="G82" s="2"/>
      <c r="H82" s="2"/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-2.98</f>
        <v>-2.98</v>
      </c>
      <c r="Q82" s="2"/>
      <c r="R82" s="19"/>
      <c r="S82" s="2"/>
      <c r="T82" s="2"/>
      <c r="U82" s="2"/>
      <c r="V82" s="19"/>
      <c r="W82" s="2"/>
      <c r="X82" s="2">
        <f t="shared" si="2"/>
        <v>-2.98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"4218", " - ", "SALES RETURN TAXABLE-STUDY GUI")</f>
        <v xml:space="preserve">          4218 - SALES RETURN TAXABLE-STUDY GUI</v>
      </c>
      <c r="C83" s="11"/>
      <c r="D83" s="2">
        <f>-6.5</f>
        <v>-6.5</v>
      </c>
      <c r="E83" s="2"/>
      <c r="F83" s="19"/>
      <c r="G83" s="2"/>
      <c r="H83" s="2"/>
      <c r="I83" s="2"/>
      <c r="J83" s="19"/>
      <c r="K83" s="2"/>
      <c r="L83" s="2">
        <f t="shared" si="0"/>
        <v>-6.5</v>
      </c>
      <c r="M83" s="2"/>
      <c r="N83" s="19">
        <f t="shared" si="1"/>
        <v>0</v>
      </c>
      <c r="O83" s="11"/>
      <c r="P83" s="2">
        <f>-39.25</f>
        <v>-39.25</v>
      </c>
      <c r="Q83" s="2"/>
      <c r="R83" s="19"/>
      <c r="S83" s="2"/>
      <c r="T83" s="2"/>
      <c r="U83" s="2"/>
      <c r="V83" s="19"/>
      <c r="W83" s="2"/>
      <c r="X83" s="2">
        <f t="shared" si="2"/>
        <v>-39.25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"4225", " - ", "SALES RETURN TAXABLE-TEST FORM")</f>
        <v xml:space="preserve">          4225 - SALES RETURN TAXABLE-TEST FORM</v>
      </c>
      <c r="C84" s="11"/>
      <c r="D84" s="2">
        <f>-14.74</f>
        <v>-14.74</v>
      </c>
      <c r="E84" s="2"/>
      <c r="F84" s="19"/>
      <c r="G84" s="2"/>
      <c r="H84" s="2"/>
      <c r="I84" s="2"/>
      <c r="J84" s="19"/>
      <c r="K84" s="2"/>
      <c r="L84" s="2">
        <f t="shared" si="0"/>
        <v>-14.74</v>
      </c>
      <c r="M84" s="2"/>
      <c r="N84" s="19">
        <f t="shared" si="1"/>
        <v>0</v>
      </c>
      <c r="O84" s="11"/>
      <c r="P84" s="2">
        <f>-95.71</f>
        <v>-95.71</v>
      </c>
      <c r="Q84" s="2"/>
      <c r="R84" s="19"/>
      <c r="S84" s="2"/>
      <c r="T84" s="2"/>
      <c r="U84" s="2"/>
      <c r="V84" s="19"/>
      <c r="W84" s="2"/>
      <c r="X84" s="2">
        <f t="shared" si="2"/>
        <v>-95.71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"4226", " - ", "SALES RETURN TAXABLE-WRITING I")</f>
        <v xml:space="preserve">          4226 - SALES RETURN TAXABLE-WRITING I</v>
      </c>
      <c r="C85" s="11"/>
      <c r="D85" s="2">
        <f>-149.55</f>
        <v>-149.55000000000001</v>
      </c>
      <c r="E85" s="2"/>
      <c r="F85" s="19"/>
      <c r="G85" s="2"/>
      <c r="H85" s="2"/>
      <c r="I85" s="2"/>
      <c r="J85" s="19"/>
      <c r="K85" s="2"/>
      <c r="L85" s="2">
        <f t="shared" si="0"/>
        <v>-149.55000000000001</v>
      </c>
      <c r="M85" s="2"/>
      <c r="N85" s="19">
        <f t="shared" si="1"/>
        <v>0</v>
      </c>
      <c r="O85" s="11"/>
      <c r="P85" s="2">
        <f>-680.91</f>
        <v>-680.91</v>
      </c>
      <c r="Q85" s="2"/>
      <c r="R85" s="19"/>
      <c r="S85" s="2"/>
      <c r="T85" s="2"/>
      <c r="U85" s="2"/>
      <c r="V85" s="19"/>
      <c r="W85" s="2"/>
      <c r="X85" s="2">
        <f t="shared" si="2"/>
        <v>-680.91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"4227", " - ", "SALES RETURN TAXABLE-SCHOOL SU")</f>
        <v xml:space="preserve">          4227 - SALES RETURN TAXABLE-SCHOOL SU</v>
      </c>
      <c r="C86" s="11"/>
      <c r="D86" s="2">
        <f>-962.28</f>
        <v>-962.28</v>
      </c>
      <c r="E86" s="2"/>
      <c r="F86" s="19"/>
      <c r="G86" s="2"/>
      <c r="H86" s="2"/>
      <c r="I86" s="2"/>
      <c r="J86" s="19"/>
      <c r="K86" s="2"/>
      <c r="L86" s="2">
        <f t="shared" si="0"/>
        <v>-962.28</v>
      </c>
      <c r="M86" s="2"/>
      <c r="N86" s="19">
        <f t="shared" si="1"/>
        <v>0</v>
      </c>
      <c r="O86" s="11"/>
      <c r="P86" s="2">
        <f>-6910.86</f>
        <v>-6910.86</v>
      </c>
      <c r="Q86" s="2"/>
      <c r="R86" s="19"/>
      <c r="S86" s="2"/>
      <c r="T86" s="2"/>
      <c r="U86" s="2"/>
      <c r="V86" s="19"/>
      <c r="W86" s="2"/>
      <c r="X86" s="2">
        <f t="shared" si="2"/>
        <v>-6910.86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"4228", " - ", "SALES RETURN TAXABLE-ART/TECH")</f>
        <v xml:space="preserve">          4228 - SALES RETURN TAXABLE-ART/TECH</v>
      </c>
      <c r="C87" s="11"/>
      <c r="D87" s="2">
        <f>-766.07</f>
        <v>-766.07</v>
      </c>
      <c r="E87" s="2"/>
      <c r="F87" s="19"/>
      <c r="G87" s="2"/>
      <c r="H87" s="2"/>
      <c r="I87" s="2"/>
      <c r="J87" s="19"/>
      <c r="K87" s="2"/>
      <c r="L87" s="2">
        <f t="shared" si="0"/>
        <v>-766.07</v>
      </c>
      <c r="M87" s="2"/>
      <c r="N87" s="19">
        <f t="shared" si="1"/>
        <v>0</v>
      </c>
      <c r="O87" s="11"/>
      <c r="P87" s="2">
        <f>-3914.69</f>
        <v>-3914.69</v>
      </c>
      <c r="Q87" s="2"/>
      <c r="R87" s="19"/>
      <c r="S87" s="2"/>
      <c r="T87" s="2"/>
      <c r="U87" s="2"/>
      <c r="V87" s="19"/>
      <c r="W87" s="2"/>
      <c r="X87" s="2">
        <f t="shared" si="2"/>
        <v>-3914.69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"4233", " - ", "SALES RETURN TAXABLE-CANDY")</f>
        <v xml:space="preserve">          4233 - SALES RETURN TAXABLE-CANDY</v>
      </c>
      <c r="C88" s="11"/>
      <c r="D88" s="2">
        <f>0</f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-1.29</f>
        <v>-1.29</v>
      </c>
      <c r="Q88" s="2"/>
      <c r="R88" s="19"/>
      <c r="S88" s="2"/>
      <c r="T88" s="2"/>
      <c r="U88" s="2"/>
      <c r="V88" s="19"/>
      <c r="W88" s="2"/>
      <c r="X88" s="2">
        <f t="shared" si="2"/>
        <v>-1.29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"4240", " - ", "SALES RETURN TAXABLE-LOGO CLOT")</f>
        <v xml:space="preserve">          4240 - SALES RETURN TAXABLE-LOGO CLOT</v>
      </c>
      <c r="C89" s="11"/>
      <c r="D89" s="2">
        <f>-12286.81</f>
        <v>-12286.81</v>
      </c>
      <c r="E89" s="2"/>
      <c r="F89" s="19"/>
      <c r="G89" s="2"/>
      <c r="H89" s="2"/>
      <c r="I89" s="2"/>
      <c r="J89" s="19"/>
      <c r="K89" s="2"/>
      <c r="L89" s="2">
        <f t="shared" si="0"/>
        <v>-12286.81</v>
      </c>
      <c r="M89" s="2"/>
      <c r="N89" s="19">
        <f t="shared" si="1"/>
        <v>0</v>
      </c>
      <c r="O89" s="11"/>
      <c r="P89" s="2">
        <f>-61608.75</f>
        <v>-61608.75</v>
      </c>
      <c r="Q89" s="2"/>
      <c r="R89" s="19"/>
      <c r="S89" s="2"/>
      <c r="T89" s="2"/>
      <c r="U89" s="2"/>
      <c r="V89" s="19"/>
      <c r="W89" s="2"/>
      <c r="X89" s="2">
        <f t="shared" si="2"/>
        <v>-61608.75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"4241", " - ", "SALES RETURN TAXABLE-LOGO GIFT")</f>
        <v xml:space="preserve">          4241 - SALES RETURN TAXABLE-LOGO GIFT</v>
      </c>
      <c r="C90" s="11"/>
      <c r="D90" s="2">
        <f>-805.34</f>
        <v>-805.34</v>
      </c>
      <c r="E90" s="2"/>
      <c r="F90" s="19"/>
      <c r="G90" s="2"/>
      <c r="H90" s="2"/>
      <c r="I90" s="2"/>
      <c r="J90" s="19"/>
      <c r="K90" s="2"/>
      <c r="L90" s="2">
        <f t="shared" si="0"/>
        <v>-805.34</v>
      </c>
      <c r="M90" s="2"/>
      <c r="N90" s="19">
        <f t="shared" si="1"/>
        <v>0</v>
      </c>
      <c r="O90" s="11"/>
      <c r="P90" s="2">
        <f>-4954.21</f>
        <v>-4954.21</v>
      </c>
      <c r="Q90" s="2"/>
      <c r="R90" s="19"/>
      <c r="S90" s="2"/>
      <c r="T90" s="2"/>
      <c r="U90" s="2"/>
      <c r="V90" s="19"/>
      <c r="W90" s="2"/>
      <c r="X90" s="2">
        <f t="shared" si="2"/>
        <v>-4954.21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"4242", " - ", "SALES RETURN TAXABLE-EVERYDAY")</f>
        <v xml:space="preserve">          4242 - SALES RETURN TAXABLE-EVERYDAY</v>
      </c>
      <c r="C91" s="11"/>
      <c r="D91" s="2">
        <f>-754.91</f>
        <v>-754.91</v>
      </c>
      <c r="E91" s="2"/>
      <c r="F91" s="19"/>
      <c r="G91" s="2"/>
      <c r="H91" s="2"/>
      <c r="I91" s="2"/>
      <c r="J91" s="19"/>
      <c r="K91" s="2"/>
      <c r="L91" s="2">
        <f t="shared" si="0"/>
        <v>-754.91</v>
      </c>
      <c r="M91" s="2"/>
      <c r="N91" s="19">
        <f t="shared" si="1"/>
        <v>0</v>
      </c>
      <c r="O91" s="11"/>
      <c r="P91" s="2">
        <f>-3544.33</f>
        <v>-3544.33</v>
      </c>
      <c r="Q91" s="2"/>
      <c r="R91" s="19"/>
      <c r="S91" s="2"/>
      <c r="T91" s="2"/>
      <c r="U91" s="2"/>
      <c r="V91" s="19"/>
      <c r="W91" s="2"/>
      <c r="X91" s="2">
        <f t="shared" si="2"/>
        <v>-3544.33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"4243", " - ", "SALES RETURN TAXABLE-CARDS")</f>
        <v xml:space="preserve">          4243 - SALES RETURN TAXABLE-CARDS</v>
      </c>
      <c r="C92" s="11"/>
      <c r="D92" s="2">
        <f>-344.74</f>
        <v>-344.74</v>
      </c>
      <c r="E92" s="2"/>
      <c r="F92" s="19"/>
      <c r="G92" s="2"/>
      <c r="H92" s="2"/>
      <c r="I92" s="2"/>
      <c r="J92" s="19"/>
      <c r="K92" s="2"/>
      <c r="L92" s="2">
        <f t="shared" si="0"/>
        <v>-344.74</v>
      </c>
      <c r="M92" s="2"/>
      <c r="N92" s="19">
        <f t="shared" si="1"/>
        <v>0</v>
      </c>
      <c r="O92" s="11"/>
      <c r="P92" s="2">
        <f>-1224.21</f>
        <v>-1224.21</v>
      </c>
      <c r="Q92" s="2"/>
      <c r="R92" s="19"/>
      <c r="S92" s="2"/>
      <c r="T92" s="2"/>
      <c r="U92" s="2"/>
      <c r="V92" s="19"/>
      <c r="W92" s="2"/>
      <c r="X92" s="2">
        <f t="shared" si="2"/>
        <v>-1224.21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"4244", " - ", "SALES RETURN TAXABLE-ACCESSORI")</f>
        <v xml:space="preserve">          4244 - SALES RETURN TAXABLE-ACCESSORI</v>
      </c>
      <c r="C93" s="11"/>
      <c r="D93" s="2">
        <f>-370.28</f>
        <v>-370.28</v>
      </c>
      <c r="E93" s="2"/>
      <c r="F93" s="19"/>
      <c r="G93" s="2"/>
      <c r="H93" s="2"/>
      <c r="I93" s="2"/>
      <c r="J93" s="19"/>
      <c r="K93" s="2"/>
      <c r="L93" s="2">
        <f t="shared" si="0"/>
        <v>-370.28</v>
      </c>
      <c r="M93" s="2"/>
      <c r="N93" s="19">
        <f t="shared" si="1"/>
        <v>0</v>
      </c>
      <c r="O93" s="11"/>
      <c r="P93" s="2">
        <f>-2102.05</f>
        <v>-2102.0500000000002</v>
      </c>
      <c r="Q93" s="2"/>
      <c r="R93" s="19"/>
      <c r="S93" s="2"/>
      <c r="T93" s="2"/>
      <c r="U93" s="2"/>
      <c r="V93" s="19"/>
      <c r="W93" s="2"/>
      <c r="X93" s="2">
        <f t="shared" si="2"/>
        <v>-2102.0500000000002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"4245", " - ", "SALES RETURN TAXABLE-SPECIAL O")</f>
        <v xml:space="preserve">          4245 - SALES RETURN TAXABLE-SPECIAL O</v>
      </c>
      <c r="C94" s="11"/>
      <c r="D94" s="2">
        <f>-1623.09</f>
        <v>-1623.09</v>
      </c>
      <c r="E94" s="2"/>
      <c r="F94" s="19"/>
      <c r="G94" s="2"/>
      <c r="H94" s="2"/>
      <c r="I94" s="2"/>
      <c r="J94" s="19"/>
      <c r="K94" s="2"/>
      <c r="L94" s="2">
        <f t="shared" si="0"/>
        <v>-1623.09</v>
      </c>
      <c r="M94" s="2"/>
      <c r="N94" s="19">
        <f t="shared" si="1"/>
        <v>0</v>
      </c>
      <c r="O94" s="11"/>
      <c r="P94" s="2">
        <f>-1715.05</f>
        <v>-1715.05</v>
      </c>
      <c r="Q94" s="2"/>
      <c r="R94" s="19"/>
      <c r="S94" s="2"/>
      <c r="T94" s="2"/>
      <c r="U94" s="2"/>
      <c r="V94" s="19"/>
      <c r="W94" s="2"/>
      <c r="X94" s="2">
        <f t="shared" si="2"/>
        <v>-1715.05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"4281", " - ", "SALES RETURN TAXABLE-ELECTRONI")</f>
        <v xml:space="preserve">          4281 - SALES RETURN TAXABLE-ELECTRONI</v>
      </c>
      <c r="C95" s="11"/>
      <c r="D95" s="2">
        <f t="shared" ref="D95:D97" si="6">0</f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-54.97</f>
        <v>-54.97</v>
      </c>
      <c r="Q95" s="2"/>
      <c r="R95" s="19"/>
      <c r="S95" s="2"/>
      <c r="T95" s="2"/>
      <c r="U95" s="2"/>
      <c r="V95" s="19"/>
      <c r="W95" s="2"/>
      <c r="X95" s="2">
        <f t="shared" si="2"/>
        <v>-54.97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"4292", " - ", "SALES RETURN TAXABLE-GRAD MERC")</f>
        <v xml:space="preserve">          4292 - SALES RETURN TAXABLE-GRAD MERC</v>
      </c>
      <c r="C96" s="11"/>
      <c r="D96" s="2">
        <f t="shared" si="6"/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-419.05</f>
        <v>-419.05</v>
      </c>
      <c r="Q96" s="2"/>
      <c r="R96" s="19"/>
      <c r="S96" s="2"/>
      <c r="T96" s="2"/>
      <c r="U96" s="2"/>
      <c r="V96" s="19"/>
      <c r="W96" s="2"/>
      <c r="X96" s="2">
        <f t="shared" si="2"/>
        <v>-419.05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"4295", " - ", "SALES RETURN TAXABLE-CUSTOMER")</f>
        <v xml:space="preserve">          4295 - SALES RETURN TAXABLE-CUSTOMER</v>
      </c>
      <c r="C97" s="11"/>
      <c r="D97" s="2">
        <f t="shared" si="6"/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--0.99</f>
        <v>0.99</v>
      </c>
      <c r="Q97" s="2"/>
      <c r="R97" s="19"/>
      <c r="S97" s="2"/>
      <c r="T97" s="2"/>
      <c r="U97" s="2"/>
      <c r="V97" s="19"/>
      <c r="W97" s="2"/>
      <c r="X97" s="2">
        <f t="shared" si="2"/>
        <v>0.99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"4301", " - ", "SALES RETURN NON TAXABLE-NEW T")</f>
        <v xml:space="preserve">          4301 - SALES RETURN NON TAXABLE-NEW T</v>
      </c>
      <c r="C98" s="11"/>
      <c r="D98" s="2">
        <f>-2910.64</f>
        <v>-2910.64</v>
      </c>
      <c r="E98" s="2"/>
      <c r="F98" s="19"/>
      <c r="G98" s="2"/>
      <c r="H98" s="2"/>
      <c r="I98" s="2"/>
      <c r="J98" s="19"/>
      <c r="K98" s="2"/>
      <c r="L98" s="2">
        <f t="shared" si="0"/>
        <v>-2910.64</v>
      </c>
      <c r="M98" s="2"/>
      <c r="N98" s="19">
        <f t="shared" si="1"/>
        <v>0</v>
      </c>
      <c r="O98" s="11"/>
      <c r="P98" s="2">
        <f>-15221.62</f>
        <v>-15221.62</v>
      </c>
      <c r="Q98" s="2"/>
      <c r="R98" s="19"/>
      <c r="S98" s="2"/>
      <c r="T98" s="2"/>
      <c r="U98" s="2"/>
      <c r="V98" s="19"/>
      <c r="W98" s="2"/>
      <c r="X98" s="2">
        <f t="shared" si="2"/>
        <v>-15221.62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"4302", " - ", "SALES RETURN NON TAXABLE-TEXT")</f>
        <v xml:space="preserve">          4302 - SALES RETURN NON TAXABLE-TEXT</v>
      </c>
      <c r="C99" s="11"/>
      <c r="D99" s="2">
        <f>-614.47</f>
        <v>-614.47</v>
      </c>
      <c r="E99" s="2"/>
      <c r="F99" s="19"/>
      <c r="G99" s="2"/>
      <c r="H99" s="2"/>
      <c r="I99" s="2"/>
      <c r="J99" s="19"/>
      <c r="K99" s="2"/>
      <c r="L99" s="2">
        <f t="shared" si="0"/>
        <v>-614.47</v>
      </c>
      <c r="M99" s="2"/>
      <c r="N99" s="19">
        <f t="shared" si="1"/>
        <v>0</v>
      </c>
      <c r="O99" s="11"/>
      <c r="P99" s="2">
        <f>-1312.37</f>
        <v>-1312.37</v>
      </c>
      <c r="Q99" s="2"/>
      <c r="R99" s="19"/>
      <c r="S99" s="2"/>
      <c r="T99" s="2"/>
      <c r="U99" s="2"/>
      <c r="V99" s="19"/>
      <c r="W99" s="2"/>
      <c r="X99" s="2">
        <f t="shared" si="2"/>
        <v>-1312.37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"4303", " - ", "SALES RETURN NON-TAXABLE-RENTA")</f>
        <v xml:space="preserve">          4303 - SALES RETURN NON-TAXABLE-RENTA</v>
      </c>
      <c r="C100" s="11"/>
      <c r="D100" s="2">
        <f>0</f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-184.99</f>
        <v>-184.99</v>
      </c>
      <c r="Q100" s="2"/>
      <c r="R100" s="19"/>
      <c r="S100" s="2"/>
      <c r="T100" s="2"/>
      <c r="U100" s="2"/>
      <c r="V100" s="19"/>
      <c r="W100" s="2"/>
      <c r="X100" s="2">
        <f t="shared" si="2"/>
        <v>-184.99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"4304", " - ", "SALES RETURN NON TAXABLE-DIGIT")</f>
        <v xml:space="preserve">          4304 - SALES RETURN NON TAXABLE-DIGIT</v>
      </c>
      <c r="C101" s="11"/>
      <c r="D101" s="2">
        <f>-4312.43</f>
        <v>-4312.43</v>
      </c>
      <c r="E101" s="2"/>
      <c r="F101" s="19"/>
      <c r="G101" s="2"/>
      <c r="H101" s="2"/>
      <c r="I101" s="2"/>
      <c r="J101" s="19"/>
      <c r="K101" s="2"/>
      <c r="L101" s="2">
        <f t="shared" si="0"/>
        <v>-4312.43</v>
      </c>
      <c r="M101" s="2"/>
      <c r="N101" s="19">
        <f t="shared" si="1"/>
        <v>0</v>
      </c>
      <c r="O101" s="11"/>
      <c r="P101" s="2">
        <f>-17742.75</f>
        <v>-17742.75</v>
      </c>
      <c r="Q101" s="2"/>
      <c r="R101" s="19"/>
      <c r="S101" s="2"/>
      <c r="T101" s="2"/>
      <c r="U101" s="2"/>
      <c r="V101" s="19"/>
      <c r="W101" s="2"/>
      <c r="X101" s="2">
        <f t="shared" si="2"/>
        <v>-17742.75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"4311", " - ", "SALES RETURN NON TAXABLE-NO VA")</f>
        <v xml:space="preserve">          4311 - SALES RETURN NON TAXABLE-NO VA</v>
      </c>
      <c r="C102" s="11"/>
      <c r="D102" s="2">
        <f>-237.35</f>
        <v>-237.35</v>
      </c>
      <c r="E102" s="2"/>
      <c r="F102" s="19"/>
      <c r="G102" s="2"/>
      <c r="H102" s="2"/>
      <c r="I102" s="2"/>
      <c r="J102" s="19"/>
      <c r="K102" s="2"/>
      <c r="L102" s="2">
        <f t="shared" si="0"/>
        <v>-237.35</v>
      </c>
      <c r="M102" s="2"/>
      <c r="N102" s="19">
        <f t="shared" si="1"/>
        <v>0</v>
      </c>
      <c r="O102" s="11"/>
      <c r="P102" s="2">
        <f>-625.31</f>
        <v>-625.30999999999995</v>
      </c>
      <c r="Q102" s="2"/>
      <c r="R102" s="19"/>
      <c r="S102" s="2"/>
      <c r="T102" s="2"/>
      <c r="U102" s="2"/>
      <c r="V102" s="19"/>
      <c r="W102" s="2"/>
      <c r="X102" s="2">
        <f t="shared" si="2"/>
        <v>-625.30999999999995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"4327", " - ", "SALES RETURN NON TAXABLE-SCHOO")</f>
        <v xml:space="preserve">          4327 - SALES RETURN NON TAXABLE-SCHOO</v>
      </c>
      <c r="C103" s="11"/>
      <c r="D103" s="2">
        <f>0</f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-21.87</f>
        <v>-21.87</v>
      </c>
      <c r="Q103" s="2"/>
      <c r="R103" s="19"/>
      <c r="S103" s="2"/>
      <c r="T103" s="2"/>
      <c r="U103" s="2"/>
      <c r="V103" s="19"/>
      <c r="W103" s="2"/>
      <c r="X103" s="2">
        <f t="shared" si="2"/>
        <v>-21.87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"4340", " - ", "SALES RETURN NON TAXABLE-LOGO")</f>
        <v xml:space="preserve">          4340 - SALES RETURN NON TAXABLE-LOGO</v>
      </c>
      <c r="C104" s="11"/>
      <c r="D104" s="2">
        <f>-216.75</f>
        <v>-216.75</v>
      </c>
      <c r="E104" s="2"/>
      <c r="F104" s="19"/>
      <c r="G104" s="2"/>
      <c r="H104" s="2"/>
      <c r="I104" s="2"/>
      <c r="J104" s="19"/>
      <c r="K104" s="2"/>
      <c r="L104" s="2">
        <f t="shared" si="0"/>
        <v>-216.75</v>
      </c>
      <c r="M104" s="2"/>
      <c r="N104" s="19">
        <f t="shared" si="1"/>
        <v>0</v>
      </c>
      <c r="O104" s="11"/>
      <c r="P104" s="2">
        <f>-931.65</f>
        <v>-931.65</v>
      </c>
      <c r="Q104" s="2"/>
      <c r="R104" s="19"/>
      <c r="S104" s="2"/>
      <c r="T104" s="2"/>
      <c r="U104" s="2"/>
      <c r="V104" s="19"/>
      <c r="W104" s="2"/>
      <c r="X104" s="2">
        <f t="shared" si="2"/>
        <v>-931.65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"4341", " - ", "SALES RETURN NON TAXABLE-LOGO")</f>
        <v xml:space="preserve">          4341 - SALES RETURN NON TAXABLE-LOGO</v>
      </c>
      <c r="C105" s="11"/>
      <c r="D105" s="2">
        <f>-9.95</f>
        <v>-9.9499999999999993</v>
      </c>
      <c r="E105" s="2"/>
      <c r="F105" s="19"/>
      <c r="G105" s="2"/>
      <c r="H105" s="2"/>
      <c r="I105" s="2"/>
      <c r="J105" s="19"/>
      <c r="K105" s="2"/>
      <c r="L105" s="2">
        <f t="shared" si="0"/>
        <v>-9.9499999999999993</v>
      </c>
      <c r="M105" s="2"/>
      <c r="N105" s="19">
        <f t="shared" si="1"/>
        <v>0</v>
      </c>
      <c r="O105" s="11"/>
      <c r="P105" s="2">
        <f>-30.8</f>
        <v>-30.8</v>
      </c>
      <c r="Q105" s="2"/>
      <c r="R105" s="19"/>
      <c r="S105" s="2"/>
      <c r="T105" s="2"/>
      <c r="U105" s="2"/>
      <c r="V105" s="19"/>
      <c r="W105" s="2"/>
      <c r="X105" s="2">
        <f t="shared" si="2"/>
        <v>-30.8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"4342", " - ", "SALES RETURN NON TAXABLE-EVERY")</f>
        <v xml:space="preserve">          4342 - SALES RETURN NON TAXABLE-EVERY</v>
      </c>
      <c r="C106" s="11"/>
      <c r="D106" s="2">
        <f>-39.42</f>
        <v>-39.42</v>
      </c>
      <c r="E106" s="2"/>
      <c r="F106" s="19"/>
      <c r="G106" s="2"/>
      <c r="H106" s="2"/>
      <c r="I106" s="2"/>
      <c r="J106" s="19"/>
      <c r="K106" s="2"/>
      <c r="L106" s="2">
        <f t="shared" si="0"/>
        <v>-39.42</v>
      </c>
      <c r="M106" s="2"/>
      <c r="N106" s="19">
        <f t="shared" si="1"/>
        <v>0</v>
      </c>
      <c r="O106" s="11"/>
      <c r="P106" s="2">
        <f>-149.22</f>
        <v>-149.22</v>
      </c>
      <c r="Q106" s="2"/>
      <c r="R106" s="19"/>
      <c r="S106" s="2"/>
      <c r="T106" s="2"/>
      <c r="U106" s="2"/>
      <c r="V106" s="19"/>
      <c r="W106" s="2"/>
      <c r="X106" s="2">
        <f t="shared" si="2"/>
        <v>-149.22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"4346", " - ", "SALES RETURN NON TAXABLE-COIN-")</f>
        <v xml:space="preserve">          4346 - SALES RETURN NON TAXABLE-COIN-</v>
      </c>
      <c r="C107" s="11"/>
      <c r="D107" s="2">
        <f>0</f>
        <v>0</v>
      </c>
      <c r="E107" s="2"/>
      <c r="F107" s="19"/>
      <c r="G107" s="2"/>
      <c r="H107" s="2"/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-8.15</f>
        <v>-8.15</v>
      </c>
      <c r="Q107" s="2"/>
      <c r="R107" s="19"/>
      <c r="S107" s="2"/>
      <c r="T107" s="2"/>
      <c r="U107" s="2"/>
      <c r="V107" s="19"/>
      <c r="W107" s="2"/>
      <c r="X107" s="2">
        <f t="shared" si="2"/>
        <v>-8.15</v>
      </c>
      <c r="Y107" s="2"/>
      <c r="Z107" s="19">
        <f t="shared" si="3"/>
        <v>0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collapsed="1" x14ac:dyDescent="0.25">
      <c r="A109" s="10"/>
      <c r="B109" s="28" t="s">
        <v>8</v>
      </c>
      <c r="C109" s="10"/>
      <c r="D109" s="4">
        <f>SUM(OSRRefD16x_0)</f>
        <v>1277484.9499999995</v>
      </c>
      <c r="E109" s="4"/>
      <c r="F109" s="12">
        <f t="shared" ref="F109:F162" si="7">IF(D$12=0,0,D109/D$12)</f>
        <v>0.54254371749864705</v>
      </c>
      <c r="G109" s="4"/>
      <c r="H109" s="4">
        <f>SUM(OSRRefH16x_0)</f>
        <v>1672450.57559</v>
      </c>
      <c r="I109" s="4"/>
      <c r="J109" s="12">
        <f t="shared" ref="J109:J162" si="8">IF(H$12=0,0,H109/H$12)</f>
        <v>0.64236168570916363</v>
      </c>
      <c r="K109" s="4"/>
      <c r="L109" s="4">
        <f t="shared" ref="L109:L162" si="9">+D109-H109</f>
        <v>-394965.62559000053</v>
      </c>
      <c r="M109" s="4"/>
      <c r="N109" s="12">
        <f t="shared" ref="N109:N162" si="10">IF(H109=0,0,L109/H109)</f>
        <v>-0.23615981922255982</v>
      </c>
      <c r="O109" s="10"/>
      <c r="P109" s="4">
        <f>SUM(OSRRefP16x_0)</f>
        <v>5272170.450000003</v>
      </c>
      <c r="Q109" s="4"/>
      <c r="R109" s="12">
        <f t="shared" ref="R109:R162" si="11">IF(P$12=0,0,P109/P$12)</f>
        <v>0.55516409725804672</v>
      </c>
      <c r="S109" s="4"/>
      <c r="T109" s="4">
        <f>SUM(OSRRefT16x_0)</f>
        <v>5804586.3834499996</v>
      </c>
      <c r="U109" s="4"/>
      <c r="V109" s="12">
        <f t="shared" ref="V109:V162" si="12">IF(T$12=0,0,T109/T$12)</f>
        <v>0.57622256270907224</v>
      </c>
      <c r="W109" s="4"/>
      <c r="X109" s="4">
        <f t="shared" ref="X109:X162" si="13">+P109-T109</f>
        <v>-532415.93344999664</v>
      </c>
      <c r="Y109" s="4"/>
      <c r="Z109" s="12">
        <f t="shared" ref="Z109:Z162" si="14">IF(T109=0,0,X109/T109)</f>
        <v>-9.1723319850664578E-2</v>
      </c>
    </row>
    <row r="110" spans="1:26" s="24" customFormat="1" hidden="1" outlineLevel="1" x14ac:dyDescent="0.25">
      <c r="A110" s="44"/>
      <c r="B110" s="11" t="str">
        <f>CONCATENATE("          ", "5000", " - ", "PURCHASES @ COST")</f>
        <v xml:space="preserve">          5000 - PURCHASES @ COST</v>
      </c>
      <c r="C110" s="11"/>
      <c r="D110" s="2"/>
      <c r="E110" s="2"/>
      <c r="F110" s="19">
        <f t="shared" si="7"/>
        <v>0</v>
      </c>
      <c r="G110" s="2"/>
      <c r="H110" s="2">
        <v>1672450.57559</v>
      </c>
      <c r="I110" s="2"/>
      <c r="J110" s="19">
        <f t="shared" si="8"/>
        <v>0.64236168570916363</v>
      </c>
      <c r="K110" s="2"/>
      <c r="L110" s="2">
        <f t="shared" si="9"/>
        <v>-1672450.57559</v>
      </c>
      <c r="M110" s="2"/>
      <c r="N110" s="19">
        <f t="shared" si="10"/>
        <v>-1</v>
      </c>
      <c r="O110" s="11"/>
      <c r="P110" s="2"/>
      <c r="Q110" s="2"/>
      <c r="R110" s="19">
        <f t="shared" si="11"/>
        <v>0</v>
      </c>
      <c r="S110" s="2"/>
      <c r="T110" s="2">
        <v>5804586.3834499996</v>
      </c>
      <c r="U110" s="2"/>
      <c r="V110" s="19">
        <f t="shared" si="12"/>
        <v>0.57622256270907224</v>
      </c>
      <c r="W110" s="2"/>
      <c r="X110" s="2">
        <f t="shared" si="13"/>
        <v>-5804586.3834499996</v>
      </c>
      <c r="Y110" s="2"/>
      <c r="Z110" s="19">
        <f t="shared" si="14"/>
        <v>-1</v>
      </c>
    </row>
    <row r="111" spans="1:26" s="24" customFormat="1" hidden="1" outlineLevel="1" x14ac:dyDescent="0.25">
      <c r="A111" s="44"/>
      <c r="B111" s="11" t="str">
        <f>CONCATENATE("          ", "5001", " - ", "PURCHASES @ COST-NEW TEXT")</f>
        <v xml:space="preserve">          5001 - PURCHASES @ COST-NEW TEXT</v>
      </c>
      <c r="C111" s="11"/>
      <c r="D111" s="2">
        <v>890224.90999999992</v>
      </c>
      <c r="E111" s="2"/>
      <c r="F111" s="19">
        <f t="shared" si="7"/>
        <v>0.37807563375310105</v>
      </c>
      <c r="G111" s="2"/>
      <c r="H111" s="2"/>
      <c r="I111" s="2"/>
      <c r="J111" s="19">
        <f t="shared" si="8"/>
        <v>0</v>
      </c>
      <c r="K111" s="2"/>
      <c r="L111" s="2">
        <f t="shared" si="9"/>
        <v>890224.90999999992</v>
      </c>
      <c r="M111" s="2"/>
      <c r="N111" s="19">
        <f t="shared" si="10"/>
        <v>0</v>
      </c>
      <c r="O111" s="11"/>
      <c r="P111" s="2">
        <v>2627294.66</v>
      </c>
      <c r="Q111" s="2"/>
      <c r="R111" s="19">
        <f t="shared" si="11"/>
        <v>0.27665639454994972</v>
      </c>
      <c r="S111" s="2"/>
      <c r="T111" s="2"/>
      <c r="U111" s="2"/>
      <c r="V111" s="19">
        <f t="shared" si="12"/>
        <v>0</v>
      </c>
      <c r="W111" s="2"/>
      <c r="X111" s="2">
        <f t="shared" si="13"/>
        <v>2627294.66</v>
      </c>
      <c r="Y111" s="2"/>
      <c r="Z111" s="19">
        <f t="shared" si="14"/>
        <v>0</v>
      </c>
    </row>
    <row r="112" spans="1:26" s="24" customFormat="1" hidden="1" outlineLevel="1" x14ac:dyDescent="0.25">
      <c r="A112" s="44"/>
      <c r="B112" s="11" t="str">
        <f>CONCATENATE("          ", "5002", " - ", "PURCHASES @ COST-USED TEXT")</f>
        <v xml:space="preserve">          5002 - PURCHASES @ COST-USED TEXT</v>
      </c>
      <c r="C112" s="11"/>
      <c r="D112" s="2">
        <v>260084.68000000002</v>
      </c>
      <c r="E112" s="2"/>
      <c r="F112" s="19">
        <f t="shared" si="7"/>
        <v>0.11045712057245456</v>
      </c>
      <c r="G112" s="2"/>
      <c r="H112" s="2"/>
      <c r="I112" s="2"/>
      <c r="J112" s="19">
        <f t="shared" si="8"/>
        <v>0</v>
      </c>
      <c r="K112" s="2"/>
      <c r="L112" s="2">
        <f t="shared" si="9"/>
        <v>260084.68000000002</v>
      </c>
      <c r="M112" s="2"/>
      <c r="N112" s="19">
        <f t="shared" si="10"/>
        <v>0</v>
      </c>
      <c r="O112" s="11"/>
      <c r="P112" s="2">
        <v>512607.53</v>
      </c>
      <c r="Q112" s="2"/>
      <c r="R112" s="19">
        <f t="shared" si="11"/>
        <v>5.3978015191092119E-2</v>
      </c>
      <c r="S112" s="2"/>
      <c r="T112" s="2"/>
      <c r="U112" s="2"/>
      <c r="V112" s="19">
        <f t="shared" si="12"/>
        <v>0</v>
      </c>
      <c r="W112" s="2"/>
      <c r="X112" s="2">
        <f t="shared" si="13"/>
        <v>512607.53</v>
      </c>
      <c r="Y112" s="2"/>
      <c r="Z112" s="19">
        <f t="shared" si="14"/>
        <v>0</v>
      </c>
    </row>
    <row r="113" spans="1:26" s="24" customFormat="1" hidden="1" outlineLevel="1" x14ac:dyDescent="0.25">
      <c r="A113" s="44"/>
      <c r="B113" s="11" t="str">
        <f>CONCATENATE("          ", "5003", " - ", "PURCHASES @ COST-RENTAL TEXT")</f>
        <v xml:space="preserve">          5003 - PURCHASES @ COST-RENTAL TEXT</v>
      </c>
      <c r="C113" s="11"/>
      <c r="D113" s="2"/>
      <c r="E113" s="2"/>
      <c r="F113" s="19">
        <f t="shared" si="7"/>
        <v>0</v>
      </c>
      <c r="G113" s="2"/>
      <c r="H113" s="2"/>
      <c r="I113" s="2"/>
      <c r="J113" s="19">
        <f t="shared" si="8"/>
        <v>0</v>
      </c>
      <c r="K113" s="2"/>
      <c r="L113" s="2">
        <f t="shared" si="9"/>
        <v>0</v>
      </c>
      <c r="M113" s="2"/>
      <c r="N113" s="19">
        <f t="shared" si="10"/>
        <v>0</v>
      </c>
      <c r="O113" s="11"/>
      <c r="P113" s="2">
        <v>-78.400000000000006</v>
      </c>
      <c r="Q113" s="2"/>
      <c r="R113" s="19">
        <f t="shared" si="11"/>
        <v>-8.2555876441799867E-6</v>
      </c>
      <c r="S113" s="2"/>
      <c r="T113" s="2"/>
      <c r="U113" s="2"/>
      <c r="V113" s="19">
        <f t="shared" si="12"/>
        <v>0</v>
      </c>
      <c r="W113" s="2"/>
      <c r="X113" s="2">
        <f t="shared" si="13"/>
        <v>-78.400000000000006</v>
      </c>
      <c r="Y113" s="2"/>
      <c r="Z113" s="19">
        <f t="shared" si="14"/>
        <v>0</v>
      </c>
    </row>
    <row r="114" spans="1:26" s="24" customFormat="1" hidden="1" outlineLevel="1" x14ac:dyDescent="0.25">
      <c r="A114" s="44"/>
      <c r="B114" s="11" t="str">
        <f>CONCATENATE("          ", "5004", " - ", "PURCHASES @ COST-DIGITAL TEXT")</f>
        <v xml:space="preserve">          5004 - PURCHASES @ COST-DIGITAL TEXT</v>
      </c>
      <c r="C114" s="11"/>
      <c r="D114" s="2">
        <v>119541.49999999999</v>
      </c>
      <c r="E114" s="2"/>
      <c r="F114" s="19">
        <f t="shared" si="7"/>
        <v>5.0768887575046995E-2</v>
      </c>
      <c r="G114" s="2"/>
      <c r="H114" s="2"/>
      <c r="I114" s="2"/>
      <c r="J114" s="19">
        <f t="shared" si="8"/>
        <v>0</v>
      </c>
      <c r="K114" s="2"/>
      <c r="L114" s="2">
        <f t="shared" si="9"/>
        <v>119541.49999999999</v>
      </c>
      <c r="M114" s="2"/>
      <c r="N114" s="19">
        <f t="shared" si="10"/>
        <v>0</v>
      </c>
      <c r="O114" s="11"/>
      <c r="P114" s="2">
        <v>473893.77</v>
      </c>
      <c r="Q114" s="2"/>
      <c r="R114" s="19">
        <f t="shared" si="11"/>
        <v>4.9901422860534089E-2</v>
      </c>
      <c r="S114" s="2"/>
      <c r="T114" s="2"/>
      <c r="U114" s="2"/>
      <c r="V114" s="19">
        <f t="shared" si="12"/>
        <v>0</v>
      </c>
      <c r="W114" s="2"/>
      <c r="X114" s="2">
        <f t="shared" si="13"/>
        <v>473893.77</v>
      </c>
      <c r="Y114" s="2"/>
      <c r="Z114" s="19">
        <f t="shared" si="14"/>
        <v>0</v>
      </c>
    </row>
    <row r="115" spans="1:26" s="24" customFormat="1" hidden="1" outlineLevel="1" x14ac:dyDescent="0.25">
      <c r="A115" s="44"/>
      <c r="B115" s="11" t="str">
        <f>CONCATENATE("          ", "5011", " - ", "PURCHASES @ COST-NO VALUE TEXT")</f>
        <v xml:space="preserve">          5011 - PURCHASES @ COST-NO VALUE TEXT</v>
      </c>
      <c r="C115" s="11"/>
      <c r="D115" s="2">
        <v>573</v>
      </c>
      <c r="E115" s="2"/>
      <c r="F115" s="19">
        <f t="shared" si="7"/>
        <v>2.4335124271070659E-4</v>
      </c>
      <c r="G115" s="2"/>
      <c r="H115" s="2"/>
      <c r="I115" s="2"/>
      <c r="J115" s="19">
        <f t="shared" si="8"/>
        <v>0</v>
      </c>
      <c r="K115" s="2"/>
      <c r="L115" s="2">
        <f t="shared" si="9"/>
        <v>573</v>
      </c>
      <c r="M115" s="2"/>
      <c r="N115" s="19">
        <f t="shared" si="10"/>
        <v>0</v>
      </c>
      <c r="O115" s="11"/>
      <c r="P115" s="2">
        <v>5475</v>
      </c>
      <c r="Q115" s="2"/>
      <c r="R115" s="19">
        <f t="shared" si="11"/>
        <v>5.7652222387608964E-4</v>
      </c>
      <c r="S115" s="2"/>
      <c r="T115" s="2"/>
      <c r="U115" s="2"/>
      <c r="V115" s="19">
        <f t="shared" si="12"/>
        <v>0</v>
      </c>
      <c r="W115" s="2"/>
      <c r="X115" s="2">
        <f t="shared" si="13"/>
        <v>5475</v>
      </c>
      <c r="Y115" s="2"/>
      <c r="Z115" s="19">
        <f t="shared" si="14"/>
        <v>0</v>
      </c>
    </row>
    <row r="116" spans="1:26" s="24" customFormat="1" hidden="1" outlineLevel="1" x14ac:dyDescent="0.25">
      <c r="A116" s="44"/>
      <c r="B116" s="11" t="str">
        <f>CONCATENATE("          ", "5013", " - ", "PURCHASES @ COST-TRADE BOOKS")</f>
        <v xml:space="preserve">          5013 - PURCHASES @ COST-TRADE BOOKS</v>
      </c>
      <c r="C116" s="11"/>
      <c r="D116" s="2">
        <v>-276.85000000000002</v>
      </c>
      <c r="E116" s="2"/>
      <c r="F116" s="19">
        <f t="shared" si="7"/>
        <v>-1.1757729763430911E-4</v>
      </c>
      <c r="G116" s="2"/>
      <c r="H116" s="2"/>
      <c r="I116" s="2"/>
      <c r="J116" s="19">
        <f t="shared" si="8"/>
        <v>0</v>
      </c>
      <c r="K116" s="2"/>
      <c r="L116" s="2">
        <f t="shared" si="9"/>
        <v>-276.85000000000002</v>
      </c>
      <c r="M116" s="2"/>
      <c r="N116" s="19">
        <f t="shared" si="10"/>
        <v>0</v>
      </c>
      <c r="O116" s="11"/>
      <c r="P116" s="2">
        <v>458.46</v>
      </c>
      <c r="Q116" s="2"/>
      <c r="R116" s="19">
        <f t="shared" si="11"/>
        <v>4.8276233563147403E-5</v>
      </c>
      <c r="S116" s="2"/>
      <c r="T116" s="2"/>
      <c r="U116" s="2"/>
      <c r="V116" s="19">
        <f t="shared" si="12"/>
        <v>0</v>
      </c>
      <c r="W116" s="2"/>
      <c r="X116" s="2">
        <f t="shared" si="13"/>
        <v>458.46</v>
      </c>
      <c r="Y116" s="2"/>
      <c r="Z116" s="19">
        <f t="shared" si="14"/>
        <v>0</v>
      </c>
    </row>
    <row r="117" spans="1:26" s="24" customFormat="1" hidden="1" outlineLevel="1" x14ac:dyDescent="0.25">
      <c r="A117" s="44"/>
      <c r="B117" s="11" t="str">
        <f>CONCATENATE("          ", "5014", " - ", "PURCHASES @ COST-REMAINDERS")</f>
        <v xml:space="preserve">          5014 - PURCHASES @ COST-REMAINDERS</v>
      </c>
      <c r="C117" s="11"/>
      <c r="D117" s="2">
        <v>69.599999999999994</v>
      </c>
      <c r="E117" s="2"/>
      <c r="F117" s="19">
        <f t="shared" si="7"/>
        <v>2.9558894402557029E-5</v>
      </c>
      <c r="G117" s="2"/>
      <c r="H117" s="2"/>
      <c r="I117" s="2"/>
      <c r="J117" s="19">
        <f t="shared" si="8"/>
        <v>0</v>
      </c>
      <c r="K117" s="2"/>
      <c r="L117" s="2">
        <f t="shared" si="9"/>
        <v>69.599999999999994</v>
      </c>
      <c r="M117" s="2"/>
      <c r="N117" s="19">
        <f t="shared" si="10"/>
        <v>0</v>
      </c>
      <c r="O117" s="11"/>
      <c r="P117" s="2">
        <v>583.39</v>
      </c>
      <c r="Q117" s="2"/>
      <c r="R117" s="19">
        <f t="shared" si="11"/>
        <v>6.1431470353803095E-5</v>
      </c>
      <c r="S117" s="2"/>
      <c r="T117" s="2"/>
      <c r="U117" s="2"/>
      <c r="V117" s="19">
        <f t="shared" si="12"/>
        <v>0</v>
      </c>
      <c r="W117" s="2"/>
      <c r="X117" s="2">
        <f t="shared" si="13"/>
        <v>583.39</v>
      </c>
      <c r="Y117" s="2"/>
      <c r="Z117" s="19">
        <f t="shared" si="14"/>
        <v>0</v>
      </c>
    </row>
    <row r="118" spans="1:26" s="24" customFormat="1" hidden="1" outlineLevel="1" x14ac:dyDescent="0.25">
      <c r="A118" s="44"/>
      <c r="B118" s="11" t="str">
        <f>CONCATENATE("          ", "5017", " - ", "PURCHASES @ COST-DORM/HOUSEWAR")</f>
        <v xml:space="preserve">          5017 - PURCHASES @ COST-DORM/HOUSEWAR</v>
      </c>
      <c r="C118" s="11"/>
      <c r="D118" s="2"/>
      <c r="E118" s="2"/>
      <c r="F118" s="19">
        <f t="shared" si="7"/>
        <v>0</v>
      </c>
      <c r="G118" s="2"/>
      <c r="H118" s="2"/>
      <c r="I118" s="2"/>
      <c r="J118" s="19">
        <f t="shared" si="8"/>
        <v>0</v>
      </c>
      <c r="K118" s="2"/>
      <c r="L118" s="2">
        <f t="shared" si="9"/>
        <v>0</v>
      </c>
      <c r="M118" s="2"/>
      <c r="N118" s="19">
        <f t="shared" si="10"/>
        <v>0</v>
      </c>
      <c r="O118" s="11"/>
      <c r="P118" s="2">
        <v>0</v>
      </c>
      <c r="Q118" s="2"/>
      <c r="R118" s="19">
        <f t="shared" si="11"/>
        <v>0</v>
      </c>
      <c r="S118" s="2"/>
      <c r="T118" s="2"/>
      <c r="U118" s="2"/>
      <c r="V118" s="19">
        <f t="shared" si="12"/>
        <v>0</v>
      </c>
      <c r="W118" s="2"/>
      <c r="X118" s="2">
        <f t="shared" si="13"/>
        <v>0</v>
      </c>
      <c r="Y118" s="2"/>
      <c r="Z118" s="19">
        <f t="shared" si="14"/>
        <v>0</v>
      </c>
    </row>
    <row r="119" spans="1:26" s="24" customFormat="1" hidden="1" outlineLevel="1" x14ac:dyDescent="0.25">
      <c r="A119" s="44"/>
      <c r="B119" s="11" t="str">
        <f>CONCATENATE("          ", "5018", " - ", "PURCHASES @ COST-STUDY GUIDES")</f>
        <v xml:space="preserve">          5018 - PURCHASES @ COST-STUDY GUIDES</v>
      </c>
      <c r="C119" s="11"/>
      <c r="D119" s="2">
        <v>1032.75</v>
      </c>
      <c r="E119" s="2"/>
      <c r="F119" s="19">
        <f t="shared" si="7"/>
        <v>4.3860557750345939E-4</v>
      </c>
      <c r="G119" s="2"/>
      <c r="H119" s="2"/>
      <c r="I119" s="2"/>
      <c r="J119" s="19">
        <f t="shared" si="8"/>
        <v>0</v>
      </c>
      <c r="K119" s="2"/>
      <c r="L119" s="2">
        <f t="shared" si="9"/>
        <v>1032.75</v>
      </c>
      <c r="M119" s="2"/>
      <c r="N119" s="19">
        <f t="shared" si="10"/>
        <v>0</v>
      </c>
      <c r="O119" s="11"/>
      <c r="P119" s="2">
        <v>2031.15</v>
      </c>
      <c r="Q119" s="2"/>
      <c r="R119" s="19">
        <f t="shared" si="11"/>
        <v>2.1388184749331863E-4</v>
      </c>
      <c r="S119" s="2"/>
      <c r="T119" s="2"/>
      <c r="U119" s="2"/>
      <c r="V119" s="19">
        <f t="shared" si="12"/>
        <v>0</v>
      </c>
      <c r="W119" s="2"/>
      <c r="X119" s="2">
        <f t="shared" si="13"/>
        <v>2031.15</v>
      </c>
      <c r="Y119" s="2"/>
      <c r="Z119" s="19">
        <f t="shared" si="14"/>
        <v>0</v>
      </c>
    </row>
    <row r="120" spans="1:26" s="24" customFormat="1" hidden="1" outlineLevel="1" x14ac:dyDescent="0.25">
      <c r="A120" s="44"/>
      <c r="B120" s="11" t="str">
        <f>CONCATENATE("          ", "5025", " - ", "PURCHASES @ COST-TEST FORMS")</f>
        <v xml:space="preserve">          5025 - PURCHASES @ COST-TEST FORMS</v>
      </c>
      <c r="C120" s="11"/>
      <c r="D120" s="2">
        <v>880</v>
      </c>
      <c r="E120" s="2"/>
      <c r="F120" s="19">
        <f t="shared" si="7"/>
        <v>3.7373314761853719E-4</v>
      </c>
      <c r="G120" s="2"/>
      <c r="H120" s="2"/>
      <c r="I120" s="2"/>
      <c r="J120" s="19">
        <f t="shared" si="8"/>
        <v>0</v>
      </c>
      <c r="K120" s="2"/>
      <c r="L120" s="2">
        <f t="shared" si="9"/>
        <v>880</v>
      </c>
      <c r="M120" s="2"/>
      <c r="N120" s="19">
        <f t="shared" si="10"/>
        <v>0</v>
      </c>
      <c r="O120" s="11"/>
      <c r="P120" s="2">
        <v>22978.390000000003</v>
      </c>
      <c r="Q120" s="2"/>
      <c r="R120" s="19">
        <f t="shared" si="11"/>
        <v>2.4196442929483291E-3</v>
      </c>
      <c r="S120" s="2"/>
      <c r="T120" s="2"/>
      <c r="U120" s="2"/>
      <c r="V120" s="19">
        <f t="shared" si="12"/>
        <v>0</v>
      </c>
      <c r="W120" s="2"/>
      <c r="X120" s="2">
        <f t="shared" si="13"/>
        <v>22978.390000000003</v>
      </c>
      <c r="Y120" s="2"/>
      <c r="Z120" s="19">
        <f t="shared" si="14"/>
        <v>0</v>
      </c>
    </row>
    <row r="121" spans="1:26" s="24" customFormat="1" hidden="1" outlineLevel="1" x14ac:dyDescent="0.25">
      <c r="A121" s="44"/>
      <c r="B121" s="11" t="str">
        <f>CONCATENATE("          ", "5026", " - ", "PURCHASES @ COST-WRITING INSTR")</f>
        <v xml:space="preserve">          5026 - PURCHASES @ COST-WRITING INSTR</v>
      </c>
      <c r="C121" s="11"/>
      <c r="D121" s="2">
        <v>9201.3799999999992</v>
      </c>
      <c r="E121" s="2"/>
      <c r="F121" s="19">
        <f t="shared" si="7"/>
        <v>3.9077962611752904E-3</v>
      </c>
      <c r="G121" s="2"/>
      <c r="H121" s="2"/>
      <c r="I121" s="2"/>
      <c r="J121" s="19">
        <f t="shared" si="8"/>
        <v>0</v>
      </c>
      <c r="K121" s="2"/>
      <c r="L121" s="2">
        <f t="shared" si="9"/>
        <v>9201.3799999999992</v>
      </c>
      <c r="M121" s="2"/>
      <c r="N121" s="19">
        <f t="shared" si="10"/>
        <v>0</v>
      </c>
      <c r="O121" s="11"/>
      <c r="P121" s="2">
        <v>43496.15</v>
      </c>
      <c r="Q121" s="2"/>
      <c r="R121" s="19">
        <f t="shared" si="11"/>
        <v>4.5801821238443795E-3</v>
      </c>
      <c r="S121" s="2"/>
      <c r="T121" s="2"/>
      <c r="U121" s="2"/>
      <c r="V121" s="19">
        <f t="shared" si="12"/>
        <v>0</v>
      </c>
      <c r="W121" s="2"/>
      <c r="X121" s="2">
        <f t="shared" si="13"/>
        <v>43496.15</v>
      </c>
      <c r="Y121" s="2"/>
      <c r="Z121" s="19">
        <f t="shared" si="14"/>
        <v>0</v>
      </c>
    </row>
    <row r="122" spans="1:26" s="24" customFormat="1" hidden="1" outlineLevel="1" x14ac:dyDescent="0.25">
      <c r="A122" s="44"/>
      <c r="B122" s="11" t="str">
        <f>CONCATENATE("          ", "5027", " - ", "PURCHASES @ COST-SCHOOL SUPPLI")</f>
        <v xml:space="preserve">          5027 - PURCHASES @ COST-SCHOOL SUPPLI</v>
      </c>
      <c r="C122" s="11"/>
      <c r="D122" s="2">
        <v>42814.02</v>
      </c>
      <c r="E122" s="2"/>
      <c r="F122" s="19">
        <f t="shared" si="7"/>
        <v>1.818297551909432E-2</v>
      </c>
      <c r="G122" s="2"/>
      <c r="H122" s="2"/>
      <c r="I122" s="2"/>
      <c r="J122" s="19">
        <f t="shared" si="8"/>
        <v>0</v>
      </c>
      <c r="K122" s="2"/>
      <c r="L122" s="2">
        <f t="shared" si="9"/>
        <v>42814.02</v>
      </c>
      <c r="M122" s="2"/>
      <c r="N122" s="19">
        <f t="shared" si="10"/>
        <v>0</v>
      </c>
      <c r="O122" s="11"/>
      <c r="P122" s="2">
        <v>120814.02</v>
      </c>
      <c r="Q122" s="2"/>
      <c r="R122" s="19">
        <f t="shared" si="11"/>
        <v>1.2721820545353493E-2</v>
      </c>
      <c r="S122" s="2"/>
      <c r="T122" s="2"/>
      <c r="U122" s="2"/>
      <c r="V122" s="19">
        <f t="shared" si="12"/>
        <v>0</v>
      </c>
      <c r="W122" s="2"/>
      <c r="X122" s="2">
        <f t="shared" si="13"/>
        <v>120814.02</v>
      </c>
      <c r="Y122" s="2"/>
      <c r="Z122" s="19">
        <f t="shared" si="14"/>
        <v>0</v>
      </c>
    </row>
    <row r="123" spans="1:26" s="24" customFormat="1" hidden="1" outlineLevel="1" x14ac:dyDescent="0.25">
      <c r="A123" s="44"/>
      <c r="B123" s="11" t="str">
        <f>CONCATENATE("          ", "5028", " - ", "PURCHASES @ COST-ART/TECH")</f>
        <v xml:space="preserve">          5028 - PURCHASES @ COST-ART/TECH</v>
      </c>
      <c r="C123" s="11"/>
      <c r="D123" s="2">
        <v>32126.68</v>
      </c>
      <c r="E123" s="2"/>
      <c r="F123" s="19">
        <f t="shared" si="7"/>
        <v>1.3644096862424439E-2</v>
      </c>
      <c r="G123" s="2"/>
      <c r="H123" s="2"/>
      <c r="I123" s="2"/>
      <c r="J123" s="19">
        <f t="shared" si="8"/>
        <v>0</v>
      </c>
      <c r="K123" s="2"/>
      <c r="L123" s="2">
        <f t="shared" si="9"/>
        <v>32126.68</v>
      </c>
      <c r="M123" s="2"/>
      <c r="N123" s="19">
        <f t="shared" si="10"/>
        <v>0</v>
      </c>
      <c r="O123" s="11"/>
      <c r="P123" s="2">
        <v>135127.5</v>
      </c>
      <c r="Q123" s="2"/>
      <c r="R123" s="19">
        <f t="shared" si="11"/>
        <v>1.4229042339144531E-2</v>
      </c>
      <c r="S123" s="2"/>
      <c r="T123" s="2"/>
      <c r="U123" s="2"/>
      <c r="V123" s="19">
        <f t="shared" si="12"/>
        <v>0</v>
      </c>
      <c r="W123" s="2"/>
      <c r="X123" s="2">
        <f t="shared" si="13"/>
        <v>135127.5</v>
      </c>
      <c r="Y123" s="2"/>
      <c r="Z123" s="19">
        <f t="shared" si="14"/>
        <v>0</v>
      </c>
    </row>
    <row r="124" spans="1:26" s="24" customFormat="1" hidden="1" outlineLevel="1" x14ac:dyDescent="0.25">
      <c r="A124" s="44"/>
      <c r="B124" s="11" t="str">
        <f>CONCATENATE("          ", "5031", " - ", "PURCHASES @ COST-FOOD")</f>
        <v xml:space="preserve">          5031 - PURCHASES @ COST-FOOD</v>
      </c>
      <c r="C124" s="11"/>
      <c r="D124" s="2">
        <v>2390.66</v>
      </c>
      <c r="E124" s="2"/>
      <c r="F124" s="19">
        <f t="shared" si="7"/>
        <v>1.0153055530519681E-3</v>
      </c>
      <c r="G124" s="2"/>
      <c r="H124" s="2"/>
      <c r="I124" s="2"/>
      <c r="J124" s="19">
        <f t="shared" si="8"/>
        <v>0</v>
      </c>
      <c r="K124" s="2"/>
      <c r="L124" s="2">
        <f t="shared" si="9"/>
        <v>2390.66</v>
      </c>
      <c r="M124" s="2"/>
      <c r="N124" s="19">
        <f t="shared" si="10"/>
        <v>0</v>
      </c>
      <c r="O124" s="11"/>
      <c r="P124" s="2">
        <v>24900.390000000003</v>
      </c>
      <c r="Q124" s="2"/>
      <c r="R124" s="19">
        <f t="shared" si="11"/>
        <v>2.6220325512661086E-3</v>
      </c>
      <c r="S124" s="2"/>
      <c r="T124" s="2"/>
      <c r="U124" s="2"/>
      <c r="V124" s="19">
        <f t="shared" si="12"/>
        <v>0</v>
      </c>
      <c r="W124" s="2"/>
      <c r="X124" s="2">
        <f t="shared" si="13"/>
        <v>24900.390000000003</v>
      </c>
      <c r="Y124" s="2"/>
      <c r="Z124" s="19">
        <f t="shared" si="14"/>
        <v>0</v>
      </c>
    </row>
    <row r="125" spans="1:26" s="24" customFormat="1" hidden="1" outlineLevel="1" x14ac:dyDescent="0.25">
      <c r="A125" s="44"/>
      <c r="B125" s="11" t="str">
        <f>CONCATENATE("          ", "5032", " - ", "PURCHASES @ COST-JUICE")</f>
        <v xml:space="preserve">          5032 - PURCHASES @ COST-JUICE</v>
      </c>
      <c r="C125" s="11"/>
      <c r="D125" s="2">
        <v>371.03</v>
      </c>
      <c r="E125" s="2"/>
      <c r="F125" s="19">
        <f t="shared" si="7"/>
        <v>1.5757523836466573E-4</v>
      </c>
      <c r="G125" s="2"/>
      <c r="H125" s="2"/>
      <c r="I125" s="2"/>
      <c r="J125" s="19">
        <f t="shared" si="8"/>
        <v>0</v>
      </c>
      <c r="K125" s="2"/>
      <c r="L125" s="2">
        <f t="shared" si="9"/>
        <v>371.03</v>
      </c>
      <c r="M125" s="2"/>
      <c r="N125" s="19">
        <f t="shared" si="10"/>
        <v>0</v>
      </c>
      <c r="O125" s="11"/>
      <c r="P125" s="2">
        <v>5392.51</v>
      </c>
      <c r="Q125" s="2"/>
      <c r="R125" s="19">
        <f t="shared" si="11"/>
        <v>5.6783595570302327E-4</v>
      </c>
      <c r="S125" s="2"/>
      <c r="T125" s="2"/>
      <c r="U125" s="2"/>
      <c r="V125" s="19">
        <f t="shared" si="12"/>
        <v>0</v>
      </c>
      <c r="W125" s="2"/>
      <c r="X125" s="2">
        <f t="shared" si="13"/>
        <v>5392.51</v>
      </c>
      <c r="Y125" s="2"/>
      <c r="Z125" s="19">
        <f t="shared" si="14"/>
        <v>0</v>
      </c>
    </row>
    <row r="126" spans="1:26" s="24" customFormat="1" hidden="1" outlineLevel="1" x14ac:dyDescent="0.25">
      <c r="A126" s="44"/>
      <c r="B126" s="11" t="str">
        <f>CONCATENATE("          ", "5033", " - ", "PURCHASES @ COST-CANDY")</f>
        <v xml:space="preserve">          5033 - PURCHASES @ COST-CANDY</v>
      </c>
      <c r="C126" s="11"/>
      <c r="D126" s="2">
        <v>805.69</v>
      </c>
      <c r="E126" s="2"/>
      <c r="F126" s="19">
        <f t="shared" si="7"/>
        <v>3.4217393148270366E-4</v>
      </c>
      <c r="G126" s="2"/>
      <c r="H126" s="2"/>
      <c r="I126" s="2"/>
      <c r="J126" s="19">
        <f t="shared" si="8"/>
        <v>0</v>
      </c>
      <c r="K126" s="2"/>
      <c r="L126" s="2">
        <f t="shared" si="9"/>
        <v>805.69</v>
      </c>
      <c r="M126" s="2"/>
      <c r="N126" s="19">
        <f t="shared" si="10"/>
        <v>0</v>
      </c>
      <c r="O126" s="11"/>
      <c r="P126" s="2">
        <v>7003.62</v>
      </c>
      <c r="Q126" s="2"/>
      <c r="R126" s="19">
        <f t="shared" si="11"/>
        <v>7.3748722878229389E-4</v>
      </c>
      <c r="S126" s="2"/>
      <c r="T126" s="2"/>
      <c r="U126" s="2"/>
      <c r="V126" s="19">
        <f t="shared" si="12"/>
        <v>0</v>
      </c>
      <c r="W126" s="2"/>
      <c r="X126" s="2">
        <f t="shared" si="13"/>
        <v>7003.62</v>
      </c>
      <c r="Y126" s="2"/>
      <c r="Z126" s="19">
        <f t="shared" si="14"/>
        <v>0</v>
      </c>
    </row>
    <row r="127" spans="1:26" s="24" customFormat="1" hidden="1" outlineLevel="1" x14ac:dyDescent="0.25">
      <c r="A127" s="44"/>
      <c r="B127" s="11" t="str">
        <f>CONCATENATE("          ", "5034", " - ", "PURCHASES @ COST-SODA")</f>
        <v xml:space="preserve">          5034 - PURCHASES @ COST-SODA</v>
      </c>
      <c r="C127" s="11"/>
      <c r="D127" s="2"/>
      <c r="E127" s="2"/>
      <c r="F127" s="19">
        <f t="shared" si="7"/>
        <v>0</v>
      </c>
      <c r="G127" s="2"/>
      <c r="H127" s="2"/>
      <c r="I127" s="2"/>
      <c r="J127" s="19">
        <f t="shared" si="8"/>
        <v>0</v>
      </c>
      <c r="K127" s="2"/>
      <c r="L127" s="2">
        <f t="shared" si="9"/>
        <v>0</v>
      </c>
      <c r="M127" s="2"/>
      <c r="N127" s="19">
        <f t="shared" si="10"/>
        <v>0</v>
      </c>
      <c r="O127" s="11"/>
      <c r="P127" s="2">
        <v>2124.16</v>
      </c>
      <c r="Q127" s="2"/>
      <c r="R127" s="19">
        <f t="shared" si="11"/>
        <v>2.2367588074312958E-4</v>
      </c>
      <c r="S127" s="2"/>
      <c r="T127" s="2"/>
      <c r="U127" s="2"/>
      <c r="V127" s="19">
        <f t="shared" si="12"/>
        <v>0</v>
      </c>
      <c r="W127" s="2"/>
      <c r="X127" s="2">
        <f t="shared" si="13"/>
        <v>2124.16</v>
      </c>
      <c r="Y127" s="2"/>
      <c r="Z127" s="19">
        <f t="shared" si="14"/>
        <v>0</v>
      </c>
    </row>
    <row r="128" spans="1:26" s="24" customFormat="1" hidden="1" outlineLevel="1" x14ac:dyDescent="0.25">
      <c r="A128" s="44"/>
      <c r="B128" s="11" t="str">
        <f>CONCATENATE("          ", "5035", " - ", "PURCHASES @ COST-HEALTH &amp; BEAU")</f>
        <v xml:space="preserve">          5035 - PURCHASES @ COST-HEALTH &amp; BEAU</v>
      </c>
      <c r="C128" s="11"/>
      <c r="D128" s="2">
        <v>32.82</v>
      </c>
      <c r="E128" s="2"/>
      <c r="F128" s="19">
        <f t="shared" si="7"/>
        <v>1.3938547619136807E-5</v>
      </c>
      <c r="G128" s="2"/>
      <c r="H128" s="2"/>
      <c r="I128" s="2"/>
      <c r="J128" s="19">
        <f t="shared" si="8"/>
        <v>0</v>
      </c>
      <c r="K128" s="2"/>
      <c r="L128" s="2">
        <f t="shared" si="9"/>
        <v>32.82</v>
      </c>
      <c r="M128" s="2"/>
      <c r="N128" s="19">
        <f t="shared" si="10"/>
        <v>0</v>
      </c>
      <c r="O128" s="11"/>
      <c r="P128" s="2">
        <v>857.2</v>
      </c>
      <c r="Q128" s="2"/>
      <c r="R128" s="19">
        <f t="shared" si="11"/>
        <v>9.0263899599376084E-5</v>
      </c>
      <c r="S128" s="2"/>
      <c r="T128" s="2"/>
      <c r="U128" s="2"/>
      <c r="V128" s="19">
        <f t="shared" si="12"/>
        <v>0</v>
      </c>
      <c r="W128" s="2"/>
      <c r="X128" s="2">
        <f t="shared" si="13"/>
        <v>857.2</v>
      </c>
      <c r="Y128" s="2"/>
      <c r="Z128" s="19">
        <f t="shared" si="14"/>
        <v>0</v>
      </c>
    </row>
    <row r="129" spans="1:26" s="24" customFormat="1" hidden="1" outlineLevel="1" x14ac:dyDescent="0.25">
      <c r="A129" s="44"/>
      <c r="B129" s="11" t="str">
        <f>CONCATENATE("          ", "5037", " - ", "PURCHASES @ COST-WATER")</f>
        <v xml:space="preserve">          5037 - PURCHASES @ COST-WATER</v>
      </c>
      <c r="C129" s="11"/>
      <c r="D129" s="2"/>
      <c r="E129" s="2"/>
      <c r="F129" s="19">
        <f t="shared" si="7"/>
        <v>0</v>
      </c>
      <c r="G129" s="2"/>
      <c r="H129" s="2"/>
      <c r="I129" s="2"/>
      <c r="J129" s="19">
        <f t="shared" si="8"/>
        <v>0</v>
      </c>
      <c r="K129" s="2"/>
      <c r="L129" s="2">
        <f t="shared" si="9"/>
        <v>0</v>
      </c>
      <c r="M129" s="2"/>
      <c r="N129" s="19">
        <f t="shared" si="10"/>
        <v>0</v>
      </c>
      <c r="O129" s="11"/>
      <c r="P129" s="2">
        <v>3759.27</v>
      </c>
      <c r="Q129" s="2"/>
      <c r="R129" s="19">
        <f t="shared" si="11"/>
        <v>3.9585437452980225E-4</v>
      </c>
      <c r="S129" s="2"/>
      <c r="T129" s="2"/>
      <c r="U129" s="2"/>
      <c r="V129" s="19">
        <f t="shared" si="12"/>
        <v>0</v>
      </c>
      <c r="W129" s="2"/>
      <c r="X129" s="2">
        <f t="shared" si="13"/>
        <v>3759.27</v>
      </c>
      <c r="Y129" s="2"/>
      <c r="Z129" s="19">
        <f t="shared" si="14"/>
        <v>0</v>
      </c>
    </row>
    <row r="130" spans="1:26" s="24" customFormat="1" hidden="1" outlineLevel="1" x14ac:dyDescent="0.25">
      <c r="A130" s="44"/>
      <c r="B130" s="11" t="str">
        <f>CONCATENATE("          ", "5040", " - ", "PURCHASES @ COST-LOGO CLOTHING")</f>
        <v xml:space="preserve">          5040 - PURCHASES @ COST-LOGO CLOTHING</v>
      </c>
      <c r="C130" s="11"/>
      <c r="D130" s="2">
        <v>94500.17</v>
      </c>
      <c r="E130" s="2"/>
      <c r="F130" s="19">
        <f t="shared" si="7"/>
        <v>4.0133915891575972E-2</v>
      </c>
      <c r="G130" s="2"/>
      <c r="H130" s="2"/>
      <c r="I130" s="2"/>
      <c r="J130" s="19">
        <f t="shared" si="8"/>
        <v>0</v>
      </c>
      <c r="K130" s="2"/>
      <c r="L130" s="2">
        <f t="shared" si="9"/>
        <v>94500.17</v>
      </c>
      <c r="M130" s="2"/>
      <c r="N130" s="19">
        <f t="shared" si="10"/>
        <v>0</v>
      </c>
      <c r="O130" s="11"/>
      <c r="P130" s="2">
        <v>810739.01</v>
      </c>
      <c r="Q130" s="2"/>
      <c r="R130" s="19">
        <f t="shared" si="11"/>
        <v>8.5371517265442787E-2</v>
      </c>
      <c r="S130" s="2"/>
      <c r="T130" s="2"/>
      <c r="U130" s="2"/>
      <c r="V130" s="19">
        <f t="shared" si="12"/>
        <v>0</v>
      </c>
      <c r="W130" s="2"/>
      <c r="X130" s="2">
        <f t="shared" si="13"/>
        <v>810739.01</v>
      </c>
      <c r="Y130" s="2"/>
      <c r="Z130" s="19">
        <f t="shared" si="14"/>
        <v>0</v>
      </c>
    </row>
    <row r="131" spans="1:26" s="24" customFormat="1" hidden="1" outlineLevel="1" x14ac:dyDescent="0.25">
      <c r="A131" s="44"/>
      <c r="B131" s="11" t="str">
        <f>CONCATENATE("          ", "5041", " - ", "PURCHASES @ COST-LOGO GIFTS")</f>
        <v xml:space="preserve">          5041 - PURCHASES @ COST-LOGO GIFTS</v>
      </c>
      <c r="C131" s="11"/>
      <c r="D131" s="2">
        <v>14612.2</v>
      </c>
      <c r="E131" s="2"/>
      <c r="F131" s="19">
        <f t="shared" si="7"/>
        <v>6.205753976854079E-3</v>
      </c>
      <c r="G131" s="2"/>
      <c r="H131" s="2"/>
      <c r="I131" s="2"/>
      <c r="J131" s="19">
        <f t="shared" si="8"/>
        <v>0</v>
      </c>
      <c r="K131" s="2"/>
      <c r="L131" s="2">
        <f t="shared" si="9"/>
        <v>14612.2</v>
      </c>
      <c r="M131" s="2"/>
      <c r="N131" s="19">
        <f t="shared" si="10"/>
        <v>0</v>
      </c>
      <c r="O131" s="11"/>
      <c r="P131" s="2">
        <v>124015.87000000001</v>
      </c>
      <c r="Q131" s="2"/>
      <c r="R131" s="19">
        <f t="shared" si="11"/>
        <v>1.3058978112936628E-2</v>
      </c>
      <c r="S131" s="2"/>
      <c r="T131" s="2"/>
      <c r="U131" s="2"/>
      <c r="V131" s="19">
        <f t="shared" si="12"/>
        <v>0</v>
      </c>
      <c r="W131" s="2"/>
      <c r="X131" s="2">
        <f t="shared" si="13"/>
        <v>124015.87000000001</v>
      </c>
      <c r="Y131" s="2"/>
      <c r="Z131" s="19">
        <f t="shared" si="14"/>
        <v>0</v>
      </c>
    </row>
    <row r="132" spans="1:26" s="24" customFormat="1" hidden="1" outlineLevel="1" x14ac:dyDescent="0.25">
      <c r="A132" s="44"/>
      <c r="B132" s="11" t="str">
        <f>CONCATENATE("          ", "5042", " - ", "PURCHASES @ COST-EVERYDAY GIFT")</f>
        <v xml:space="preserve">          5042 - PURCHASES @ COST-EVERYDAY GIFT</v>
      </c>
      <c r="C132" s="11"/>
      <c r="D132" s="2">
        <v>2972.86</v>
      </c>
      <c r="E132" s="2"/>
      <c r="F132" s="19">
        <f t="shared" si="7"/>
        <v>1.2625640059423233E-3</v>
      </c>
      <c r="G132" s="2"/>
      <c r="H132" s="2"/>
      <c r="I132" s="2"/>
      <c r="J132" s="19">
        <f t="shared" si="8"/>
        <v>0</v>
      </c>
      <c r="K132" s="2"/>
      <c r="L132" s="2">
        <f t="shared" si="9"/>
        <v>2972.86</v>
      </c>
      <c r="M132" s="2"/>
      <c r="N132" s="19">
        <f t="shared" si="10"/>
        <v>0</v>
      </c>
      <c r="O132" s="11"/>
      <c r="P132" s="2">
        <v>91360.97</v>
      </c>
      <c r="Q132" s="2"/>
      <c r="R132" s="19">
        <f t="shared" si="11"/>
        <v>9.6203889680140115E-3</v>
      </c>
      <c r="S132" s="2"/>
      <c r="T132" s="2"/>
      <c r="U132" s="2"/>
      <c r="V132" s="19">
        <f t="shared" si="12"/>
        <v>0</v>
      </c>
      <c r="W132" s="2"/>
      <c r="X132" s="2">
        <f t="shared" si="13"/>
        <v>91360.97</v>
      </c>
      <c r="Y132" s="2"/>
      <c r="Z132" s="19">
        <f t="shared" si="14"/>
        <v>0</v>
      </c>
    </row>
    <row r="133" spans="1:26" s="24" customFormat="1" hidden="1" outlineLevel="1" x14ac:dyDescent="0.25">
      <c r="A133" s="44"/>
      <c r="B133" s="11" t="str">
        <f>CONCATENATE("          ", "5043", " - ", "PURCHASES @ COST-CARDS")</f>
        <v xml:space="preserve">          5043 - PURCHASES @ COST-CARDS</v>
      </c>
      <c r="C133" s="11"/>
      <c r="D133" s="2">
        <v>3909.52</v>
      </c>
      <c r="E133" s="2"/>
      <c r="F133" s="19">
        <f t="shared" si="7"/>
        <v>1.6603604719063903E-3</v>
      </c>
      <c r="G133" s="2"/>
      <c r="H133" s="2"/>
      <c r="I133" s="2"/>
      <c r="J133" s="19">
        <f t="shared" si="8"/>
        <v>0</v>
      </c>
      <c r="K133" s="2"/>
      <c r="L133" s="2">
        <f t="shared" si="9"/>
        <v>3909.52</v>
      </c>
      <c r="M133" s="2"/>
      <c r="N133" s="19">
        <f t="shared" si="10"/>
        <v>0</v>
      </c>
      <c r="O133" s="11"/>
      <c r="P133" s="2">
        <v>10694.41</v>
      </c>
      <c r="Q133" s="2"/>
      <c r="R133" s="19">
        <f t="shared" si="11"/>
        <v>1.1261306002269757E-3</v>
      </c>
      <c r="S133" s="2"/>
      <c r="T133" s="2"/>
      <c r="U133" s="2"/>
      <c r="V133" s="19">
        <f t="shared" si="12"/>
        <v>0</v>
      </c>
      <c r="W133" s="2"/>
      <c r="X133" s="2">
        <f t="shared" si="13"/>
        <v>10694.41</v>
      </c>
      <c r="Y133" s="2"/>
      <c r="Z133" s="19">
        <f t="shared" si="14"/>
        <v>0</v>
      </c>
    </row>
    <row r="134" spans="1:26" s="24" customFormat="1" hidden="1" outlineLevel="1" x14ac:dyDescent="0.25">
      <c r="A134" s="44"/>
      <c r="B134" s="11" t="str">
        <f>CONCATENATE("          ", "5044", " - ", "PURCHASES @ COST-ACCESSORIES")</f>
        <v xml:space="preserve">          5044 - PURCHASES @ COST-ACCESSORIES</v>
      </c>
      <c r="C134" s="11"/>
      <c r="D134" s="2">
        <v>3179.63</v>
      </c>
      <c r="E134" s="2"/>
      <c r="F134" s="19">
        <f t="shared" si="7"/>
        <v>1.3503785547299197E-3</v>
      </c>
      <c r="G134" s="2"/>
      <c r="H134" s="2"/>
      <c r="I134" s="2"/>
      <c r="J134" s="19">
        <f t="shared" si="8"/>
        <v>0</v>
      </c>
      <c r="K134" s="2"/>
      <c r="L134" s="2">
        <f t="shared" si="9"/>
        <v>3179.63</v>
      </c>
      <c r="M134" s="2"/>
      <c r="N134" s="19">
        <f t="shared" si="10"/>
        <v>0</v>
      </c>
      <c r="O134" s="11"/>
      <c r="P134" s="2">
        <v>20867.21</v>
      </c>
      <c r="Q134" s="2"/>
      <c r="R134" s="19">
        <f t="shared" si="11"/>
        <v>2.1973352174044524E-3</v>
      </c>
      <c r="S134" s="2"/>
      <c r="T134" s="2"/>
      <c r="U134" s="2"/>
      <c r="V134" s="19">
        <f t="shared" si="12"/>
        <v>0</v>
      </c>
      <c r="W134" s="2"/>
      <c r="X134" s="2">
        <f t="shared" si="13"/>
        <v>20867.21</v>
      </c>
      <c r="Y134" s="2"/>
      <c r="Z134" s="19">
        <f t="shared" si="14"/>
        <v>0</v>
      </c>
    </row>
    <row r="135" spans="1:26" s="24" customFormat="1" hidden="1" outlineLevel="1" x14ac:dyDescent="0.25">
      <c r="A135" s="44"/>
      <c r="B135" s="11" t="str">
        <f>CONCATENATE("          ", "5045", " - ", "PURCHASES @ COST-SPECIAL ORDER")</f>
        <v xml:space="preserve">          5045 - PURCHASES @ COST-SPECIAL ORDER</v>
      </c>
      <c r="C135" s="11"/>
      <c r="D135" s="2">
        <v>6835.65</v>
      </c>
      <c r="E135" s="2"/>
      <c r="F135" s="19">
        <f t="shared" si="7"/>
        <v>2.9030783983166517E-3</v>
      </c>
      <c r="G135" s="2"/>
      <c r="H135" s="2"/>
      <c r="I135" s="2"/>
      <c r="J135" s="19">
        <f t="shared" si="8"/>
        <v>0</v>
      </c>
      <c r="K135" s="2"/>
      <c r="L135" s="2">
        <f t="shared" si="9"/>
        <v>6835.65</v>
      </c>
      <c r="M135" s="2"/>
      <c r="N135" s="19">
        <f t="shared" si="10"/>
        <v>0</v>
      </c>
      <c r="O135" s="11"/>
      <c r="P135" s="2">
        <v>48016.23</v>
      </c>
      <c r="Q135" s="2"/>
      <c r="R135" s="19">
        <f t="shared" si="11"/>
        <v>5.0561504478074549E-3</v>
      </c>
      <c r="S135" s="2"/>
      <c r="T135" s="2"/>
      <c r="U135" s="2"/>
      <c r="V135" s="19">
        <f t="shared" si="12"/>
        <v>0</v>
      </c>
      <c r="W135" s="2"/>
      <c r="X135" s="2">
        <f t="shared" si="13"/>
        <v>48016.23</v>
      </c>
      <c r="Y135" s="2"/>
      <c r="Z135" s="19">
        <f t="shared" si="14"/>
        <v>0</v>
      </c>
    </row>
    <row r="136" spans="1:26" s="24" customFormat="1" hidden="1" outlineLevel="1" x14ac:dyDescent="0.25">
      <c r="A136" s="44"/>
      <c r="B136" s="11" t="str">
        <f>CONCATENATE("          ", "5053", " - ", "PURCHASES @ COST-FOOD")</f>
        <v xml:space="preserve">          5053 - PURCHASES @ COST-FOOD</v>
      </c>
      <c r="C136" s="11"/>
      <c r="D136" s="2">
        <v>115854.20000000001</v>
      </c>
      <c r="E136" s="2"/>
      <c r="F136" s="19">
        <f t="shared" si="7"/>
        <v>4.9202903216849468E-2</v>
      </c>
      <c r="G136" s="2"/>
      <c r="H136" s="2"/>
      <c r="I136" s="2"/>
      <c r="J136" s="19">
        <f t="shared" si="8"/>
        <v>0</v>
      </c>
      <c r="K136" s="2"/>
      <c r="L136" s="2">
        <f t="shared" si="9"/>
        <v>115854.20000000001</v>
      </c>
      <c r="M136" s="2"/>
      <c r="N136" s="19">
        <f t="shared" si="10"/>
        <v>0</v>
      </c>
      <c r="O136" s="11"/>
      <c r="P136" s="2">
        <v>899726.58</v>
      </c>
      <c r="Q136" s="2"/>
      <c r="R136" s="19">
        <f t="shared" si="11"/>
        <v>9.47419851656673E-2</v>
      </c>
      <c r="S136" s="2"/>
      <c r="T136" s="2"/>
      <c r="U136" s="2"/>
      <c r="V136" s="19">
        <f t="shared" si="12"/>
        <v>0</v>
      </c>
      <c r="W136" s="2"/>
      <c r="X136" s="2">
        <f t="shared" si="13"/>
        <v>899726.58</v>
      </c>
      <c r="Y136" s="2"/>
      <c r="Z136" s="19">
        <f t="shared" si="14"/>
        <v>0</v>
      </c>
    </row>
    <row r="137" spans="1:26" s="24" customFormat="1" hidden="1" outlineLevel="1" x14ac:dyDescent="0.25">
      <c r="A137" s="44"/>
      <c r="B137" s="11" t="str">
        <f>CONCATENATE("          ", "5059", " - ", "PURCHASES @ COST-FOOD")</f>
        <v xml:space="preserve">          5059 - PURCHASES @ COST-FOOD</v>
      </c>
      <c r="C137" s="11"/>
      <c r="D137" s="2">
        <v>-27891.68</v>
      </c>
      <c r="E137" s="2"/>
      <c r="F137" s="19">
        <f t="shared" si="7"/>
        <v>-1.1845506089510228E-2</v>
      </c>
      <c r="G137" s="2"/>
      <c r="H137" s="2"/>
      <c r="I137" s="2"/>
      <c r="J137" s="19">
        <f t="shared" si="8"/>
        <v>0</v>
      </c>
      <c r="K137" s="2"/>
      <c r="L137" s="2">
        <f t="shared" si="9"/>
        <v>-27891.68</v>
      </c>
      <c r="M137" s="2"/>
      <c r="N137" s="19">
        <f t="shared" si="10"/>
        <v>0</v>
      </c>
      <c r="O137" s="11"/>
      <c r="P137" s="2">
        <v>-37505.519999999997</v>
      </c>
      <c r="Q137" s="2"/>
      <c r="R137" s="19">
        <f t="shared" si="11"/>
        <v>-3.9493636160783845E-3</v>
      </c>
      <c r="S137" s="2"/>
      <c r="T137" s="2"/>
      <c r="U137" s="2"/>
      <c r="V137" s="19">
        <f t="shared" si="12"/>
        <v>0</v>
      </c>
      <c r="W137" s="2"/>
      <c r="X137" s="2">
        <f t="shared" si="13"/>
        <v>-37505.519999999997</v>
      </c>
      <c r="Y137" s="2"/>
      <c r="Z137" s="19">
        <f t="shared" si="14"/>
        <v>0</v>
      </c>
    </row>
    <row r="138" spans="1:26" s="24" customFormat="1" hidden="1" outlineLevel="1" x14ac:dyDescent="0.25">
      <c r="A138" s="44"/>
      <c r="B138" s="11" t="str">
        <f>CONCATENATE("          ", "5081", " - ", "PURCHASES @ COST-ELECTRONICS")</f>
        <v xml:space="preserve">          5081 - PURCHASES @ COST-ELECTRONICS</v>
      </c>
      <c r="C138" s="11"/>
      <c r="D138" s="2">
        <v>119.66</v>
      </c>
      <c r="E138" s="2"/>
      <c r="F138" s="19">
        <f t="shared" si="7"/>
        <v>5.0819214140947903E-5</v>
      </c>
      <c r="G138" s="2"/>
      <c r="H138" s="2"/>
      <c r="I138" s="2"/>
      <c r="J138" s="19">
        <f t="shared" si="8"/>
        <v>0</v>
      </c>
      <c r="K138" s="2"/>
      <c r="L138" s="2">
        <f t="shared" si="9"/>
        <v>119.66</v>
      </c>
      <c r="M138" s="2"/>
      <c r="N138" s="19">
        <f t="shared" si="10"/>
        <v>0</v>
      </c>
      <c r="O138" s="11"/>
      <c r="P138" s="2">
        <v>1891.21</v>
      </c>
      <c r="Q138" s="2"/>
      <c r="R138" s="19">
        <f t="shared" si="11"/>
        <v>1.9914604475190859E-4</v>
      </c>
      <c r="S138" s="2"/>
      <c r="T138" s="2"/>
      <c r="U138" s="2"/>
      <c r="V138" s="19">
        <f t="shared" si="12"/>
        <v>0</v>
      </c>
      <c r="W138" s="2"/>
      <c r="X138" s="2">
        <f t="shared" si="13"/>
        <v>1891.21</v>
      </c>
      <c r="Y138" s="2"/>
      <c r="Z138" s="19">
        <f t="shared" si="14"/>
        <v>0</v>
      </c>
    </row>
    <row r="139" spans="1:26" s="24" customFormat="1" hidden="1" outlineLevel="1" x14ac:dyDescent="0.25">
      <c r="A139" s="44"/>
      <c r="B139" s="11" t="str">
        <f>CONCATENATE("          ", "5082", " - ", "PURCHASES @ COST-COMPUTER HARD")</f>
        <v xml:space="preserve">          5082 - PURCHASES @ COST-COMPUTER HARD</v>
      </c>
      <c r="C139" s="11"/>
      <c r="D139" s="2"/>
      <c r="E139" s="2"/>
      <c r="F139" s="19">
        <f t="shared" si="7"/>
        <v>0</v>
      </c>
      <c r="G139" s="2"/>
      <c r="H139" s="2"/>
      <c r="I139" s="2"/>
      <c r="J139" s="19">
        <f t="shared" si="8"/>
        <v>0</v>
      </c>
      <c r="K139" s="2"/>
      <c r="L139" s="2">
        <f t="shared" si="9"/>
        <v>0</v>
      </c>
      <c r="M139" s="2"/>
      <c r="N139" s="19">
        <f t="shared" si="10"/>
        <v>0</v>
      </c>
      <c r="O139" s="11"/>
      <c r="P139" s="2">
        <v>349.6</v>
      </c>
      <c r="Q139" s="2"/>
      <c r="R139" s="19">
        <f t="shared" si="11"/>
        <v>3.6813181637823002E-5</v>
      </c>
      <c r="S139" s="2"/>
      <c r="T139" s="2"/>
      <c r="U139" s="2"/>
      <c r="V139" s="19">
        <f t="shared" si="12"/>
        <v>0</v>
      </c>
      <c r="W139" s="2"/>
      <c r="X139" s="2">
        <f t="shared" si="13"/>
        <v>349.6</v>
      </c>
      <c r="Y139" s="2"/>
      <c r="Z139" s="19">
        <f t="shared" si="14"/>
        <v>0</v>
      </c>
    </row>
    <row r="140" spans="1:26" s="24" customFormat="1" hidden="1" outlineLevel="1" x14ac:dyDescent="0.25">
      <c r="A140" s="44"/>
      <c r="B140" s="11" t="str">
        <f>CONCATENATE("          ", "5083", " - ", "PURCHASES @ COST-COMPUTER EQUI")</f>
        <v xml:space="preserve">          5083 - PURCHASES @ COST-COMPUTER EQUI</v>
      </c>
      <c r="C140" s="11"/>
      <c r="D140" s="2">
        <v>83.36</v>
      </c>
      <c r="E140" s="2"/>
      <c r="F140" s="19">
        <f t="shared" si="7"/>
        <v>3.5402721801683247E-5</v>
      </c>
      <c r="G140" s="2"/>
      <c r="H140" s="2"/>
      <c r="I140" s="2"/>
      <c r="J140" s="19">
        <f t="shared" si="8"/>
        <v>0</v>
      </c>
      <c r="K140" s="2"/>
      <c r="L140" s="2">
        <f t="shared" si="9"/>
        <v>83.36</v>
      </c>
      <c r="M140" s="2"/>
      <c r="N140" s="19">
        <f t="shared" si="10"/>
        <v>0</v>
      </c>
      <c r="O140" s="11"/>
      <c r="P140" s="2">
        <v>462.71</v>
      </c>
      <c r="Q140" s="2"/>
      <c r="R140" s="19">
        <f t="shared" si="11"/>
        <v>4.8723762230083183E-5</v>
      </c>
      <c r="S140" s="2"/>
      <c r="T140" s="2"/>
      <c r="U140" s="2"/>
      <c r="V140" s="19">
        <f t="shared" si="12"/>
        <v>0</v>
      </c>
      <c r="W140" s="2"/>
      <c r="X140" s="2">
        <f t="shared" si="13"/>
        <v>462.71</v>
      </c>
      <c r="Y140" s="2"/>
      <c r="Z140" s="19">
        <f t="shared" si="14"/>
        <v>0</v>
      </c>
    </row>
    <row r="141" spans="1:26" s="24" customFormat="1" hidden="1" outlineLevel="1" x14ac:dyDescent="0.25">
      <c r="A141" s="44"/>
      <c r="B141" s="11" t="str">
        <f>CONCATENATE("          ", "5086", " - ", "PURCHASES @ COST-COMPUTER SUPP")</f>
        <v xml:space="preserve">          5086 - PURCHASES @ COST-COMPUTER SUPP</v>
      </c>
      <c r="C141" s="11"/>
      <c r="D141" s="2">
        <v>36.979999999999997</v>
      </c>
      <c r="E141" s="2"/>
      <c r="F141" s="19">
        <f t="shared" si="7"/>
        <v>1.5705286135151708E-5</v>
      </c>
      <c r="G141" s="2"/>
      <c r="H141" s="2"/>
      <c r="I141" s="2"/>
      <c r="J141" s="19">
        <f t="shared" si="8"/>
        <v>0</v>
      </c>
      <c r="K141" s="2"/>
      <c r="L141" s="2">
        <f t="shared" si="9"/>
        <v>36.979999999999997</v>
      </c>
      <c r="M141" s="2"/>
      <c r="N141" s="19">
        <f t="shared" si="10"/>
        <v>0</v>
      </c>
      <c r="O141" s="11"/>
      <c r="P141" s="2">
        <v>416.24</v>
      </c>
      <c r="Q141" s="2"/>
      <c r="R141" s="19">
        <f t="shared" si="11"/>
        <v>4.3830431135375995E-5</v>
      </c>
      <c r="S141" s="2"/>
      <c r="T141" s="2"/>
      <c r="U141" s="2"/>
      <c r="V141" s="19">
        <f t="shared" si="12"/>
        <v>0</v>
      </c>
      <c r="W141" s="2"/>
      <c r="X141" s="2">
        <f t="shared" si="13"/>
        <v>416.24</v>
      </c>
      <c r="Y141" s="2"/>
      <c r="Z141" s="19">
        <f t="shared" si="14"/>
        <v>0</v>
      </c>
    </row>
    <row r="142" spans="1:26" s="24" customFormat="1" hidden="1" outlineLevel="1" x14ac:dyDescent="0.25">
      <c r="A142" s="44"/>
      <c r="B142" s="11" t="str">
        <f>CONCATENATE("          ", "5092", " - ", "PURCHASES @ COST-GRAD MERCH")</f>
        <v xml:space="preserve">          5092 - PURCHASES @ COST-GRAD MERCH</v>
      </c>
      <c r="C142" s="11"/>
      <c r="D142" s="2">
        <v>122.72</v>
      </c>
      <c r="E142" s="2"/>
      <c r="F142" s="19">
        <f t="shared" si="7"/>
        <v>5.2118786222439636E-5</v>
      </c>
      <c r="G142" s="2"/>
      <c r="H142" s="2"/>
      <c r="I142" s="2"/>
      <c r="J142" s="19">
        <f t="shared" si="8"/>
        <v>0</v>
      </c>
      <c r="K142" s="2"/>
      <c r="L142" s="2">
        <f t="shared" si="9"/>
        <v>122.72</v>
      </c>
      <c r="M142" s="2"/>
      <c r="N142" s="19">
        <f t="shared" si="10"/>
        <v>0</v>
      </c>
      <c r="O142" s="11"/>
      <c r="P142" s="2">
        <v>2046.86</v>
      </c>
      <c r="Q142" s="2"/>
      <c r="R142" s="19">
        <f t="shared" si="11"/>
        <v>2.1553612404803885E-4</v>
      </c>
      <c r="S142" s="2"/>
      <c r="T142" s="2"/>
      <c r="U142" s="2"/>
      <c r="V142" s="19">
        <f t="shared" si="12"/>
        <v>0</v>
      </c>
      <c r="W142" s="2"/>
      <c r="X142" s="2">
        <f t="shared" si="13"/>
        <v>2046.86</v>
      </c>
      <c r="Y142" s="2"/>
      <c r="Z142" s="19">
        <f t="shared" si="14"/>
        <v>0</v>
      </c>
    </row>
    <row r="143" spans="1:26" s="24" customFormat="1" hidden="1" outlineLevel="1" x14ac:dyDescent="0.25">
      <c r="A143" s="44"/>
      <c r="B143" s="11" t="str">
        <f>CONCATENATE("          ", "5095", " - ", "PURCHASES @ COST-CUSTOMER SERV")</f>
        <v xml:space="preserve">          5095 - PURCHASES @ COST-CUSTOMER SERV</v>
      </c>
      <c r="C143" s="11"/>
      <c r="D143" s="2"/>
      <c r="E143" s="2"/>
      <c r="F143" s="19">
        <f t="shared" si="7"/>
        <v>0</v>
      </c>
      <c r="G143" s="2"/>
      <c r="H143" s="2"/>
      <c r="I143" s="2"/>
      <c r="J143" s="19">
        <f t="shared" si="8"/>
        <v>0</v>
      </c>
      <c r="K143" s="2"/>
      <c r="L143" s="2">
        <f t="shared" si="9"/>
        <v>0</v>
      </c>
      <c r="M143" s="2"/>
      <c r="N143" s="19">
        <f t="shared" si="10"/>
        <v>0</v>
      </c>
      <c r="O143" s="11"/>
      <c r="P143" s="2">
        <v>0</v>
      </c>
      <c r="Q143" s="2"/>
      <c r="R143" s="19">
        <f t="shared" si="11"/>
        <v>0</v>
      </c>
      <c r="S143" s="2"/>
      <c r="T143" s="2"/>
      <c r="U143" s="2"/>
      <c r="V143" s="19">
        <f t="shared" si="12"/>
        <v>0</v>
      </c>
      <c r="W143" s="2"/>
      <c r="X143" s="2">
        <f t="shared" si="13"/>
        <v>0</v>
      </c>
      <c r="Y143" s="2"/>
      <c r="Z143" s="19">
        <f t="shared" si="14"/>
        <v>0</v>
      </c>
    </row>
    <row r="144" spans="1:26" s="24" customFormat="1" hidden="1" outlineLevel="1" x14ac:dyDescent="0.25">
      <c r="A144" s="44"/>
      <c r="B144" s="11" t="str">
        <f>CONCATENATE("          ", "5200", " - ", "PURCHASES OFFSET")</f>
        <v xml:space="preserve">          5200 - PURCHASES OFFSET</v>
      </c>
      <c r="C144" s="11"/>
      <c r="D144" s="2">
        <v>-1039044</v>
      </c>
      <c r="E144" s="2"/>
      <c r="F144" s="19">
        <f t="shared" si="7"/>
        <v>-0.44127861890244924</v>
      </c>
      <c r="G144" s="2"/>
      <c r="H144" s="2"/>
      <c r="I144" s="2"/>
      <c r="J144" s="19">
        <f t="shared" si="8"/>
        <v>0</v>
      </c>
      <c r="K144" s="2"/>
      <c r="L144" s="2">
        <f t="shared" si="9"/>
        <v>-1039044</v>
      </c>
      <c r="M144" s="2"/>
      <c r="N144" s="19">
        <f t="shared" si="10"/>
        <v>0</v>
      </c>
      <c r="O144" s="11"/>
      <c r="P144" s="2">
        <v>-4025566</v>
      </c>
      <c r="Q144" s="2"/>
      <c r="R144" s="19">
        <f t="shared" si="11"/>
        <v>-0.4238955730922328</v>
      </c>
      <c r="S144" s="2"/>
      <c r="T144" s="2"/>
      <c r="U144" s="2"/>
      <c r="V144" s="19">
        <f t="shared" si="12"/>
        <v>0</v>
      </c>
      <c r="W144" s="2"/>
      <c r="X144" s="2">
        <f t="shared" si="13"/>
        <v>-4025566</v>
      </c>
      <c r="Y144" s="2"/>
      <c r="Z144" s="19">
        <f t="shared" si="14"/>
        <v>0</v>
      </c>
    </row>
    <row r="145" spans="1:26" s="24" customFormat="1" hidden="1" outlineLevel="1" x14ac:dyDescent="0.25">
      <c r="A145" s="44"/>
      <c r="B145" s="11" t="str">
        <f>CONCATENATE("          ", "5300", " - ", "COG$ OFFSET")</f>
        <v xml:space="preserve">          5300 - COG$ OFFSET</v>
      </c>
      <c r="C145" s="11"/>
      <c r="D145" s="2">
        <v>732800</v>
      </c>
      <c r="E145" s="2"/>
      <c r="F145" s="19">
        <f t="shared" si="7"/>
        <v>0.31121778474416367</v>
      </c>
      <c r="G145" s="2"/>
      <c r="H145" s="2"/>
      <c r="I145" s="2"/>
      <c r="J145" s="19">
        <f t="shared" si="8"/>
        <v>0</v>
      </c>
      <c r="K145" s="2"/>
      <c r="L145" s="2">
        <f t="shared" si="9"/>
        <v>732800</v>
      </c>
      <c r="M145" s="2"/>
      <c r="N145" s="19">
        <f t="shared" si="10"/>
        <v>0</v>
      </c>
      <c r="O145" s="11"/>
      <c r="P145" s="2">
        <v>3245890.47</v>
      </c>
      <c r="Q145" s="2"/>
      <c r="R145" s="19">
        <f t="shared" si="11"/>
        <v>0.34179506707262208</v>
      </c>
      <c r="S145" s="2"/>
      <c r="T145" s="2"/>
      <c r="U145" s="2"/>
      <c r="V145" s="19">
        <f t="shared" si="12"/>
        <v>0</v>
      </c>
      <c r="W145" s="2"/>
      <c r="X145" s="2">
        <f t="shared" si="13"/>
        <v>3245890.47</v>
      </c>
      <c r="Y145" s="2"/>
      <c r="Z145" s="19">
        <f t="shared" si="14"/>
        <v>0</v>
      </c>
    </row>
    <row r="146" spans="1:26" s="24" customFormat="1" hidden="1" outlineLevel="1" x14ac:dyDescent="0.25">
      <c r="A146" s="44"/>
      <c r="B146" s="11" t="str">
        <f>CONCATENATE("          ", "5500", " - ", "FREIGHT-IN")</f>
        <v xml:space="preserve">          5500 - FREIGHT-IN</v>
      </c>
      <c r="C146" s="11"/>
      <c r="D146" s="2">
        <v>7.3</v>
      </c>
      <c r="E146" s="2"/>
      <c r="F146" s="19">
        <f t="shared" si="7"/>
        <v>3.1002863381992289E-6</v>
      </c>
      <c r="G146" s="2"/>
      <c r="H146" s="2"/>
      <c r="I146" s="2"/>
      <c r="J146" s="19">
        <f t="shared" si="8"/>
        <v>0</v>
      </c>
      <c r="K146" s="2"/>
      <c r="L146" s="2">
        <f t="shared" si="9"/>
        <v>7.3</v>
      </c>
      <c r="M146" s="2"/>
      <c r="N146" s="19">
        <f t="shared" si="10"/>
        <v>0</v>
      </c>
      <c r="O146" s="11"/>
      <c r="P146" s="2">
        <v>122.53</v>
      </c>
      <c r="Q146" s="2"/>
      <c r="R146" s="19">
        <f t="shared" si="11"/>
        <v>1.2902514719915483E-5</v>
      </c>
      <c r="S146" s="2"/>
      <c r="T146" s="2"/>
      <c r="U146" s="2"/>
      <c r="V146" s="19">
        <f t="shared" si="12"/>
        <v>0</v>
      </c>
      <c r="W146" s="2"/>
      <c r="X146" s="2">
        <f t="shared" si="13"/>
        <v>122.53</v>
      </c>
      <c r="Y146" s="2"/>
      <c r="Z146" s="19">
        <f t="shared" si="14"/>
        <v>0</v>
      </c>
    </row>
    <row r="147" spans="1:26" s="24" customFormat="1" hidden="1" outlineLevel="1" x14ac:dyDescent="0.25">
      <c r="A147" s="44"/>
      <c r="B147" s="11" t="str">
        <f>CONCATENATE("          ", "5501", " - ", "FREIGHT-IN-NEW TEXT")</f>
        <v xml:space="preserve">          5501 - FREIGHT-IN-NEW TEXT</v>
      </c>
      <c r="C147" s="11"/>
      <c r="D147" s="2">
        <v>3407.43</v>
      </c>
      <c r="E147" s="2"/>
      <c r="F147" s="19">
        <f t="shared" si="7"/>
        <v>1.4471244763520818E-3</v>
      </c>
      <c r="G147" s="2"/>
      <c r="H147" s="2"/>
      <c r="I147" s="2"/>
      <c r="J147" s="19">
        <f t="shared" si="8"/>
        <v>0</v>
      </c>
      <c r="K147" s="2"/>
      <c r="L147" s="2">
        <f t="shared" si="9"/>
        <v>3407.43</v>
      </c>
      <c r="M147" s="2"/>
      <c r="N147" s="19">
        <f t="shared" si="10"/>
        <v>0</v>
      </c>
      <c r="O147" s="11"/>
      <c r="P147" s="2">
        <v>42077.369999999995</v>
      </c>
      <c r="Q147" s="2"/>
      <c r="R147" s="19">
        <f t="shared" si="11"/>
        <v>4.4307833657090514E-3</v>
      </c>
      <c r="S147" s="2"/>
      <c r="T147" s="2"/>
      <c r="U147" s="2"/>
      <c r="V147" s="19">
        <f t="shared" si="12"/>
        <v>0</v>
      </c>
      <c r="W147" s="2"/>
      <c r="X147" s="2">
        <f t="shared" si="13"/>
        <v>42077.369999999995</v>
      </c>
      <c r="Y147" s="2"/>
      <c r="Z147" s="19">
        <f t="shared" si="14"/>
        <v>0</v>
      </c>
    </row>
    <row r="148" spans="1:26" s="24" customFormat="1" hidden="1" outlineLevel="1" x14ac:dyDescent="0.25">
      <c r="A148" s="44"/>
      <c r="B148" s="11" t="str">
        <f>CONCATENATE("          ", "5502", " - ", "FREIGHT-IN-USED TEXT")</f>
        <v xml:space="preserve">          5502 - FREIGHT-IN-USED TEXT</v>
      </c>
      <c r="C148" s="11"/>
      <c r="D148" s="2">
        <v>4124.8100000000004</v>
      </c>
      <c r="E148" s="2"/>
      <c r="F148" s="19">
        <f t="shared" si="7"/>
        <v>1.7517934370777483E-3</v>
      </c>
      <c r="G148" s="2"/>
      <c r="H148" s="2"/>
      <c r="I148" s="2"/>
      <c r="J148" s="19">
        <f t="shared" si="8"/>
        <v>0</v>
      </c>
      <c r="K148" s="2"/>
      <c r="L148" s="2">
        <f t="shared" si="9"/>
        <v>4124.8100000000004</v>
      </c>
      <c r="M148" s="2"/>
      <c r="N148" s="19">
        <f t="shared" si="10"/>
        <v>0</v>
      </c>
      <c r="O148" s="11"/>
      <c r="P148" s="2">
        <v>11778.23</v>
      </c>
      <c r="Q148" s="2"/>
      <c r="R148" s="19">
        <f t="shared" si="11"/>
        <v>1.2402577813559953E-3</v>
      </c>
      <c r="S148" s="2"/>
      <c r="T148" s="2"/>
      <c r="U148" s="2"/>
      <c r="V148" s="19">
        <f t="shared" si="12"/>
        <v>0</v>
      </c>
      <c r="W148" s="2"/>
      <c r="X148" s="2">
        <f t="shared" si="13"/>
        <v>11778.23</v>
      </c>
      <c r="Y148" s="2"/>
      <c r="Z148" s="19">
        <f t="shared" si="14"/>
        <v>0</v>
      </c>
    </row>
    <row r="149" spans="1:26" s="24" customFormat="1" hidden="1" outlineLevel="1" x14ac:dyDescent="0.25">
      <c r="A149" s="44"/>
      <c r="B149" s="11" t="str">
        <f>CONCATENATE("          ", "5504", " - ", "FREIGHT-IN-DIGITAL TEXT")</f>
        <v xml:space="preserve">          5504 - FREIGHT-IN-DIGITAL TEXT</v>
      </c>
      <c r="C149" s="11"/>
      <c r="D149" s="2"/>
      <c r="E149" s="2"/>
      <c r="F149" s="19">
        <f t="shared" si="7"/>
        <v>0</v>
      </c>
      <c r="G149" s="2"/>
      <c r="H149" s="2"/>
      <c r="I149" s="2"/>
      <c r="J149" s="19">
        <f t="shared" si="8"/>
        <v>0</v>
      </c>
      <c r="K149" s="2"/>
      <c r="L149" s="2">
        <f t="shared" si="9"/>
        <v>0</v>
      </c>
      <c r="M149" s="2"/>
      <c r="N149" s="19">
        <f t="shared" si="10"/>
        <v>0</v>
      </c>
      <c r="O149" s="11"/>
      <c r="P149" s="2">
        <v>105.97</v>
      </c>
      <c r="Q149" s="2"/>
      <c r="R149" s="19">
        <f t="shared" si="11"/>
        <v>1.1158732431808077E-5</v>
      </c>
      <c r="S149" s="2"/>
      <c r="T149" s="2"/>
      <c r="U149" s="2"/>
      <c r="V149" s="19">
        <f t="shared" si="12"/>
        <v>0</v>
      </c>
      <c r="W149" s="2"/>
      <c r="X149" s="2">
        <f t="shared" si="13"/>
        <v>105.97</v>
      </c>
      <c r="Y149" s="2"/>
      <c r="Z149" s="19">
        <f t="shared" si="14"/>
        <v>0</v>
      </c>
    </row>
    <row r="150" spans="1:26" s="24" customFormat="1" hidden="1" outlineLevel="1" x14ac:dyDescent="0.25">
      <c r="A150" s="44"/>
      <c r="B150" s="11" t="str">
        <f>CONCATENATE("          ", "5513", " - ", "FREIGHT-IN-TRADE BOOKS")</f>
        <v xml:space="preserve">          5513 - FREIGHT-IN-TRADE BOOKS</v>
      </c>
      <c r="C150" s="11"/>
      <c r="D150" s="2"/>
      <c r="E150" s="2"/>
      <c r="F150" s="19">
        <f t="shared" si="7"/>
        <v>0</v>
      </c>
      <c r="G150" s="2"/>
      <c r="H150" s="2"/>
      <c r="I150" s="2"/>
      <c r="J150" s="19">
        <f t="shared" si="8"/>
        <v>0</v>
      </c>
      <c r="K150" s="2"/>
      <c r="L150" s="2">
        <f t="shared" si="9"/>
        <v>0</v>
      </c>
      <c r="M150" s="2"/>
      <c r="N150" s="19">
        <f t="shared" si="10"/>
        <v>0</v>
      </c>
      <c r="O150" s="11"/>
      <c r="P150" s="2">
        <v>21.41</v>
      </c>
      <c r="Q150" s="2"/>
      <c r="R150" s="19">
        <f t="shared" si="11"/>
        <v>2.2544914727282338E-6</v>
      </c>
      <c r="S150" s="2"/>
      <c r="T150" s="2"/>
      <c r="U150" s="2"/>
      <c r="V150" s="19">
        <f t="shared" si="12"/>
        <v>0</v>
      </c>
      <c r="W150" s="2"/>
      <c r="X150" s="2">
        <f t="shared" si="13"/>
        <v>21.41</v>
      </c>
      <c r="Y150" s="2"/>
      <c r="Z150" s="19">
        <f t="shared" si="14"/>
        <v>0</v>
      </c>
    </row>
    <row r="151" spans="1:26" s="24" customFormat="1" hidden="1" outlineLevel="1" x14ac:dyDescent="0.25">
      <c r="A151" s="44"/>
      <c r="B151" s="11" t="str">
        <f>CONCATENATE("          ", "5518", " - ", "FREIGHT-IN-STUDY GUIDES")</f>
        <v xml:space="preserve">          5518 - FREIGHT-IN-STUDY GUIDES</v>
      </c>
      <c r="C151" s="11"/>
      <c r="D151" s="2"/>
      <c r="E151" s="2"/>
      <c r="F151" s="19">
        <f t="shared" si="7"/>
        <v>0</v>
      </c>
      <c r="G151" s="2"/>
      <c r="H151" s="2"/>
      <c r="I151" s="2"/>
      <c r="J151" s="19">
        <f t="shared" si="8"/>
        <v>0</v>
      </c>
      <c r="K151" s="2"/>
      <c r="L151" s="2">
        <f t="shared" si="9"/>
        <v>0</v>
      </c>
      <c r="M151" s="2"/>
      <c r="N151" s="19">
        <f t="shared" si="10"/>
        <v>0</v>
      </c>
      <c r="O151" s="11"/>
      <c r="P151" s="2">
        <v>21.13</v>
      </c>
      <c r="Q151" s="2"/>
      <c r="R151" s="19">
        <f t="shared" si="11"/>
        <v>2.2250072311418763E-6</v>
      </c>
      <c r="S151" s="2"/>
      <c r="T151" s="2"/>
      <c r="U151" s="2"/>
      <c r="V151" s="19">
        <f t="shared" si="12"/>
        <v>0</v>
      </c>
      <c r="W151" s="2"/>
      <c r="X151" s="2">
        <f t="shared" si="13"/>
        <v>21.13</v>
      </c>
      <c r="Y151" s="2"/>
      <c r="Z151" s="19">
        <f t="shared" si="14"/>
        <v>0</v>
      </c>
    </row>
    <row r="152" spans="1:26" s="24" customFormat="1" hidden="1" outlineLevel="1" x14ac:dyDescent="0.25">
      <c r="A152" s="44"/>
      <c r="B152" s="11" t="str">
        <f>CONCATENATE("          ", "5525", " - ", "FREIGHT-IN-TEST FORMS")</f>
        <v xml:space="preserve">          5525 - FREIGHT-IN-TEST FORMS</v>
      </c>
      <c r="C152" s="11"/>
      <c r="D152" s="2"/>
      <c r="E152" s="2"/>
      <c r="F152" s="19">
        <f t="shared" si="7"/>
        <v>0</v>
      </c>
      <c r="G152" s="2"/>
      <c r="H152" s="2"/>
      <c r="I152" s="2"/>
      <c r="J152" s="19">
        <f t="shared" si="8"/>
        <v>0</v>
      </c>
      <c r="K152" s="2"/>
      <c r="L152" s="2">
        <f t="shared" si="9"/>
        <v>0</v>
      </c>
      <c r="M152" s="2"/>
      <c r="N152" s="19">
        <f t="shared" si="10"/>
        <v>0</v>
      </c>
      <c r="O152" s="11"/>
      <c r="P152" s="2">
        <v>622.41</v>
      </c>
      <c r="Q152" s="2"/>
      <c r="R152" s="19">
        <f t="shared" si="11"/>
        <v>6.554031002058757E-5</v>
      </c>
      <c r="S152" s="2"/>
      <c r="T152" s="2"/>
      <c r="U152" s="2"/>
      <c r="V152" s="19">
        <f t="shared" si="12"/>
        <v>0</v>
      </c>
      <c r="W152" s="2"/>
      <c r="X152" s="2">
        <f t="shared" si="13"/>
        <v>622.41</v>
      </c>
      <c r="Y152" s="2"/>
      <c r="Z152" s="19">
        <f t="shared" si="14"/>
        <v>0</v>
      </c>
    </row>
    <row r="153" spans="1:26" s="24" customFormat="1" hidden="1" outlineLevel="1" x14ac:dyDescent="0.25">
      <c r="A153" s="44"/>
      <c r="B153" s="11" t="str">
        <f>CONCATENATE("          ", "5526", " - ", "FREIGHT-IN-WRITING INSTRUMENTS")</f>
        <v xml:space="preserve">          5526 - FREIGHT-IN-WRITING INSTRUMENTS</v>
      </c>
      <c r="C153" s="11"/>
      <c r="D153" s="2"/>
      <c r="E153" s="2"/>
      <c r="F153" s="19">
        <f t="shared" si="7"/>
        <v>0</v>
      </c>
      <c r="G153" s="2"/>
      <c r="H153" s="2"/>
      <c r="I153" s="2"/>
      <c r="J153" s="19">
        <f t="shared" si="8"/>
        <v>0</v>
      </c>
      <c r="K153" s="2"/>
      <c r="L153" s="2">
        <f t="shared" si="9"/>
        <v>0</v>
      </c>
      <c r="M153" s="2"/>
      <c r="N153" s="19">
        <f t="shared" si="10"/>
        <v>0</v>
      </c>
      <c r="O153" s="11"/>
      <c r="P153" s="2">
        <v>260.35000000000002</v>
      </c>
      <c r="Q153" s="2"/>
      <c r="R153" s="19">
        <f t="shared" si="11"/>
        <v>2.741507963217168E-5</v>
      </c>
      <c r="S153" s="2"/>
      <c r="T153" s="2"/>
      <c r="U153" s="2"/>
      <c r="V153" s="19">
        <f t="shared" si="12"/>
        <v>0</v>
      </c>
      <c r="W153" s="2"/>
      <c r="X153" s="2">
        <f t="shared" si="13"/>
        <v>260.35000000000002</v>
      </c>
      <c r="Y153" s="2"/>
      <c r="Z153" s="19">
        <f t="shared" si="14"/>
        <v>0</v>
      </c>
    </row>
    <row r="154" spans="1:26" s="24" customFormat="1" hidden="1" outlineLevel="1" x14ac:dyDescent="0.25">
      <c r="A154" s="44"/>
      <c r="B154" s="11" t="str">
        <f>CONCATENATE("          ", "5527", " - ", "FREIGHT-IN-SCHOOL SUPPLIES")</f>
        <v xml:space="preserve">          5527 - FREIGHT-IN-SCHOOL SUPPLIES</v>
      </c>
      <c r="C154" s="11"/>
      <c r="D154" s="2">
        <v>321.92</v>
      </c>
      <c r="E154" s="2"/>
      <c r="F154" s="19">
        <f t="shared" si="7"/>
        <v>1.3671838054699943E-4</v>
      </c>
      <c r="G154" s="2"/>
      <c r="H154" s="2"/>
      <c r="I154" s="2"/>
      <c r="J154" s="19">
        <f t="shared" si="8"/>
        <v>0</v>
      </c>
      <c r="K154" s="2"/>
      <c r="L154" s="2">
        <f t="shared" si="9"/>
        <v>321.92</v>
      </c>
      <c r="M154" s="2"/>
      <c r="N154" s="19">
        <f t="shared" si="10"/>
        <v>0</v>
      </c>
      <c r="O154" s="11"/>
      <c r="P154" s="2">
        <v>1219.8399999999999</v>
      </c>
      <c r="Q154" s="2"/>
      <c r="R154" s="19">
        <f t="shared" si="11"/>
        <v>1.2845020448822085E-4</v>
      </c>
      <c r="S154" s="2"/>
      <c r="T154" s="2"/>
      <c r="U154" s="2"/>
      <c r="V154" s="19">
        <f t="shared" si="12"/>
        <v>0</v>
      </c>
      <c r="W154" s="2"/>
      <c r="X154" s="2">
        <f t="shared" si="13"/>
        <v>1219.8399999999999</v>
      </c>
      <c r="Y154" s="2"/>
      <c r="Z154" s="19">
        <f t="shared" si="14"/>
        <v>0</v>
      </c>
    </row>
    <row r="155" spans="1:26" s="24" customFormat="1" hidden="1" outlineLevel="1" x14ac:dyDescent="0.25">
      <c r="A155" s="44"/>
      <c r="B155" s="11" t="str">
        <f>CONCATENATE("          ", "5528", " - ", "FREIGHT-IN-ART/TECH")</f>
        <v xml:space="preserve">          5528 - FREIGHT-IN-ART/TECH</v>
      </c>
      <c r="C155" s="11"/>
      <c r="D155" s="2">
        <v>220.82</v>
      </c>
      <c r="E155" s="2"/>
      <c r="F155" s="19">
        <f t="shared" si="7"/>
        <v>9.3781538246733386E-5</v>
      </c>
      <c r="G155" s="2"/>
      <c r="H155" s="2"/>
      <c r="I155" s="2"/>
      <c r="J155" s="19">
        <f t="shared" si="8"/>
        <v>0</v>
      </c>
      <c r="K155" s="2"/>
      <c r="L155" s="2">
        <f t="shared" si="9"/>
        <v>220.82</v>
      </c>
      <c r="M155" s="2"/>
      <c r="N155" s="19">
        <f t="shared" si="10"/>
        <v>0</v>
      </c>
      <c r="O155" s="11"/>
      <c r="P155" s="2">
        <v>1331.46</v>
      </c>
      <c r="Q155" s="2"/>
      <c r="R155" s="19">
        <f t="shared" si="11"/>
        <v>1.4020388679489651E-4</v>
      </c>
      <c r="S155" s="2"/>
      <c r="T155" s="2"/>
      <c r="U155" s="2"/>
      <c r="V155" s="19">
        <f t="shared" si="12"/>
        <v>0</v>
      </c>
      <c r="W155" s="2"/>
      <c r="X155" s="2">
        <f t="shared" si="13"/>
        <v>1331.46</v>
      </c>
      <c r="Y155" s="2"/>
      <c r="Z155" s="19">
        <f t="shared" si="14"/>
        <v>0</v>
      </c>
    </row>
    <row r="156" spans="1:26" s="24" customFormat="1" hidden="1" outlineLevel="1" x14ac:dyDescent="0.25">
      <c r="A156" s="44"/>
      <c r="B156" s="11" t="str">
        <f>CONCATENATE("          ", "5540", " - ", "FREIGHT-IN-LOGO CLOTHING")</f>
        <v xml:space="preserve">          5540 - FREIGHT-IN-LOGO CLOTHING</v>
      </c>
      <c r="C156" s="11"/>
      <c r="D156" s="2">
        <v>1400.5</v>
      </c>
      <c r="E156" s="2"/>
      <c r="F156" s="19">
        <f t="shared" si="7"/>
        <v>5.947878104997288E-4</v>
      </c>
      <c r="G156" s="2"/>
      <c r="H156" s="2"/>
      <c r="I156" s="2"/>
      <c r="J156" s="19">
        <f t="shared" si="8"/>
        <v>0</v>
      </c>
      <c r="K156" s="2"/>
      <c r="L156" s="2">
        <f t="shared" si="9"/>
        <v>1400.5</v>
      </c>
      <c r="M156" s="2"/>
      <c r="N156" s="19">
        <f t="shared" si="10"/>
        <v>0</v>
      </c>
      <c r="O156" s="11"/>
      <c r="P156" s="2">
        <v>25677.89</v>
      </c>
      <c r="Q156" s="2"/>
      <c r="R156" s="19">
        <f t="shared" si="11"/>
        <v>2.7039039720996535E-3</v>
      </c>
      <c r="S156" s="2"/>
      <c r="T156" s="2"/>
      <c r="U156" s="2"/>
      <c r="V156" s="19">
        <f t="shared" si="12"/>
        <v>0</v>
      </c>
      <c r="W156" s="2"/>
      <c r="X156" s="2">
        <f t="shared" si="13"/>
        <v>25677.89</v>
      </c>
      <c r="Y156" s="2"/>
      <c r="Z156" s="19">
        <f t="shared" si="14"/>
        <v>0</v>
      </c>
    </row>
    <row r="157" spans="1:26" s="24" customFormat="1" hidden="1" outlineLevel="1" x14ac:dyDescent="0.25">
      <c r="A157" s="44"/>
      <c r="B157" s="11" t="str">
        <f>CONCATENATE("          ", "5541", " - ", "FREIGHT-IN-LOGO GIFTS")</f>
        <v xml:space="preserve">          5541 - FREIGHT-IN-LOGO GIFTS</v>
      </c>
      <c r="C157" s="11"/>
      <c r="D157" s="2">
        <v>24.8</v>
      </c>
      <c r="E157" s="2"/>
      <c r="F157" s="19">
        <f t="shared" si="7"/>
        <v>1.0532479614704229E-5</v>
      </c>
      <c r="G157" s="2"/>
      <c r="H157" s="2"/>
      <c r="I157" s="2"/>
      <c r="J157" s="19">
        <f t="shared" si="8"/>
        <v>0</v>
      </c>
      <c r="K157" s="2"/>
      <c r="L157" s="2">
        <f t="shared" si="9"/>
        <v>24.8</v>
      </c>
      <c r="M157" s="2"/>
      <c r="N157" s="19">
        <f t="shared" si="10"/>
        <v>0</v>
      </c>
      <c r="O157" s="11"/>
      <c r="P157" s="2">
        <v>3587.57</v>
      </c>
      <c r="Q157" s="2"/>
      <c r="R157" s="19">
        <f t="shared" si="11"/>
        <v>3.7777421638559688E-4</v>
      </c>
      <c r="S157" s="2"/>
      <c r="T157" s="2"/>
      <c r="U157" s="2"/>
      <c r="V157" s="19">
        <f t="shared" si="12"/>
        <v>0</v>
      </c>
      <c r="W157" s="2"/>
      <c r="X157" s="2">
        <f t="shared" si="13"/>
        <v>3587.57</v>
      </c>
      <c r="Y157" s="2"/>
      <c r="Z157" s="19">
        <f t="shared" si="14"/>
        <v>0</v>
      </c>
    </row>
    <row r="158" spans="1:26" s="24" customFormat="1" hidden="1" outlineLevel="1" x14ac:dyDescent="0.25">
      <c r="A158" s="44"/>
      <c r="B158" s="11" t="str">
        <f>CONCATENATE("          ", "5542", " - ", "FREIGHT-IN-EVERYDAY GIFTS")</f>
        <v xml:space="preserve">          5542 - FREIGHT-IN-EVERYDAY GIFTS</v>
      </c>
      <c r="C158" s="11"/>
      <c r="D158" s="2"/>
      <c r="E158" s="2"/>
      <c r="F158" s="19">
        <f t="shared" si="7"/>
        <v>0</v>
      </c>
      <c r="G158" s="2"/>
      <c r="H158" s="2"/>
      <c r="I158" s="2"/>
      <c r="J158" s="19">
        <f t="shared" si="8"/>
        <v>0</v>
      </c>
      <c r="K158" s="2"/>
      <c r="L158" s="2">
        <f t="shared" si="9"/>
        <v>0</v>
      </c>
      <c r="M158" s="2"/>
      <c r="N158" s="19">
        <f t="shared" si="10"/>
        <v>0</v>
      </c>
      <c r="O158" s="11"/>
      <c r="P158" s="2">
        <v>1708.33</v>
      </c>
      <c r="Q158" s="2"/>
      <c r="R158" s="19">
        <f t="shared" si="11"/>
        <v>1.7988862296150506E-4</v>
      </c>
      <c r="S158" s="2"/>
      <c r="T158" s="2"/>
      <c r="U158" s="2"/>
      <c r="V158" s="19">
        <f t="shared" si="12"/>
        <v>0</v>
      </c>
      <c r="W158" s="2"/>
      <c r="X158" s="2">
        <f t="shared" si="13"/>
        <v>1708.33</v>
      </c>
      <c r="Y158" s="2"/>
      <c r="Z158" s="19">
        <f t="shared" si="14"/>
        <v>0</v>
      </c>
    </row>
    <row r="159" spans="1:26" s="24" customFormat="1" hidden="1" outlineLevel="1" x14ac:dyDescent="0.25">
      <c r="A159" s="44"/>
      <c r="B159" s="11" t="str">
        <f>CONCATENATE("          ", "5543", " - ", "FREIGHT-IN-CARDS")</f>
        <v xml:space="preserve">          5543 - FREIGHT-IN-CARDS</v>
      </c>
      <c r="C159" s="11"/>
      <c r="D159" s="2"/>
      <c r="E159" s="2"/>
      <c r="F159" s="19">
        <f t="shared" si="7"/>
        <v>0</v>
      </c>
      <c r="G159" s="2"/>
      <c r="H159" s="2"/>
      <c r="I159" s="2"/>
      <c r="J159" s="19">
        <f t="shared" si="8"/>
        <v>0</v>
      </c>
      <c r="K159" s="2"/>
      <c r="L159" s="2">
        <f t="shared" si="9"/>
        <v>0</v>
      </c>
      <c r="M159" s="2"/>
      <c r="N159" s="19">
        <f t="shared" si="10"/>
        <v>0</v>
      </c>
      <c r="O159" s="11"/>
      <c r="P159" s="2">
        <v>121.35</v>
      </c>
      <c r="Q159" s="2"/>
      <c r="R159" s="19">
        <f t="shared" si="11"/>
        <v>1.2778259701801548E-5</v>
      </c>
      <c r="S159" s="2"/>
      <c r="T159" s="2"/>
      <c r="U159" s="2"/>
      <c r="V159" s="19">
        <f t="shared" si="12"/>
        <v>0</v>
      </c>
      <c r="W159" s="2"/>
      <c r="X159" s="2">
        <f t="shared" si="13"/>
        <v>121.35</v>
      </c>
      <c r="Y159" s="2"/>
      <c r="Z159" s="19">
        <f t="shared" si="14"/>
        <v>0</v>
      </c>
    </row>
    <row r="160" spans="1:26" s="24" customFormat="1" hidden="1" outlineLevel="1" x14ac:dyDescent="0.25">
      <c r="A160" s="44"/>
      <c r="B160" s="11" t="str">
        <f>CONCATENATE("          ", "5544", " - ", "FREIGHT-IN-ACCESSORIES")</f>
        <v xml:space="preserve">          5544 - FREIGHT-IN-ACCESSORIES</v>
      </c>
      <c r="C160" s="11"/>
      <c r="D160" s="2"/>
      <c r="E160" s="2"/>
      <c r="F160" s="19">
        <f t="shared" si="7"/>
        <v>0</v>
      </c>
      <c r="G160" s="2"/>
      <c r="H160" s="2"/>
      <c r="I160" s="2"/>
      <c r="J160" s="19">
        <f t="shared" si="8"/>
        <v>0</v>
      </c>
      <c r="K160" s="2"/>
      <c r="L160" s="2">
        <f t="shared" si="9"/>
        <v>0</v>
      </c>
      <c r="M160" s="2"/>
      <c r="N160" s="19">
        <f t="shared" si="10"/>
        <v>0</v>
      </c>
      <c r="O160" s="11"/>
      <c r="P160" s="2">
        <v>442.31</v>
      </c>
      <c r="Q160" s="2"/>
      <c r="R160" s="19">
        <f t="shared" si="11"/>
        <v>4.6575624628791453E-5</v>
      </c>
      <c r="S160" s="2"/>
      <c r="T160" s="2"/>
      <c r="U160" s="2"/>
      <c r="V160" s="19">
        <f t="shared" si="12"/>
        <v>0</v>
      </c>
      <c r="W160" s="2"/>
      <c r="X160" s="2">
        <f t="shared" si="13"/>
        <v>442.31</v>
      </c>
      <c r="Y160" s="2"/>
      <c r="Z160" s="19">
        <f t="shared" si="14"/>
        <v>0</v>
      </c>
    </row>
    <row r="161" spans="1:26" s="24" customFormat="1" hidden="1" outlineLevel="1" x14ac:dyDescent="0.25">
      <c r="A161" s="44"/>
      <c r="B161" s="11" t="str">
        <f>CONCATENATE("          ", "5545", " - ", "FREIGHT-IN-SPECIAL ORDERS")</f>
        <v xml:space="preserve">          5545 - FREIGHT-IN-SPECIAL ORDERS</v>
      </c>
      <c r="C161" s="11"/>
      <c r="D161" s="2">
        <v>14.23</v>
      </c>
      <c r="E161" s="2"/>
      <c r="F161" s="19">
        <f t="shared" si="7"/>
        <v>6.0434348756952091E-6</v>
      </c>
      <c r="G161" s="2"/>
      <c r="H161" s="2"/>
      <c r="I161" s="2"/>
      <c r="J161" s="19">
        <f t="shared" si="8"/>
        <v>0</v>
      </c>
      <c r="K161" s="2"/>
      <c r="L161" s="2">
        <f t="shared" si="9"/>
        <v>14.23</v>
      </c>
      <c r="M161" s="2"/>
      <c r="N161" s="19">
        <f t="shared" si="10"/>
        <v>0</v>
      </c>
      <c r="O161" s="11"/>
      <c r="P161" s="2">
        <v>841.9</v>
      </c>
      <c r="Q161" s="2"/>
      <c r="R161" s="19">
        <f t="shared" si="11"/>
        <v>8.8652796398407281E-5</v>
      </c>
      <c r="S161" s="2"/>
      <c r="T161" s="2"/>
      <c r="U161" s="2"/>
      <c r="V161" s="19">
        <f t="shared" si="12"/>
        <v>0</v>
      </c>
      <c r="W161" s="2"/>
      <c r="X161" s="2">
        <f t="shared" si="13"/>
        <v>841.9</v>
      </c>
      <c r="Y161" s="2"/>
      <c r="Z161" s="19">
        <f t="shared" si="14"/>
        <v>0</v>
      </c>
    </row>
    <row r="162" spans="1:26" s="24" customFormat="1" hidden="1" outlineLevel="1" x14ac:dyDescent="0.25">
      <c r="A162" s="44"/>
      <c r="B162" s="11" t="str">
        <f>CONCATENATE("          ", "5592", " - ", "FREIGHT-IN-GRAD MERCH")</f>
        <v xml:space="preserve">          5592 - FREIGHT-IN-GRAD MERCH</v>
      </c>
      <c r="C162" s="11"/>
      <c r="D162" s="2"/>
      <c r="E162" s="2"/>
      <c r="F162" s="19">
        <f t="shared" si="7"/>
        <v>0</v>
      </c>
      <c r="G162" s="2"/>
      <c r="H162" s="2"/>
      <c r="I162" s="2"/>
      <c r="J162" s="19">
        <f t="shared" si="8"/>
        <v>0</v>
      </c>
      <c r="K162" s="2"/>
      <c r="L162" s="2">
        <f t="shared" si="9"/>
        <v>0</v>
      </c>
      <c r="M162" s="2"/>
      <c r="N162" s="19">
        <f t="shared" si="10"/>
        <v>0</v>
      </c>
      <c r="O162" s="11"/>
      <c r="P162" s="2">
        <v>105.78</v>
      </c>
      <c r="Q162" s="2"/>
      <c r="R162" s="19">
        <f t="shared" si="11"/>
        <v>1.1138725267874477E-5</v>
      </c>
      <c r="S162" s="2"/>
      <c r="T162" s="2"/>
      <c r="U162" s="2"/>
      <c r="V162" s="19">
        <f t="shared" si="12"/>
        <v>0</v>
      </c>
      <c r="W162" s="2"/>
      <c r="X162" s="2">
        <f t="shared" si="13"/>
        <v>105.78</v>
      </c>
      <c r="Y162" s="2"/>
      <c r="Z162" s="19">
        <f t="shared" si="14"/>
        <v>0</v>
      </c>
    </row>
    <row r="163" spans="1:26" x14ac:dyDescent="0.25">
      <c r="A163" s="9"/>
      <c r="B163" s="10"/>
      <c r="C163" s="10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O163" s="10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x14ac:dyDescent="0.25">
      <c r="A164" s="10"/>
      <c r="B164" s="29" t="s">
        <v>6</v>
      </c>
      <c r="C164" s="29"/>
      <c r="D164" s="21">
        <f>D12-D109</f>
        <v>1077136.2700000003</v>
      </c>
      <c r="E164" s="14"/>
      <c r="F164" s="20">
        <f>IF(D$12=0,0,D164/D$12)</f>
        <v>0.45745628250135295</v>
      </c>
      <c r="G164" s="14"/>
      <c r="H164" s="21">
        <f>H12-H109</f>
        <v>931145.82935999986</v>
      </c>
      <c r="I164" s="14"/>
      <c r="J164" s="20">
        <f>IF(H$12=0,0,H164/H$12)</f>
        <v>0.35763831429083642</v>
      </c>
      <c r="K164" s="16"/>
      <c r="L164" s="21">
        <f>+D164-H164</f>
        <v>145990.44064000039</v>
      </c>
      <c r="M164" s="16"/>
      <c r="N164" s="20">
        <f>IF(H164=0,0,L164/H164)</f>
        <v>0.15678579663546721</v>
      </c>
      <c r="O164" s="28"/>
      <c r="P164" s="21">
        <f>P12-P109</f>
        <v>4224427.8999999911</v>
      </c>
      <c r="Q164" s="14"/>
      <c r="R164" s="20">
        <f>IF(P$12=0,0,P164/P$12)</f>
        <v>0.44483590274195323</v>
      </c>
      <c r="S164" s="14"/>
      <c r="T164" s="21">
        <f>T12-T109</f>
        <v>4268928.1907800008</v>
      </c>
      <c r="U164" s="14"/>
      <c r="V164" s="20">
        <f>IF(T$12=0,0,T164/T$12)</f>
        <v>0.42377743729092776</v>
      </c>
      <c r="W164" s="16"/>
      <c r="X164" s="21">
        <f>+P164-T164</f>
        <v>-44500.290780009702</v>
      </c>
      <c r="Y164" s="16"/>
      <c r="Z164" s="20">
        <f>IF(T164=0,0,X164/T164)</f>
        <v>-1.0424230343373097E-2</v>
      </c>
    </row>
    <row r="165" spans="1:26" x14ac:dyDescent="0.25">
      <c r="A165" s="9"/>
      <c r="B165" s="10"/>
      <c r="C165" s="9"/>
      <c r="D165" s="1"/>
      <c r="E165" s="1"/>
      <c r="F165" s="5"/>
      <c r="G165" s="1"/>
      <c r="H165" s="1"/>
      <c r="I165" s="1"/>
      <c r="J165" s="5"/>
      <c r="K165" s="1"/>
      <c r="L165" s="1"/>
      <c r="M165" s="1"/>
      <c r="N165" s="5"/>
      <c r="O165" s="36"/>
      <c r="P165" s="1"/>
      <c r="Q165" s="1"/>
      <c r="R165" s="5"/>
      <c r="S165" s="1"/>
      <c r="T165" s="1"/>
      <c r="U165" s="1"/>
      <c r="V165" s="5"/>
      <c r="W165" s="1"/>
      <c r="X165" s="1"/>
      <c r="Y165" s="1"/>
      <c r="Z165" s="5"/>
    </row>
    <row r="166" spans="1:26" s="23" customFormat="1" x14ac:dyDescent="0.25">
      <c r="A166" s="10"/>
      <c r="B166" s="28" t="s">
        <v>9</v>
      </c>
      <c r="C166" s="10"/>
      <c r="D166" s="22">
        <f>SUM(OSRRefD22x_0)</f>
        <v>564341.85</v>
      </c>
      <c r="E166" s="22"/>
      <c r="F166" s="35">
        <f t="shared" ref="F166:F177" si="15">IF(D$12=0,0,D166/D$12)</f>
        <v>0.23967415446973678</v>
      </c>
      <c r="G166" s="22"/>
      <c r="H166" s="22">
        <f>SUM(OSRRefH22x_0)</f>
        <v>559792.80635847535</v>
      </c>
      <c r="I166" s="22"/>
      <c r="J166" s="35">
        <f t="shared" ref="J166:J177" si="16">IF(H$12=0,0,H166/H$12)</f>
        <v>0.21500752009573687</v>
      </c>
      <c r="K166" s="4"/>
      <c r="L166" s="22">
        <f t="shared" ref="L166:L177" si="17">+D166-H166</f>
        <v>4549.0436415246222</v>
      </c>
      <c r="M166" s="4"/>
      <c r="N166" s="35">
        <f t="shared" ref="N166:N177" si="18">IF(H166=0,0,L166/H166)</f>
        <v>8.1262988553153087E-3</v>
      </c>
      <c r="O166" s="10"/>
      <c r="P166" s="22">
        <f>SUM(OSRRefP22x_0)</f>
        <v>3443102.7400000012</v>
      </c>
      <c r="Q166" s="22"/>
      <c r="R166" s="35">
        <f t="shared" ref="R166:R177" si="19">IF(P$12=0,0,P166/P$12)</f>
        <v>0.36256168926002891</v>
      </c>
      <c r="S166" s="22"/>
      <c r="T166" s="22">
        <f>SUM(OSRRefT22x_0)</f>
        <v>3614977.0103401733</v>
      </c>
      <c r="U166" s="22"/>
      <c r="V166" s="35">
        <f t="shared" ref="V166:V177" si="20">IF(T$12=0,0,T166/T$12)</f>
        <v>0.35885956025595911</v>
      </c>
      <c r="W166" s="4"/>
      <c r="X166" s="22">
        <f t="shared" ref="X166:X177" si="21">+P166-T166</f>
        <v>-171874.27034017211</v>
      </c>
      <c r="Y166" s="4"/>
      <c r="Z166" s="35">
        <f t="shared" ref="Z166:Z177" si="22">IF(T166=0,0,X166/T166)</f>
        <v>-4.7545052111963103E-2</v>
      </c>
    </row>
    <row r="167" spans="1:26" s="27" customFormat="1" outlineLevel="1" collapsed="1" x14ac:dyDescent="0.25">
      <c r="A167" s="26"/>
      <c r="B167" s="13" t="str">
        <f>CONCATENATE("     ","*Benefits                                         ")</f>
        <v xml:space="preserve">     *Benefits                                         </v>
      </c>
      <c r="C167" s="13"/>
      <c r="D167" s="1">
        <f>SUM(OSRRefD22_0x_0)</f>
        <v>59198.140000000007</v>
      </c>
      <c r="E167" s="1"/>
      <c r="F167" s="5">
        <f t="shared" si="15"/>
        <v>2.5141258176548675E-2</v>
      </c>
      <c r="G167" s="1"/>
      <c r="H167" s="1">
        <f>SUM(OSRRefH22_0x_0)</f>
        <v>66981.778232226119</v>
      </c>
      <c r="I167" s="1"/>
      <c r="J167" s="5">
        <f t="shared" si="16"/>
        <v>2.5726636472872398E-2</v>
      </c>
      <c r="K167" s="1"/>
      <c r="L167" s="1">
        <f t="shared" si="17"/>
        <v>-7783.6382322261125</v>
      </c>
      <c r="M167" s="1"/>
      <c r="N167" s="5">
        <f t="shared" si="18"/>
        <v>-0.116205308931038</v>
      </c>
      <c r="O167" s="13"/>
      <c r="P167" s="1">
        <f>SUM(OSRRefP22_0x_0)</f>
        <v>444989</v>
      </c>
      <c r="Q167" s="1"/>
      <c r="R167" s="5">
        <f t="shared" si="19"/>
        <v>4.6857725640255206E-2</v>
      </c>
      <c r="S167" s="1"/>
      <c r="T167" s="1">
        <f>SUM(OSRRefT22_0x_0)</f>
        <v>438772.06384250364</v>
      </c>
      <c r="U167" s="1"/>
      <c r="V167" s="5">
        <f t="shared" si="20"/>
        <v>4.3556998960915534E-2</v>
      </c>
      <c r="W167" s="1"/>
      <c r="X167" s="1">
        <f t="shared" si="21"/>
        <v>6216.936157496355</v>
      </c>
      <c r="Y167" s="1"/>
      <c r="Z167" s="5">
        <f t="shared" si="22"/>
        <v>1.4168942532603698E-2</v>
      </c>
    </row>
    <row r="168" spans="1:26" s="24" customFormat="1" hidden="1" outlineLevel="2" x14ac:dyDescent="0.25">
      <c r="A168" s="25"/>
      <c r="B168" s="11" t="str">
        <f>CONCATENATE("          ", "6111", " - ", "F.I.C.A.")</f>
        <v xml:space="preserve">          6111 - F.I.C.A.</v>
      </c>
      <c r="C168" s="11"/>
      <c r="D168" s="7">
        <v>8714.94</v>
      </c>
      <c r="E168" s="2"/>
      <c r="F168" s="6">
        <f t="shared" si="15"/>
        <v>3.7012067698939709E-3</v>
      </c>
      <c r="G168" s="2"/>
      <c r="H168" s="7">
        <v>11341.491000421096</v>
      </c>
      <c r="I168" s="2"/>
      <c r="J168" s="6">
        <f t="shared" si="16"/>
        <v>4.3560864421453606E-3</v>
      </c>
      <c r="K168" s="2"/>
      <c r="L168" s="7">
        <f t="shared" si="17"/>
        <v>-2626.5510004210955</v>
      </c>
      <c r="M168" s="2"/>
      <c r="N168" s="6">
        <f t="shared" si="18"/>
        <v>-0.23158780448916064</v>
      </c>
      <c r="O168" s="11"/>
      <c r="P168" s="7">
        <v>83643.02</v>
      </c>
      <c r="Q168" s="2"/>
      <c r="R168" s="6">
        <f t="shared" si="19"/>
        <v>8.8076821739017791E-3</v>
      </c>
      <c r="S168" s="2"/>
      <c r="T168" s="7">
        <v>78938.991410979303</v>
      </c>
      <c r="U168" s="2"/>
      <c r="V168" s="6">
        <f t="shared" si="20"/>
        <v>7.8362909815925131E-3</v>
      </c>
      <c r="W168" s="2"/>
      <c r="X168" s="7">
        <f t="shared" si="21"/>
        <v>4704.0285890207015</v>
      </c>
      <c r="Y168" s="2"/>
      <c r="Z168" s="6">
        <f t="shared" si="22"/>
        <v>5.9590685223353861E-2</v>
      </c>
    </row>
    <row r="169" spans="1:26" s="24" customFormat="1" hidden="1" outlineLevel="2" x14ac:dyDescent="0.25">
      <c r="A169" s="25"/>
      <c r="B169" s="11" t="str">
        <f>CONCATENATE("          ", "6112", " - ", "COMPENSATION INSURANCE")</f>
        <v xml:space="preserve">          6112 - COMPENSATION INSURANCE</v>
      </c>
      <c r="C169" s="11"/>
      <c r="D169" s="7">
        <v>4176.58</v>
      </c>
      <c r="E169" s="2"/>
      <c r="F169" s="6">
        <f t="shared" si="15"/>
        <v>1.7737799882734432E-3</v>
      </c>
      <c r="G169" s="2"/>
      <c r="H169" s="7">
        <v>5699.827568898073</v>
      </c>
      <c r="I169" s="2"/>
      <c r="J169" s="6">
        <f t="shared" si="16"/>
        <v>2.1892131814521898E-3</v>
      </c>
      <c r="K169" s="2"/>
      <c r="L169" s="7">
        <f t="shared" si="17"/>
        <v>-1523.247568898073</v>
      </c>
      <c r="M169" s="2"/>
      <c r="N169" s="6">
        <f t="shared" si="18"/>
        <v>-0.26724450002836786</v>
      </c>
      <c r="O169" s="11"/>
      <c r="P169" s="7">
        <v>23012.16</v>
      </c>
      <c r="Q169" s="2"/>
      <c r="R169" s="6">
        <f t="shared" si="19"/>
        <v>2.4232003030853688E-3</v>
      </c>
      <c r="S169" s="2"/>
      <c r="T169" s="7">
        <v>32601.265138648061</v>
      </c>
      <c r="U169" s="2"/>
      <c r="V169" s="6">
        <f t="shared" si="20"/>
        <v>3.2363347368403483E-3</v>
      </c>
      <c r="W169" s="2"/>
      <c r="X169" s="7">
        <f t="shared" si="21"/>
        <v>-9589.1051386480613</v>
      </c>
      <c r="Y169" s="2"/>
      <c r="Z169" s="6">
        <f t="shared" si="22"/>
        <v>-0.29413291471564379</v>
      </c>
    </row>
    <row r="170" spans="1:26" s="24" customFormat="1" hidden="1" outlineLevel="2" x14ac:dyDescent="0.25">
      <c r="A170" s="25"/>
      <c r="B170" s="11" t="str">
        <f>CONCATENATE("          ", "6113", " - ", "GROUP INSURANCE")</f>
        <v xml:space="preserve">          6113 - GROUP INSURANCE</v>
      </c>
      <c r="C170" s="11"/>
      <c r="D170" s="7">
        <v>22055.759999999998</v>
      </c>
      <c r="E170" s="2"/>
      <c r="F170" s="6">
        <f t="shared" si="15"/>
        <v>9.3670097817261672E-3</v>
      </c>
      <c r="G170" s="2"/>
      <c r="H170" s="7">
        <v>24980.511538461542</v>
      </c>
      <c r="I170" s="2"/>
      <c r="J170" s="6">
        <f t="shared" si="16"/>
        <v>9.5946174648913283E-3</v>
      </c>
      <c r="K170" s="2"/>
      <c r="L170" s="7">
        <f t="shared" si="17"/>
        <v>-2924.7515384615435</v>
      </c>
      <c r="M170" s="2"/>
      <c r="N170" s="6">
        <f t="shared" si="18"/>
        <v>-0.11708133093905683</v>
      </c>
      <c r="O170" s="11"/>
      <c r="P170" s="7">
        <v>169811.12000000002</v>
      </c>
      <c r="Q170" s="2"/>
      <c r="R170" s="6">
        <f t="shared" si="19"/>
        <v>1.7881257450463841E-2</v>
      </c>
      <c r="S170" s="2"/>
      <c r="T170" s="7">
        <v>172976.81153846154</v>
      </c>
      <c r="U170" s="2"/>
      <c r="V170" s="6">
        <f t="shared" si="20"/>
        <v>1.7171445999688104E-2</v>
      </c>
      <c r="W170" s="2"/>
      <c r="X170" s="7">
        <f t="shared" si="21"/>
        <v>-3165.6915384615131</v>
      </c>
      <c r="Y170" s="2"/>
      <c r="Z170" s="6">
        <f t="shared" si="22"/>
        <v>-1.8301248070800628E-2</v>
      </c>
    </row>
    <row r="171" spans="1:26" s="24" customFormat="1" hidden="1" outlineLevel="2" x14ac:dyDescent="0.25">
      <c r="A171" s="25"/>
      <c r="B171" s="11" t="str">
        <f>CONCATENATE("          ", "6114", " - ", "STATE UNEMPLOYMENT INSURANCE")</f>
        <v xml:space="preserve">          6114 - STATE UNEMPLOYMENT INSURANCE</v>
      </c>
      <c r="C171" s="11"/>
      <c r="D171" s="7">
        <v>647.87</v>
      </c>
      <c r="E171" s="2"/>
      <c r="F171" s="6">
        <f t="shared" si="15"/>
        <v>2.7514828903138825E-4</v>
      </c>
      <c r="G171" s="2"/>
      <c r="H171" s="7">
        <v>800.94341964349792</v>
      </c>
      <c r="I171" s="2"/>
      <c r="J171" s="6">
        <f t="shared" si="16"/>
        <v>3.0762963803480882E-4</v>
      </c>
      <c r="K171" s="2"/>
      <c r="L171" s="7">
        <f t="shared" si="17"/>
        <v>-153.07341964349791</v>
      </c>
      <c r="M171" s="2"/>
      <c r="N171" s="6">
        <f t="shared" si="18"/>
        <v>-0.19111639585182097</v>
      </c>
      <c r="O171" s="11"/>
      <c r="P171" s="7">
        <v>4475.29</v>
      </c>
      <c r="Q171" s="2"/>
      <c r="R171" s="6">
        <f t="shared" si="19"/>
        <v>4.7125189831788585E-4</v>
      </c>
      <c r="S171" s="2"/>
      <c r="T171" s="7">
        <v>4588.8983107657696</v>
      </c>
      <c r="U171" s="2"/>
      <c r="V171" s="6">
        <f t="shared" si="20"/>
        <v>4.5554094124259861E-4</v>
      </c>
      <c r="W171" s="2"/>
      <c r="X171" s="7">
        <f t="shared" si="21"/>
        <v>-113.6083107657696</v>
      </c>
      <c r="Y171" s="2"/>
      <c r="Z171" s="6">
        <f t="shared" si="22"/>
        <v>-2.4757208173308003E-2</v>
      </c>
    </row>
    <row r="172" spans="1:26" s="24" customFormat="1" hidden="1" outlineLevel="2" x14ac:dyDescent="0.25">
      <c r="A172" s="25"/>
      <c r="B172" s="11" t="str">
        <f>CONCATENATE("          ", "6115", " - ", "P.E.R.S.")</f>
        <v xml:space="preserve">          6115 - P.E.R.S.</v>
      </c>
      <c r="C172" s="11"/>
      <c r="D172" s="7">
        <v>10804.34</v>
      </c>
      <c r="E172" s="2"/>
      <c r="F172" s="6">
        <f t="shared" si="15"/>
        <v>4.5885681774328023E-3</v>
      </c>
      <c r="G172" s="2"/>
      <c r="H172" s="7">
        <v>9502.6542179807639</v>
      </c>
      <c r="I172" s="2"/>
      <c r="J172" s="6">
        <f t="shared" si="16"/>
        <v>3.6498184587727047E-3</v>
      </c>
      <c r="K172" s="2"/>
      <c r="L172" s="7">
        <f t="shared" si="17"/>
        <v>1301.6857820192363</v>
      </c>
      <c r="M172" s="2"/>
      <c r="N172" s="6">
        <f t="shared" si="18"/>
        <v>0.13698128461374592</v>
      </c>
      <c r="O172" s="11"/>
      <c r="P172" s="7">
        <v>62223.049999999996</v>
      </c>
      <c r="Q172" s="2"/>
      <c r="R172" s="6">
        <f t="shared" si="19"/>
        <v>6.5521408515713453E-3</v>
      </c>
      <c r="S172" s="2"/>
      <c r="T172" s="7">
        <v>58302.345029480719</v>
      </c>
      <c r="U172" s="2"/>
      <c r="V172" s="6">
        <f t="shared" si="20"/>
        <v>5.7876865715397281E-3</v>
      </c>
      <c r="W172" s="2"/>
      <c r="X172" s="7">
        <f t="shared" si="21"/>
        <v>3920.7049705192767</v>
      </c>
      <c r="Y172" s="2"/>
      <c r="Z172" s="6">
        <f t="shared" si="22"/>
        <v>6.7247809132493092E-2</v>
      </c>
    </row>
    <row r="173" spans="1:26" s="24" customFormat="1" hidden="1" outlineLevel="2" x14ac:dyDescent="0.25">
      <c r="A173" s="25"/>
      <c r="B173" s="11" t="str">
        <f>CONCATENATE("          ", "6116", " - ", "EDUCATIONAL BENEFITS")</f>
        <v xml:space="preserve">          6116 - EDUCATIONAL BENEFITS</v>
      </c>
      <c r="C173" s="11"/>
      <c r="D173" s="7"/>
      <c r="E173" s="2"/>
      <c r="F173" s="6">
        <f t="shared" si="15"/>
        <v>0</v>
      </c>
      <c r="G173" s="2"/>
      <c r="H173" s="7">
        <v>0</v>
      </c>
      <c r="I173" s="2"/>
      <c r="J173" s="6">
        <f t="shared" si="16"/>
        <v>0</v>
      </c>
      <c r="K173" s="2"/>
      <c r="L173" s="7">
        <f t="shared" si="17"/>
        <v>0</v>
      </c>
      <c r="M173" s="2"/>
      <c r="N173" s="6">
        <f t="shared" si="18"/>
        <v>0</v>
      </c>
      <c r="O173" s="11"/>
      <c r="P173" s="7"/>
      <c r="Q173" s="2"/>
      <c r="R173" s="6">
        <f t="shared" si="19"/>
        <v>0</v>
      </c>
      <c r="S173" s="2"/>
      <c r="T173" s="7">
        <v>0</v>
      </c>
      <c r="U173" s="2"/>
      <c r="V173" s="6">
        <f t="shared" si="20"/>
        <v>0</v>
      </c>
      <c r="W173" s="2"/>
      <c r="X173" s="7">
        <f t="shared" si="21"/>
        <v>0</v>
      </c>
      <c r="Y173" s="2"/>
      <c r="Z173" s="6">
        <f t="shared" si="22"/>
        <v>0</v>
      </c>
    </row>
    <row r="174" spans="1:26" s="24" customFormat="1" hidden="1" outlineLevel="2" x14ac:dyDescent="0.25">
      <c r="A174" s="25"/>
      <c r="B174" s="11" t="str">
        <f>CONCATENATE("          ", "6117", " - ", "RETIREMENT STAFF HOURLY")</f>
        <v xml:space="preserve">          6117 - RETIREMENT STAFF HOURLY</v>
      </c>
      <c r="C174" s="11"/>
      <c r="D174" s="7">
        <v>213.49</v>
      </c>
      <c r="E174" s="2"/>
      <c r="F174" s="6">
        <f t="shared" si="15"/>
        <v>9.0668511005774431E-5</v>
      </c>
      <c r="G174" s="2"/>
      <c r="H174" s="7"/>
      <c r="I174" s="2"/>
      <c r="J174" s="6">
        <f t="shared" si="16"/>
        <v>0</v>
      </c>
      <c r="K174" s="2"/>
      <c r="L174" s="7">
        <f t="shared" si="17"/>
        <v>213.49</v>
      </c>
      <c r="M174" s="2"/>
      <c r="N174" s="6">
        <f t="shared" si="18"/>
        <v>0</v>
      </c>
      <c r="O174" s="11"/>
      <c r="P174" s="7">
        <v>952.23</v>
      </c>
      <c r="Q174" s="2"/>
      <c r="R174" s="6">
        <f t="shared" si="19"/>
        <v>1.0027064059206006E-4</v>
      </c>
      <c r="S174" s="2"/>
      <c r="T174" s="7"/>
      <c r="U174" s="2"/>
      <c r="V174" s="6">
        <f t="shared" si="20"/>
        <v>0</v>
      </c>
      <c r="W174" s="2"/>
      <c r="X174" s="7">
        <f t="shared" si="21"/>
        <v>952.23</v>
      </c>
      <c r="Y174" s="2"/>
      <c r="Z174" s="6">
        <f t="shared" si="22"/>
        <v>0</v>
      </c>
    </row>
    <row r="175" spans="1:26" s="24" customFormat="1" hidden="1" outlineLevel="2" x14ac:dyDescent="0.25">
      <c r="A175" s="25"/>
      <c r="B175" s="11" t="str">
        <f>CONCATENATE("          ", "6118", " - ", "VACATION")</f>
        <v xml:space="preserve">          6118 - VACATION</v>
      </c>
      <c r="C175" s="11"/>
      <c r="D175" s="7">
        <v>5268.48</v>
      </c>
      <c r="E175" s="2"/>
      <c r="F175" s="6">
        <f t="shared" si="15"/>
        <v>2.2375063790514892E-3</v>
      </c>
      <c r="G175" s="2"/>
      <c r="H175" s="7">
        <v>6329.0114332884596</v>
      </c>
      <c r="I175" s="2"/>
      <c r="J175" s="6">
        <f t="shared" si="16"/>
        <v>2.4308727041010042E-3</v>
      </c>
      <c r="K175" s="2"/>
      <c r="L175" s="7">
        <f t="shared" si="17"/>
        <v>-1060.53143328846</v>
      </c>
      <c r="M175" s="2"/>
      <c r="N175" s="6">
        <f t="shared" si="18"/>
        <v>-0.16756667995738217</v>
      </c>
      <c r="O175" s="11"/>
      <c r="P175" s="7">
        <v>46707.360000000001</v>
      </c>
      <c r="Q175" s="2"/>
      <c r="R175" s="6">
        <f t="shared" si="19"/>
        <v>4.9183253075033998E-3</v>
      </c>
      <c r="S175" s="2"/>
      <c r="T175" s="7">
        <v>38881.108226388438</v>
      </c>
      <c r="U175" s="2"/>
      <c r="V175" s="6">
        <f t="shared" si="20"/>
        <v>3.8597361367653984E-3</v>
      </c>
      <c r="W175" s="2"/>
      <c r="X175" s="7">
        <f t="shared" si="21"/>
        <v>7826.2517736115624</v>
      </c>
      <c r="Y175" s="2"/>
      <c r="Z175" s="6">
        <f t="shared" si="22"/>
        <v>0.20128674645904046</v>
      </c>
    </row>
    <row r="176" spans="1:26" s="24" customFormat="1" hidden="1" outlineLevel="2" x14ac:dyDescent="0.25">
      <c r="A176" s="25"/>
      <c r="B176" s="11" t="str">
        <f>CONCATENATE("          ", "6119", " - ", "SICK LEAVE")</f>
        <v xml:space="preserve">          6119 - SICK LEAVE</v>
      </c>
      <c r="C176" s="11"/>
      <c r="D176" s="7">
        <v>4016.85</v>
      </c>
      <c r="E176" s="2"/>
      <c r="F176" s="6">
        <f t="shared" si="15"/>
        <v>1.705943175013092E-3</v>
      </c>
      <c r="G176" s="2"/>
      <c r="H176" s="7">
        <v>6777.339053532678</v>
      </c>
      <c r="I176" s="2"/>
      <c r="J176" s="6">
        <f t="shared" si="16"/>
        <v>2.6030682177343198E-3</v>
      </c>
      <c r="K176" s="2"/>
      <c r="L176" s="7">
        <f t="shared" si="17"/>
        <v>-2760.4890535326781</v>
      </c>
      <c r="M176" s="2"/>
      <c r="N176" s="6">
        <f t="shared" si="18"/>
        <v>-0.40731163539675314</v>
      </c>
      <c r="O176" s="11"/>
      <c r="P176" s="7">
        <v>35556.18</v>
      </c>
      <c r="Q176" s="2"/>
      <c r="R176" s="6">
        <f t="shared" si="19"/>
        <v>3.7440964321714229E-3</v>
      </c>
      <c r="S176" s="2"/>
      <c r="T176" s="7">
        <v>41507.644187779864</v>
      </c>
      <c r="U176" s="2"/>
      <c r="V176" s="6">
        <f t="shared" si="20"/>
        <v>4.1204729374159496E-3</v>
      </c>
      <c r="W176" s="2"/>
      <c r="X176" s="7">
        <f t="shared" si="21"/>
        <v>-5951.464187779864</v>
      </c>
      <c r="Y176" s="2"/>
      <c r="Z176" s="6">
        <f t="shared" si="22"/>
        <v>-0.14338236496524695</v>
      </c>
    </row>
    <row r="177" spans="1:26" s="24" customFormat="1" hidden="1" outlineLevel="2" x14ac:dyDescent="0.25">
      <c r="A177" s="25"/>
      <c r="B177" s="11" t="str">
        <f>CONCATENATE("          ", "6156", " - ", "EMPLOYEE MEALS")</f>
        <v xml:space="preserve">          6156 - EMPLOYEE MEALS</v>
      </c>
      <c r="C177" s="11"/>
      <c r="D177" s="7">
        <v>3299.83</v>
      </c>
      <c r="E177" s="2"/>
      <c r="F177" s="6">
        <f t="shared" si="15"/>
        <v>1.4014271051205427E-3</v>
      </c>
      <c r="G177" s="2"/>
      <c r="H177" s="7">
        <v>1550</v>
      </c>
      <c r="I177" s="2"/>
      <c r="J177" s="6">
        <f t="shared" si="16"/>
        <v>5.9533036574067888E-4</v>
      </c>
      <c r="K177" s="2"/>
      <c r="L177" s="7">
        <f t="shared" si="17"/>
        <v>1749.83</v>
      </c>
      <c r="M177" s="2"/>
      <c r="N177" s="6">
        <f t="shared" si="18"/>
        <v>1.1289225806451613</v>
      </c>
      <c r="O177" s="11"/>
      <c r="P177" s="7">
        <v>18608.59</v>
      </c>
      <c r="Q177" s="2"/>
      <c r="R177" s="6">
        <f t="shared" si="19"/>
        <v>1.9595005826481028E-3</v>
      </c>
      <c r="S177" s="2"/>
      <c r="T177" s="7">
        <v>10975</v>
      </c>
      <c r="U177" s="2"/>
      <c r="V177" s="6">
        <f t="shared" si="20"/>
        <v>1.0894906558309026E-3</v>
      </c>
      <c r="W177" s="2"/>
      <c r="X177" s="7">
        <f t="shared" si="21"/>
        <v>7633.59</v>
      </c>
      <c r="Y177" s="2"/>
      <c r="Z177" s="6">
        <f t="shared" si="22"/>
        <v>0.69554350797266518</v>
      </c>
    </row>
    <row r="178" spans="1:26" s="27" customFormat="1" outlineLevel="1" collapsed="1" x14ac:dyDescent="0.25">
      <c r="A178" s="26"/>
      <c r="B178" s="13" t="str">
        <f>CONCATENATE("     ","*Payroll                                          ")</f>
        <v xml:space="preserve">     *Payroll                                          </v>
      </c>
      <c r="C178" s="13"/>
      <c r="D178" s="1">
        <f>SUM(OSRRefD22_1x_0)</f>
        <v>317239.62</v>
      </c>
      <c r="E178" s="1"/>
      <c r="F178" s="5">
        <f t="shared" ref="F178:F188" si="23">IF(D$12=0,0,D178/D$12)</f>
        <v>0.13473063833171436</v>
      </c>
      <c r="G178" s="1"/>
      <c r="H178" s="1">
        <f>SUM(OSRRefH22_1x_0)</f>
        <v>297427.52812624921</v>
      </c>
      <c r="I178" s="1"/>
      <c r="J178" s="5">
        <f t="shared" ref="J178:J188" si="24">IF(H$12=0,0,H178/H$12)</f>
        <v>0.11423718651661031</v>
      </c>
      <c r="K178" s="1"/>
      <c r="L178" s="1">
        <f t="shared" ref="L178:L188" si="25">+D178-H178</f>
        <v>19812.091873750789</v>
      </c>
      <c r="M178" s="1"/>
      <c r="N178" s="5">
        <f t="shared" ref="N178:N188" si="26">IF(H178=0,0,L178/H178)</f>
        <v>6.6611493557990842E-2</v>
      </c>
      <c r="O178" s="13"/>
      <c r="P178" s="1">
        <f>SUM(OSRRefP22_1x_0)</f>
        <v>1669048.91</v>
      </c>
      <c r="Q178" s="1"/>
      <c r="R178" s="5">
        <f t="shared" ref="R178:R188" si="27">IF(P$12=0,0,P178/P$12)</f>
        <v>0.17575229029244993</v>
      </c>
      <c r="S178" s="1"/>
      <c r="T178" s="1">
        <f>SUM(OSRRefT22_1x_0)</f>
        <v>1699194.4464976694</v>
      </c>
      <c r="U178" s="1"/>
      <c r="V178" s="5">
        <f t="shared" ref="V178:V188" si="28">IF(T$12=0,0,T178/T$12)</f>
        <v>0.16867940518441674</v>
      </c>
      <c r="W178" s="1"/>
      <c r="X178" s="1">
        <f t="shared" ref="X178:X188" si="29">+P178-T178</f>
        <v>-30145.536497669527</v>
      </c>
      <c r="Y178" s="1"/>
      <c r="Z178" s="5">
        <f t="shared" ref="Z178:Z188" si="30">IF(T178=0,0,X178/T178)</f>
        <v>-1.7741075225266089E-2</v>
      </c>
    </row>
    <row r="179" spans="1:26" s="24" customFormat="1" hidden="1" outlineLevel="2" x14ac:dyDescent="0.25">
      <c r="A179" s="25"/>
      <c r="B179" s="11" t="str">
        <f>CONCATENATE("          ", "6001", " - ", "ADMINISTRATIVE SALARIES")</f>
        <v xml:space="preserve">          6001 - ADMINISTRATIVE SALARIES</v>
      </c>
      <c r="C179" s="11"/>
      <c r="D179" s="7">
        <v>12324.43</v>
      </c>
      <c r="E179" s="2"/>
      <c r="F179" s="6">
        <f t="shared" si="23"/>
        <v>5.2341454733003728E-3</v>
      </c>
      <c r="G179" s="2"/>
      <c r="H179" s="7">
        <v>47120.415867692311</v>
      </c>
      <c r="I179" s="2"/>
      <c r="J179" s="6">
        <f t="shared" si="24"/>
        <v>1.8098202846687839E-2</v>
      </c>
      <c r="K179" s="2"/>
      <c r="L179" s="7">
        <f t="shared" si="25"/>
        <v>-34795.98586769231</v>
      </c>
      <c r="M179" s="2"/>
      <c r="N179" s="6">
        <f t="shared" si="26"/>
        <v>-0.73844819123402228</v>
      </c>
      <c r="O179" s="11"/>
      <c r="P179" s="7">
        <v>79306.540000000008</v>
      </c>
      <c r="Q179" s="2"/>
      <c r="R179" s="6">
        <f t="shared" si="27"/>
        <v>8.3510470883503309E-3</v>
      </c>
      <c r="S179" s="2"/>
      <c r="T179" s="7">
        <v>289630.95272969233</v>
      </c>
      <c r="U179" s="2"/>
      <c r="V179" s="6">
        <f t="shared" si="28"/>
        <v>2.8751728167508126E-2</v>
      </c>
      <c r="W179" s="2"/>
      <c r="X179" s="7">
        <f t="shared" si="29"/>
        <v>-210324.41272969233</v>
      </c>
      <c r="Y179" s="2"/>
      <c r="Z179" s="6">
        <f t="shared" si="30"/>
        <v>-0.72618071634762238</v>
      </c>
    </row>
    <row r="180" spans="1:26" s="24" customFormat="1" hidden="1" outlineLevel="2" x14ac:dyDescent="0.25">
      <c r="A180" s="25"/>
      <c r="B180" s="11" t="str">
        <f>CONCATENATE("          ", "6002", " - ", "STAFF SALARIES")</f>
        <v xml:space="preserve">          6002 - STAFF SALARIES</v>
      </c>
      <c r="C180" s="11"/>
      <c r="D180" s="7">
        <v>83155.53</v>
      </c>
      <c r="E180" s="2"/>
      <c r="F180" s="6">
        <f t="shared" si="23"/>
        <v>3.5315884055440561E-2</v>
      </c>
      <c r="G180" s="2"/>
      <c r="H180" s="7">
        <v>54136.483182057695</v>
      </c>
      <c r="I180" s="2"/>
      <c r="J180" s="6">
        <f t="shared" si="24"/>
        <v>2.0792962795282914E-2</v>
      </c>
      <c r="K180" s="2"/>
      <c r="L180" s="7">
        <f t="shared" si="25"/>
        <v>29019.046817942304</v>
      </c>
      <c r="M180" s="2"/>
      <c r="N180" s="6">
        <f t="shared" si="26"/>
        <v>0.53603494560873155</v>
      </c>
      <c r="O180" s="11"/>
      <c r="P180" s="7">
        <v>531284.98</v>
      </c>
      <c r="Q180" s="2"/>
      <c r="R180" s="6">
        <f t="shared" si="27"/>
        <v>5.5944766791153205E-2</v>
      </c>
      <c r="S180" s="2"/>
      <c r="T180" s="7">
        <v>331632.62772875774</v>
      </c>
      <c r="U180" s="2"/>
      <c r="V180" s="6">
        <f t="shared" si="28"/>
        <v>3.2921243651856939E-2</v>
      </c>
      <c r="W180" s="2"/>
      <c r="X180" s="7">
        <f t="shared" si="29"/>
        <v>199652.35227124224</v>
      </c>
      <c r="Y180" s="2"/>
      <c r="Z180" s="6">
        <f t="shared" si="30"/>
        <v>0.60202867745129673</v>
      </c>
    </row>
    <row r="181" spans="1:26" s="24" customFormat="1" hidden="1" outlineLevel="2" x14ac:dyDescent="0.25">
      <c r="A181" s="25"/>
      <c r="B181" s="11" t="str">
        <f>CONCATENATE("          ", "6003", " - ", "STAFF HOURLY-9 MONTH")</f>
        <v xml:space="preserve">          6003 - STAFF HOURLY-9 MONTH</v>
      </c>
      <c r="C181" s="11"/>
      <c r="D181" s="7"/>
      <c r="E181" s="2"/>
      <c r="F181" s="6">
        <f t="shared" si="23"/>
        <v>0</v>
      </c>
      <c r="G181" s="2"/>
      <c r="H181" s="7">
        <v>0</v>
      </c>
      <c r="I181" s="2"/>
      <c r="J181" s="6">
        <f t="shared" si="24"/>
        <v>0</v>
      </c>
      <c r="K181" s="2"/>
      <c r="L181" s="7">
        <f t="shared" si="25"/>
        <v>0</v>
      </c>
      <c r="M181" s="2"/>
      <c r="N181" s="6">
        <f t="shared" si="26"/>
        <v>0</v>
      </c>
      <c r="O181" s="11"/>
      <c r="P181" s="7"/>
      <c r="Q181" s="2"/>
      <c r="R181" s="6">
        <f t="shared" si="27"/>
        <v>0</v>
      </c>
      <c r="S181" s="2"/>
      <c r="T181" s="7">
        <v>0</v>
      </c>
      <c r="U181" s="2"/>
      <c r="V181" s="6">
        <f t="shared" si="28"/>
        <v>0</v>
      </c>
      <c r="W181" s="2"/>
      <c r="X181" s="7">
        <f t="shared" si="29"/>
        <v>0</v>
      </c>
      <c r="Y181" s="2"/>
      <c r="Z181" s="6">
        <f t="shared" si="30"/>
        <v>0</v>
      </c>
    </row>
    <row r="182" spans="1:26" s="24" customFormat="1" hidden="1" outlineLevel="2" x14ac:dyDescent="0.25">
      <c r="A182" s="25"/>
      <c r="B182" s="11" t="str">
        <f>CONCATENATE("          ", "6004", " - ", "STAFF HOURLY")</f>
        <v xml:space="preserve">          6004 - STAFF HOURLY</v>
      </c>
      <c r="C182" s="11"/>
      <c r="D182" s="7">
        <v>4901.03</v>
      </c>
      <c r="E182" s="2"/>
      <c r="F182" s="6">
        <f t="shared" si="23"/>
        <v>2.0814515550828172E-3</v>
      </c>
      <c r="G182" s="2"/>
      <c r="H182" s="7">
        <v>28124.079540000002</v>
      </c>
      <c r="I182" s="2"/>
      <c r="J182" s="6">
        <f t="shared" si="24"/>
        <v>1.0802011973334287E-2</v>
      </c>
      <c r="K182" s="2"/>
      <c r="L182" s="7">
        <f t="shared" si="25"/>
        <v>-23223.049540000004</v>
      </c>
      <c r="M182" s="2"/>
      <c r="N182" s="6">
        <f t="shared" si="26"/>
        <v>-0.82573545231838019</v>
      </c>
      <c r="O182" s="11"/>
      <c r="P182" s="7">
        <v>21099.91</v>
      </c>
      <c r="Q182" s="2"/>
      <c r="R182" s="6">
        <f t="shared" si="27"/>
        <v>2.221838728179971E-3</v>
      </c>
      <c r="S182" s="2"/>
      <c r="T182" s="7">
        <v>177293.638148</v>
      </c>
      <c r="U182" s="2"/>
      <c r="V182" s="6">
        <f t="shared" si="28"/>
        <v>1.7599978323509E-2</v>
      </c>
      <c r="W182" s="2"/>
      <c r="X182" s="7">
        <f t="shared" si="29"/>
        <v>-156193.72814799999</v>
      </c>
      <c r="Y182" s="2"/>
      <c r="Z182" s="6">
        <f t="shared" si="30"/>
        <v>-0.88098890507065819</v>
      </c>
    </row>
    <row r="183" spans="1:26" s="24" customFormat="1" hidden="1" outlineLevel="2" x14ac:dyDescent="0.25">
      <c r="A183" s="25"/>
      <c r="B183" s="11" t="str">
        <f>CONCATENATE("          ", "6005", " - ", "TEMPORARY WAGES-HOURLY")</f>
        <v xml:space="preserve">          6005 - TEMPORARY WAGES-HOURLY</v>
      </c>
      <c r="C183" s="11"/>
      <c r="D183" s="7">
        <v>26795.57</v>
      </c>
      <c r="E183" s="2"/>
      <c r="F183" s="6">
        <f t="shared" si="23"/>
        <v>1.1379991725378234E-2</v>
      </c>
      <c r="G183" s="2"/>
      <c r="H183" s="7">
        <v>6245.0911999999998</v>
      </c>
      <c r="I183" s="2"/>
      <c r="J183" s="6">
        <f t="shared" si="24"/>
        <v>2.3986402762450933E-3</v>
      </c>
      <c r="K183" s="2"/>
      <c r="L183" s="7">
        <f t="shared" si="25"/>
        <v>20550.478800000001</v>
      </c>
      <c r="M183" s="2"/>
      <c r="N183" s="6">
        <f t="shared" si="26"/>
        <v>3.2906611195685982</v>
      </c>
      <c r="O183" s="11"/>
      <c r="P183" s="7">
        <v>174453.56999999998</v>
      </c>
      <c r="Q183" s="2"/>
      <c r="R183" s="6">
        <f t="shared" si="27"/>
        <v>1.837011144100878E-2</v>
      </c>
      <c r="S183" s="2"/>
      <c r="T183" s="7">
        <v>32776.811199999996</v>
      </c>
      <c r="U183" s="2"/>
      <c r="V183" s="6">
        <f t="shared" si="28"/>
        <v>3.2537612328322253E-3</v>
      </c>
      <c r="W183" s="2"/>
      <c r="X183" s="7">
        <f t="shared" si="29"/>
        <v>141676.75879999998</v>
      </c>
      <c r="Y183" s="2"/>
      <c r="Z183" s="6">
        <f t="shared" si="30"/>
        <v>4.3224692583883817</v>
      </c>
    </row>
    <row r="184" spans="1:26" s="24" customFormat="1" hidden="1" outlineLevel="2" x14ac:dyDescent="0.25">
      <c r="A184" s="25"/>
      <c r="B184" s="11" t="str">
        <f>CONCATENATE("          ", "6006", " - ", "TEMPORARY PART TIME")</f>
        <v xml:space="preserve">          6006 - TEMPORARY PART TIME</v>
      </c>
      <c r="C184" s="11"/>
      <c r="D184" s="7">
        <v>1614.68</v>
      </c>
      <c r="E184" s="2"/>
      <c r="F184" s="6">
        <f t="shared" si="23"/>
        <v>6.857493622689769E-4</v>
      </c>
      <c r="G184" s="2"/>
      <c r="H184" s="7">
        <v>0</v>
      </c>
      <c r="I184" s="2"/>
      <c r="J184" s="6">
        <f t="shared" si="24"/>
        <v>0</v>
      </c>
      <c r="K184" s="2"/>
      <c r="L184" s="7">
        <f t="shared" si="25"/>
        <v>1614.68</v>
      </c>
      <c r="M184" s="2"/>
      <c r="N184" s="6">
        <f t="shared" si="26"/>
        <v>0</v>
      </c>
      <c r="O184" s="11"/>
      <c r="P184" s="7">
        <v>32155.859999999997</v>
      </c>
      <c r="Q184" s="2"/>
      <c r="R184" s="6">
        <f t="shared" si="27"/>
        <v>3.3860398023467021E-3</v>
      </c>
      <c r="S184" s="2"/>
      <c r="T184" s="7">
        <v>0</v>
      </c>
      <c r="U184" s="2"/>
      <c r="V184" s="6">
        <f t="shared" si="28"/>
        <v>0</v>
      </c>
      <c r="W184" s="2"/>
      <c r="X184" s="7">
        <f t="shared" si="29"/>
        <v>32155.859999999997</v>
      </c>
      <c r="Y184" s="2"/>
      <c r="Z184" s="6">
        <f t="shared" si="30"/>
        <v>0</v>
      </c>
    </row>
    <row r="185" spans="1:26" s="24" customFormat="1" hidden="1" outlineLevel="2" x14ac:dyDescent="0.25">
      <c r="A185" s="25"/>
      <c r="B185" s="11" t="str">
        <f>CONCATENATE("          ", "6007", " - ", "STUDENT HOURLY")</f>
        <v xml:space="preserve">          6007 - STUDENT HOURLY</v>
      </c>
      <c r="C185" s="11"/>
      <c r="D185" s="7">
        <v>183736.24000000002</v>
      </c>
      <c r="E185" s="2"/>
      <c r="F185" s="6">
        <f t="shared" si="23"/>
        <v>7.8032185575903384E-2</v>
      </c>
      <c r="G185" s="2"/>
      <c r="H185" s="7">
        <v>8347.6834139999992</v>
      </c>
      <c r="I185" s="2"/>
      <c r="J185" s="6">
        <f t="shared" si="24"/>
        <v>3.2062125289961407E-3</v>
      </c>
      <c r="K185" s="2"/>
      <c r="L185" s="7">
        <f t="shared" si="25"/>
        <v>175388.55658600002</v>
      </c>
      <c r="M185" s="2"/>
      <c r="N185" s="6">
        <f t="shared" si="26"/>
        <v>21.010446597897303</v>
      </c>
      <c r="O185" s="11"/>
      <c r="P185" s="7">
        <v>810761.87</v>
      </c>
      <c r="Q185" s="2"/>
      <c r="R185" s="6">
        <f t="shared" si="27"/>
        <v>8.5373924443166591E-2</v>
      </c>
      <c r="S185" s="2"/>
      <c r="T185" s="7">
        <v>168440.5135272</v>
      </c>
      <c r="U185" s="2"/>
      <c r="V185" s="6">
        <f t="shared" si="28"/>
        <v>1.6721126701707806E-2</v>
      </c>
      <c r="W185" s="2"/>
      <c r="X185" s="7">
        <f t="shared" si="29"/>
        <v>642321.35647280002</v>
      </c>
      <c r="Y185" s="2"/>
      <c r="Z185" s="6">
        <f t="shared" si="30"/>
        <v>3.8133424258949264</v>
      </c>
    </row>
    <row r="186" spans="1:26" s="24" customFormat="1" hidden="1" outlineLevel="2" x14ac:dyDescent="0.25">
      <c r="A186" s="25"/>
      <c r="B186" s="11" t="str">
        <f>CONCATENATE("          ", "6008", " - ", "STUDENT HOURLY-FICA EXEMPT")</f>
        <v xml:space="preserve">          6008 - STUDENT HOURLY-FICA EXEMPT</v>
      </c>
      <c r="C186" s="11"/>
      <c r="D186" s="7">
        <v>4712.1400000000003</v>
      </c>
      <c r="E186" s="2"/>
      <c r="F186" s="6">
        <f t="shared" si="23"/>
        <v>2.0012305843400157E-3</v>
      </c>
      <c r="G186" s="2"/>
      <c r="H186" s="7">
        <v>153453.7749224992</v>
      </c>
      <c r="I186" s="2"/>
      <c r="J186" s="6">
        <f t="shared" si="24"/>
        <v>5.8939156096064038E-2</v>
      </c>
      <c r="K186" s="2"/>
      <c r="L186" s="7">
        <f t="shared" si="25"/>
        <v>-148741.63492249919</v>
      </c>
      <c r="M186" s="2"/>
      <c r="N186" s="6">
        <f t="shared" si="26"/>
        <v>-0.96929277235193567</v>
      </c>
      <c r="O186" s="11"/>
      <c r="P186" s="7">
        <v>19986.18</v>
      </c>
      <c r="Q186" s="2"/>
      <c r="R186" s="6">
        <f t="shared" si="27"/>
        <v>2.1045619982443518E-3</v>
      </c>
      <c r="S186" s="2"/>
      <c r="T186" s="7">
        <v>699419.90316401923</v>
      </c>
      <c r="U186" s="2"/>
      <c r="V186" s="6">
        <f t="shared" si="28"/>
        <v>6.9431567107002629E-2</v>
      </c>
      <c r="W186" s="2"/>
      <c r="X186" s="7">
        <f t="shared" si="29"/>
        <v>-679433.72316401917</v>
      </c>
      <c r="Y186" s="2"/>
      <c r="Z186" s="6">
        <f t="shared" si="30"/>
        <v>-0.97142463360052089</v>
      </c>
    </row>
    <row r="187" spans="1:26" s="24" customFormat="1" hidden="1" outlineLevel="2" x14ac:dyDescent="0.25">
      <c r="A187" s="25"/>
      <c r="B187" s="11" t="str">
        <f>CONCATENATE("          ", "6009", " - ", "TEMPORARY-SEASONAL")</f>
        <v xml:space="preserve">          6009 - TEMPORARY-SEASONAL</v>
      </c>
      <c r="C187" s="11"/>
      <c r="D187" s="7"/>
      <c r="E187" s="2"/>
      <c r="F187" s="6">
        <f t="shared" si="23"/>
        <v>0</v>
      </c>
      <c r="G187" s="2"/>
      <c r="H187" s="7">
        <v>0</v>
      </c>
      <c r="I187" s="2"/>
      <c r="J187" s="6">
        <f t="shared" si="24"/>
        <v>0</v>
      </c>
      <c r="K187" s="2"/>
      <c r="L187" s="7">
        <f t="shared" si="25"/>
        <v>0</v>
      </c>
      <c r="M187" s="2"/>
      <c r="N187" s="6">
        <f t="shared" si="26"/>
        <v>0</v>
      </c>
      <c r="O187" s="11"/>
      <c r="P187" s="7"/>
      <c r="Q187" s="2"/>
      <c r="R187" s="6">
        <f t="shared" si="27"/>
        <v>0</v>
      </c>
      <c r="S187" s="2"/>
      <c r="T187" s="7">
        <v>0</v>
      </c>
      <c r="U187" s="2"/>
      <c r="V187" s="6">
        <f t="shared" si="28"/>
        <v>0</v>
      </c>
      <c r="W187" s="2"/>
      <c r="X187" s="7">
        <f t="shared" si="29"/>
        <v>0</v>
      </c>
      <c r="Y187" s="2"/>
      <c r="Z187" s="6">
        <f t="shared" si="30"/>
        <v>0</v>
      </c>
    </row>
    <row r="188" spans="1:26" s="24" customFormat="1" hidden="1" outlineLevel="2" x14ac:dyDescent="0.25">
      <c r="A188" s="25"/>
      <c r="B188" s="11" t="str">
        <f>CONCATENATE("          ", "6010", " - ", "GRATUITY")</f>
        <v xml:space="preserve">          6010 - GRATUITY</v>
      </c>
      <c r="C188" s="11"/>
      <c r="D188" s="7"/>
      <c r="E188" s="2"/>
      <c r="F188" s="6">
        <f t="shared" si="23"/>
        <v>0</v>
      </c>
      <c r="G188" s="2"/>
      <c r="H188" s="7">
        <v>0</v>
      </c>
      <c r="I188" s="2"/>
      <c r="J188" s="6">
        <f t="shared" si="24"/>
        <v>0</v>
      </c>
      <c r="K188" s="2"/>
      <c r="L188" s="7">
        <f t="shared" si="25"/>
        <v>0</v>
      </c>
      <c r="M188" s="2"/>
      <c r="N188" s="6">
        <f t="shared" si="26"/>
        <v>0</v>
      </c>
      <c r="O188" s="11"/>
      <c r="P188" s="7"/>
      <c r="Q188" s="2"/>
      <c r="R188" s="6">
        <f t="shared" si="27"/>
        <v>0</v>
      </c>
      <c r="S188" s="2"/>
      <c r="T188" s="7">
        <v>0</v>
      </c>
      <c r="U188" s="2"/>
      <c r="V188" s="6">
        <f t="shared" si="28"/>
        <v>0</v>
      </c>
      <c r="W188" s="2"/>
      <c r="X188" s="7">
        <f t="shared" si="29"/>
        <v>0</v>
      </c>
      <c r="Y188" s="2"/>
      <c r="Z188" s="6">
        <f t="shared" si="30"/>
        <v>0</v>
      </c>
    </row>
    <row r="189" spans="1:26" s="27" customFormat="1" outlineLevel="1" collapsed="1" x14ac:dyDescent="0.25">
      <c r="A189" s="26"/>
      <c r="B189" s="13" t="str">
        <f>CONCATENATE("     ","Advertising/Promo                                 ")</f>
        <v xml:space="preserve">     Advertising/Promo                                 </v>
      </c>
      <c r="C189" s="13"/>
      <c r="D189" s="1">
        <f>SUM(OSRRefD22_2x_0)</f>
        <v>3634.07</v>
      </c>
      <c r="E189" s="1"/>
      <c r="F189" s="5">
        <f t="shared" ref="F189:F193" si="31">IF(D$12=0,0,D189/D$12)</f>
        <v>1.5433777497342017E-3</v>
      </c>
      <c r="G189" s="1"/>
      <c r="H189" s="1">
        <f>SUM(OSRRefH22_2x_0)</f>
        <v>8720</v>
      </c>
      <c r="I189" s="1"/>
      <c r="J189" s="5">
        <f t="shared" ref="J189:J193" si="32">IF(H$12=0,0,H189/H$12)</f>
        <v>3.3492134124249802E-3</v>
      </c>
      <c r="K189" s="1"/>
      <c r="L189" s="1">
        <f t="shared" ref="L189:L193" si="33">+D189-H189</f>
        <v>-5085.93</v>
      </c>
      <c r="M189" s="1"/>
      <c r="N189" s="5">
        <f t="shared" ref="N189:N193" si="34">IF(H189=0,0,L189/H189)</f>
        <v>-0.58324885321100917</v>
      </c>
      <c r="O189" s="13"/>
      <c r="P189" s="1">
        <f>SUM(OSRRefP22_2x_0)</f>
        <v>43369.009999999995</v>
      </c>
      <c r="Q189" s="1"/>
      <c r="R189" s="5">
        <f t="shared" ref="R189:R193" si="35">IF(P$12=0,0,P189/P$12)</f>
        <v>4.5667941721469164E-3</v>
      </c>
      <c r="S189" s="1"/>
      <c r="T189" s="1">
        <f>SUM(OSRRefT22_2x_0)</f>
        <v>48215</v>
      </c>
      <c r="U189" s="1"/>
      <c r="V189" s="5">
        <f t="shared" ref="V189:V193" si="36">IF(T$12=0,0,T189/T$12)</f>
        <v>4.7863136192152142E-3</v>
      </c>
      <c r="W189" s="1"/>
      <c r="X189" s="1">
        <f t="shared" ref="X189:X193" si="37">+P189-T189</f>
        <v>-4845.9900000000052</v>
      </c>
      <c r="Y189" s="1"/>
      <c r="Z189" s="5">
        <f t="shared" ref="Z189:Z193" si="38">IF(T189=0,0,X189/T189)</f>
        <v>-0.10050793321580431</v>
      </c>
    </row>
    <row r="190" spans="1:26" s="24" customFormat="1" hidden="1" outlineLevel="2" x14ac:dyDescent="0.25">
      <c r="A190" s="25"/>
      <c r="B190" s="11" t="str">
        <f>CONCATENATE("          ", "6362", " - ", "ADVERTISING EXPENSE")</f>
        <v xml:space="preserve">          6362 - ADVERTISING EXPENSE</v>
      </c>
      <c r="C190" s="11"/>
      <c r="D190" s="7">
        <v>3634.07</v>
      </c>
      <c r="E190" s="2"/>
      <c r="F190" s="6">
        <f t="shared" si="31"/>
        <v>1.5433777497342017E-3</v>
      </c>
      <c r="G190" s="2"/>
      <c r="H190" s="7">
        <v>8720</v>
      </c>
      <c r="I190" s="2"/>
      <c r="J190" s="6">
        <f t="shared" si="32"/>
        <v>3.3492134124249802E-3</v>
      </c>
      <c r="K190" s="2"/>
      <c r="L190" s="7">
        <f t="shared" si="33"/>
        <v>-5085.93</v>
      </c>
      <c r="M190" s="2"/>
      <c r="N190" s="6">
        <f t="shared" si="34"/>
        <v>-0.58324885321100917</v>
      </c>
      <c r="O190" s="11"/>
      <c r="P190" s="7">
        <v>43369.009999999995</v>
      </c>
      <c r="Q190" s="2"/>
      <c r="R190" s="6">
        <f t="shared" si="35"/>
        <v>4.5667941721469164E-3</v>
      </c>
      <c r="S190" s="2"/>
      <c r="T190" s="7">
        <v>48215</v>
      </c>
      <c r="U190" s="2"/>
      <c r="V190" s="6">
        <f t="shared" si="36"/>
        <v>4.7863136192152142E-3</v>
      </c>
      <c r="W190" s="2"/>
      <c r="X190" s="7">
        <f t="shared" si="37"/>
        <v>-4845.9900000000052</v>
      </c>
      <c r="Y190" s="2"/>
      <c r="Z190" s="6">
        <f t="shared" si="38"/>
        <v>-0.10050793321580431</v>
      </c>
    </row>
    <row r="191" spans="1:26" s="27" customFormat="1" outlineLevel="1" collapsed="1" x14ac:dyDescent="0.25">
      <c r="A191" s="26"/>
      <c r="B191" s="13" t="str">
        <f>CONCATENATE("     ","Bad Debts/Over/Short                              ")</f>
        <v xml:space="preserve">     Bad Debts/Over/Short                              </v>
      </c>
      <c r="C191" s="13"/>
      <c r="D191" s="1">
        <f>SUM(OSRRefD22_3x_0)</f>
        <v>-130.44</v>
      </c>
      <c r="E191" s="1"/>
      <c r="F191" s="5">
        <f t="shared" si="31"/>
        <v>-5.5397445199274986E-5</v>
      </c>
      <c r="G191" s="1"/>
      <c r="H191" s="1">
        <f>SUM(OSRRefH22_3x_0)</f>
        <v>145</v>
      </c>
      <c r="I191" s="1"/>
      <c r="J191" s="5">
        <f t="shared" si="32"/>
        <v>5.5692195504773179E-5</v>
      </c>
      <c r="K191" s="1"/>
      <c r="L191" s="1">
        <f t="shared" si="33"/>
        <v>-275.44</v>
      </c>
      <c r="M191" s="1"/>
      <c r="N191" s="5">
        <f t="shared" si="34"/>
        <v>-1.8995862068965517</v>
      </c>
      <c r="O191" s="13"/>
      <c r="P191" s="1">
        <f>SUM(OSRRefP22_3x_0)</f>
        <v>-263.3</v>
      </c>
      <c r="Q191" s="1"/>
      <c r="R191" s="5">
        <f t="shared" si="35"/>
        <v>-2.7725717177456514E-5</v>
      </c>
      <c r="S191" s="1"/>
      <c r="T191" s="1">
        <f>SUM(OSRRefT22_3x_0)</f>
        <v>1015</v>
      </c>
      <c r="U191" s="1"/>
      <c r="V191" s="5">
        <f t="shared" si="36"/>
        <v>1.0075927249825661E-4</v>
      </c>
      <c r="W191" s="1"/>
      <c r="X191" s="1">
        <f t="shared" si="37"/>
        <v>-1278.3</v>
      </c>
      <c r="Y191" s="1"/>
      <c r="Z191" s="5">
        <f t="shared" si="38"/>
        <v>-1.2594088669950738</v>
      </c>
    </row>
    <row r="192" spans="1:26" s="24" customFormat="1" hidden="1" outlineLevel="2" x14ac:dyDescent="0.25">
      <c r="A192" s="25"/>
      <c r="B192" s="11" t="str">
        <f>CONCATENATE("          ", "6272", " - ", "CASH (OVER/SHORT)")</f>
        <v xml:space="preserve">          6272 - CASH (OVER/SHORT)</v>
      </c>
      <c r="C192" s="11"/>
      <c r="D192" s="7">
        <v>-130.44</v>
      </c>
      <c r="E192" s="2"/>
      <c r="F192" s="6">
        <f t="shared" si="31"/>
        <v>-5.5397445199274986E-5</v>
      </c>
      <c r="G192" s="2"/>
      <c r="H192" s="7">
        <v>135</v>
      </c>
      <c r="I192" s="2"/>
      <c r="J192" s="6">
        <f t="shared" si="32"/>
        <v>5.185135443547848E-5</v>
      </c>
      <c r="K192" s="2"/>
      <c r="L192" s="7">
        <f t="shared" si="33"/>
        <v>-265.44</v>
      </c>
      <c r="M192" s="2"/>
      <c r="N192" s="6">
        <f t="shared" si="34"/>
        <v>-1.9662222222222223</v>
      </c>
      <c r="O192" s="11"/>
      <c r="P192" s="7">
        <v>-308.10000000000002</v>
      </c>
      <c r="Q192" s="2"/>
      <c r="R192" s="6">
        <f t="shared" si="35"/>
        <v>-3.244319583127365E-5</v>
      </c>
      <c r="S192" s="2"/>
      <c r="T192" s="7">
        <v>945</v>
      </c>
      <c r="U192" s="2"/>
      <c r="V192" s="6">
        <f t="shared" si="36"/>
        <v>9.381035715354926E-5</v>
      </c>
      <c r="W192" s="2"/>
      <c r="X192" s="7">
        <f t="shared" si="37"/>
        <v>-1253.0999999999999</v>
      </c>
      <c r="Y192" s="2"/>
      <c r="Z192" s="6">
        <f t="shared" si="38"/>
        <v>-1.3260317460317459</v>
      </c>
    </row>
    <row r="193" spans="1:26" s="24" customFormat="1" hidden="1" outlineLevel="2" x14ac:dyDescent="0.25">
      <c r="A193" s="25"/>
      <c r="B193" s="11" t="str">
        <f>CONCATENATE("          ", "6342", " - ", "BAD DEBT")</f>
        <v xml:space="preserve">          6342 - BAD DEBT</v>
      </c>
      <c r="C193" s="11"/>
      <c r="D193" s="7"/>
      <c r="E193" s="2"/>
      <c r="F193" s="6">
        <f t="shared" si="31"/>
        <v>0</v>
      </c>
      <c r="G193" s="2"/>
      <c r="H193" s="7">
        <v>10</v>
      </c>
      <c r="I193" s="2"/>
      <c r="J193" s="6">
        <f t="shared" si="32"/>
        <v>3.8408410692947026E-6</v>
      </c>
      <c r="K193" s="2"/>
      <c r="L193" s="7">
        <f t="shared" si="33"/>
        <v>-10</v>
      </c>
      <c r="M193" s="2"/>
      <c r="N193" s="6">
        <f t="shared" si="34"/>
        <v>-1</v>
      </c>
      <c r="O193" s="11"/>
      <c r="P193" s="7">
        <v>44.8</v>
      </c>
      <c r="Q193" s="2"/>
      <c r="R193" s="6">
        <f t="shared" si="35"/>
        <v>4.7174786538171349E-6</v>
      </c>
      <c r="S193" s="2"/>
      <c r="T193" s="7">
        <v>70</v>
      </c>
      <c r="U193" s="2"/>
      <c r="V193" s="6">
        <f t="shared" si="36"/>
        <v>6.9489153447073524E-6</v>
      </c>
      <c r="W193" s="2"/>
      <c r="X193" s="7">
        <f t="shared" si="37"/>
        <v>-25.200000000000003</v>
      </c>
      <c r="Y193" s="2"/>
      <c r="Z193" s="6">
        <f t="shared" si="38"/>
        <v>-0.36000000000000004</v>
      </c>
    </row>
    <row r="194" spans="1:26" s="27" customFormat="1" outlineLevel="1" collapsed="1" x14ac:dyDescent="0.25">
      <c r="A194" s="26"/>
      <c r="B194" s="13" t="str">
        <f>CONCATENATE("     ","Bank/card Fees                                    ")</f>
        <v xml:space="preserve">     Bank/card Fees                                    </v>
      </c>
      <c r="C194" s="13"/>
      <c r="D194" s="1">
        <f>SUM(OSRRefD22_4x_0)</f>
        <v>33095.75</v>
      </c>
      <c r="E194" s="1"/>
      <c r="F194" s="5">
        <f t="shared" ref="F194:F200" si="39">IF(D$12=0,0,D194/D$12)</f>
        <v>1.4055657750336592E-2</v>
      </c>
      <c r="G194" s="1"/>
      <c r="H194" s="1">
        <f>SUM(OSRRefH22_4x_0)</f>
        <v>19770</v>
      </c>
      <c r="I194" s="1"/>
      <c r="J194" s="5">
        <f t="shared" ref="J194:J200" si="40">IF(H$12=0,0,H194/H$12)</f>
        <v>7.5933427939956265E-3</v>
      </c>
      <c r="K194" s="1"/>
      <c r="L194" s="1">
        <f t="shared" ref="L194:L200" si="41">+D194-H194</f>
        <v>13325.75</v>
      </c>
      <c r="M194" s="1"/>
      <c r="N194" s="5">
        <f t="shared" ref="N194:N200" si="42">IF(H194=0,0,L194/H194)</f>
        <v>0.67403894790085994</v>
      </c>
      <c r="O194" s="13"/>
      <c r="P194" s="1">
        <f>SUM(OSRRefP22_4x_0)</f>
        <v>181478.93</v>
      </c>
      <c r="Q194" s="1"/>
      <c r="R194" s="5">
        <f t="shared" ref="R194:R200" si="43">IF(P$12=0,0,P194/P$12)</f>
        <v>1.9109887910548528E-2</v>
      </c>
      <c r="S194" s="1"/>
      <c r="T194" s="1">
        <f>SUM(OSRRefT22_4x_0)</f>
        <v>184964</v>
      </c>
      <c r="U194" s="1"/>
      <c r="V194" s="5">
        <f t="shared" ref="V194:V200" si="44">IF(T$12=0,0,T194/T$12)</f>
        <v>1.8361416825977868E-2</v>
      </c>
      <c r="W194" s="1"/>
      <c r="X194" s="1">
        <f t="shared" ref="X194:X200" si="45">+P194-T194</f>
        <v>-3485.070000000007</v>
      </c>
      <c r="Y194" s="1"/>
      <c r="Z194" s="5">
        <f t="shared" ref="Z194:Z200" si="46">IF(T194=0,0,X194/T194)</f>
        <v>-1.8841882744750366E-2</v>
      </c>
    </row>
    <row r="195" spans="1:26" s="24" customFormat="1" hidden="1" outlineLevel="2" x14ac:dyDescent="0.25">
      <c r="A195" s="25"/>
      <c r="B195" s="11" t="str">
        <f>CONCATENATE("          ", "6381", " - ", "BANK/CREDIT CARD FEES")</f>
        <v xml:space="preserve">          6381 - BANK/CREDIT CARD FEES</v>
      </c>
      <c r="C195" s="11"/>
      <c r="D195" s="7">
        <v>33095.75</v>
      </c>
      <c r="E195" s="2"/>
      <c r="F195" s="6">
        <f t="shared" si="39"/>
        <v>1.4055657750336592E-2</v>
      </c>
      <c r="G195" s="2"/>
      <c r="H195" s="7">
        <v>19770</v>
      </c>
      <c r="I195" s="2"/>
      <c r="J195" s="6">
        <f t="shared" si="40"/>
        <v>7.5933427939956265E-3</v>
      </c>
      <c r="K195" s="2"/>
      <c r="L195" s="7">
        <f t="shared" si="41"/>
        <v>13325.75</v>
      </c>
      <c r="M195" s="2"/>
      <c r="N195" s="6">
        <f t="shared" si="42"/>
        <v>0.67403894790085994</v>
      </c>
      <c r="O195" s="11"/>
      <c r="P195" s="7">
        <v>181478.93</v>
      </c>
      <c r="Q195" s="2"/>
      <c r="R195" s="6">
        <f t="shared" si="43"/>
        <v>1.9109887910548528E-2</v>
      </c>
      <c r="S195" s="2"/>
      <c r="T195" s="7">
        <v>184964</v>
      </c>
      <c r="U195" s="2"/>
      <c r="V195" s="6">
        <f t="shared" si="44"/>
        <v>1.8361416825977868E-2</v>
      </c>
      <c r="W195" s="2"/>
      <c r="X195" s="7">
        <f t="shared" si="45"/>
        <v>-3485.070000000007</v>
      </c>
      <c r="Y195" s="2"/>
      <c r="Z195" s="6">
        <f t="shared" si="46"/>
        <v>-1.8841882744750366E-2</v>
      </c>
    </row>
    <row r="196" spans="1:26" s="27" customFormat="1" outlineLevel="1" collapsed="1" x14ac:dyDescent="0.25">
      <c r="A196" s="26"/>
      <c r="B196" s="13" t="str">
        <f>CONCATENATE("     ","Depreciation                                      ")</f>
        <v xml:space="preserve">     Depreciation                                      </v>
      </c>
      <c r="C196" s="13"/>
      <c r="D196" s="1">
        <f>SUM(OSRRefD22_5x_0)</f>
        <v>38324.210000000006</v>
      </c>
      <c r="E196" s="1"/>
      <c r="F196" s="5">
        <f t="shared" si="39"/>
        <v>1.6276167765106615E-2</v>
      </c>
      <c r="G196" s="1"/>
      <c r="H196" s="1">
        <f>SUM(OSRRefH22_5x_0)</f>
        <v>40505</v>
      </c>
      <c r="I196" s="1"/>
      <c r="J196" s="5">
        <f t="shared" si="40"/>
        <v>1.5557326751178191E-2</v>
      </c>
      <c r="K196" s="1"/>
      <c r="L196" s="1">
        <f t="shared" si="41"/>
        <v>-2180.7899999999936</v>
      </c>
      <c r="M196" s="1"/>
      <c r="N196" s="5">
        <f t="shared" si="42"/>
        <v>-5.3840019750647908E-2</v>
      </c>
      <c r="O196" s="13"/>
      <c r="P196" s="1">
        <f>SUM(OSRRefP22_5x_0)</f>
        <v>266702.97000000003</v>
      </c>
      <c r="Q196" s="1"/>
      <c r="R196" s="5">
        <f t="shared" si="43"/>
        <v>2.8084052854567679E-2</v>
      </c>
      <c r="S196" s="1"/>
      <c r="T196" s="1">
        <f>SUM(OSRRefT22_5x_0)</f>
        <v>275198</v>
      </c>
      <c r="U196" s="1"/>
      <c r="V196" s="5">
        <f t="shared" si="44"/>
        <v>2.7318965786182484E-2</v>
      </c>
      <c r="W196" s="1"/>
      <c r="X196" s="1">
        <f t="shared" si="45"/>
        <v>-8495.0299999999697</v>
      </c>
      <c r="Y196" s="1"/>
      <c r="Z196" s="5">
        <f t="shared" si="46"/>
        <v>-3.0868792651109273E-2</v>
      </c>
    </row>
    <row r="197" spans="1:26" s="24" customFormat="1" hidden="1" outlineLevel="2" x14ac:dyDescent="0.25">
      <c r="A197" s="25"/>
      <c r="B197" s="11" t="str">
        <f>CONCATENATE("          ", "6321", " - ", "BUILDING DEPRECIATION")</f>
        <v xml:space="preserve">          6321 - BUILDING DEPRECIATION</v>
      </c>
      <c r="C197" s="11"/>
      <c r="D197" s="7">
        <v>21477.030000000002</v>
      </c>
      <c r="E197" s="2"/>
      <c r="F197" s="6">
        <f t="shared" si="39"/>
        <v>9.1212250265883549E-3</v>
      </c>
      <c r="G197" s="2"/>
      <c r="H197" s="7">
        <v>21478</v>
      </c>
      <c r="I197" s="2"/>
      <c r="J197" s="6">
        <f t="shared" si="40"/>
        <v>8.2493584486311618E-3</v>
      </c>
      <c r="K197" s="2"/>
      <c r="L197" s="7">
        <f t="shared" si="41"/>
        <v>-0.96999999999752617</v>
      </c>
      <c r="M197" s="2"/>
      <c r="N197" s="6">
        <f t="shared" si="42"/>
        <v>-4.5162491852012582E-5</v>
      </c>
      <c r="O197" s="11"/>
      <c r="P197" s="7">
        <v>150339.21000000002</v>
      </c>
      <c r="Q197" s="2"/>
      <c r="R197" s="6">
        <f t="shared" si="43"/>
        <v>1.5830848526935976E-2</v>
      </c>
      <c r="S197" s="2"/>
      <c r="T197" s="7">
        <v>150514</v>
      </c>
      <c r="U197" s="2"/>
      <c r="V197" s="6">
        <f t="shared" si="44"/>
        <v>1.4941557774189748E-2</v>
      </c>
      <c r="W197" s="2"/>
      <c r="X197" s="7">
        <f t="shared" si="45"/>
        <v>-174.78999999997905</v>
      </c>
      <c r="Y197" s="2"/>
      <c r="Z197" s="6">
        <f t="shared" si="46"/>
        <v>-1.161287322109432E-3</v>
      </c>
    </row>
    <row r="198" spans="1:26" s="24" customFormat="1" hidden="1" outlineLevel="2" x14ac:dyDescent="0.25">
      <c r="A198" s="25"/>
      <c r="B198" s="11" t="str">
        <f>CONCATENATE("          ", "6322", " - ", "EQUIPMENT DEPRECIATION EXPENSE")</f>
        <v xml:space="preserve">          6322 - EQUIPMENT DEPRECIATION EXPENSE</v>
      </c>
      <c r="C198" s="11"/>
      <c r="D198" s="7">
        <v>16847.18</v>
      </c>
      <c r="E198" s="2"/>
      <c r="F198" s="6">
        <f t="shared" si="39"/>
        <v>7.1549427385182579E-3</v>
      </c>
      <c r="G198" s="2"/>
      <c r="H198" s="7">
        <v>16224</v>
      </c>
      <c r="I198" s="2"/>
      <c r="J198" s="6">
        <f t="shared" si="40"/>
        <v>6.2313805508237251E-3</v>
      </c>
      <c r="K198" s="2"/>
      <c r="L198" s="7">
        <f t="shared" si="41"/>
        <v>623.18000000000029</v>
      </c>
      <c r="M198" s="2"/>
      <c r="N198" s="6">
        <f t="shared" si="42"/>
        <v>3.841099605522684E-2</v>
      </c>
      <c r="O198" s="11"/>
      <c r="P198" s="7">
        <v>116363.76</v>
      </c>
      <c r="Q198" s="2"/>
      <c r="R198" s="6">
        <f t="shared" si="43"/>
        <v>1.2253204327631701E-2</v>
      </c>
      <c r="S198" s="2"/>
      <c r="T198" s="7">
        <v>113568</v>
      </c>
      <c r="U198" s="2"/>
      <c r="V198" s="6">
        <f t="shared" si="44"/>
        <v>1.1273920255253209E-2</v>
      </c>
      <c r="W198" s="2"/>
      <c r="X198" s="7">
        <f t="shared" si="45"/>
        <v>2795.7599999999948</v>
      </c>
      <c r="Y198" s="2"/>
      <c r="Z198" s="6">
        <f t="shared" si="46"/>
        <v>2.4617497886728609E-2</v>
      </c>
    </row>
    <row r="199" spans="1:26" s="24" customFormat="1" hidden="1" outlineLevel="2" x14ac:dyDescent="0.25">
      <c r="A199" s="25"/>
      <c r="B199" s="11" t="str">
        <f>CONCATENATE("          ", "6324", " - ", "FURNITURE + FIXT DEPRECIATION")</f>
        <v xml:space="preserve">          6324 - FURNITURE + FIXT DEPRECIATION</v>
      </c>
      <c r="C199" s="11"/>
      <c r="D199" s="7"/>
      <c r="E199" s="2"/>
      <c r="F199" s="6">
        <f t="shared" si="39"/>
        <v>0</v>
      </c>
      <c r="G199" s="2"/>
      <c r="H199" s="7">
        <v>2470</v>
      </c>
      <c r="I199" s="2"/>
      <c r="J199" s="6">
        <f t="shared" si="40"/>
        <v>9.4868774411579148E-4</v>
      </c>
      <c r="K199" s="2"/>
      <c r="L199" s="7">
        <f t="shared" si="41"/>
        <v>-2470</v>
      </c>
      <c r="M199" s="2"/>
      <c r="N199" s="6">
        <f t="shared" si="42"/>
        <v>-1</v>
      </c>
      <c r="O199" s="11"/>
      <c r="P199" s="7"/>
      <c r="Q199" s="2"/>
      <c r="R199" s="6">
        <f t="shared" si="43"/>
        <v>0</v>
      </c>
      <c r="S199" s="2"/>
      <c r="T199" s="7">
        <v>9784</v>
      </c>
      <c r="U199" s="2"/>
      <c r="V199" s="6">
        <f t="shared" si="44"/>
        <v>9.712598247516676E-4</v>
      </c>
      <c r="W199" s="2"/>
      <c r="X199" s="7">
        <f t="shared" si="45"/>
        <v>-9784</v>
      </c>
      <c r="Y199" s="2"/>
      <c r="Z199" s="6">
        <f t="shared" si="46"/>
        <v>-1</v>
      </c>
    </row>
    <row r="200" spans="1:26" s="24" customFormat="1" hidden="1" outlineLevel="2" x14ac:dyDescent="0.25">
      <c r="A200" s="25"/>
      <c r="B200" s="11" t="str">
        <f>CONCATENATE("          ", "6326", " - ", "VEHICLES DEPRECIATION EXPENSE")</f>
        <v xml:space="preserve">          6326 - VEHICLES DEPRECIATION EXPENSE</v>
      </c>
      <c r="C200" s="11"/>
      <c r="D200" s="7"/>
      <c r="E200" s="2"/>
      <c r="F200" s="6">
        <f t="shared" si="39"/>
        <v>0</v>
      </c>
      <c r="G200" s="2"/>
      <c r="H200" s="7">
        <v>333</v>
      </c>
      <c r="I200" s="2"/>
      <c r="J200" s="6">
        <f t="shared" si="40"/>
        <v>1.279000076075136E-4</v>
      </c>
      <c r="K200" s="2"/>
      <c r="L200" s="7">
        <f t="shared" si="41"/>
        <v>-333</v>
      </c>
      <c r="M200" s="2"/>
      <c r="N200" s="6">
        <f t="shared" si="42"/>
        <v>-1</v>
      </c>
      <c r="O200" s="11"/>
      <c r="P200" s="7"/>
      <c r="Q200" s="2"/>
      <c r="R200" s="6">
        <f t="shared" si="43"/>
        <v>0</v>
      </c>
      <c r="S200" s="2"/>
      <c r="T200" s="7">
        <v>1332</v>
      </c>
      <c r="U200" s="2"/>
      <c r="V200" s="6">
        <f t="shared" si="44"/>
        <v>1.3222793198785991E-4</v>
      </c>
      <c r="W200" s="2"/>
      <c r="X200" s="7">
        <f t="shared" si="45"/>
        <v>-1332</v>
      </c>
      <c r="Y200" s="2"/>
      <c r="Z200" s="6">
        <f t="shared" si="46"/>
        <v>-1</v>
      </c>
    </row>
    <row r="201" spans="1:26" s="27" customFormat="1" outlineLevel="1" collapsed="1" x14ac:dyDescent="0.25">
      <c r="A201" s="26"/>
      <c r="B201" s="13" t="str">
        <f>CONCATENATE("     ","Discounts and Markdowns                           ")</f>
        <v xml:space="preserve">     Discounts and Markdowns                           </v>
      </c>
      <c r="C201" s="13"/>
      <c r="D201" s="1">
        <f>SUM(OSRRefD22_6x_0)</f>
        <v>36988.130000000005</v>
      </c>
      <c r="E201" s="1"/>
      <c r="F201" s="5">
        <f t="shared" ref="F201:F203" si="47">IF(D$12=0,0,D201/D$12)</f>
        <v>1.5708738919799597E-2</v>
      </c>
      <c r="G201" s="1"/>
      <c r="H201" s="1">
        <f>SUM(OSRRefH22_6x_0)</f>
        <v>37425</v>
      </c>
      <c r="I201" s="1"/>
      <c r="J201" s="5">
        <f t="shared" ref="J201:J203" si="48">IF(H$12=0,0,H201/H$12)</f>
        <v>1.4374347701835422E-2</v>
      </c>
      <c r="K201" s="1"/>
      <c r="L201" s="1">
        <f t="shared" ref="L201:L203" si="49">+D201-H201</f>
        <v>-436.86999999999534</v>
      </c>
      <c r="M201" s="1"/>
      <c r="N201" s="5">
        <f t="shared" ref="N201:N203" si="50">IF(H201=0,0,L201/H201)</f>
        <v>-1.1673213092852247E-2</v>
      </c>
      <c r="O201" s="13"/>
      <c r="P201" s="1">
        <f>SUM(OSRRefP22_6x_0)</f>
        <v>224768.84</v>
      </c>
      <c r="Q201" s="1"/>
      <c r="R201" s="5">
        <f t="shared" ref="R201:R203" si="51">IF(P$12=0,0,P201/P$12)</f>
        <v>2.3668352784447299E-2</v>
      </c>
      <c r="S201" s="1"/>
      <c r="T201" s="1">
        <f>SUM(OSRRefT22_6x_0)</f>
        <v>229475</v>
      </c>
      <c r="U201" s="1"/>
      <c r="V201" s="5">
        <f t="shared" ref="V201:V203" si="52">IF(T$12=0,0,T201/T$12)</f>
        <v>2.2780033553238852E-2</v>
      </c>
      <c r="W201" s="1"/>
      <c r="X201" s="1">
        <f t="shared" ref="X201:X203" si="53">+P201-T201</f>
        <v>-4706.1600000000035</v>
      </c>
      <c r="Y201" s="1"/>
      <c r="Z201" s="5">
        <f t="shared" ref="Z201:Z203" si="54">IF(T201=0,0,X201/T201)</f>
        <v>-2.0508377818934539E-2</v>
      </c>
    </row>
    <row r="202" spans="1:26" s="24" customFormat="1" hidden="1" outlineLevel="2" x14ac:dyDescent="0.25">
      <c r="A202" s="25"/>
      <c r="B202" s="11" t="str">
        <f>CONCATENATE("          ", "6382", " - ", "DISCOUNTS/MARK DOWNS")</f>
        <v xml:space="preserve">          6382 - DISCOUNTS/MARK DOWNS</v>
      </c>
      <c r="C202" s="11"/>
      <c r="D202" s="7">
        <v>37408.630000000005</v>
      </c>
      <c r="E202" s="2"/>
      <c r="F202" s="6">
        <f t="shared" si="47"/>
        <v>1.5887323906815045E-2</v>
      </c>
      <c r="G202" s="2"/>
      <c r="H202" s="7">
        <v>37425</v>
      </c>
      <c r="I202" s="2"/>
      <c r="J202" s="6">
        <f t="shared" si="48"/>
        <v>1.4374347701835422E-2</v>
      </c>
      <c r="K202" s="2"/>
      <c r="L202" s="7">
        <f t="shared" si="49"/>
        <v>-16.369999999995343</v>
      </c>
      <c r="M202" s="2"/>
      <c r="N202" s="6">
        <f t="shared" si="50"/>
        <v>-4.3740814963247408E-4</v>
      </c>
      <c r="O202" s="11"/>
      <c r="P202" s="7">
        <v>227675.84</v>
      </c>
      <c r="Q202" s="2"/>
      <c r="R202" s="6">
        <f t="shared" si="51"/>
        <v>2.397446239263137E-2</v>
      </c>
      <c r="S202" s="2"/>
      <c r="T202" s="7">
        <v>229475</v>
      </c>
      <c r="U202" s="2"/>
      <c r="V202" s="6">
        <f t="shared" si="52"/>
        <v>2.2780033553238852E-2</v>
      </c>
      <c r="W202" s="2"/>
      <c r="X202" s="7">
        <f t="shared" si="53"/>
        <v>-1799.1600000000035</v>
      </c>
      <c r="Y202" s="2"/>
      <c r="Z202" s="6">
        <f t="shared" si="54"/>
        <v>-7.8403311907615358E-3</v>
      </c>
    </row>
    <row r="203" spans="1:26" s="24" customFormat="1" hidden="1" outlineLevel="2" x14ac:dyDescent="0.25">
      <c r="A203" s="25"/>
      <c r="B203" s="11" t="str">
        <f>CONCATENATE("          ", "9175", " - ", "EARNED DISCOUNTS")</f>
        <v xml:space="preserve">          9175 - EARNED DISCOUNTS</v>
      </c>
      <c r="C203" s="11"/>
      <c r="D203" s="7">
        <v>-420.5</v>
      </c>
      <c r="E203" s="2"/>
      <c r="F203" s="6">
        <f t="shared" si="47"/>
        <v>-1.7858498701544873E-4</v>
      </c>
      <c r="G203" s="2"/>
      <c r="H203" s="7"/>
      <c r="I203" s="2"/>
      <c r="J203" s="6">
        <f t="shared" si="48"/>
        <v>0</v>
      </c>
      <c r="K203" s="2"/>
      <c r="L203" s="7">
        <f t="shared" si="49"/>
        <v>-420.5</v>
      </c>
      <c r="M203" s="2"/>
      <c r="N203" s="6">
        <f t="shared" si="50"/>
        <v>0</v>
      </c>
      <c r="O203" s="11"/>
      <c r="P203" s="7">
        <v>-2907</v>
      </c>
      <c r="Q203" s="2"/>
      <c r="R203" s="6">
        <f t="shared" si="51"/>
        <v>-3.0610960818407173E-4</v>
      </c>
      <c r="S203" s="2"/>
      <c r="T203" s="7"/>
      <c r="U203" s="2"/>
      <c r="V203" s="6">
        <f t="shared" si="52"/>
        <v>0</v>
      </c>
      <c r="W203" s="2"/>
      <c r="X203" s="7">
        <f t="shared" si="53"/>
        <v>-2907</v>
      </c>
      <c r="Y203" s="2"/>
      <c r="Z203" s="6">
        <f t="shared" si="54"/>
        <v>0</v>
      </c>
    </row>
    <row r="204" spans="1:26" s="27" customFormat="1" outlineLevel="1" collapsed="1" x14ac:dyDescent="0.25">
      <c r="A204" s="26"/>
      <c r="B204" s="13" t="str">
        <f>CONCATENATE("     ","Donations                                         ")</f>
        <v xml:space="preserve">     Donations                                         </v>
      </c>
      <c r="C204" s="13"/>
      <c r="D204" s="1">
        <f>SUM(OSRRefD22_7x_0)</f>
        <v>0</v>
      </c>
      <c r="E204" s="1"/>
      <c r="F204" s="5">
        <f t="shared" ref="F204:F206" si="55">IF(D$12=0,0,D204/D$12)</f>
        <v>0</v>
      </c>
      <c r="G204" s="1"/>
      <c r="H204" s="1">
        <f>SUM(OSRRefH22_7x_0)</f>
        <v>1025</v>
      </c>
      <c r="I204" s="1"/>
      <c r="J204" s="5">
        <f t="shared" ref="J204:J206" si="56">IF(H$12=0,0,H204/H$12)</f>
        <v>3.9368620960270696E-4</v>
      </c>
      <c r="K204" s="1"/>
      <c r="L204" s="1">
        <f t="shared" ref="L204:L206" si="57">+D204-H204</f>
        <v>-1025</v>
      </c>
      <c r="M204" s="1"/>
      <c r="N204" s="5">
        <f t="shared" ref="N204:N206" si="58">IF(H204=0,0,L204/H204)</f>
        <v>-1</v>
      </c>
      <c r="O204" s="13"/>
      <c r="P204" s="1">
        <f>SUM(OSRRefP22_7x_0)</f>
        <v>9798.2199999999993</v>
      </c>
      <c r="Q204" s="1"/>
      <c r="R204" s="5">
        <f t="shared" ref="R204:R206" si="59">IF(P$12=0,0,P204/P$12)</f>
        <v>1.0317610199866993E-3</v>
      </c>
      <c r="S204" s="1"/>
      <c r="T204" s="1">
        <f>SUM(OSRRefT22_7x_0)</f>
        <v>7250</v>
      </c>
      <c r="U204" s="1"/>
      <c r="V204" s="5">
        <f t="shared" ref="V204:V206" si="60">IF(T$12=0,0,T204/T$12)</f>
        <v>7.1970908927326143E-4</v>
      </c>
      <c r="W204" s="1"/>
      <c r="X204" s="1">
        <f t="shared" ref="X204:X206" si="61">+P204-T204</f>
        <v>2548.2199999999993</v>
      </c>
      <c r="Y204" s="1"/>
      <c r="Z204" s="5">
        <f t="shared" ref="Z204:Z206" si="62">IF(T204=0,0,X204/T204)</f>
        <v>0.35147862068965507</v>
      </c>
    </row>
    <row r="205" spans="1:26" s="24" customFormat="1" hidden="1" outlineLevel="2" x14ac:dyDescent="0.25">
      <c r="A205" s="25"/>
      <c r="B205" s="11" t="str">
        <f>CONCATENATE("          ", "6395", " - ", "DONATION-OFF CAMPUS")</f>
        <v xml:space="preserve">          6395 - DONATION-OFF CAMPUS</v>
      </c>
      <c r="C205" s="11"/>
      <c r="D205" s="7"/>
      <c r="E205" s="2"/>
      <c r="F205" s="6">
        <f t="shared" si="55"/>
        <v>0</v>
      </c>
      <c r="G205" s="2"/>
      <c r="H205" s="7">
        <v>1025</v>
      </c>
      <c r="I205" s="2"/>
      <c r="J205" s="6">
        <f t="shared" si="56"/>
        <v>3.9368620960270696E-4</v>
      </c>
      <c r="K205" s="2"/>
      <c r="L205" s="7">
        <f t="shared" si="57"/>
        <v>-1025</v>
      </c>
      <c r="M205" s="2"/>
      <c r="N205" s="6">
        <f t="shared" si="58"/>
        <v>-1</v>
      </c>
      <c r="O205" s="11"/>
      <c r="P205" s="7"/>
      <c r="Q205" s="2"/>
      <c r="R205" s="6">
        <f t="shared" si="59"/>
        <v>0</v>
      </c>
      <c r="S205" s="2"/>
      <c r="T205" s="7">
        <v>7250</v>
      </c>
      <c r="U205" s="2"/>
      <c r="V205" s="6">
        <f t="shared" si="60"/>
        <v>7.1970908927326143E-4</v>
      </c>
      <c r="W205" s="2"/>
      <c r="X205" s="7">
        <f t="shared" si="61"/>
        <v>-7250</v>
      </c>
      <c r="Y205" s="2"/>
      <c r="Z205" s="6">
        <f t="shared" si="62"/>
        <v>-1</v>
      </c>
    </row>
    <row r="206" spans="1:26" s="24" customFormat="1" hidden="1" outlineLevel="2" x14ac:dyDescent="0.25">
      <c r="A206" s="25"/>
      <c r="B206" s="11" t="str">
        <f>CONCATENATE("          ", "6399", " - ", "DONATION-ON CAMPUS")</f>
        <v xml:space="preserve">          6399 - DONATION-ON CAMPUS</v>
      </c>
      <c r="C206" s="11"/>
      <c r="D206" s="7"/>
      <c r="E206" s="2"/>
      <c r="F206" s="6">
        <f t="shared" si="55"/>
        <v>0</v>
      </c>
      <c r="G206" s="2"/>
      <c r="H206" s="7"/>
      <c r="I206" s="2"/>
      <c r="J206" s="6">
        <f t="shared" si="56"/>
        <v>0</v>
      </c>
      <c r="K206" s="2"/>
      <c r="L206" s="7">
        <f t="shared" si="57"/>
        <v>0</v>
      </c>
      <c r="M206" s="2"/>
      <c r="N206" s="6">
        <f t="shared" si="58"/>
        <v>0</v>
      </c>
      <c r="O206" s="11"/>
      <c r="P206" s="7">
        <v>9798.2199999999993</v>
      </c>
      <c r="Q206" s="2"/>
      <c r="R206" s="6">
        <f t="shared" si="59"/>
        <v>1.0317610199866993E-3</v>
      </c>
      <c r="S206" s="2"/>
      <c r="T206" s="7"/>
      <c r="U206" s="2"/>
      <c r="V206" s="6">
        <f t="shared" si="60"/>
        <v>0</v>
      </c>
      <c r="W206" s="2"/>
      <c r="X206" s="7">
        <f t="shared" si="61"/>
        <v>9798.2199999999993</v>
      </c>
      <c r="Y206" s="2"/>
      <c r="Z206" s="6">
        <f t="shared" si="62"/>
        <v>0</v>
      </c>
    </row>
    <row r="207" spans="1:26" s="27" customFormat="1" outlineLevel="1" collapsed="1" x14ac:dyDescent="0.25">
      <c r="A207" s="26"/>
      <c r="B207" s="13" t="str">
        <f>CONCATENATE("     ","Employees' Appreciation                           ")</f>
        <v xml:space="preserve">     Employees' Appreciation                           </v>
      </c>
      <c r="C207" s="13"/>
      <c r="D207" s="1">
        <f>SUM(OSRRefD22_8x_0)</f>
        <v>39.909999999999997</v>
      </c>
      <c r="E207" s="1"/>
      <c r="F207" s="5">
        <f t="shared" ref="F207:F213" si="63">IF(D$12=0,0,D207/D$12)</f>
        <v>1.6949647638017975E-5</v>
      </c>
      <c r="G207" s="1"/>
      <c r="H207" s="1">
        <f>SUM(OSRRefH22_8x_0)</f>
        <v>825</v>
      </c>
      <c r="I207" s="1"/>
      <c r="J207" s="5">
        <f t="shared" ref="J207:J213" si="64">IF(H$12=0,0,H207/H$12)</f>
        <v>3.1686938821681292E-4</v>
      </c>
      <c r="K207" s="1"/>
      <c r="L207" s="1">
        <f t="shared" ref="L207:L213" si="65">+D207-H207</f>
        <v>-785.09</v>
      </c>
      <c r="M207" s="1"/>
      <c r="N207" s="5">
        <f t="shared" ref="N207:N213" si="66">IF(H207=0,0,L207/H207)</f>
        <v>-0.95162424242424248</v>
      </c>
      <c r="O207" s="13"/>
      <c r="P207" s="1">
        <f>SUM(OSRRefP22_8x_0)</f>
        <v>1330.87</v>
      </c>
      <c r="Q207" s="1"/>
      <c r="R207" s="5">
        <f t="shared" ref="R207:R213" si="67">IF(P$12=0,0,P207/P$12)</f>
        <v>1.4014175928583951E-4</v>
      </c>
      <c r="S207" s="1"/>
      <c r="T207" s="1">
        <f>SUM(OSRRefT22_8x_0)</f>
        <v>5250</v>
      </c>
      <c r="U207" s="1"/>
      <c r="V207" s="5">
        <f t="shared" ref="V207:V213" si="68">IF(T$12=0,0,T207/T$12)</f>
        <v>5.2116865085305138E-4</v>
      </c>
      <c r="W207" s="1"/>
      <c r="X207" s="1">
        <f t="shared" ref="X207:X213" si="69">+P207-T207</f>
        <v>-3919.13</v>
      </c>
      <c r="Y207" s="1"/>
      <c r="Z207" s="5">
        <f t="shared" ref="Z207:Z213" si="70">IF(T207=0,0,X207/T207)</f>
        <v>-0.74650095238095238</v>
      </c>
    </row>
    <row r="208" spans="1:26" s="24" customFormat="1" hidden="1" outlineLevel="2" x14ac:dyDescent="0.25">
      <c r="A208" s="25"/>
      <c r="B208" s="11" t="str">
        <f>CONCATENATE("          ", "6277", " - ", "EMPLOYEE APPRECIATION")</f>
        <v xml:space="preserve">          6277 - EMPLOYEE APPRECIATION</v>
      </c>
      <c r="C208" s="11"/>
      <c r="D208" s="7">
        <v>39.909999999999997</v>
      </c>
      <c r="E208" s="2"/>
      <c r="F208" s="6">
        <f t="shared" si="63"/>
        <v>1.6949647638017975E-5</v>
      </c>
      <c r="G208" s="2"/>
      <c r="H208" s="7">
        <v>825</v>
      </c>
      <c r="I208" s="2"/>
      <c r="J208" s="6">
        <f t="shared" si="64"/>
        <v>3.1686938821681292E-4</v>
      </c>
      <c r="K208" s="2"/>
      <c r="L208" s="7">
        <f t="shared" si="65"/>
        <v>-785.09</v>
      </c>
      <c r="M208" s="2"/>
      <c r="N208" s="6">
        <f t="shared" si="66"/>
        <v>-0.95162424242424248</v>
      </c>
      <c r="O208" s="11"/>
      <c r="P208" s="7">
        <v>1330.87</v>
      </c>
      <c r="Q208" s="2"/>
      <c r="R208" s="6">
        <f t="shared" si="67"/>
        <v>1.4014175928583951E-4</v>
      </c>
      <c r="S208" s="2"/>
      <c r="T208" s="7">
        <v>5250</v>
      </c>
      <c r="U208" s="2"/>
      <c r="V208" s="6">
        <f t="shared" si="68"/>
        <v>5.2116865085305138E-4</v>
      </c>
      <c r="W208" s="2"/>
      <c r="X208" s="7">
        <f t="shared" si="69"/>
        <v>-3919.13</v>
      </c>
      <c r="Y208" s="2"/>
      <c r="Z208" s="6">
        <f t="shared" si="70"/>
        <v>-0.74650095238095238</v>
      </c>
    </row>
    <row r="209" spans="1:26" s="27" customFormat="1" outlineLevel="1" collapsed="1" x14ac:dyDescent="0.25">
      <c r="A209" s="26"/>
      <c r="B209" s="13" t="str">
        <f>CONCATENATE("     ","Equipment Rental                                  ")</f>
        <v xml:space="preserve">     Equipment Rental                                  </v>
      </c>
      <c r="C209" s="13"/>
      <c r="D209" s="1">
        <f>SUM(OSRRefD22_9x_0)</f>
        <v>1481.16</v>
      </c>
      <c r="E209" s="1"/>
      <c r="F209" s="5">
        <f t="shared" si="63"/>
        <v>6.2904385105303699E-4</v>
      </c>
      <c r="G209" s="1"/>
      <c r="H209" s="1">
        <f>SUM(OSRRefH22_9x_0)</f>
        <v>3305</v>
      </c>
      <c r="I209" s="1"/>
      <c r="J209" s="5">
        <f t="shared" si="64"/>
        <v>1.269397973401899E-3</v>
      </c>
      <c r="K209" s="1"/>
      <c r="L209" s="1">
        <f t="shared" si="65"/>
        <v>-1823.84</v>
      </c>
      <c r="M209" s="1"/>
      <c r="N209" s="5">
        <f t="shared" si="66"/>
        <v>-0.55184266263237514</v>
      </c>
      <c r="O209" s="13"/>
      <c r="P209" s="1">
        <f>SUM(OSRRefP22_9x_0)</f>
        <v>13252.27</v>
      </c>
      <c r="Q209" s="1"/>
      <c r="R209" s="5">
        <f t="shared" si="67"/>
        <v>1.3954754651701164E-3</v>
      </c>
      <c r="S209" s="1"/>
      <c r="T209" s="1">
        <f>SUM(OSRRefT22_9x_0)</f>
        <v>23135</v>
      </c>
      <c r="U209" s="1"/>
      <c r="V209" s="5">
        <f t="shared" si="68"/>
        <v>2.2966165214257797E-3</v>
      </c>
      <c r="W209" s="1"/>
      <c r="X209" s="1">
        <f t="shared" si="69"/>
        <v>-9882.73</v>
      </c>
      <c r="Y209" s="1"/>
      <c r="Z209" s="5">
        <f t="shared" si="70"/>
        <v>-0.42717657229306244</v>
      </c>
    </row>
    <row r="210" spans="1:26" s="24" customFormat="1" hidden="1" outlineLevel="2" x14ac:dyDescent="0.25">
      <c r="A210" s="25"/>
      <c r="B210" s="11" t="str">
        <f>CONCATENATE("          ", "6351", " - ", "EQUIPMENT RENTAL")</f>
        <v xml:space="preserve">          6351 - EQUIPMENT RENTAL</v>
      </c>
      <c r="C210" s="11"/>
      <c r="D210" s="7">
        <v>1481.16</v>
      </c>
      <c r="E210" s="2"/>
      <c r="F210" s="6">
        <f t="shared" si="63"/>
        <v>6.2904385105303699E-4</v>
      </c>
      <c r="G210" s="2"/>
      <c r="H210" s="7">
        <v>3305</v>
      </c>
      <c r="I210" s="2"/>
      <c r="J210" s="6">
        <f t="shared" si="64"/>
        <v>1.269397973401899E-3</v>
      </c>
      <c r="K210" s="2"/>
      <c r="L210" s="7">
        <f t="shared" si="65"/>
        <v>-1823.84</v>
      </c>
      <c r="M210" s="2"/>
      <c r="N210" s="6">
        <f t="shared" si="66"/>
        <v>-0.55184266263237514</v>
      </c>
      <c r="O210" s="11"/>
      <c r="P210" s="7">
        <v>13252.27</v>
      </c>
      <c r="Q210" s="2"/>
      <c r="R210" s="6">
        <f t="shared" si="67"/>
        <v>1.3954754651701164E-3</v>
      </c>
      <c r="S210" s="2"/>
      <c r="T210" s="7">
        <v>23135</v>
      </c>
      <c r="U210" s="2"/>
      <c r="V210" s="6">
        <f t="shared" si="68"/>
        <v>2.2966165214257797E-3</v>
      </c>
      <c r="W210" s="2"/>
      <c r="X210" s="7">
        <f t="shared" si="69"/>
        <v>-9882.73</v>
      </c>
      <c r="Y210" s="2"/>
      <c r="Z210" s="6">
        <f t="shared" si="70"/>
        <v>-0.42717657229306244</v>
      </c>
    </row>
    <row r="211" spans="1:26" s="27" customFormat="1" outlineLevel="1" collapsed="1" x14ac:dyDescent="0.25">
      <c r="A211" s="26"/>
      <c r="B211" s="13" t="str">
        <f>CONCATENATE("     ","Freight out/Postage                               ")</f>
        <v xml:space="preserve">     Freight out/Postage                               </v>
      </c>
      <c r="C211" s="13"/>
      <c r="D211" s="1">
        <f>SUM(OSRRefD22_10x_0)</f>
        <v>-13208.339999999997</v>
      </c>
      <c r="E211" s="1"/>
      <c r="F211" s="5">
        <f t="shared" si="63"/>
        <v>-5.6095391852452594E-3</v>
      </c>
      <c r="G211" s="1"/>
      <c r="H211" s="1">
        <f>SUM(OSRRefH22_10x_0)</f>
        <v>-23210</v>
      </c>
      <c r="I211" s="1"/>
      <c r="J211" s="5">
        <f t="shared" si="64"/>
        <v>-8.9145921218330045E-3</v>
      </c>
      <c r="K211" s="1"/>
      <c r="L211" s="1">
        <f t="shared" si="65"/>
        <v>10001.660000000003</v>
      </c>
      <c r="M211" s="1"/>
      <c r="N211" s="5">
        <f t="shared" si="66"/>
        <v>-0.43092029297716516</v>
      </c>
      <c r="O211" s="13"/>
      <c r="P211" s="1">
        <f>SUM(OSRRefP22_10x_0)</f>
        <v>-6424.0699999999924</v>
      </c>
      <c r="Q211" s="1"/>
      <c r="R211" s="5">
        <f t="shared" si="67"/>
        <v>-6.7646011374167432E-4</v>
      </c>
      <c r="S211" s="1"/>
      <c r="T211" s="1">
        <f>SUM(OSRRefT22_10x_0)</f>
        <v>-53170</v>
      </c>
      <c r="U211" s="1"/>
      <c r="V211" s="5">
        <f t="shared" si="68"/>
        <v>-5.278197555401285E-3</v>
      </c>
      <c r="W211" s="1"/>
      <c r="X211" s="1">
        <f t="shared" si="69"/>
        <v>46745.930000000008</v>
      </c>
      <c r="Y211" s="1"/>
      <c r="Z211" s="5">
        <f t="shared" si="70"/>
        <v>-0.87917867218356227</v>
      </c>
    </row>
    <row r="212" spans="1:26" s="24" customFormat="1" hidden="1" outlineLevel="2" x14ac:dyDescent="0.25">
      <c r="A212" s="25"/>
      <c r="B212" s="11" t="str">
        <f>CONCATENATE("          ", "6305", " - ", "FREIGHT OUT")</f>
        <v xml:space="preserve">          6305 - FREIGHT OUT</v>
      </c>
      <c r="C212" s="11"/>
      <c r="D212" s="7">
        <v>2315.63</v>
      </c>
      <c r="E212" s="2"/>
      <c r="F212" s="6">
        <f t="shared" si="63"/>
        <v>9.8344055524990153E-4</v>
      </c>
      <c r="G212" s="2"/>
      <c r="H212" s="7">
        <v>-23250</v>
      </c>
      <c r="I212" s="2"/>
      <c r="J212" s="6">
        <f t="shared" si="64"/>
        <v>-8.9299554861101832E-3</v>
      </c>
      <c r="K212" s="2"/>
      <c r="L212" s="7">
        <f t="shared" si="65"/>
        <v>25565.63</v>
      </c>
      <c r="M212" s="2"/>
      <c r="N212" s="6">
        <f t="shared" si="66"/>
        <v>-1.0995969892473119</v>
      </c>
      <c r="O212" s="11"/>
      <c r="P212" s="7">
        <v>37253.740000000005</v>
      </c>
      <c r="Q212" s="2"/>
      <c r="R212" s="6">
        <f t="shared" si="67"/>
        <v>3.9228509648404821E-3</v>
      </c>
      <c r="S212" s="2"/>
      <c r="T212" s="7">
        <v>-53450</v>
      </c>
      <c r="U212" s="2"/>
      <c r="V212" s="6">
        <f t="shared" si="68"/>
        <v>-5.305993216780114E-3</v>
      </c>
      <c r="W212" s="2"/>
      <c r="X212" s="7">
        <f t="shared" si="69"/>
        <v>90703.74</v>
      </c>
      <c r="Y212" s="2"/>
      <c r="Z212" s="6">
        <f t="shared" si="70"/>
        <v>-1.6969829747427503</v>
      </c>
    </row>
    <row r="213" spans="1:26" s="24" customFormat="1" hidden="1" outlineLevel="2" x14ac:dyDescent="0.25">
      <c r="A213" s="25"/>
      <c r="B213" s="11" t="str">
        <f>CONCATENATE("          ", "6307", " - ", "POSTAGE")</f>
        <v xml:space="preserve">          6307 - POSTAGE</v>
      </c>
      <c r="C213" s="11"/>
      <c r="D213" s="7">
        <v>-15523.969999999998</v>
      </c>
      <c r="E213" s="2"/>
      <c r="F213" s="6">
        <f t="shared" si="63"/>
        <v>-6.5929797404951605E-3</v>
      </c>
      <c r="G213" s="2"/>
      <c r="H213" s="7">
        <v>40</v>
      </c>
      <c r="I213" s="2"/>
      <c r="J213" s="6">
        <f t="shared" si="64"/>
        <v>1.536336427717881E-5</v>
      </c>
      <c r="K213" s="2"/>
      <c r="L213" s="7">
        <f t="shared" si="65"/>
        <v>-15563.969999999998</v>
      </c>
      <c r="M213" s="2"/>
      <c r="N213" s="6">
        <f t="shared" si="66"/>
        <v>-389.09924999999993</v>
      </c>
      <c r="O213" s="11"/>
      <c r="P213" s="7">
        <v>-43677.81</v>
      </c>
      <c r="Q213" s="2"/>
      <c r="R213" s="6">
        <f t="shared" si="67"/>
        <v>-4.5993110785821564E-3</v>
      </c>
      <c r="S213" s="2"/>
      <c r="T213" s="7">
        <v>280</v>
      </c>
      <c r="U213" s="2"/>
      <c r="V213" s="6">
        <f t="shared" si="68"/>
        <v>2.779566137882941E-5</v>
      </c>
      <c r="W213" s="2"/>
      <c r="X213" s="7">
        <f t="shared" si="69"/>
        <v>-43957.81</v>
      </c>
      <c r="Y213" s="2"/>
      <c r="Z213" s="6">
        <f t="shared" si="70"/>
        <v>-156.99217857142855</v>
      </c>
    </row>
    <row r="214" spans="1:26" s="27" customFormat="1" outlineLevel="1" collapsed="1" x14ac:dyDescent="0.25">
      <c r="A214" s="26"/>
      <c r="B214" s="13" t="str">
        <f>CONCATENATE("     ","General                                           ")</f>
        <v xml:space="preserve">     General                                           </v>
      </c>
      <c r="C214" s="13"/>
      <c r="D214" s="1">
        <f>SUM(OSRRefD22_11x_0)</f>
        <v>3959.86</v>
      </c>
      <c r="E214" s="1"/>
      <c r="F214" s="5">
        <f t="shared" ref="F214:F232" si="71">IF(D$12=0,0,D214/D$12)</f>
        <v>1.6817397067372052E-3</v>
      </c>
      <c r="G214" s="1"/>
      <c r="H214" s="1">
        <f>SUM(OSRRefH22_11x_0)</f>
        <v>2334</v>
      </c>
      <c r="I214" s="1"/>
      <c r="J214" s="5">
        <f t="shared" ref="J214:J232" si="72">IF(H$12=0,0,H214/H$12)</f>
        <v>8.9645230557338349E-4</v>
      </c>
      <c r="K214" s="1"/>
      <c r="L214" s="1">
        <f t="shared" ref="L214:L232" si="73">+D214-H214</f>
        <v>1625.8600000000001</v>
      </c>
      <c r="M214" s="1"/>
      <c r="N214" s="5">
        <f t="shared" ref="N214:N232" si="74">IF(H214=0,0,L214/H214)</f>
        <v>0.69659811482433598</v>
      </c>
      <c r="O214" s="13"/>
      <c r="P214" s="1">
        <f>SUM(OSRRefP22_11x_0)</f>
        <v>9441.25</v>
      </c>
      <c r="Q214" s="1"/>
      <c r="R214" s="5">
        <f t="shared" ref="R214:R232" si="75">IF(P$12=0,0,P214/P$12)</f>
        <v>9.9417177098997831E-4</v>
      </c>
      <c r="S214" s="1"/>
      <c r="T214" s="1">
        <f>SUM(OSRRefT22_11x_0)</f>
        <v>25466</v>
      </c>
      <c r="U214" s="1"/>
      <c r="V214" s="5">
        <f t="shared" ref="V214:V232" si="76">IF(T$12=0,0,T214/T$12)</f>
        <v>2.5280154024045348E-3</v>
      </c>
      <c r="W214" s="1"/>
      <c r="X214" s="1">
        <f t="shared" ref="X214:X232" si="77">+P214-T214</f>
        <v>-16024.75</v>
      </c>
      <c r="Y214" s="1"/>
      <c r="Z214" s="5">
        <f t="shared" ref="Z214:Z232" si="78">IF(T214=0,0,X214/T214)</f>
        <v>-0.62926058273776797</v>
      </c>
    </row>
    <row r="215" spans="1:26" s="24" customFormat="1" hidden="1" outlineLevel="2" x14ac:dyDescent="0.25">
      <c r="A215" s="25"/>
      <c r="B215" s="11" t="str">
        <f>CONCATENATE("          ", "6279", " - ", "GENERAL EXPENSE")</f>
        <v xml:space="preserve">          6279 - GENERAL EXPENSE</v>
      </c>
      <c r="C215" s="11"/>
      <c r="D215" s="7">
        <v>3959.86</v>
      </c>
      <c r="E215" s="2"/>
      <c r="F215" s="6">
        <f t="shared" si="71"/>
        <v>1.6817397067372052E-3</v>
      </c>
      <c r="G215" s="2"/>
      <c r="H215" s="7">
        <v>2334</v>
      </c>
      <c r="I215" s="2"/>
      <c r="J215" s="6">
        <f t="shared" si="72"/>
        <v>8.9645230557338349E-4</v>
      </c>
      <c r="K215" s="2"/>
      <c r="L215" s="7">
        <f t="shared" si="73"/>
        <v>1625.8600000000001</v>
      </c>
      <c r="M215" s="2"/>
      <c r="N215" s="6">
        <f t="shared" si="74"/>
        <v>0.69659811482433598</v>
      </c>
      <c r="O215" s="11"/>
      <c r="P215" s="7">
        <v>9441.25</v>
      </c>
      <c r="Q215" s="2"/>
      <c r="R215" s="6">
        <f t="shared" si="75"/>
        <v>9.9417177098997831E-4</v>
      </c>
      <c r="S215" s="2"/>
      <c r="T215" s="7">
        <v>25466</v>
      </c>
      <c r="U215" s="2"/>
      <c r="V215" s="6">
        <f t="shared" si="76"/>
        <v>2.5280154024045348E-3</v>
      </c>
      <c r="W215" s="2"/>
      <c r="X215" s="7">
        <f t="shared" si="77"/>
        <v>-16024.75</v>
      </c>
      <c r="Y215" s="2"/>
      <c r="Z215" s="6">
        <f t="shared" si="78"/>
        <v>-0.62926058273776797</v>
      </c>
    </row>
    <row r="216" spans="1:26" s="27" customFormat="1" outlineLevel="1" collapsed="1" x14ac:dyDescent="0.25">
      <c r="A216" s="26"/>
      <c r="B216" s="13" t="str">
        <f>CONCATENATE("     ","Insurance                                         ")</f>
        <v xml:space="preserve">     Insurance                                         </v>
      </c>
      <c r="C216" s="13"/>
      <c r="D216" s="1">
        <f>SUM(OSRRefD22_12x_0)</f>
        <v>4288.28</v>
      </c>
      <c r="E216" s="1"/>
      <c r="F216" s="5">
        <f t="shared" si="71"/>
        <v>1.8212186162154778E-3</v>
      </c>
      <c r="G216" s="1"/>
      <c r="H216" s="1">
        <f>SUM(OSRRefH22_12x_0)</f>
        <v>4045</v>
      </c>
      <c r="I216" s="1"/>
      <c r="J216" s="5">
        <f t="shared" si="72"/>
        <v>1.5536202125297071E-3</v>
      </c>
      <c r="K216" s="1"/>
      <c r="L216" s="1">
        <f t="shared" si="73"/>
        <v>243.27999999999975</v>
      </c>
      <c r="M216" s="1"/>
      <c r="N216" s="5">
        <f t="shared" si="74"/>
        <v>6.0143386897404137E-2</v>
      </c>
      <c r="O216" s="13"/>
      <c r="P216" s="1">
        <f>SUM(OSRRefP22_12x_0)</f>
        <v>30017.96</v>
      </c>
      <c r="Q216" s="1"/>
      <c r="R216" s="5">
        <f t="shared" si="75"/>
        <v>3.1609170877485849E-3</v>
      </c>
      <c r="S216" s="1"/>
      <c r="T216" s="1">
        <f>SUM(OSRRefT22_12x_0)</f>
        <v>28315</v>
      </c>
      <c r="U216" s="1"/>
      <c r="V216" s="5">
        <f t="shared" si="76"/>
        <v>2.8108362569341239E-3</v>
      </c>
      <c r="W216" s="1"/>
      <c r="X216" s="1">
        <f t="shared" si="77"/>
        <v>1702.9599999999991</v>
      </c>
      <c r="Y216" s="1"/>
      <c r="Z216" s="5">
        <f t="shared" si="78"/>
        <v>6.0143386897404172E-2</v>
      </c>
    </row>
    <row r="217" spans="1:26" s="24" customFormat="1" hidden="1" outlineLevel="2" x14ac:dyDescent="0.25">
      <c r="A217" s="25"/>
      <c r="B217" s="11" t="str">
        <f>CONCATENATE("          ", "6314", " - ", "LIABILITY INSURANCE")</f>
        <v xml:space="preserve">          6314 - LIABILITY INSURANCE</v>
      </c>
      <c r="C217" s="11"/>
      <c r="D217" s="7">
        <v>4288.28</v>
      </c>
      <c r="E217" s="2"/>
      <c r="F217" s="6">
        <f t="shared" si="71"/>
        <v>1.8212186162154778E-3</v>
      </c>
      <c r="G217" s="2"/>
      <c r="H217" s="7">
        <v>4045</v>
      </c>
      <c r="I217" s="2"/>
      <c r="J217" s="6">
        <f t="shared" si="72"/>
        <v>1.5536202125297071E-3</v>
      </c>
      <c r="K217" s="2"/>
      <c r="L217" s="7">
        <f t="shared" si="73"/>
        <v>243.27999999999975</v>
      </c>
      <c r="M217" s="2"/>
      <c r="N217" s="6">
        <f t="shared" si="74"/>
        <v>6.0143386897404137E-2</v>
      </c>
      <c r="O217" s="11"/>
      <c r="P217" s="7">
        <v>30017.96</v>
      </c>
      <c r="Q217" s="2"/>
      <c r="R217" s="6">
        <f t="shared" si="75"/>
        <v>3.1609170877485849E-3</v>
      </c>
      <c r="S217" s="2"/>
      <c r="T217" s="7">
        <v>28315</v>
      </c>
      <c r="U217" s="2"/>
      <c r="V217" s="6">
        <f t="shared" si="76"/>
        <v>2.8108362569341239E-3</v>
      </c>
      <c r="W217" s="2"/>
      <c r="X217" s="7">
        <f t="shared" si="77"/>
        <v>1702.9599999999991</v>
      </c>
      <c r="Y217" s="2"/>
      <c r="Z217" s="6">
        <f t="shared" si="78"/>
        <v>6.0143386897404172E-2</v>
      </c>
    </row>
    <row r="218" spans="1:26" s="27" customFormat="1" outlineLevel="1" collapsed="1" x14ac:dyDescent="0.25">
      <c r="A218" s="26"/>
      <c r="B218" s="13" t="str">
        <f>CONCATENATE("     ","Interest                                          ")</f>
        <v xml:space="preserve">     Interest                                          </v>
      </c>
      <c r="C218" s="13"/>
      <c r="D218" s="1">
        <f>SUM(OSRRefD22_13x_0)</f>
        <v>4175</v>
      </c>
      <c r="E218" s="1"/>
      <c r="F218" s="5">
        <f t="shared" si="71"/>
        <v>1.7731089673947644E-3</v>
      </c>
      <c r="G218" s="1"/>
      <c r="H218" s="1">
        <f>SUM(OSRRefH22_13x_0)</f>
        <v>4175</v>
      </c>
      <c r="I218" s="1"/>
      <c r="J218" s="5">
        <f t="shared" si="72"/>
        <v>1.6035511464305382E-3</v>
      </c>
      <c r="K218" s="1"/>
      <c r="L218" s="1">
        <f t="shared" si="73"/>
        <v>0</v>
      </c>
      <c r="M218" s="1"/>
      <c r="N218" s="5">
        <f t="shared" si="74"/>
        <v>0</v>
      </c>
      <c r="O218" s="13"/>
      <c r="P218" s="1">
        <f>SUM(OSRRefP22_13x_0)</f>
        <v>29018.95</v>
      </c>
      <c r="Q218" s="1"/>
      <c r="R218" s="5">
        <f t="shared" si="75"/>
        <v>3.0557204727943476E-3</v>
      </c>
      <c r="S218" s="1"/>
      <c r="T218" s="1">
        <f>SUM(OSRRefT22_13x_0)</f>
        <v>29225</v>
      </c>
      <c r="U218" s="1"/>
      <c r="V218" s="5">
        <f t="shared" si="76"/>
        <v>2.9011721564153195E-3</v>
      </c>
      <c r="W218" s="1"/>
      <c r="X218" s="1">
        <f t="shared" si="77"/>
        <v>-206.04999999999927</v>
      </c>
      <c r="Y218" s="1"/>
      <c r="Z218" s="5">
        <f t="shared" si="78"/>
        <v>-7.0504704875962113E-3</v>
      </c>
    </row>
    <row r="219" spans="1:26" s="24" customFormat="1" hidden="1" outlineLevel="2" x14ac:dyDescent="0.25">
      <c r="A219" s="25"/>
      <c r="B219" s="11" t="str">
        <f>CONCATENATE("          ", "6401", " - ", "INTEREST EXPENSE")</f>
        <v xml:space="preserve">          6401 - INTEREST EXPENSE</v>
      </c>
      <c r="C219" s="11"/>
      <c r="D219" s="7">
        <v>4175</v>
      </c>
      <c r="E219" s="2"/>
      <c r="F219" s="6">
        <f t="shared" si="71"/>
        <v>1.7731089673947644E-3</v>
      </c>
      <c r="G219" s="2"/>
      <c r="H219" s="7">
        <v>4175</v>
      </c>
      <c r="I219" s="2"/>
      <c r="J219" s="6">
        <f t="shared" si="72"/>
        <v>1.6035511464305382E-3</v>
      </c>
      <c r="K219" s="2"/>
      <c r="L219" s="7">
        <f t="shared" si="73"/>
        <v>0</v>
      </c>
      <c r="M219" s="2"/>
      <c r="N219" s="6">
        <f t="shared" si="74"/>
        <v>0</v>
      </c>
      <c r="O219" s="11"/>
      <c r="P219" s="7">
        <v>29018.95</v>
      </c>
      <c r="Q219" s="2"/>
      <c r="R219" s="6">
        <f t="shared" si="75"/>
        <v>3.0557204727943476E-3</v>
      </c>
      <c r="S219" s="2"/>
      <c r="T219" s="7">
        <v>29225</v>
      </c>
      <c r="U219" s="2"/>
      <c r="V219" s="6">
        <f t="shared" si="76"/>
        <v>2.9011721564153195E-3</v>
      </c>
      <c r="W219" s="2"/>
      <c r="X219" s="7">
        <f t="shared" si="77"/>
        <v>-206.04999999999927</v>
      </c>
      <c r="Y219" s="2"/>
      <c r="Z219" s="6">
        <f t="shared" si="78"/>
        <v>-7.0504704875962113E-3</v>
      </c>
    </row>
    <row r="220" spans="1:26" s="27" customFormat="1" outlineLevel="1" collapsed="1" x14ac:dyDescent="0.25">
      <c r="A220" s="26"/>
      <c r="B220" s="13" t="str">
        <f>CONCATENATE("     ","Inventory Adjustment                              ")</f>
        <v xml:space="preserve">     Inventory Adjustment                              </v>
      </c>
      <c r="C220" s="13"/>
      <c r="D220" s="1">
        <f>SUM(OSRRefD22_14x_0)</f>
        <v>4250</v>
      </c>
      <c r="E220" s="1"/>
      <c r="F220" s="5">
        <f t="shared" si="71"/>
        <v>1.8049612242940715E-3</v>
      </c>
      <c r="G220" s="1"/>
      <c r="H220" s="1">
        <f>SUM(OSRRefH22_14x_0)</f>
        <v>4250</v>
      </c>
      <c r="I220" s="1"/>
      <c r="J220" s="5">
        <f t="shared" si="72"/>
        <v>1.6323574544502483E-3</v>
      </c>
      <c r="K220" s="1"/>
      <c r="L220" s="1">
        <f t="shared" si="73"/>
        <v>0</v>
      </c>
      <c r="M220" s="1"/>
      <c r="N220" s="5">
        <f t="shared" si="74"/>
        <v>0</v>
      </c>
      <c r="O220" s="13"/>
      <c r="P220" s="1">
        <f>SUM(OSRRefP22_14x_0)</f>
        <v>35450</v>
      </c>
      <c r="Q220" s="1"/>
      <c r="R220" s="5">
        <f t="shared" si="75"/>
        <v>3.7329155865584249E-3</v>
      </c>
      <c r="S220" s="1"/>
      <c r="T220" s="1">
        <f>SUM(OSRRefT22_14x_0)</f>
        <v>35450</v>
      </c>
      <c r="U220" s="1"/>
      <c r="V220" s="5">
        <f t="shared" si="76"/>
        <v>3.5191292709982236E-3</v>
      </c>
      <c r="W220" s="1"/>
      <c r="X220" s="1">
        <f t="shared" si="77"/>
        <v>0</v>
      </c>
      <c r="Y220" s="1"/>
      <c r="Z220" s="5">
        <f t="shared" si="78"/>
        <v>0</v>
      </c>
    </row>
    <row r="221" spans="1:26" s="24" customFormat="1" hidden="1" outlineLevel="2" x14ac:dyDescent="0.25">
      <c r="A221" s="25"/>
      <c r="B221" s="11" t="str">
        <f>CONCATENATE("          ", "6408", " - ", "INVENTORY ADJUSTMENT")</f>
        <v xml:space="preserve">          6408 - INVENTORY ADJUSTMENT</v>
      </c>
      <c r="C221" s="11"/>
      <c r="D221" s="7">
        <v>4250</v>
      </c>
      <c r="E221" s="2"/>
      <c r="F221" s="6">
        <f t="shared" si="71"/>
        <v>1.8049612242940715E-3</v>
      </c>
      <c r="G221" s="2"/>
      <c r="H221" s="7">
        <v>4250</v>
      </c>
      <c r="I221" s="2"/>
      <c r="J221" s="6">
        <f t="shared" si="72"/>
        <v>1.6323574544502483E-3</v>
      </c>
      <c r="K221" s="2"/>
      <c r="L221" s="7">
        <f t="shared" si="73"/>
        <v>0</v>
      </c>
      <c r="M221" s="2"/>
      <c r="N221" s="6">
        <f t="shared" si="74"/>
        <v>0</v>
      </c>
      <c r="O221" s="11"/>
      <c r="P221" s="7">
        <v>35450</v>
      </c>
      <c r="Q221" s="2"/>
      <c r="R221" s="6">
        <f t="shared" si="75"/>
        <v>3.7329155865584249E-3</v>
      </c>
      <c r="S221" s="2"/>
      <c r="T221" s="7">
        <v>35450</v>
      </c>
      <c r="U221" s="2"/>
      <c r="V221" s="6">
        <f t="shared" si="76"/>
        <v>3.5191292709982236E-3</v>
      </c>
      <c r="W221" s="2"/>
      <c r="X221" s="7">
        <f t="shared" si="77"/>
        <v>0</v>
      </c>
      <c r="Y221" s="2"/>
      <c r="Z221" s="6">
        <f t="shared" si="78"/>
        <v>0</v>
      </c>
    </row>
    <row r="222" spans="1:26" s="27" customFormat="1" outlineLevel="1" collapsed="1" x14ac:dyDescent="0.25">
      <c r="A222" s="26"/>
      <c r="B222" s="13" t="str">
        <f>CONCATENATE("     ","Professional Services                             ")</f>
        <v xml:space="preserve">     Professional Services                             </v>
      </c>
      <c r="C222" s="13"/>
      <c r="D222" s="1">
        <f>SUM(OSRRefD22_15x_0)</f>
        <v>0</v>
      </c>
      <c r="E222" s="1"/>
      <c r="F222" s="5">
        <f t="shared" si="71"/>
        <v>0</v>
      </c>
      <c r="G222" s="1"/>
      <c r="H222" s="1">
        <f>SUM(OSRRefH22_15x_0)</f>
        <v>1265</v>
      </c>
      <c r="I222" s="1"/>
      <c r="J222" s="5">
        <f t="shared" si="72"/>
        <v>4.8586639526577985E-4</v>
      </c>
      <c r="K222" s="1"/>
      <c r="L222" s="1">
        <f t="shared" si="73"/>
        <v>-1265</v>
      </c>
      <c r="M222" s="1"/>
      <c r="N222" s="5">
        <f t="shared" si="74"/>
        <v>-1</v>
      </c>
      <c r="O222" s="13"/>
      <c r="P222" s="1">
        <f>SUM(OSRRefP22_15x_0)</f>
        <v>6199.56</v>
      </c>
      <c r="Q222" s="1"/>
      <c r="R222" s="5">
        <f t="shared" si="75"/>
        <v>6.5281901703255713E-4</v>
      </c>
      <c r="S222" s="1"/>
      <c r="T222" s="1">
        <f>SUM(OSRRefT22_15x_0)</f>
        <v>10005</v>
      </c>
      <c r="U222" s="1"/>
      <c r="V222" s="5">
        <f t="shared" si="76"/>
        <v>9.9319854319710084E-4</v>
      </c>
      <c r="W222" s="1"/>
      <c r="X222" s="1">
        <f t="shared" si="77"/>
        <v>-3805.4399999999996</v>
      </c>
      <c r="Y222" s="1"/>
      <c r="Z222" s="5">
        <f t="shared" si="78"/>
        <v>-0.38035382308845572</v>
      </c>
    </row>
    <row r="223" spans="1:26" s="24" customFormat="1" hidden="1" outlineLevel="2" x14ac:dyDescent="0.25">
      <c r="A223" s="25"/>
      <c r="B223" s="11" t="str">
        <f>CONCATENATE("          ", "6336", " - ", "PROFESSIONAL SERVICES")</f>
        <v xml:space="preserve">          6336 - PROFESSIONAL SERVICES</v>
      </c>
      <c r="C223" s="11"/>
      <c r="D223" s="7"/>
      <c r="E223" s="2"/>
      <c r="F223" s="6">
        <f t="shared" si="71"/>
        <v>0</v>
      </c>
      <c r="G223" s="2"/>
      <c r="H223" s="7">
        <v>1265</v>
      </c>
      <c r="I223" s="2"/>
      <c r="J223" s="6">
        <f t="shared" si="72"/>
        <v>4.8586639526577985E-4</v>
      </c>
      <c r="K223" s="2"/>
      <c r="L223" s="7">
        <f t="shared" si="73"/>
        <v>-1265</v>
      </c>
      <c r="M223" s="2"/>
      <c r="N223" s="6">
        <f t="shared" si="74"/>
        <v>-1</v>
      </c>
      <c r="O223" s="11"/>
      <c r="P223" s="7">
        <v>6199.56</v>
      </c>
      <c r="Q223" s="2"/>
      <c r="R223" s="6">
        <f t="shared" si="75"/>
        <v>6.5281901703255713E-4</v>
      </c>
      <c r="S223" s="2"/>
      <c r="T223" s="7">
        <v>10005</v>
      </c>
      <c r="U223" s="2"/>
      <c r="V223" s="6">
        <f t="shared" si="76"/>
        <v>9.9319854319710084E-4</v>
      </c>
      <c r="W223" s="2"/>
      <c r="X223" s="7">
        <f t="shared" si="77"/>
        <v>-3805.4399999999996</v>
      </c>
      <c r="Y223" s="2"/>
      <c r="Z223" s="6">
        <f t="shared" si="78"/>
        <v>-0.38035382308845572</v>
      </c>
    </row>
    <row r="224" spans="1:26" s="27" customFormat="1" outlineLevel="1" collapsed="1" x14ac:dyDescent="0.25">
      <c r="A224" s="26"/>
      <c r="B224" s="13" t="str">
        <f>CONCATENATE("     ","R/H Commissions                                   ")</f>
        <v xml:space="preserve">     R/H Commissions                                   </v>
      </c>
      <c r="C224" s="13"/>
      <c r="D224" s="1">
        <f>SUM(OSRRefD22_16x_0)</f>
        <v>0</v>
      </c>
      <c r="E224" s="1"/>
      <c r="F224" s="5">
        <f t="shared" si="71"/>
        <v>0</v>
      </c>
      <c r="G224" s="1"/>
      <c r="H224" s="1">
        <f>SUM(OSRRefH22_16x_0)</f>
        <v>0</v>
      </c>
      <c r="I224" s="1"/>
      <c r="J224" s="5">
        <f t="shared" si="72"/>
        <v>0</v>
      </c>
      <c r="K224" s="1"/>
      <c r="L224" s="1">
        <f t="shared" si="73"/>
        <v>0</v>
      </c>
      <c r="M224" s="1"/>
      <c r="N224" s="5">
        <f t="shared" si="74"/>
        <v>0</v>
      </c>
      <c r="O224" s="13"/>
      <c r="P224" s="1">
        <f>SUM(OSRRefP22_16x_0)</f>
        <v>0</v>
      </c>
      <c r="Q224" s="1"/>
      <c r="R224" s="5">
        <f t="shared" si="75"/>
        <v>0</v>
      </c>
      <c r="S224" s="1"/>
      <c r="T224" s="1">
        <f>SUM(OSRRefT22_16x_0)</f>
        <v>0</v>
      </c>
      <c r="U224" s="1"/>
      <c r="V224" s="5">
        <f t="shared" si="76"/>
        <v>0</v>
      </c>
      <c r="W224" s="1"/>
      <c r="X224" s="1">
        <f t="shared" si="77"/>
        <v>0</v>
      </c>
      <c r="Y224" s="1"/>
      <c r="Z224" s="5">
        <f t="shared" si="78"/>
        <v>0</v>
      </c>
    </row>
    <row r="225" spans="1:26" s="24" customFormat="1" hidden="1" outlineLevel="2" x14ac:dyDescent="0.25">
      <c r="A225" s="25"/>
      <c r="B225" s="11" t="str">
        <f>CONCATENATE("          ", "6387", " - ", "COMMISSION DUE HOUSING")</f>
        <v xml:space="preserve">          6387 - COMMISSION DUE HOUSING</v>
      </c>
      <c r="C225" s="11"/>
      <c r="D225" s="7"/>
      <c r="E225" s="2"/>
      <c r="F225" s="6">
        <f t="shared" si="71"/>
        <v>0</v>
      </c>
      <c r="G225" s="2"/>
      <c r="H225" s="7"/>
      <c r="I225" s="2"/>
      <c r="J225" s="6">
        <f t="shared" si="72"/>
        <v>0</v>
      </c>
      <c r="K225" s="2"/>
      <c r="L225" s="7">
        <f t="shared" si="73"/>
        <v>0</v>
      </c>
      <c r="M225" s="2"/>
      <c r="N225" s="6">
        <f t="shared" si="74"/>
        <v>0</v>
      </c>
      <c r="O225" s="11"/>
      <c r="P225" s="7"/>
      <c r="Q225" s="2"/>
      <c r="R225" s="6">
        <f t="shared" si="75"/>
        <v>0</v>
      </c>
      <c r="S225" s="2"/>
      <c r="T225" s="7">
        <v>0</v>
      </c>
      <c r="U225" s="2"/>
      <c r="V225" s="6">
        <f t="shared" si="76"/>
        <v>0</v>
      </c>
      <c r="W225" s="2"/>
      <c r="X225" s="7">
        <f t="shared" si="77"/>
        <v>0</v>
      </c>
      <c r="Y225" s="2"/>
      <c r="Z225" s="6">
        <f t="shared" si="78"/>
        <v>0</v>
      </c>
    </row>
    <row r="226" spans="1:26" s="27" customFormat="1" outlineLevel="1" collapsed="1" x14ac:dyDescent="0.25">
      <c r="A226" s="26"/>
      <c r="B226" s="13" t="str">
        <f>CONCATENATE("     ","Rent                                              ")</f>
        <v xml:space="preserve">     Rent                                              </v>
      </c>
      <c r="C226" s="13"/>
      <c r="D226" s="1">
        <f>SUM(OSRRefD22_17x_0)</f>
        <v>8850</v>
      </c>
      <c r="E226" s="1"/>
      <c r="F226" s="5">
        <f t="shared" si="71"/>
        <v>3.7585663141182432E-3</v>
      </c>
      <c r="G226" s="1"/>
      <c r="H226" s="1">
        <f>SUM(OSRRefH22_17x_0)</f>
        <v>7550</v>
      </c>
      <c r="I226" s="1"/>
      <c r="J226" s="5">
        <f t="shared" si="72"/>
        <v>2.8998350073175003E-3</v>
      </c>
      <c r="K226" s="1"/>
      <c r="L226" s="1">
        <f t="shared" si="73"/>
        <v>1300</v>
      </c>
      <c r="M226" s="1"/>
      <c r="N226" s="5">
        <f t="shared" si="74"/>
        <v>0.17218543046357615</v>
      </c>
      <c r="O226" s="13"/>
      <c r="P226" s="1">
        <f>SUM(OSRRefP22_17x_0)</f>
        <v>52350</v>
      </c>
      <c r="Q226" s="1"/>
      <c r="R226" s="5">
        <f t="shared" si="75"/>
        <v>5.5125001680206929E-3</v>
      </c>
      <c r="S226" s="1"/>
      <c r="T226" s="1">
        <f>SUM(OSRRefT22_17x_0)</f>
        <v>52850</v>
      </c>
      <c r="U226" s="1"/>
      <c r="V226" s="5">
        <f t="shared" si="76"/>
        <v>5.2464310852540505E-3</v>
      </c>
      <c r="W226" s="1"/>
      <c r="X226" s="1">
        <f t="shared" si="77"/>
        <v>-500</v>
      </c>
      <c r="Y226" s="1"/>
      <c r="Z226" s="5">
        <f t="shared" si="78"/>
        <v>-9.4607379375591296E-3</v>
      </c>
    </row>
    <row r="227" spans="1:26" s="24" customFormat="1" hidden="1" outlineLevel="2" x14ac:dyDescent="0.25">
      <c r="A227" s="25"/>
      <c r="B227" s="11" t="str">
        <f>CONCATENATE("          ", "6273", " - ", "RENT")</f>
        <v xml:space="preserve">          6273 - RENT</v>
      </c>
      <c r="C227" s="11"/>
      <c r="D227" s="7">
        <v>8850</v>
      </c>
      <c r="E227" s="2"/>
      <c r="F227" s="6">
        <f t="shared" si="71"/>
        <v>3.7585663141182432E-3</v>
      </c>
      <c r="G227" s="2"/>
      <c r="H227" s="7">
        <v>7550</v>
      </c>
      <c r="I227" s="2"/>
      <c r="J227" s="6">
        <f t="shared" si="72"/>
        <v>2.8998350073175003E-3</v>
      </c>
      <c r="K227" s="2"/>
      <c r="L227" s="7">
        <f t="shared" si="73"/>
        <v>1300</v>
      </c>
      <c r="M227" s="2"/>
      <c r="N227" s="6">
        <f t="shared" si="74"/>
        <v>0.17218543046357615</v>
      </c>
      <c r="O227" s="11"/>
      <c r="P227" s="7">
        <v>52350</v>
      </c>
      <c r="Q227" s="2"/>
      <c r="R227" s="6">
        <f t="shared" si="75"/>
        <v>5.5125001680206929E-3</v>
      </c>
      <c r="S227" s="2"/>
      <c r="T227" s="7">
        <v>52850</v>
      </c>
      <c r="U227" s="2"/>
      <c r="V227" s="6">
        <f t="shared" si="76"/>
        <v>5.2464310852540505E-3</v>
      </c>
      <c r="W227" s="2"/>
      <c r="X227" s="7">
        <f t="shared" si="77"/>
        <v>-500</v>
      </c>
      <c r="Y227" s="2"/>
      <c r="Z227" s="6">
        <f t="shared" si="78"/>
        <v>-9.4607379375591296E-3</v>
      </c>
    </row>
    <row r="228" spans="1:26" s="27" customFormat="1" outlineLevel="1" collapsed="1" x14ac:dyDescent="0.25">
      <c r="A228" s="26"/>
      <c r="B228" s="13" t="str">
        <f>CONCATENATE("     ","Repair and Maintenance                            ")</f>
        <v xml:space="preserve">     Repair and Maintenance                            </v>
      </c>
      <c r="C228" s="13"/>
      <c r="D228" s="1">
        <f>SUM(OSRRefD22_18x_0)</f>
        <v>19887.7</v>
      </c>
      <c r="E228" s="1"/>
      <c r="F228" s="5">
        <f t="shared" si="71"/>
        <v>8.4462417271513428E-3</v>
      </c>
      <c r="G228" s="1"/>
      <c r="H228" s="1">
        <f>SUM(OSRRefH22_18x_0)</f>
        <v>15228</v>
      </c>
      <c r="I228" s="1"/>
      <c r="J228" s="5">
        <f t="shared" si="72"/>
        <v>5.8488327803219728E-3</v>
      </c>
      <c r="K228" s="1"/>
      <c r="L228" s="1">
        <f t="shared" si="73"/>
        <v>4659.7000000000007</v>
      </c>
      <c r="M228" s="1"/>
      <c r="N228" s="5">
        <f t="shared" si="74"/>
        <v>0.30599553454163386</v>
      </c>
      <c r="O228" s="13"/>
      <c r="P228" s="1">
        <f>SUM(OSRRefP22_18x_0)</f>
        <v>116428.81</v>
      </c>
      <c r="Q228" s="1"/>
      <c r="R228" s="5">
        <f t="shared" si="75"/>
        <v>1.2260054148757388E-2</v>
      </c>
      <c r="S228" s="1"/>
      <c r="T228" s="1">
        <f>SUM(OSRRefT22_18x_0)</f>
        <v>156154</v>
      </c>
      <c r="U228" s="1"/>
      <c r="V228" s="5">
        <f t="shared" si="76"/>
        <v>1.5501441810534741E-2</v>
      </c>
      <c r="W228" s="1"/>
      <c r="X228" s="1">
        <f t="shared" si="77"/>
        <v>-39725.19</v>
      </c>
      <c r="Y228" s="1"/>
      <c r="Z228" s="5">
        <f t="shared" si="78"/>
        <v>-0.25439751783495779</v>
      </c>
    </row>
    <row r="229" spans="1:26" s="24" customFormat="1" hidden="1" outlineLevel="2" x14ac:dyDescent="0.25">
      <c r="A229" s="25"/>
      <c r="B229" s="11" t="str">
        <f>CONCATENATE("          ", "6371", " - ", "COMPUTER SOFTWARE MAINTENANCE")</f>
        <v xml:space="preserve">          6371 - COMPUTER SOFTWARE MAINTENANCE</v>
      </c>
      <c r="C229" s="11"/>
      <c r="D229" s="7">
        <v>601</v>
      </c>
      <c r="E229" s="2"/>
      <c r="F229" s="6">
        <f t="shared" si="71"/>
        <v>2.5524275195311461E-4</v>
      </c>
      <c r="G229" s="2"/>
      <c r="H229" s="7"/>
      <c r="I229" s="2"/>
      <c r="J229" s="6">
        <f t="shared" si="72"/>
        <v>0</v>
      </c>
      <c r="K229" s="2"/>
      <c r="L229" s="7">
        <f t="shared" si="73"/>
        <v>601</v>
      </c>
      <c r="M229" s="2"/>
      <c r="N229" s="6">
        <f t="shared" si="74"/>
        <v>0</v>
      </c>
      <c r="O229" s="11"/>
      <c r="P229" s="7">
        <v>15866.329999999998</v>
      </c>
      <c r="Q229" s="2"/>
      <c r="R229" s="6">
        <f t="shared" si="75"/>
        <v>1.6707382386030897E-3</v>
      </c>
      <c r="S229" s="2"/>
      <c r="T229" s="7">
        <v>48535</v>
      </c>
      <c r="U229" s="2"/>
      <c r="V229" s="6">
        <f t="shared" si="76"/>
        <v>4.8180800893624478E-3</v>
      </c>
      <c r="W229" s="2"/>
      <c r="X229" s="7">
        <f t="shared" si="77"/>
        <v>-32668.670000000002</v>
      </c>
      <c r="Y229" s="2"/>
      <c r="Z229" s="6">
        <f t="shared" si="78"/>
        <v>-0.67309508602039769</v>
      </c>
    </row>
    <row r="230" spans="1:26" s="24" customFormat="1" hidden="1" outlineLevel="2" x14ac:dyDescent="0.25">
      <c r="A230" s="25"/>
      <c r="B230" s="11" t="str">
        <f>CONCATENATE("          ", "6372", " - ", "COMPUTER HARDWARE MAINTENANCE")</f>
        <v xml:space="preserve">          6372 - COMPUTER HARDWARE MAINTENANCE</v>
      </c>
      <c r="C230" s="11"/>
      <c r="D230" s="7">
        <v>52.32</v>
      </c>
      <c r="E230" s="2"/>
      <c r="F230" s="6">
        <f t="shared" si="71"/>
        <v>2.2220134412956664E-5</v>
      </c>
      <c r="G230" s="2"/>
      <c r="H230" s="7"/>
      <c r="I230" s="2"/>
      <c r="J230" s="6">
        <f t="shared" si="72"/>
        <v>0</v>
      </c>
      <c r="K230" s="2"/>
      <c r="L230" s="7">
        <f t="shared" si="73"/>
        <v>52.32</v>
      </c>
      <c r="M230" s="2"/>
      <c r="N230" s="6">
        <f t="shared" si="74"/>
        <v>0</v>
      </c>
      <c r="O230" s="11"/>
      <c r="P230" s="7">
        <v>52.32</v>
      </c>
      <c r="Q230" s="2"/>
      <c r="R230" s="6">
        <f t="shared" si="75"/>
        <v>5.5093411421364404E-6</v>
      </c>
      <c r="S230" s="2"/>
      <c r="T230" s="7">
        <v>2000</v>
      </c>
      <c r="U230" s="2"/>
      <c r="V230" s="6">
        <f t="shared" si="76"/>
        <v>1.9854043842021005E-4</v>
      </c>
      <c r="W230" s="2"/>
      <c r="X230" s="7">
        <f t="shared" si="77"/>
        <v>-1947.68</v>
      </c>
      <c r="Y230" s="2"/>
      <c r="Z230" s="6">
        <f t="shared" si="78"/>
        <v>-0.97384000000000004</v>
      </c>
    </row>
    <row r="231" spans="1:26" s="24" customFormat="1" hidden="1" outlineLevel="2" x14ac:dyDescent="0.25">
      <c r="A231" s="25"/>
      <c r="B231" s="11" t="str">
        <f>CONCATENATE("          ", "6373", " - ", "MAINTENANCE CONTRACTS")</f>
        <v xml:space="preserve">          6373 - MAINTENANCE CONTRACTS</v>
      </c>
      <c r="C231" s="11"/>
      <c r="D231" s="7">
        <v>12841.11</v>
      </c>
      <c r="E231" s="2"/>
      <c r="F231" s="6">
        <f t="shared" si="71"/>
        <v>5.4535777945634934E-3</v>
      </c>
      <c r="G231" s="2"/>
      <c r="H231" s="7">
        <v>7040</v>
      </c>
      <c r="I231" s="2"/>
      <c r="J231" s="6">
        <f t="shared" si="72"/>
        <v>2.7039521127834704E-3</v>
      </c>
      <c r="K231" s="2"/>
      <c r="L231" s="7">
        <f t="shared" si="73"/>
        <v>5801.1100000000006</v>
      </c>
      <c r="M231" s="2"/>
      <c r="N231" s="6">
        <f t="shared" si="74"/>
        <v>0.82402130681818186</v>
      </c>
      <c r="O231" s="11"/>
      <c r="P231" s="7">
        <v>53122.12</v>
      </c>
      <c r="Q231" s="2"/>
      <c r="R231" s="6">
        <f t="shared" si="75"/>
        <v>5.5938050702123284E-3</v>
      </c>
      <c r="S231" s="2"/>
      <c r="T231" s="7">
        <v>49355</v>
      </c>
      <c r="U231" s="2"/>
      <c r="V231" s="6">
        <f t="shared" si="76"/>
        <v>4.8994816691147339E-3</v>
      </c>
      <c r="W231" s="2"/>
      <c r="X231" s="7">
        <f t="shared" si="77"/>
        <v>3767.1200000000026</v>
      </c>
      <c r="Y231" s="2"/>
      <c r="Z231" s="6">
        <f t="shared" si="78"/>
        <v>7.6327018539155148E-2</v>
      </c>
    </row>
    <row r="232" spans="1:26" s="24" customFormat="1" hidden="1" outlineLevel="2" x14ac:dyDescent="0.25">
      <c r="A232" s="25"/>
      <c r="B232" s="11" t="str">
        <f>CONCATENATE("          ", "6375", " - ", "OUTSIDE REPAIRS &amp; MAINTENANCE")</f>
        <v xml:space="preserve">          6375 - OUTSIDE REPAIRS &amp; MAINTENANCE</v>
      </c>
      <c r="C232" s="11"/>
      <c r="D232" s="7">
        <v>6393.27</v>
      </c>
      <c r="E232" s="2"/>
      <c r="F232" s="6">
        <f t="shared" si="71"/>
        <v>2.715201046221779E-3</v>
      </c>
      <c r="G232" s="2"/>
      <c r="H232" s="7">
        <v>8188</v>
      </c>
      <c r="I232" s="2"/>
      <c r="J232" s="6">
        <f t="shared" si="72"/>
        <v>3.144880667538502E-3</v>
      </c>
      <c r="K232" s="2"/>
      <c r="L232" s="7">
        <f t="shared" si="73"/>
        <v>-1794.7299999999996</v>
      </c>
      <c r="M232" s="2"/>
      <c r="N232" s="6">
        <f t="shared" si="74"/>
        <v>-0.21919027845627742</v>
      </c>
      <c r="O232" s="11"/>
      <c r="P232" s="7">
        <v>47388.04</v>
      </c>
      <c r="Q232" s="2"/>
      <c r="R232" s="6">
        <f t="shared" si="75"/>
        <v>4.9900014987998339E-3</v>
      </c>
      <c r="S232" s="2"/>
      <c r="T232" s="7">
        <v>56264</v>
      </c>
      <c r="U232" s="2"/>
      <c r="V232" s="6">
        <f t="shared" si="76"/>
        <v>5.5853396136373492E-3</v>
      </c>
      <c r="W232" s="2"/>
      <c r="X232" s="7">
        <f t="shared" si="77"/>
        <v>-8875.9599999999991</v>
      </c>
      <c r="Y232" s="2"/>
      <c r="Z232" s="6">
        <f t="shared" si="78"/>
        <v>-0.15775558083321484</v>
      </c>
    </row>
    <row r="233" spans="1:26" s="27" customFormat="1" outlineLevel="1" collapsed="1" x14ac:dyDescent="0.25">
      <c r="A233" s="26"/>
      <c r="B233" s="13" t="str">
        <f>CONCATENATE("     ","Royalty &amp; Commissions                             ")</f>
        <v xml:space="preserve">     Royalty &amp; Commissions                             </v>
      </c>
      <c r="C233" s="13"/>
      <c r="D233" s="1">
        <f>SUM(OSRRefD22_19x_0)</f>
        <v>8601.39</v>
      </c>
      <c r="E233" s="1"/>
      <c r="F233" s="5">
        <f t="shared" ref="F233:F237" si="79">IF(D$12=0,0,D233/D$12)</f>
        <v>3.6529824529484196E-3</v>
      </c>
      <c r="G233" s="1"/>
      <c r="H233" s="1">
        <f>SUM(OSRRefH22_19x_0)</f>
        <v>18192</v>
      </c>
      <c r="I233" s="1"/>
      <c r="J233" s="5">
        <f t="shared" ref="J233:J237" si="80">IF(H$12=0,0,H233/H$12)</f>
        <v>6.9872580732609222E-3</v>
      </c>
      <c r="K233" s="1"/>
      <c r="L233" s="1">
        <f t="shared" ref="L233:L237" si="81">+D233-H233</f>
        <v>-9590.61</v>
      </c>
      <c r="M233" s="1"/>
      <c r="N233" s="5">
        <f t="shared" ref="N233:N237" si="82">IF(H233=0,0,L233/H233)</f>
        <v>-0.52718832453825859</v>
      </c>
      <c r="O233" s="13"/>
      <c r="P233" s="1">
        <f>SUM(OSRRefP22_19x_0)</f>
        <v>87426.95</v>
      </c>
      <c r="Q233" s="1"/>
      <c r="R233" s="5">
        <f t="shared" ref="R233:R237" si="83">IF(P$12=0,0,P233/P$12)</f>
        <v>9.206133267708437E-3</v>
      </c>
      <c r="S233" s="1"/>
      <c r="T233" s="1">
        <f>SUM(OSRRefT22_19x_0)</f>
        <v>132304</v>
      </c>
      <c r="U233" s="1"/>
      <c r="V233" s="5">
        <f t="shared" ref="V233:V237" si="84">IF(T$12=0,0,T233/T$12)</f>
        <v>1.3133847082373737E-2</v>
      </c>
      <c r="W233" s="1"/>
      <c r="X233" s="1">
        <f t="shared" ref="X233:X237" si="85">+P233-T233</f>
        <v>-44877.05</v>
      </c>
      <c r="Y233" s="1"/>
      <c r="Z233" s="5">
        <f t="shared" ref="Z233:Z237" si="86">IF(T233=0,0,X233/T233)</f>
        <v>-0.33919647176200268</v>
      </c>
    </row>
    <row r="234" spans="1:26" s="24" customFormat="1" hidden="1" outlineLevel="2" x14ac:dyDescent="0.25">
      <c r="A234" s="25"/>
      <c r="B234" s="11" t="str">
        <f>CONCATENATE("          ", "6252", " - ", "ROYALTY DUE CSTV")</f>
        <v xml:space="preserve">          6252 - ROYALTY DUE CSTV</v>
      </c>
      <c r="C234" s="11"/>
      <c r="D234" s="7"/>
      <c r="E234" s="2"/>
      <c r="F234" s="6">
        <f t="shared" si="79"/>
        <v>0</v>
      </c>
      <c r="G234" s="2"/>
      <c r="H234" s="7">
        <v>1085</v>
      </c>
      <c r="I234" s="2"/>
      <c r="J234" s="6">
        <f t="shared" si="80"/>
        <v>4.1673125601847518E-4</v>
      </c>
      <c r="K234" s="2"/>
      <c r="L234" s="7">
        <f t="shared" si="81"/>
        <v>-1085</v>
      </c>
      <c r="M234" s="2"/>
      <c r="N234" s="6">
        <f t="shared" si="82"/>
        <v>-1</v>
      </c>
      <c r="O234" s="11"/>
      <c r="P234" s="7"/>
      <c r="Q234" s="2"/>
      <c r="R234" s="6">
        <f t="shared" si="83"/>
        <v>0</v>
      </c>
      <c r="S234" s="2"/>
      <c r="T234" s="7">
        <v>7595</v>
      </c>
      <c r="U234" s="2"/>
      <c r="V234" s="6">
        <f t="shared" si="84"/>
        <v>7.5395731490074771E-4</v>
      </c>
      <c r="W234" s="2"/>
      <c r="X234" s="7">
        <f t="shared" si="85"/>
        <v>-7595</v>
      </c>
      <c r="Y234" s="2"/>
      <c r="Z234" s="6">
        <f t="shared" si="86"/>
        <v>-1</v>
      </c>
    </row>
    <row r="235" spans="1:26" s="24" customFormat="1" hidden="1" outlineLevel="2" x14ac:dyDescent="0.25">
      <c r="A235" s="25"/>
      <c r="B235" s="11" t="str">
        <f>CONCATENATE("          ", "6253", " - ", "ROYALTY DUE ATHLETICS-LRG")</f>
        <v xml:space="preserve">          6253 - ROYALTY DUE ATHLETICS-LRG</v>
      </c>
      <c r="C235" s="11"/>
      <c r="D235" s="7"/>
      <c r="E235" s="2"/>
      <c r="F235" s="6">
        <f t="shared" si="79"/>
        <v>0</v>
      </c>
      <c r="G235" s="2"/>
      <c r="H235" s="7">
        <v>3700</v>
      </c>
      <c r="I235" s="2"/>
      <c r="J235" s="6">
        <f t="shared" si="80"/>
        <v>1.4211111956390398E-3</v>
      </c>
      <c r="K235" s="2"/>
      <c r="L235" s="7">
        <f t="shared" si="81"/>
        <v>-3700</v>
      </c>
      <c r="M235" s="2"/>
      <c r="N235" s="6">
        <f t="shared" si="82"/>
        <v>-1</v>
      </c>
      <c r="O235" s="11"/>
      <c r="P235" s="7">
        <v>4366.95</v>
      </c>
      <c r="Q235" s="2"/>
      <c r="R235" s="6">
        <f t="shared" si="83"/>
        <v>4.5984360284122186E-4</v>
      </c>
      <c r="S235" s="2"/>
      <c r="T235" s="7">
        <v>25900</v>
      </c>
      <c r="U235" s="2"/>
      <c r="V235" s="6">
        <f t="shared" si="84"/>
        <v>2.5710986775417202E-3</v>
      </c>
      <c r="W235" s="2"/>
      <c r="X235" s="7">
        <f t="shared" si="85"/>
        <v>-21533.05</v>
      </c>
      <c r="Y235" s="2"/>
      <c r="Z235" s="6">
        <f t="shared" si="86"/>
        <v>-0.83139189189189189</v>
      </c>
    </row>
    <row r="236" spans="1:26" s="24" customFormat="1" hidden="1" outlineLevel="2" x14ac:dyDescent="0.25">
      <c r="A236" s="25"/>
      <c r="B236" s="11" t="str">
        <f>CONCATENATE("          ", "6254", " - ", "ROYALTY &amp; COMMISSIONS")</f>
        <v xml:space="preserve">          6254 - ROYALTY &amp; COMMISSIONS</v>
      </c>
      <c r="C236" s="11"/>
      <c r="D236" s="7">
        <v>760.81</v>
      </c>
      <c r="E236" s="2"/>
      <c r="F236" s="6">
        <f t="shared" si="79"/>
        <v>3.2311354095415824E-4</v>
      </c>
      <c r="G236" s="2"/>
      <c r="H236" s="7">
        <v>11700</v>
      </c>
      <c r="I236" s="2"/>
      <c r="J236" s="6">
        <f t="shared" si="80"/>
        <v>4.4937840510748013E-3</v>
      </c>
      <c r="K236" s="2"/>
      <c r="L236" s="7">
        <f t="shared" si="81"/>
        <v>-10939.19</v>
      </c>
      <c r="M236" s="2"/>
      <c r="N236" s="6">
        <f t="shared" si="82"/>
        <v>-0.93497350427350434</v>
      </c>
      <c r="O236" s="11"/>
      <c r="P236" s="7">
        <v>18659.439999999999</v>
      </c>
      <c r="Q236" s="2"/>
      <c r="R236" s="6">
        <f t="shared" si="83"/>
        <v>1.9648551315219107E-3</v>
      </c>
      <c r="S236" s="2"/>
      <c r="T236" s="7">
        <v>81900</v>
      </c>
      <c r="U236" s="2"/>
      <c r="V236" s="6">
        <f t="shared" si="84"/>
        <v>8.1302309533076017E-3</v>
      </c>
      <c r="W236" s="2"/>
      <c r="X236" s="7">
        <f t="shared" si="85"/>
        <v>-63240.56</v>
      </c>
      <c r="Y236" s="2"/>
      <c r="Z236" s="6">
        <f t="shared" si="86"/>
        <v>-0.7721680097680097</v>
      </c>
    </row>
    <row r="237" spans="1:26" s="24" customFormat="1" hidden="1" outlineLevel="2" x14ac:dyDescent="0.25">
      <c r="A237" s="25"/>
      <c r="B237" s="11" t="str">
        <f>CONCATENATE("          ", "6259", " - ", "ROYALTY &amp; COMMISSIONS")</f>
        <v xml:space="preserve">          6259 - ROYALTY &amp; COMMISSIONS</v>
      </c>
      <c r="C237" s="11"/>
      <c r="D237" s="7">
        <v>7840.58</v>
      </c>
      <c r="E237" s="2"/>
      <c r="F237" s="6">
        <f t="shared" si="79"/>
        <v>3.3298689119942615E-3</v>
      </c>
      <c r="G237" s="2"/>
      <c r="H237" s="7">
        <v>1707</v>
      </c>
      <c r="I237" s="2"/>
      <c r="J237" s="6">
        <f t="shared" si="80"/>
        <v>6.5563157052860564E-4</v>
      </c>
      <c r="K237" s="2"/>
      <c r="L237" s="7">
        <f t="shared" si="81"/>
        <v>6133.58</v>
      </c>
      <c r="M237" s="2"/>
      <c r="N237" s="6">
        <f t="shared" si="82"/>
        <v>3.5931927357937901</v>
      </c>
      <c r="O237" s="11"/>
      <c r="P237" s="7">
        <v>64400.56</v>
      </c>
      <c r="Q237" s="2"/>
      <c r="R237" s="6">
        <f t="shared" si="83"/>
        <v>6.7814345333453048E-3</v>
      </c>
      <c r="S237" s="2"/>
      <c r="T237" s="7">
        <v>16909</v>
      </c>
      <c r="U237" s="2"/>
      <c r="V237" s="6">
        <f t="shared" si="84"/>
        <v>1.6785601366236659E-3</v>
      </c>
      <c r="W237" s="2"/>
      <c r="X237" s="7">
        <f t="shared" si="85"/>
        <v>47491.56</v>
      </c>
      <c r="Y237" s="2"/>
      <c r="Z237" s="6">
        <f t="shared" si="86"/>
        <v>2.8086557454609968</v>
      </c>
    </row>
    <row r="238" spans="1:26" s="27" customFormat="1" outlineLevel="1" collapsed="1" x14ac:dyDescent="0.25">
      <c r="A238" s="26"/>
      <c r="B238" s="13" t="str">
        <f>CONCATENATE("     ","Services                                          ")</f>
        <v xml:space="preserve">     Services                                          </v>
      </c>
      <c r="C238" s="13"/>
      <c r="D238" s="1">
        <f>SUM(OSRRefD22_20x_0)</f>
        <v>6650.81</v>
      </c>
      <c r="E238" s="1"/>
      <c r="F238" s="5">
        <f t="shared" ref="F238:F244" si="87">IF(D$12=0,0,D238/D$12)</f>
        <v>2.8245774494464128E-3</v>
      </c>
      <c r="G238" s="1"/>
      <c r="H238" s="1">
        <f>SUM(OSRRefH22_20x_0)</f>
        <v>5407.5</v>
      </c>
      <c r="I238" s="1"/>
      <c r="J238" s="5">
        <f t="shared" ref="J238:J244" si="88">IF(H$12=0,0,H238/H$12)</f>
        <v>2.0769348082211102E-3</v>
      </c>
      <c r="K238" s="1"/>
      <c r="L238" s="1">
        <f t="shared" ref="L238:L244" si="89">+D238-H238</f>
        <v>1243.3100000000004</v>
      </c>
      <c r="M238" s="1"/>
      <c r="N238" s="5">
        <f t="shared" ref="N238:N244" si="90">IF(H238=0,0,L238/H238)</f>
        <v>0.2299232547387888</v>
      </c>
      <c r="O238" s="13"/>
      <c r="P238" s="1">
        <f>SUM(OSRRefP22_20x_0)</f>
        <v>44839.040000000001</v>
      </c>
      <c r="Q238" s="1"/>
      <c r="R238" s="5">
        <f t="shared" ref="R238:R244" si="91">IF(P$12=0,0,P238/P$12)</f>
        <v>4.7215895995011761E-3</v>
      </c>
      <c r="S238" s="1"/>
      <c r="T238" s="1">
        <f>SUM(OSRRefT22_20x_0)</f>
        <v>37213.5</v>
      </c>
      <c r="U238" s="1"/>
      <c r="V238" s="5">
        <f t="shared" ref="V238:V244" si="92">IF(T$12=0,0,T238/T$12)</f>
        <v>3.6941923025752437E-3</v>
      </c>
      <c r="W238" s="1"/>
      <c r="X238" s="1">
        <f t="shared" ref="X238:X244" si="93">+P238-T238</f>
        <v>7625.5400000000009</v>
      </c>
      <c r="Y238" s="1"/>
      <c r="Z238" s="5">
        <f t="shared" ref="Z238:Z244" si="94">IF(T238=0,0,X238/T238)</f>
        <v>0.20491327072164675</v>
      </c>
    </row>
    <row r="239" spans="1:26" s="24" customFormat="1" hidden="1" outlineLevel="2" x14ac:dyDescent="0.25">
      <c r="A239" s="25"/>
      <c r="B239" s="11" t="str">
        <f>CONCATENATE("          ", "6281", " - ", "STORAGE FEE")</f>
        <v xml:space="preserve">          6281 - STORAGE FEE</v>
      </c>
      <c r="C239" s="11"/>
      <c r="D239" s="7"/>
      <c r="E239" s="2"/>
      <c r="F239" s="6">
        <f t="shared" si="87"/>
        <v>0</v>
      </c>
      <c r="G239" s="2"/>
      <c r="H239" s="7"/>
      <c r="I239" s="2"/>
      <c r="J239" s="6">
        <f t="shared" si="88"/>
        <v>0</v>
      </c>
      <c r="K239" s="2"/>
      <c r="L239" s="7">
        <f t="shared" si="89"/>
        <v>0</v>
      </c>
      <c r="M239" s="2"/>
      <c r="N239" s="6">
        <f t="shared" si="90"/>
        <v>0</v>
      </c>
      <c r="O239" s="11"/>
      <c r="P239" s="7"/>
      <c r="Q239" s="2"/>
      <c r="R239" s="6">
        <f t="shared" si="91"/>
        <v>0</v>
      </c>
      <c r="S239" s="2"/>
      <c r="T239" s="7">
        <v>0</v>
      </c>
      <c r="U239" s="2"/>
      <c r="V239" s="6">
        <f t="shared" si="92"/>
        <v>0</v>
      </c>
      <c r="W239" s="2"/>
      <c r="X239" s="7">
        <f t="shared" si="93"/>
        <v>0</v>
      </c>
      <c r="Y239" s="2"/>
      <c r="Z239" s="6">
        <f t="shared" si="94"/>
        <v>0</v>
      </c>
    </row>
    <row r="240" spans="1:26" s="24" customFormat="1" hidden="1" outlineLevel="2" x14ac:dyDescent="0.25">
      <c r="A240" s="25"/>
      <c r="B240" s="11" t="str">
        <f>CONCATENATE("          ", "6282", " - ", "JANITORIAL/EXTERMINATOR EXPENS")</f>
        <v xml:space="preserve">          6282 - JANITORIAL/EXTERMINATOR EXPENS</v>
      </c>
      <c r="C240" s="11"/>
      <c r="D240" s="7">
        <v>773.26</v>
      </c>
      <c r="E240" s="2"/>
      <c r="F240" s="6">
        <f t="shared" si="87"/>
        <v>3.2840101559944326E-4</v>
      </c>
      <c r="G240" s="2"/>
      <c r="H240" s="7">
        <v>381</v>
      </c>
      <c r="I240" s="2"/>
      <c r="J240" s="6">
        <f t="shared" si="88"/>
        <v>1.4633604474012816E-4</v>
      </c>
      <c r="K240" s="2"/>
      <c r="L240" s="7">
        <f t="shared" si="89"/>
        <v>392.26</v>
      </c>
      <c r="M240" s="2"/>
      <c r="N240" s="6">
        <f t="shared" si="90"/>
        <v>1.0295538057742781</v>
      </c>
      <c r="O240" s="11"/>
      <c r="P240" s="7">
        <v>6523.89</v>
      </c>
      <c r="Q240" s="2"/>
      <c r="R240" s="6">
        <f t="shared" si="91"/>
        <v>6.8697124586721144E-4</v>
      </c>
      <c r="S240" s="2"/>
      <c r="T240" s="7">
        <v>3528</v>
      </c>
      <c r="U240" s="2"/>
      <c r="V240" s="6">
        <f t="shared" si="92"/>
        <v>3.5022533337325057E-4</v>
      </c>
      <c r="W240" s="2"/>
      <c r="X240" s="7">
        <f t="shared" si="93"/>
        <v>2995.8900000000003</v>
      </c>
      <c r="Y240" s="2"/>
      <c r="Z240" s="6">
        <f t="shared" si="94"/>
        <v>0.84917517006802734</v>
      </c>
    </row>
    <row r="241" spans="1:26" s="24" customFormat="1" hidden="1" outlineLevel="2" x14ac:dyDescent="0.25">
      <c r="A241" s="25"/>
      <c r="B241" s="11" t="str">
        <f>CONCATENATE("          ", "6283", " - ", "PLANT SERVICE")</f>
        <v xml:space="preserve">          6283 - PLANT SERVICE</v>
      </c>
      <c r="C241" s="11"/>
      <c r="D241" s="7"/>
      <c r="E241" s="2"/>
      <c r="F241" s="6">
        <f t="shared" si="87"/>
        <v>0</v>
      </c>
      <c r="G241" s="2"/>
      <c r="H241" s="7">
        <v>60</v>
      </c>
      <c r="I241" s="2"/>
      <c r="J241" s="6">
        <f t="shared" si="88"/>
        <v>2.3045046415768212E-5</v>
      </c>
      <c r="K241" s="2"/>
      <c r="L241" s="7">
        <f t="shared" si="89"/>
        <v>-60</v>
      </c>
      <c r="M241" s="2"/>
      <c r="N241" s="6">
        <f t="shared" si="90"/>
        <v>-1</v>
      </c>
      <c r="O241" s="11"/>
      <c r="P241" s="7">
        <v>541.98</v>
      </c>
      <c r="Q241" s="2"/>
      <c r="R241" s="6">
        <f t="shared" si="91"/>
        <v>5.7070961624906495E-5</v>
      </c>
      <c r="S241" s="2"/>
      <c r="T241" s="7">
        <v>420</v>
      </c>
      <c r="U241" s="2"/>
      <c r="V241" s="6">
        <f t="shared" si="92"/>
        <v>4.1693492068244111E-5</v>
      </c>
      <c r="W241" s="2"/>
      <c r="X241" s="7">
        <f t="shared" si="93"/>
        <v>121.98000000000002</v>
      </c>
      <c r="Y241" s="2"/>
      <c r="Z241" s="6">
        <f t="shared" si="94"/>
        <v>0.29042857142857148</v>
      </c>
    </row>
    <row r="242" spans="1:26" s="24" customFormat="1" hidden="1" outlineLevel="2" x14ac:dyDescent="0.25">
      <c r="A242" s="25"/>
      <c r="B242" s="11" t="str">
        <f>CONCATENATE("          ", "6284", " - ", "TRASH REMOVAL EXPENSE")</f>
        <v xml:space="preserve">          6284 - TRASH REMOVAL EXPENSE</v>
      </c>
      <c r="C242" s="11"/>
      <c r="D242" s="7">
        <v>423.82</v>
      </c>
      <c r="E242" s="2"/>
      <c r="F242" s="6">
        <f t="shared" si="87"/>
        <v>1.799949802541914E-4</v>
      </c>
      <c r="G242" s="2"/>
      <c r="H242" s="7">
        <v>212.5</v>
      </c>
      <c r="I242" s="2"/>
      <c r="J242" s="6">
        <f t="shared" si="88"/>
        <v>8.1617872722512423E-5</v>
      </c>
      <c r="K242" s="2"/>
      <c r="L242" s="7">
        <f t="shared" si="89"/>
        <v>211.32</v>
      </c>
      <c r="M242" s="2"/>
      <c r="N242" s="6">
        <f t="shared" si="90"/>
        <v>0.99444705882352935</v>
      </c>
      <c r="O242" s="11"/>
      <c r="P242" s="7">
        <v>2965.74</v>
      </c>
      <c r="Q242" s="2"/>
      <c r="R242" s="6">
        <f t="shared" si="91"/>
        <v>3.1229498086543815E-4</v>
      </c>
      <c r="S242" s="2"/>
      <c r="T242" s="7">
        <v>1487.5</v>
      </c>
      <c r="U242" s="2"/>
      <c r="V242" s="6">
        <f t="shared" si="92"/>
        <v>1.4766445107503124E-4</v>
      </c>
      <c r="W242" s="2"/>
      <c r="X242" s="7">
        <f t="shared" si="93"/>
        <v>1478.2399999999998</v>
      </c>
      <c r="Y242" s="2"/>
      <c r="Z242" s="6">
        <f t="shared" si="94"/>
        <v>0.99377478991596624</v>
      </c>
    </row>
    <row r="243" spans="1:26" s="24" customFormat="1" hidden="1" outlineLevel="2" x14ac:dyDescent="0.25">
      <c r="A243" s="25"/>
      <c r="B243" s="11" t="str">
        <f>CONCATENATE("          ", "6285", " - ", "JANITORIAL SERVICES")</f>
        <v xml:space="preserve">          6285 - JANITORIAL SERVICES</v>
      </c>
      <c r="C243" s="11"/>
      <c r="D243" s="7">
        <v>4570.0600000000004</v>
      </c>
      <c r="E243" s="2"/>
      <c r="F243" s="6">
        <f t="shared" si="87"/>
        <v>1.9408896688699684E-3</v>
      </c>
      <c r="G243" s="2"/>
      <c r="H243" s="7">
        <v>4709</v>
      </c>
      <c r="I243" s="2"/>
      <c r="J243" s="6">
        <f t="shared" si="88"/>
        <v>1.8086520595308752E-3</v>
      </c>
      <c r="K243" s="2"/>
      <c r="L243" s="7">
        <f t="shared" si="89"/>
        <v>-138.9399999999996</v>
      </c>
      <c r="M243" s="2"/>
      <c r="N243" s="6">
        <f t="shared" si="90"/>
        <v>-2.9505202803142831E-2</v>
      </c>
      <c r="O243" s="11"/>
      <c r="P243" s="7">
        <v>29663.420000000002</v>
      </c>
      <c r="Q243" s="2"/>
      <c r="R243" s="6">
        <f t="shared" si="91"/>
        <v>3.1235837198484886E-3</v>
      </c>
      <c r="S243" s="2"/>
      <c r="T243" s="7">
        <v>31283</v>
      </c>
      <c r="U243" s="2"/>
      <c r="V243" s="6">
        <f t="shared" si="92"/>
        <v>3.1054702675497158E-3</v>
      </c>
      <c r="W243" s="2"/>
      <c r="X243" s="7">
        <f t="shared" si="93"/>
        <v>-1619.5799999999981</v>
      </c>
      <c r="Y243" s="2"/>
      <c r="Z243" s="6">
        <f t="shared" si="94"/>
        <v>-5.1771888885337021E-2</v>
      </c>
    </row>
    <row r="244" spans="1:26" s="24" customFormat="1" hidden="1" outlineLevel="2" x14ac:dyDescent="0.25">
      <c r="A244" s="25"/>
      <c r="B244" s="11" t="str">
        <f>CONCATENATE("          ", "6286", " - ", "LAUNDRY EXPENSE")</f>
        <v xml:space="preserve">          6286 - LAUNDRY EXPENSE</v>
      </c>
      <c r="C244" s="11"/>
      <c r="D244" s="7">
        <v>883.67</v>
      </c>
      <c r="E244" s="2"/>
      <c r="F244" s="6">
        <f t="shared" si="87"/>
        <v>3.7529178472280993E-4</v>
      </c>
      <c r="G244" s="2"/>
      <c r="H244" s="7">
        <v>45</v>
      </c>
      <c r="I244" s="2"/>
      <c r="J244" s="6">
        <f t="shared" si="88"/>
        <v>1.728378481182616E-5</v>
      </c>
      <c r="K244" s="2"/>
      <c r="L244" s="7">
        <f t="shared" si="89"/>
        <v>838.67</v>
      </c>
      <c r="M244" s="2"/>
      <c r="N244" s="6">
        <f t="shared" si="90"/>
        <v>18.637111111111111</v>
      </c>
      <c r="O244" s="11"/>
      <c r="P244" s="7">
        <v>5144.01</v>
      </c>
      <c r="Q244" s="2"/>
      <c r="R244" s="6">
        <f t="shared" si="91"/>
        <v>5.4166869129513131E-4</v>
      </c>
      <c r="S244" s="2"/>
      <c r="T244" s="7">
        <v>495</v>
      </c>
      <c r="U244" s="2"/>
      <c r="V244" s="6">
        <f t="shared" si="92"/>
        <v>4.9138758509001989E-5</v>
      </c>
      <c r="W244" s="2"/>
      <c r="X244" s="7">
        <f t="shared" si="93"/>
        <v>4649.01</v>
      </c>
      <c r="Y244" s="2"/>
      <c r="Z244" s="6">
        <f t="shared" si="94"/>
        <v>9.3919393939393938</v>
      </c>
    </row>
    <row r="245" spans="1:26" s="27" customFormat="1" outlineLevel="1" collapsed="1" x14ac:dyDescent="0.25">
      <c r="A245" s="26"/>
      <c r="B245" s="13" t="str">
        <f>CONCATENATE("     ","Subscriptions &amp; Dues                              ")</f>
        <v xml:space="preserve">     Subscriptions &amp; Dues                              </v>
      </c>
      <c r="C245" s="13"/>
      <c r="D245" s="1">
        <f>SUM(OSRRefD22_21x_0)</f>
        <v>509.5</v>
      </c>
      <c r="E245" s="1"/>
      <c r="F245" s="5">
        <f t="shared" ref="F245:F247" si="95">IF(D$12=0,0,D245/D$12)</f>
        <v>2.1638299853595988E-4</v>
      </c>
      <c r="G245" s="1"/>
      <c r="H245" s="1">
        <f>SUM(OSRRefH22_21x_0)</f>
        <v>3170</v>
      </c>
      <c r="I245" s="1"/>
      <c r="J245" s="5">
        <f t="shared" ref="J245:J247" si="96">IF(H$12=0,0,H245/H$12)</f>
        <v>1.2175466189664206E-3</v>
      </c>
      <c r="K245" s="1"/>
      <c r="L245" s="1">
        <f t="shared" ref="L245:L247" si="97">+D245-H245</f>
        <v>-2660.5</v>
      </c>
      <c r="M245" s="1"/>
      <c r="N245" s="5">
        <f t="shared" ref="N245:N247" si="98">IF(H245=0,0,L245/H245)</f>
        <v>-0.83927444794952677</v>
      </c>
      <c r="O245" s="13"/>
      <c r="P245" s="1">
        <f>SUM(OSRRefP22_21x_0)</f>
        <v>4035.66</v>
      </c>
      <c r="Q245" s="1"/>
      <c r="R245" s="5">
        <f t="shared" ref="R245:R247" si="99">IF(P$12=0,0,P245/P$12)</f>
        <v>4.2495848000142095E-4</v>
      </c>
      <c r="S245" s="1"/>
      <c r="T245" s="1">
        <f>SUM(OSRRefT22_21x_0)</f>
        <v>17980</v>
      </c>
      <c r="U245" s="1"/>
      <c r="V245" s="5">
        <f t="shared" ref="V245:V247" si="100">IF(T$12=0,0,T245/T$12)</f>
        <v>1.7848785413976886E-3</v>
      </c>
      <c r="W245" s="1"/>
      <c r="X245" s="1">
        <f t="shared" ref="X245:X247" si="101">+P245-T245</f>
        <v>-13944.34</v>
      </c>
      <c r="Y245" s="1"/>
      <c r="Z245" s="5">
        <f t="shared" ref="Z245:Z247" si="102">IF(T245=0,0,X245/T245)</f>
        <v>-0.77554727474972196</v>
      </c>
    </row>
    <row r="246" spans="1:26" s="24" customFormat="1" hidden="1" outlineLevel="2" x14ac:dyDescent="0.25">
      <c r="A246" s="25"/>
      <c r="B246" s="11" t="str">
        <f>CONCATENATE("          ", "6258", " - ", "MEMBERSHIP DUES")</f>
        <v xml:space="preserve">          6258 - MEMBERSHIP DUES</v>
      </c>
      <c r="C246" s="11"/>
      <c r="D246" s="7">
        <v>258.10000000000002</v>
      </c>
      <c r="E246" s="2"/>
      <c r="F246" s="6">
        <f t="shared" si="95"/>
        <v>1.0961423340948233E-4</v>
      </c>
      <c r="G246" s="2"/>
      <c r="H246" s="7">
        <v>2700</v>
      </c>
      <c r="I246" s="2"/>
      <c r="J246" s="6">
        <f t="shared" si="96"/>
        <v>1.0370270887095697E-3</v>
      </c>
      <c r="K246" s="2"/>
      <c r="L246" s="7">
        <f t="shared" si="97"/>
        <v>-2441.9</v>
      </c>
      <c r="M246" s="2"/>
      <c r="N246" s="6">
        <f t="shared" si="98"/>
        <v>-0.90440740740740744</v>
      </c>
      <c r="O246" s="11"/>
      <c r="P246" s="7">
        <v>1935.5</v>
      </c>
      <c r="Q246" s="2"/>
      <c r="R246" s="6">
        <f t="shared" si="99"/>
        <v>2.0380981996569343E-4</v>
      </c>
      <c r="S246" s="2"/>
      <c r="T246" s="7">
        <v>13840</v>
      </c>
      <c r="U246" s="2"/>
      <c r="V246" s="6">
        <f t="shared" si="100"/>
        <v>1.3738998338678537E-3</v>
      </c>
      <c r="W246" s="2"/>
      <c r="X246" s="7">
        <f t="shared" si="101"/>
        <v>-11904.5</v>
      </c>
      <c r="Y246" s="2"/>
      <c r="Z246" s="6">
        <f t="shared" si="102"/>
        <v>-0.86015173410404622</v>
      </c>
    </row>
    <row r="247" spans="1:26" s="24" customFormat="1" hidden="1" outlineLevel="2" x14ac:dyDescent="0.25">
      <c r="A247" s="25"/>
      <c r="B247" s="11" t="str">
        <f>CONCATENATE("          ", "6275", " - ", "SUBSCRIPTIONS")</f>
        <v xml:space="preserve">          6275 - SUBSCRIPTIONS</v>
      </c>
      <c r="C247" s="11"/>
      <c r="D247" s="7">
        <v>251.4</v>
      </c>
      <c r="E247" s="2"/>
      <c r="F247" s="6">
        <f t="shared" si="95"/>
        <v>1.0676876512647755E-4</v>
      </c>
      <c r="G247" s="2"/>
      <c r="H247" s="7">
        <v>470</v>
      </c>
      <c r="I247" s="2"/>
      <c r="J247" s="6">
        <f t="shared" si="96"/>
        <v>1.8051953025685101E-4</v>
      </c>
      <c r="K247" s="2"/>
      <c r="L247" s="7">
        <f t="shared" si="97"/>
        <v>-218.6</v>
      </c>
      <c r="M247" s="2"/>
      <c r="N247" s="6">
        <f t="shared" si="98"/>
        <v>-0.46510638297872336</v>
      </c>
      <c r="O247" s="11"/>
      <c r="P247" s="7">
        <v>2100.16</v>
      </c>
      <c r="Q247" s="2"/>
      <c r="R247" s="6">
        <f t="shared" si="99"/>
        <v>2.2114866003572755E-4</v>
      </c>
      <c r="S247" s="2"/>
      <c r="T247" s="7">
        <v>4140</v>
      </c>
      <c r="U247" s="2"/>
      <c r="V247" s="6">
        <f t="shared" si="100"/>
        <v>4.1097870752983484E-4</v>
      </c>
      <c r="W247" s="2"/>
      <c r="X247" s="7">
        <f t="shared" si="101"/>
        <v>-2039.8400000000001</v>
      </c>
      <c r="Y247" s="2"/>
      <c r="Z247" s="6">
        <f t="shared" si="102"/>
        <v>-0.49271497584541069</v>
      </c>
    </row>
    <row r="248" spans="1:26" s="27" customFormat="1" outlineLevel="1" collapsed="1" x14ac:dyDescent="0.25">
      <c r="A248" s="26"/>
      <c r="B248" s="13" t="str">
        <f>CONCATENATE("     ","Supplies                                          ")</f>
        <v xml:space="preserve">     Supplies                                          </v>
      </c>
      <c r="C248" s="13"/>
      <c r="D248" s="1">
        <f>SUM(OSRRefD22_22x_0)</f>
        <v>14483.989999999998</v>
      </c>
      <c r="E248" s="1"/>
      <c r="F248" s="5">
        <f t="shared" ref="F248:F257" si="103">IF(D$12=0,0,D248/D$12)</f>
        <v>6.1513036054266085E-3</v>
      </c>
      <c r="G248" s="1"/>
      <c r="H248" s="1">
        <f>SUM(OSRRefH22_22x_0)</f>
        <v>27508</v>
      </c>
      <c r="I248" s="1"/>
      <c r="J248" s="5">
        <f t="shared" ref="J248:J257" si="104">IF(H$12=0,0,H248/H$12)</f>
        <v>1.0565385613415867E-2</v>
      </c>
      <c r="K248" s="1"/>
      <c r="L248" s="1">
        <f t="shared" ref="L248:L257" si="105">+D248-H248</f>
        <v>-13024.010000000002</v>
      </c>
      <c r="M248" s="1"/>
      <c r="N248" s="5">
        <f t="shared" ref="N248:N257" si="106">IF(H248=0,0,L248/H248)</f>
        <v>-0.47346262905336639</v>
      </c>
      <c r="O248" s="13"/>
      <c r="P248" s="1">
        <f>SUM(OSRRefP22_22x_0)</f>
        <v>103131.57999999999</v>
      </c>
      <c r="Q248" s="1"/>
      <c r="R248" s="5">
        <f t="shared" ref="R248:R257" si="107">IF(P$12=0,0,P248/P$12)</f>
        <v>1.0859844356795404E-2</v>
      </c>
      <c r="S248" s="1"/>
      <c r="T248" s="1">
        <f>SUM(OSRRefT22_22x_0)</f>
        <v>143508</v>
      </c>
      <c r="U248" s="1"/>
      <c r="V248" s="5">
        <f t="shared" ref="V248:V257" si="108">IF(T$12=0,0,T248/T$12)</f>
        <v>1.4246070618403753E-2</v>
      </c>
      <c r="W248" s="1"/>
      <c r="X248" s="1">
        <f t="shared" ref="X248:X257" si="109">+P248-T248</f>
        <v>-40376.420000000013</v>
      </c>
      <c r="Y248" s="1"/>
      <c r="Z248" s="5">
        <f t="shared" ref="Z248:Z257" si="110">IF(T248=0,0,X248/T248)</f>
        <v>-0.28135309529782321</v>
      </c>
    </row>
    <row r="249" spans="1:26" s="24" customFormat="1" hidden="1" outlineLevel="2" x14ac:dyDescent="0.25">
      <c r="A249" s="25"/>
      <c r="B249" s="11" t="str">
        <f>CONCATENATE("          ", "6234", " - ", "EXPENDABLE SUPPLIES &amp; EQUIPMEN")</f>
        <v xml:space="preserve">          6234 - EXPENDABLE SUPPLIES &amp; EQUIPMEN</v>
      </c>
      <c r="C249" s="11"/>
      <c r="D249" s="7">
        <v>1338.2</v>
      </c>
      <c r="E249" s="2"/>
      <c r="F249" s="6">
        <f t="shared" si="103"/>
        <v>5.68329202435371E-4</v>
      </c>
      <c r="G249" s="2"/>
      <c r="H249" s="7">
        <v>2600</v>
      </c>
      <c r="I249" s="2"/>
      <c r="J249" s="6">
        <f t="shared" si="104"/>
        <v>9.9861867801662261E-4</v>
      </c>
      <c r="K249" s="2"/>
      <c r="L249" s="7">
        <f t="shared" si="105"/>
        <v>-1261.8</v>
      </c>
      <c r="M249" s="2"/>
      <c r="N249" s="6">
        <f t="shared" si="106"/>
        <v>-0.48530769230769227</v>
      </c>
      <c r="O249" s="11"/>
      <c r="P249" s="7">
        <v>4253.41</v>
      </c>
      <c r="Q249" s="2"/>
      <c r="R249" s="6">
        <f t="shared" si="107"/>
        <v>4.4788774287795403E-4</v>
      </c>
      <c r="S249" s="2"/>
      <c r="T249" s="7">
        <v>8850</v>
      </c>
      <c r="U249" s="2"/>
      <c r="V249" s="6">
        <f t="shared" si="108"/>
        <v>8.7854144000942954E-4</v>
      </c>
      <c r="W249" s="2"/>
      <c r="X249" s="7">
        <f t="shared" si="109"/>
        <v>-4596.59</v>
      </c>
      <c r="Y249" s="2"/>
      <c r="Z249" s="6">
        <f t="shared" si="110"/>
        <v>-0.51938870056497177</v>
      </c>
    </row>
    <row r="250" spans="1:26" s="24" customFormat="1" hidden="1" outlineLevel="2" x14ac:dyDescent="0.25">
      <c r="A250" s="25"/>
      <c r="B250" s="11" t="str">
        <f>CONCATENATE("          ", "6237", " - ", "JANITORIAL SUPPLIES")</f>
        <v xml:space="preserve">          6237 - JANITORIAL SUPPLIES</v>
      </c>
      <c r="C250" s="11"/>
      <c r="D250" s="7">
        <v>1153.96</v>
      </c>
      <c r="E250" s="2"/>
      <c r="F250" s="6">
        <f t="shared" si="103"/>
        <v>4.900830716203263E-4</v>
      </c>
      <c r="G250" s="2"/>
      <c r="H250" s="7">
        <v>345</v>
      </c>
      <c r="I250" s="2"/>
      <c r="J250" s="6">
        <f t="shared" si="104"/>
        <v>1.3250901689066722E-4</v>
      </c>
      <c r="K250" s="2"/>
      <c r="L250" s="7">
        <f t="shared" si="105"/>
        <v>808.96</v>
      </c>
      <c r="M250" s="2"/>
      <c r="N250" s="6">
        <f t="shared" si="106"/>
        <v>2.3448115942028989</v>
      </c>
      <c r="O250" s="11"/>
      <c r="P250" s="7">
        <v>7147.87</v>
      </c>
      <c r="Q250" s="2"/>
      <c r="R250" s="6">
        <f t="shared" si="107"/>
        <v>7.5267687824240813E-4</v>
      </c>
      <c r="S250" s="2"/>
      <c r="T250" s="7">
        <v>1405</v>
      </c>
      <c r="U250" s="2"/>
      <c r="V250" s="6">
        <f t="shared" si="108"/>
        <v>1.3947465799019757E-4</v>
      </c>
      <c r="W250" s="2"/>
      <c r="X250" s="7">
        <f t="shared" si="109"/>
        <v>5742.87</v>
      </c>
      <c r="Y250" s="2"/>
      <c r="Z250" s="6">
        <f t="shared" si="110"/>
        <v>4.0874519572953734</v>
      </c>
    </row>
    <row r="251" spans="1:26" s="24" customFormat="1" hidden="1" outlineLevel="2" x14ac:dyDescent="0.25">
      <c r="A251" s="25"/>
      <c r="B251" s="11" t="str">
        <f>CONCATENATE("          ", "6239", " - ", "KITCHEN SUPPLIES")</f>
        <v xml:space="preserve">          6239 - KITCHEN SUPPLIES</v>
      </c>
      <c r="C251" s="11"/>
      <c r="D251" s="7">
        <v>63.92</v>
      </c>
      <c r="E251" s="2"/>
      <c r="F251" s="6">
        <f t="shared" si="103"/>
        <v>2.7146616813382838E-5</v>
      </c>
      <c r="G251" s="2"/>
      <c r="H251" s="7"/>
      <c r="I251" s="2"/>
      <c r="J251" s="6">
        <f t="shared" si="104"/>
        <v>0</v>
      </c>
      <c r="K251" s="2"/>
      <c r="L251" s="7">
        <f t="shared" si="105"/>
        <v>63.92</v>
      </c>
      <c r="M251" s="2"/>
      <c r="N251" s="6">
        <f t="shared" si="106"/>
        <v>0</v>
      </c>
      <c r="O251" s="11"/>
      <c r="P251" s="7">
        <v>63.92</v>
      </c>
      <c r="Q251" s="2"/>
      <c r="R251" s="6">
        <f t="shared" si="107"/>
        <v>6.7308311507140917E-6</v>
      </c>
      <c r="S251" s="2"/>
      <c r="T251" s="7"/>
      <c r="U251" s="2"/>
      <c r="V251" s="6">
        <f t="shared" si="108"/>
        <v>0</v>
      </c>
      <c r="W251" s="2"/>
      <c r="X251" s="7">
        <f t="shared" si="109"/>
        <v>63.92</v>
      </c>
      <c r="Y251" s="2"/>
      <c r="Z251" s="6">
        <f t="shared" si="110"/>
        <v>0</v>
      </c>
    </row>
    <row r="252" spans="1:26" s="24" customFormat="1" hidden="1" outlineLevel="2" x14ac:dyDescent="0.25">
      <c r="A252" s="25"/>
      <c r="B252" s="11" t="str">
        <f>CONCATENATE("          ", "6241", " - ", "OFFICE EXPENSE")</f>
        <v xml:space="preserve">          6241 - OFFICE EXPENSE</v>
      </c>
      <c r="C252" s="11"/>
      <c r="D252" s="7">
        <v>4301.99</v>
      </c>
      <c r="E252" s="2"/>
      <c r="F252" s="6">
        <f t="shared" si="103"/>
        <v>1.8270412087766712E-3</v>
      </c>
      <c r="G252" s="2"/>
      <c r="H252" s="7">
        <v>1695</v>
      </c>
      <c r="I252" s="2"/>
      <c r="J252" s="6">
        <f t="shared" si="104"/>
        <v>6.5102256124545204E-4</v>
      </c>
      <c r="K252" s="2"/>
      <c r="L252" s="7">
        <f t="shared" si="105"/>
        <v>2606.9899999999998</v>
      </c>
      <c r="M252" s="2"/>
      <c r="N252" s="6">
        <f t="shared" si="106"/>
        <v>1.5380471976401178</v>
      </c>
      <c r="O252" s="11"/>
      <c r="P252" s="7">
        <v>23673.7</v>
      </c>
      <c r="Q252" s="2"/>
      <c r="R252" s="6">
        <f t="shared" si="107"/>
        <v>2.4928610358676499E-3</v>
      </c>
      <c r="S252" s="2"/>
      <c r="T252" s="7">
        <v>11335</v>
      </c>
      <c r="U252" s="2"/>
      <c r="V252" s="6">
        <f t="shared" si="108"/>
        <v>1.1252279347465405E-3</v>
      </c>
      <c r="W252" s="2"/>
      <c r="X252" s="7">
        <f t="shared" si="109"/>
        <v>12338.7</v>
      </c>
      <c r="Y252" s="2"/>
      <c r="Z252" s="6">
        <f t="shared" si="110"/>
        <v>1.0885487428319365</v>
      </c>
    </row>
    <row r="253" spans="1:26" s="24" customFormat="1" hidden="1" outlineLevel="2" x14ac:dyDescent="0.25">
      <c r="A253" s="25"/>
      <c r="B253" s="11" t="str">
        <f>CONCATENATE("          ", "6243", " - ", "PAPER SUPPLIES")</f>
        <v xml:space="preserve">          6243 - PAPER SUPPLIES</v>
      </c>
      <c r="C253" s="11"/>
      <c r="D253" s="7">
        <v>2872.87</v>
      </c>
      <c r="E253" s="2"/>
      <c r="F253" s="6">
        <f t="shared" si="103"/>
        <v>1.220098577044167E-3</v>
      </c>
      <c r="G253" s="2"/>
      <c r="H253" s="7">
        <v>750</v>
      </c>
      <c r="I253" s="2"/>
      <c r="J253" s="6">
        <f t="shared" si="104"/>
        <v>2.8806308019710267E-4</v>
      </c>
      <c r="K253" s="2"/>
      <c r="L253" s="7">
        <f t="shared" si="105"/>
        <v>2122.87</v>
      </c>
      <c r="M253" s="2"/>
      <c r="N253" s="6">
        <f t="shared" si="106"/>
        <v>2.8304933333333331</v>
      </c>
      <c r="O253" s="11"/>
      <c r="P253" s="7">
        <v>15783.969999999998</v>
      </c>
      <c r="Q253" s="2"/>
      <c r="R253" s="6">
        <f t="shared" si="107"/>
        <v>1.6620656595421883E-3</v>
      </c>
      <c r="S253" s="2"/>
      <c r="T253" s="7">
        <v>2750</v>
      </c>
      <c r="U253" s="2"/>
      <c r="V253" s="6">
        <f t="shared" si="108"/>
        <v>2.7299310282778884E-4</v>
      </c>
      <c r="W253" s="2"/>
      <c r="X253" s="7">
        <f t="shared" si="109"/>
        <v>13033.969999999998</v>
      </c>
      <c r="Y253" s="2"/>
      <c r="Z253" s="6">
        <f t="shared" si="110"/>
        <v>4.7396254545454539</v>
      </c>
    </row>
    <row r="254" spans="1:26" s="24" customFormat="1" hidden="1" outlineLevel="2" x14ac:dyDescent="0.25">
      <c r="A254" s="25"/>
      <c r="B254" s="11" t="str">
        <f>CONCATENATE("          ", "6244", " - ", "SAFETY SUPPLY EXPENSE")</f>
        <v xml:space="preserve">          6244 - SAFETY SUPPLY EXPENSE</v>
      </c>
      <c r="C254" s="11"/>
      <c r="D254" s="7"/>
      <c r="E254" s="2"/>
      <c r="F254" s="6">
        <f t="shared" si="103"/>
        <v>0</v>
      </c>
      <c r="G254" s="2"/>
      <c r="H254" s="7"/>
      <c r="I254" s="2"/>
      <c r="J254" s="6">
        <f t="shared" si="104"/>
        <v>0</v>
      </c>
      <c r="K254" s="2"/>
      <c r="L254" s="7">
        <f t="shared" si="105"/>
        <v>0</v>
      </c>
      <c r="M254" s="2"/>
      <c r="N254" s="6">
        <f t="shared" si="106"/>
        <v>0</v>
      </c>
      <c r="O254" s="11"/>
      <c r="P254" s="7"/>
      <c r="Q254" s="2"/>
      <c r="R254" s="6">
        <f t="shared" si="107"/>
        <v>0</v>
      </c>
      <c r="S254" s="2"/>
      <c r="T254" s="7">
        <v>30</v>
      </c>
      <c r="U254" s="2"/>
      <c r="V254" s="6">
        <f t="shared" si="108"/>
        <v>2.978106576303151E-6</v>
      </c>
      <c r="W254" s="2"/>
      <c r="X254" s="7">
        <f t="shared" si="109"/>
        <v>-30</v>
      </c>
      <c r="Y254" s="2"/>
      <c r="Z254" s="6">
        <f t="shared" si="110"/>
        <v>-1</v>
      </c>
    </row>
    <row r="255" spans="1:26" s="24" customFormat="1" hidden="1" outlineLevel="2" x14ac:dyDescent="0.25">
      <c r="A255" s="25"/>
      <c r="B255" s="11" t="str">
        <f>CONCATENATE("          ", "6245", " - ", "PRINTING")</f>
        <v xml:space="preserve">          6245 - PRINTING</v>
      </c>
      <c r="C255" s="11"/>
      <c r="D255" s="7">
        <v>926.39</v>
      </c>
      <c r="E255" s="2"/>
      <c r="F255" s="6">
        <f t="shared" si="103"/>
        <v>3.9343483025265527E-4</v>
      </c>
      <c r="G255" s="2"/>
      <c r="H255" s="7">
        <v>500</v>
      </c>
      <c r="I255" s="2"/>
      <c r="J255" s="6">
        <f t="shared" si="104"/>
        <v>1.920420534647351E-4</v>
      </c>
      <c r="K255" s="2"/>
      <c r="L255" s="7">
        <f t="shared" si="105"/>
        <v>426.39</v>
      </c>
      <c r="M255" s="2"/>
      <c r="N255" s="6">
        <f t="shared" si="106"/>
        <v>0.85277999999999998</v>
      </c>
      <c r="O255" s="11"/>
      <c r="P255" s="7">
        <v>6601.94</v>
      </c>
      <c r="Q255" s="2"/>
      <c r="R255" s="6">
        <f t="shared" si="107"/>
        <v>6.9518997820940836E-4</v>
      </c>
      <c r="S255" s="2"/>
      <c r="T255" s="7">
        <v>1900</v>
      </c>
      <c r="U255" s="2"/>
      <c r="V255" s="6">
        <f t="shared" si="108"/>
        <v>1.8861341649919957E-4</v>
      </c>
      <c r="W255" s="2"/>
      <c r="X255" s="7">
        <f t="shared" si="109"/>
        <v>4701.9399999999996</v>
      </c>
      <c r="Y255" s="2"/>
      <c r="Z255" s="6">
        <f t="shared" si="110"/>
        <v>2.4747052631578947</v>
      </c>
    </row>
    <row r="256" spans="1:26" s="24" customFormat="1" hidden="1" outlineLevel="2" x14ac:dyDescent="0.25">
      <c r="A256" s="25"/>
      <c r="B256" s="11" t="str">
        <f>CONCATENATE("          ", "6247", " - ", "STORE SUPPLIES")</f>
        <v xml:space="preserve">          6247 - STORE SUPPLIES</v>
      </c>
      <c r="C256" s="11"/>
      <c r="D256" s="7">
        <v>3826.66</v>
      </c>
      <c r="E256" s="2"/>
      <c r="F256" s="6">
        <f t="shared" si="103"/>
        <v>1.6251700984840356E-3</v>
      </c>
      <c r="G256" s="2"/>
      <c r="H256" s="7">
        <v>20318</v>
      </c>
      <c r="I256" s="2"/>
      <c r="J256" s="6">
        <f t="shared" si="104"/>
        <v>7.8038208845929756E-3</v>
      </c>
      <c r="K256" s="2"/>
      <c r="L256" s="7">
        <f t="shared" si="105"/>
        <v>-16491.34</v>
      </c>
      <c r="M256" s="2"/>
      <c r="N256" s="6">
        <f t="shared" si="106"/>
        <v>-0.81166158086425833</v>
      </c>
      <c r="O256" s="11"/>
      <c r="P256" s="7">
        <v>45606.77</v>
      </c>
      <c r="Q256" s="2"/>
      <c r="R256" s="6">
        <f t="shared" si="107"/>
        <v>4.8024322309050821E-3</v>
      </c>
      <c r="S256" s="2"/>
      <c r="T256" s="7">
        <v>109138</v>
      </c>
      <c r="U256" s="2"/>
      <c r="V256" s="6">
        <f t="shared" si="108"/>
        <v>1.0834153184152442E-2</v>
      </c>
      <c r="W256" s="2"/>
      <c r="X256" s="7">
        <f t="shared" si="109"/>
        <v>-63531.23</v>
      </c>
      <c r="Y256" s="2"/>
      <c r="Z256" s="6">
        <f t="shared" si="110"/>
        <v>-0.58211832725540147</v>
      </c>
    </row>
    <row r="257" spans="1:26" s="24" customFormat="1" hidden="1" outlineLevel="2" x14ac:dyDescent="0.25">
      <c r="A257" s="25"/>
      <c r="B257" s="11" t="str">
        <f>CONCATENATE("          ", "6248", " - ", "UNIFORMS")</f>
        <v xml:space="preserve">          6248 - UNIFORMS</v>
      </c>
      <c r="C257" s="11"/>
      <c r="D257" s="7"/>
      <c r="E257" s="2"/>
      <c r="F257" s="6">
        <f t="shared" si="103"/>
        <v>0</v>
      </c>
      <c r="G257" s="2"/>
      <c r="H257" s="7">
        <v>1300</v>
      </c>
      <c r="I257" s="2"/>
      <c r="J257" s="6">
        <f t="shared" si="104"/>
        <v>4.993093390083113E-4</v>
      </c>
      <c r="K257" s="2"/>
      <c r="L257" s="7">
        <f t="shared" si="105"/>
        <v>-1300</v>
      </c>
      <c r="M257" s="2"/>
      <c r="N257" s="6">
        <f t="shared" si="106"/>
        <v>-1</v>
      </c>
      <c r="O257" s="11"/>
      <c r="P257" s="7"/>
      <c r="Q257" s="2"/>
      <c r="R257" s="6">
        <f t="shared" si="107"/>
        <v>0</v>
      </c>
      <c r="S257" s="2"/>
      <c r="T257" s="7">
        <v>8100</v>
      </c>
      <c r="U257" s="2"/>
      <c r="V257" s="6">
        <f t="shared" si="108"/>
        <v>8.0408877560185076E-4</v>
      </c>
      <c r="W257" s="2"/>
      <c r="X257" s="7">
        <f t="shared" si="109"/>
        <v>-8100</v>
      </c>
      <c r="Y257" s="2"/>
      <c r="Z257" s="6">
        <f t="shared" si="110"/>
        <v>-1</v>
      </c>
    </row>
    <row r="258" spans="1:26" s="27" customFormat="1" outlineLevel="1" collapsed="1" x14ac:dyDescent="0.25">
      <c r="A258" s="26"/>
      <c r="B258" s="13" t="str">
        <f>CONCATENATE("     ","Telephone/Data Lines                              ")</f>
        <v xml:space="preserve">     Telephone/Data Lines                              </v>
      </c>
      <c r="C258" s="13"/>
      <c r="D258" s="1">
        <f>SUM(OSRRefD22_23x_0)</f>
        <v>3035.94</v>
      </c>
      <c r="E258" s="1"/>
      <c r="F258" s="5">
        <f t="shared" ref="F258:F260" si="111">IF(D$12=0,0,D258/D$12)</f>
        <v>1.2893538774784339E-3</v>
      </c>
      <c r="G258" s="1"/>
      <c r="H258" s="1">
        <f>SUM(OSRRefH22_23x_0)</f>
        <v>3180</v>
      </c>
      <c r="I258" s="1"/>
      <c r="J258" s="5">
        <f t="shared" ref="J258:J260" si="112">IF(H$12=0,0,H258/H$12)</f>
        <v>1.2213874600357152E-3</v>
      </c>
      <c r="K258" s="1"/>
      <c r="L258" s="1">
        <f t="shared" ref="L258:L260" si="113">+D258-H258</f>
        <v>-144.05999999999995</v>
      </c>
      <c r="M258" s="1"/>
      <c r="N258" s="5">
        <f t="shared" ref="N258:N260" si="114">IF(H258=0,0,L258/H258)</f>
        <v>-4.5301886792452811E-2</v>
      </c>
      <c r="O258" s="13"/>
      <c r="P258" s="1">
        <f>SUM(OSRRefP22_23x_0)</f>
        <v>21137.46</v>
      </c>
      <c r="Q258" s="1"/>
      <c r="R258" s="5">
        <f t="shared" ref="R258:R260" si="115">IF(P$12=0,0,P258/P$12)</f>
        <v>2.2257927755784273E-3</v>
      </c>
      <c r="S258" s="1"/>
      <c r="T258" s="1">
        <f>SUM(OSRRefT22_23x_0)</f>
        <v>23235</v>
      </c>
      <c r="U258" s="1"/>
      <c r="V258" s="5">
        <f t="shared" ref="V258:V260" si="116">IF(T$12=0,0,T258/T$12)</f>
        <v>2.3065435433467906E-3</v>
      </c>
      <c r="W258" s="1"/>
      <c r="X258" s="1">
        <f t="shared" ref="X258:X260" si="117">+P258-T258</f>
        <v>-2097.5400000000009</v>
      </c>
      <c r="Y258" s="1"/>
      <c r="Z258" s="5">
        <f t="shared" ref="Z258:Z260" si="118">IF(T258=0,0,X258/T258)</f>
        <v>-9.0275016139444844E-2</v>
      </c>
    </row>
    <row r="259" spans="1:26" s="24" customFormat="1" hidden="1" outlineLevel="2" x14ac:dyDescent="0.25">
      <c r="A259" s="25"/>
      <c r="B259" s="11" t="str">
        <f>CONCATENATE("          ", "6303", " - ", "DATA PHONE LINES")</f>
        <v xml:space="preserve">          6303 - DATA PHONE LINES</v>
      </c>
      <c r="C259" s="11"/>
      <c r="D259" s="7">
        <v>295</v>
      </c>
      <c r="E259" s="2"/>
      <c r="F259" s="6">
        <f t="shared" si="111"/>
        <v>1.2528554380394143E-4</v>
      </c>
      <c r="G259" s="2"/>
      <c r="H259" s="7">
        <v>900</v>
      </c>
      <c r="I259" s="2"/>
      <c r="J259" s="6">
        <f t="shared" si="112"/>
        <v>3.4567569623652317E-4</v>
      </c>
      <c r="K259" s="2"/>
      <c r="L259" s="7">
        <f t="shared" si="113"/>
        <v>-605</v>
      </c>
      <c r="M259" s="2"/>
      <c r="N259" s="6">
        <f t="shared" si="114"/>
        <v>-0.67222222222222228</v>
      </c>
      <c r="O259" s="11"/>
      <c r="P259" s="7">
        <v>2065</v>
      </c>
      <c r="Q259" s="2"/>
      <c r="R259" s="6">
        <f t="shared" si="115"/>
        <v>2.1744628169938359E-4</v>
      </c>
      <c r="S259" s="2"/>
      <c r="T259" s="7">
        <v>7375</v>
      </c>
      <c r="U259" s="2"/>
      <c r="V259" s="6">
        <f t="shared" si="116"/>
        <v>7.3211786667452458E-4</v>
      </c>
      <c r="W259" s="2"/>
      <c r="X259" s="7">
        <f t="shared" si="117"/>
        <v>-5310</v>
      </c>
      <c r="Y259" s="2"/>
      <c r="Z259" s="6">
        <f t="shared" si="118"/>
        <v>-0.72</v>
      </c>
    </row>
    <row r="260" spans="1:26" s="24" customFormat="1" hidden="1" outlineLevel="2" x14ac:dyDescent="0.25">
      <c r="A260" s="25"/>
      <c r="B260" s="11" t="str">
        <f>CONCATENATE("          ", "6309", " - ", "TELEPHONE")</f>
        <v xml:space="preserve">          6309 - TELEPHONE</v>
      </c>
      <c r="C260" s="11"/>
      <c r="D260" s="7">
        <v>2740.94</v>
      </c>
      <c r="E260" s="2"/>
      <c r="F260" s="6">
        <f t="shared" si="111"/>
        <v>1.1640683336744924E-3</v>
      </c>
      <c r="G260" s="2"/>
      <c r="H260" s="7">
        <v>2280</v>
      </c>
      <c r="I260" s="2"/>
      <c r="J260" s="6">
        <f t="shared" si="112"/>
        <v>8.7571176379919213E-4</v>
      </c>
      <c r="K260" s="2"/>
      <c r="L260" s="7">
        <f t="shared" si="113"/>
        <v>460.94000000000005</v>
      </c>
      <c r="M260" s="2"/>
      <c r="N260" s="6">
        <f t="shared" si="114"/>
        <v>0.20216666666666669</v>
      </c>
      <c r="O260" s="11"/>
      <c r="P260" s="7">
        <v>19072.46</v>
      </c>
      <c r="Q260" s="2"/>
      <c r="R260" s="6">
        <f t="shared" si="115"/>
        <v>2.0083464938790438E-3</v>
      </c>
      <c r="S260" s="2"/>
      <c r="T260" s="7">
        <v>15860</v>
      </c>
      <c r="U260" s="2"/>
      <c r="V260" s="6">
        <f t="shared" si="116"/>
        <v>1.5744256766722659E-3</v>
      </c>
      <c r="W260" s="2"/>
      <c r="X260" s="7">
        <f t="shared" si="117"/>
        <v>3212.4599999999991</v>
      </c>
      <c r="Y260" s="2"/>
      <c r="Z260" s="6">
        <f t="shared" si="118"/>
        <v>0.20255107187894067</v>
      </c>
    </row>
    <row r="261" spans="1:26" s="27" customFormat="1" outlineLevel="1" collapsed="1" x14ac:dyDescent="0.25">
      <c r="A261" s="26"/>
      <c r="B261" s="13" t="str">
        <f>CONCATENATE("     ","Training                                          ")</f>
        <v xml:space="preserve">     Training                                          </v>
      </c>
      <c r="C261" s="13"/>
      <c r="D261" s="1">
        <f>SUM(OSRRefD22_24x_0)</f>
        <v>2056.09</v>
      </c>
      <c r="E261" s="1"/>
      <c r="F261" s="5">
        <f t="shared" ref="F261:F266" si="119">IF(D$12=0,0,D261/D$12)</f>
        <v>8.732147585079525E-4</v>
      </c>
      <c r="G261" s="1"/>
      <c r="H261" s="1">
        <f>SUM(OSRRefH22_24x_0)</f>
        <v>4200</v>
      </c>
      <c r="I261" s="1"/>
      <c r="J261" s="5">
        <f t="shared" ref="J261:J266" si="120">IF(H$12=0,0,H261/H$12)</f>
        <v>1.6131532491037749E-3</v>
      </c>
      <c r="K261" s="1"/>
      <c r="L261" s="1">
        <f t="shared" ref="L261:L266" si="121">+D261-H261</f>
        <v>-2143.91</v>
      </c>
      <c r="M261" s="1"/>
      <c r="N261" s="5">
        <f t="shared" ref="N261:N266" si="122">IF(H261=0,0,L261/H261)</f>
        <v>-0.51045476190476191</v>
      </c>
      <c r="O261" s="13"/>
      <c r="P261" s="1">
        <f>SUM(OSRRefP22_24x_0)</f>
        <v>9715.89</v>
      </c>
      <c r="Q261" s="1"/>
      <c r="R261" s="5">
        <f t="shared" ref="R261:R266" si="123">IF(P$12=0,0,P261/P$12)</f>
        <v>1.0230915999516821E-3</v>
      </c>
      <c r="S261" s="1"/>
      <c r="T261" s="1">
        <f>SUM(OSRRefT22_24x_0)</f>
        <v>18250</v>
      </c>
      <c r="U261" s="1"/>
      <c r="V261" s="5">
        <f t="shared" ref="V261:V266" si="124">IF(T$12=0,0,T261/T$12)</f>
        <v>1.8116815005844169E-3</v>
      </c>
      <c r="W261" s="1"/>
      <c r="X261" s="1">
        <f t="shared" ref="X261:X266" si="125">+P261-T261</f>
        <v>-8534.11</v>
      </c>
      <c r="Y261" s="1"/>
      <c r="Z261" s="5">
        <f t="shared" ref="Z261:Z266" si="126">IF(T261=0,0,X261/T261)</f>
        <v>-0.4676224657534247</v>
      </c>
    </row>
    <row r="262" spans="1:26" s="24" customFormat="1" hidden="1" outlineLevel="2" x14ac:dyDescent="0.25">
      <c r="A262" s="25"/>
      <c r="B262" s="11" t="str">
        <f>CONCATENATE("          ", "6376", " - ", "TRAINING")</f>
        <v xml:space="preserve">          6376 - TRAINING</v>
      </c>
      <c r="C262" s="11"/>
      <c r="D262" s="7">
        <v>2056.09</v>
      </c>
      <c r="E262" s="2"/>
      <c r="F262" s="6">
        <f t="shared" si="119"/>
        <v>8.732147585079525E-4</v>
      </c>
      <c r="G262" s="2"/>
      <c r="H262" s="7">
        <v>4200</v>
      </c>
      <c r="I262" s="2"/>
      <c r="J262" s="6">
        <f t="shared" si="120"/>
        <v>1.6131532491037749E-3</v>
      </c>
      <c r="K262" s="2"/>
      <c r="L262" s="7">
        <f t="shared" si="121"/>
        <v>-2143.91</v>
      </c>
      <c r="M262" s="2"/>
      <c r="N262" s="6">
        <f t="shared" si="122"/>
        <v>-0.51045476190476191</v>
      </c>
      <c r="O262" s="11"/>
      <c r="P262" s="7">
        <v>9715.89</v>
      </c>
      <c r="Q262" s="2"/>
      <c r="R262" s="6">
        <f t="shared" si="123"/>
        <v>1.0230915999516821E-3</v>
      </c>
      <c r="S262" s="2"/>
      <c r="T262" s="7">
        <v>18250</v>
      </c>
      <c r="U262" s="2"/>
      <c r="V262" s="6">
        <f t="shared" si="124"/>
        <v>1.8116815005844169E-3</v>
      </c>
      <c r="W262" s="2"/>
      <c r="X262" s="7">
        <f t="shared" si="125"/>
        <v>-8534.11</v>
      </c>
      <c r="Y262" s="2"/>
      <c r="Z262" s="6">
        <f t="shared" si="126"/>
        <v>-0.4676224657534247</v>
      </c>
    </row>
    <row r="263" spans="1:26" s="27" customFormat="1" outlineLevel="1" collapsed="1" x14ac:dyDescent="0.25">
      <c r="A263" s="26"/>
      <c r="B263" s="13" t="str">
        <f>CONCATENATE("     ","Travel                                            ")</f>
        <v xml:space="preserve">     Travel                                            </v>
      </c>
      <c r="C263" s="13"/>
      <c r="D263" s="1">
        <f>SUM(OSRRefD22_25x_0)</f>
        <v>-472.06</v>
      </c>
      <c r="E263" s="1"/>
      <c r="F263" s="5">
        <f t="shared" si="119"/>
        <v>-2.0048235189182575E-4</v>
      </c>
      <c r="G263" s="1"/>
      <c r="H263" s="1">
        <f>SUM(OSRRefH22_25x_0)</f>
        <v>100</v>
      </c>
      <c r="I263" s="1"/>
      <c r="J263" s="5">
        <f t="shared" si="120"/>
        <v>3.8408410692947019E-5</v>
      </c>
      <c r="K263" s="1"/>
      <c r="L263" s="1">
        <f t="shared" si="121"/>
        <v>-572.05999999999995</v>
      </c>
      <c r="M263" s="1"/>
      <c r="N263" s="5">
        <f t="shared" si="122"/>
        <v>-5.7205999999999992</v>
      </c>
      <c r="O263" s="13"/>
      <c r="P263" s="1">
        <f>SUM(OSRRefP22_25x_0)</f>
        <v>970.04</v>
      </c>
      <c r="Q263" s="1"/>
      <c r="R263" s="5">
        <f t="shared" si="123"/>
        <v>1.0214604895867798E-4</v>
      </c>
      <c r="S263" s="1"/>
      <c r="T263" s="1">
        <f>SUM(OSRRefT22_25x_0)</f>
        <v>2160</v>
      </c>
      <c r="U263" s="1"/>
      <c r="V263" s="5">
        <f t="shared" si="124"/>
        <v>2.1442367349382686E-4</v>
      </c>
      <c r="W263" s="1"/>
      <c r="X263" s="1">
        <f t="shared" si="125"/>
        <v>-1189.96</v>
      </c>
      <c r="Y263" s="1"/>
      <c r="Z263" s="5">
        <f t="shared" si="126"/>
        <v>-0.5509074074074074</v>
      </c>
    </row>
    <row r="264" spans="1:26" s="24" customFormat="1" hidden="1" outlineLevel="2" x14ac:dyDescent="0.25">
      <c r="A264" s="25"/>
      <c r="B264" s="11" t="str">
        <f>CONCATENATE("          ", "6292", " - ", "TRAVEL/CONFERENCE")</f>
        <v xml:space="preserve">          6292 - TRAVEL/CONFERENCE</v>
      </c>
      <c r="C264" s="11"/>
      <c r="D264" s="7"/>
      <c r="E264" s="2"/>
      <c r="F264" s="6">
        <f t="shared" si="119"/>
        <v>0</v>
      </c>
      <c r="G264" s="2"/>
      <c r="H264" s="7"/>
      <c r="I264" s="2"/>
      <c r="J264" s="6">
        <f t="shared" si="120"/>
        <v>0</v>
      </c>
      <c r="K264" s="2"/>
      <c r="L264" s="7">
        <f t="shared" si="121"/>
        <v>0</v>
      </c>
      <c r="M264" s="2"/>
      <c r="N264" s="6">
        <f t="shared" si="122"/>
        <v>0</v>
      </c>
      <c r="O264" s="11"/>
      <c r="P264" s="7">
        <v>365.6</v>
      </c>
      <c r="Q264" s="2"/>
      <c r="R264" s="6">
        <f t="shared" si="123"/>
        <v>3.8497995442757697E-5</v>
      </c>
      <c r="S264" s="2"/>
      <c r="T264" s="7">
        <v>1000</v>
      </c>
      <c r="U264" s="2"/>
      <c r="V264" s="6">
        <f t="shared" si="124"/>
        <v>9.9270219210105027E-5</v>
      </c>
      <c r="W264" s="2"/>
      <c r="X264" s="7">
        <f t="shared" si="125"/>
        <v>-634.4</v>
      </c>
      <c r="Y264" s="2"/>
      <c r="Z264" s="6">
        <f t="shared" si="126"/>
        <v>-0.63439999999999996</v>
      </c>
    </row>
    <row r="265" spans="1:26" s="24" customFormat="1" hidden="1" outlineLevel="2" x14ac:dyDescent="0.25">
      <c r="A265" s="25"/>
      <c r="B265" s="11" t="str">
        <f>CONCATENATE("          ", "6294", " - ", "TRAVEL OPERATIONAL")</f>
        <v xml:space="preserve">          6294 - TRAVEL OPERATIONAL</v>
      </c>
      <c r="C265" s="11"/>
      <c r="D265" s="7">
        <v>-506.75</v>
      </c>
      <c r="E265" s="2"/>
      <c r="F265" s="6">
        <f t="shared" si="119"/>
        <v>-2.1521508244965194E-4</v>
      </c>
      <c r="G265" s="2"/>
      <c r="H265" s="7">
        <v>100</v>
      </c>
      <c r="I265" s="2"/>
      <c r="J265" s="6">
        <f t="shared" si="120"/>
        <v>3.8408410692947019E-5</v>
      </c>
      <c r="K265" s="2"/>
      <c r="L265" s="7">
        <f t="shared" si="121"/>
        <v>-606.75</v>
      </c>
      <c r="M265" s="2"/>
      <c r="N265" s="6">
        <f t="shared" si="122"/>
        <v>-6.0674999999999999</v>
      </c>
      <c r="O265" s="11"/>
      <c r="P265" s="7">
        <v>312.19</v>
      </c>
      <c r="Q265" s="2"/>
      <c r="R265" s="6">
        <f t="shared" si="123"/>
        <v>3.2873876360160074E-5</v>
      </c>
      <c r="S265" s="2"/>
      <c r="T265" s="7">
        <v>710</v>
      </c>
      <c r="U265" s="2"/>
      <c r="V265" s="6">
        <f t="shared" si="124"/>
        <v>7.0481855639174576E-5</v>
      </c>
      <c r="W265" s="2"/>
      <c r="X265" s="7">
        <f t="shared" si="125"/>
        <v>-397.81</v>
      </c>
      <c r="Y265" s="2"/>
      <c r="Z265" s="6">
        <f t="shared" si="126"/>
        <v>-0.56029577464788738</v>
      </c>
    </row>
    <row r="266" spans="1:26" s="24" customFormat="1" hidden="1" outlineLevel="2" x14ac:dyDescent="0.25">
      <c r="A266" s="25"/>
      <c r="B266" s="11" t="str">
        <f>CONCATENATE("          ", "6298", " - ", "VEHICLE MILEAGE")</f>
        <v xml:space="preserve">          6298 - VEHICLE MILEAGE</v>
      </c>
      <c r="C266" s="11"/>
      <c r="D266" s="7">
        <v>34.69</v>
      </c>
      <c r="E266" s="2"/>
      <c r="F266" s="6">
        <f t="shared" si="119"/>
        <v>1.4732730557826198E-5</v>
      </c>
      <c r="G266" s="2"/>
      <c r="H266" s="7"/>
      <c r="I266" s="2"/>
      <c r="J266" s="6">
        <f t="shared" si="120"/>
        <v>0</v>
      </c>
      <c r="K266" s="2"/>
      <c r="L266" s="7">
        <f t="shared" si="121"/>
        <v>34.69</v>
      </c>
      <c r="M266" s="2"/>
      <c r="N266" s="6">
        <f t="shared" si="122"/>
        <v>0</v>
      </c>
      <c r="O266" s="11"/>
      <c r="P266" s="7">
        <v>292.25</v>
      </c>
      <c r="Q266" s="2"/>
      <c r="R266" s="6">
        <f t="shared" si="123"/>
        <v>3.0774177155760216E-5</v>
      </c>
      <c r="S266" s="2"/>
      <c r="T266" s="7">
        <v>450</v>
      </c>
      <c r="U266" s="2"/>
      <c r="V266" s="6">
        <f t="shared" si="124"/>
        <v>4.4671598644547264E-5</v>
      </c>
      <c r="W266" s="2"/>
      <c r="X266" s="7">
        <f t="shared" si="125"/>
        <v>-157.75</v>
      </c>
      <c r="Y266" s="2"/>
      <c r="Z266" s="6">
        <f t="shared" si="126"/>
        <v>-0.35055555555555556</v>
      </c>
    </row>
    <row r="267" spans="1:26" s="27" customFormat="1" outlineLevel="1" collapsed="1" x14ac:dyDescent="0.25">
      <c r="A267" s="26"/>
      <c r="B267" s="13" t="str">
        <f>CONCATENATE("     ","Utilities                                         ")</f>
        <v xml:space="preserve">     Utilities                                         </v>
      </c>
      <c r="C267" s="13"/>
      <c r="D267" s="1">
        <f>SUM(OSRRefD22_26x_0)</f>
        <v>7403.14</v>
      </c>
      <c r="E267" s="1"/>
      <c r="F267" s="5">
        <f t="shared" ref="F267:F268" si="127">IF(D$12=0,0,D267/D$12)</f>
        <v>3.1440895618871562E-3</v>
      </c>
      <c r="G267" s="1"/>
      <c r="H267" s="1">
        <f>SUM(OSRRefH22_26x_0)</f>
        <v>6269</v>
      </c>
      <c r="I267" s="1"/>
      <c r="J267" s="5">
        <f t="shared" ref="J267:J268" si="128">IF(H$12=0,0,H267/H$12)</f>
        <v>2.4078232663408486E-3</v>
      </c>
      <c r="K267" s="1"/>
      <c r="L267" s="1">
        <f t="shared" ref="L267:L268" si="129">+D267-H267</f>
        <v>1134.1400000000003</v>
      </c>
      <c r="M267" s="1"/>
      <c r="N267" s="5">
        <f t="shared" ref="N267:N268" si="130">IF(H267=0,0,L267/H267)</f>
        <v>0.18091242622427825</v>
      </c>
      <c r="O267" s="13"/>
      <c r="P267" s="1">
        <f>SUM(OSRRefP22_26x_0)</f>
        <v>44887.939999999995</v>
      </c>
      <c r="Q267" s="1"/>
      <c r="R267" s="5">
        <f t="shared" ref="R267:R268" si="131">IF(P$12=0,0,P267/P$12)</f>
        <v>4.7267388116925069E-3</v>
      </c>
      <c r="S267" s="1"/>
      <c r="T267" s="1">
        <f>SUM(OSRRefT22_26x_0)</f>
        <v>43563</v>
      </c>
      <c r="U267" s="1"/>
      <c r="V267" s="5">
        <f t="shared" ref="V267:V268" si="132">IF(T$12=0,0,T267/T$12)</f>
        <v>4.3245085594498054E-3</v>
      </c>
      <c r="W267" s="1"/>
      <c r="X267" s="1">
        <f t="shared" ref="X267:X268" si="133">+P267-T267</f>
        <v>1324.9399999999951</v>
      </c>
      <c r="Y267" s="1"/>
      <c r="Z267" s="5">
        <f t="shared" ref="Z267:Z268" si="134">IF(T267=0,0,X267/T267)</f>
        <v>3.041434244657152E-2</v>
      </c>
    </row>
    <row r="268" spans="1:26" s="24" customFormat="1" hidden="1" outlineLevel="2" x14ac:dyDescent="0.25">
      <c r="A268" s="25"/>
      <c r="B268" s="11" t="str">
        <f>CONCATENATE("          ", "6274", " - ", "UTILITIES")</f>
        <v xml:space="preserve">          6274 - UTILITIES</v>
      </c>
      <c r="C268" s="11"/>
      <c r="D268" s="7">
        <v>7403.14</v>
      </c>
      <c r="E268" s="2"/>
      <c r="F268" s="6">
        <f t="shared" si="127"/>
        <v>3.1440895618871562E-3</v>
      </c>
      <c r="G268" s="2"/>
      <c r="H268" s="7">
        <v>6269</v>
      </c>
      <c r="I268" s="2"/>
      <c r="J268" s="6">
        <f t="shared" si="128"/>
        <v>2.4078232663408486E-3</v>
      </c>
      <c r="K268" s="2"/>
      <c r="L268" s="7">
        <f t="shared" si="129"/>
        <v>1134.1400000000003</v>
      </c>
      <c r="M268" s="2"/>
      <c r="N268" s="6">
        <f t="shared" si="130"/>
        <v>0.18091242622427825</v>
      </c>
      <c r="O268" s="11"/>
      <c r="P268" s="7">
        <v>44887.939999999995</v>
      </c>
      <c r="Q268" s="2"/>
      <c r="R268" s="6">
        <f t="shared" si="131"/>
        <v>4.7267388116925069E-3</v>
      </c>
      <c r="S268" s="2"/>
      <c r="T268" s="7">
        <v>43563</v>
      </c>
      <c r="U268" s="2"/>
      <c r="V268" s="6">
        <f t="shared" si="132"/>
        <v>4.3245085594498054E-3</v>
      </c>
      <c r="W268" s="2"/>
      <c r="X268" s="7">
        <f t="shared" si="133"/>
        <v>1324.9399999999951</v>
      </c>
      <c r="Y268" s="2"/>
      <c r="Z268" s="6">
        <f t="shared" si="134"/>
        <v>3.041434244657152E-2</v>
      </c>
    </row>
    <row r="269" spans="1:26" s="53" customFormat="1" x14ac:dyDescent="0.25">
      <c r="A269" s="36"/>
      <c r="B269" s="36"/>
      <c r="C269" s="36"/>
      <c r="D269" s="1"/>
      <c r="E269" s="1"/>
      <c r="F269" s="5"/>
      <c r="G269" s="1"/>
      <c r="H269" s="1"/>
      <c r="I269" s="1"/>
      <c r="J269" s="5"/>
      <c r="K269" s="1"/>
      <c r="L269" s="1"/>
      <c r="M269" s="1"/>
      <c r="N269" s="5"/>
      <c r="O269" s="36"/>
      <c r="P269" s="1"/>
      <c r="Q269" s="1"/>
      <c r="R269" s="5"/>
      <c r="S269" s="1"/>
      <c r="T269" s="1"/>
      <c r="U269" s="1"/>
      <c r="V269" s="5"/>
      <c r="W269" s="1"/>
      <c r="X269" s="1"/>
      <c r="Y269" s="1"/>
      <c r="Z269" s="5"/>
    </row>
    <row r="270" spans="1:26" s="23" customFormat="1" collapsed="1" x14ac:dyDescent="0.25">
      <c r="A270" s="10"/>
      <c r="B270" s="28" t="s">
        <v>0</v>
      </c>
      <c r="C270" s="10"/>
      <c r="D270" s="4">
        <f>SUM(OSRRefD25x_0)</f>
        <v>43280.39</v>
      </c>
      <c r="E270" s="4"/>
      <c r="F270" s="12">
        <f t="shared" ref="F270:F279" si="135">IF(D$12=0,0,D270/D$12)</f>
        <v>1.8381041346429386E-2</v>
      </c>
      <c r="G270" s="4"/>
      <c r="H270" s="4">
        <f>SUM(OSRRefH25x_0)</f>
        <v>64375</v>
      </c>
      <c r="I270" s="4"/>
      <c r="J270" s="12">
        <f t="shared" ref="J270:J279" si="136">IF(H$12=0,0,H270/H$12)</f>
        <v>2.4725414383584644E-2</v>
      </c>
      <c r="K270" s="4"/>
      <c r="L270" s="4">
        <f t="shared" ref="L270:L279" si="137">+D270-H270</f>
        <v>-21094.61</v>
      </c>
      <c r="M270" s="4"/>
      <c r="N270" s="12">
        <f t="shared" ref="N270:N279" si="138">IF(H270=0,0,L270/H270)</f>
        <v>-0.32768326213592236</v>
      </c>
      <c r="O270" s="10"/>
      <c r="P270" s="4">
        <f>SUM(OSRRefP25x_0)</f>
        <v>466746.72</v>
      </c>
      <c r="Q270" s="4"/>
      <c r="R270" s="12">
        <f t="shared" ref="R270:R279" si="139">IF(P$12=0,0,P270/P$12)</f>
        <v>4.9148832328999179E-2</v>
      </c>
      <c r="S270" s="4"/>
      <c r="T270" s="4">
        <f>SUM(OSRRefT25x_0)</f>
        <v>508275</v>
      </c>
      <c r="U270" s="4"/>
      <c r="V270" s="12">
        <f t="shared" ref="V270:V279" si="140">IF(T$12=0,0,T270/T$12)</f>
        <v>5.0456570669016133E-2</v>
      </c>
      <c r="W270" s="4"/>
      <c r="X270" s="4">
        <f t="shared" ref="X270:X279" si="141">+P270-T270</f>
        <v>-41528.280000000028</v>
      </c>
      <c r="Y270" s="4"/>
      <c r="Z270" s="12">
        <f t="shared" ref="Z270:Z279" si="142">IF(T270=0,0,X270/T270)</f>
        <v>-8.1704352958536286E-2</v>
      </c>
    </row>
    <row r="271" spans="1:26" s="24" customFormat="1" hidden="1" outlineLevel="1" x14ac:dyDescent="0.25">
      <c r="A271" s="44"/>
      <c r="B271" s="11" t="str">
        <f>CONCATENATE("          ", "4098", " - ", "TAXABLE SALES-GRAD RENTALS")</f>
        <v xml:space="preserve">          4098 - TAXABLE SALES-GRAD RENTALS</v>
      </c>
      <c r="C271" s="11"/>
      <c r="D271" s="2">
        <f>--320</f>
        <v>320</v>
      </c>
      <c r="E271" s="2"/>
      <c r="F271" s="19">
        <f t="shared" si="135"/>
        <v>1.3590296277037715E-4</v>
      </c>
      <c r="G271" s="2"/>
      <c r="H271" s="2"/>
      <c r="I271" s="2"/>
      <c r="J271" s="19">
        <f t="shared" si="136"/>
        <v>0</v>
      </c>
      <c r="K271" s="2"/>
      <c r="L271" s="2">
        <f t="shared" si="137"/>
        <v>320</v>
      </c>
      <c r="M271" s="2"/>
      <c r="N271" s="19">
        <f t="shared" si="138"/>
        <v>0</v>
      </c>
      <c r="O271" s="11"/>
      <c r="P271" s="2">
        <f>--1946.85</f>
        <v>1946.85</v>
      </c>
      <c r="Q271" s="2"/>
      <c r="R271" s="19">
        <f t="shared" si="139"/>
        <v>2.0500498475856896E-4</v>
      </c>
      <c r="S271" s="2"/>
      <c r="T271" s="2"/>
      <c r="U271" s="2"/>
      <c r="V271" s="19">
        <f t="shared" si="140"/>
        <v>0</v>
      </c>
      <c r="W271" s="2"/>
      <c r="X271" s="2">
        <f t="shared" si="141"/>
        <v>1946.85</v>
      </c>
      <c r="Y271" s="2"/>
      <c r="Z271" s="19">
        <f t="shared" si="142"/>
        <v>0</v>
      </c>
    </row>
    <row r="272" spans="1:26" s="24" customFormat="1" hidden="1" outlineLevel="1" x14ac:dyDescent="0.25">
      <c r="A272" s="44"/>
      <c r="B272" s="11" t="str">
        <f>CONCATENATE("          ", "4197", " - ", "NON-TAXABLE SALES-RETURNED CHE")</f>
        <v xml:space="preserve">          4197 - NON-TAXABLE SALES-RETURNED CHE</v>
      </c>
      <c r="C272" s="11"/>
      <c r="D272" s="2">
        <f>0</f>
        <v>0</v>
      </c>
      <c r="E272" s="2"/>
      <c r="F272" s="19">
        <f t="shared" si="135"/>
        <v>0</v>
      </c>
      <c r="G272" s="2"/>
      <c r="H272" s="2"/>
      <c r="I272" s="2"/>
      <c r="J272" s="19">
        <f t="shared" si="136"/>
        <v>0</v>
      </c>
      <c r="K272" s="2"/>
      <c r="L272" s="2">
        <f t="shared" si="137"/>
        <v>0</v>
      </c>
      <c r="M272" s="2"/>
      <c r="N272" s="19">
        <f t="shared" si="138"/>
        <v>0</v>
      </c>
      <c r="O272" s="11"/>
      <c r="P272" s="2">
        <f>--30</f>
        <v>30</v>
      </c>
      <c r="Q272" s="2"/>
      <c r="R272" s="19">
        <f t="shared" si="139"/>
        <v>3.1590258842525459E-6</v>
      </c>
      <c r="S272" s="2"/>
      <c r="T272" s="2"/>
      <c r="U272" s="2"/>
      <c r="V272" s="19">
        <f t="shared" si="140"/>
        <v>0</v>
      </c>
      <c r="W272" s="2"/>
      <c r="X272" s="2">
        <f t="shared" si="141"/>
        <v>30</v>
      </c>
      <c r="Y272" s="2"/>
      <c r="Z272" s="19">
        <f t="shared" si="142"/>
        <v>0</v>
      </c>
    </row>
    <row r="273" spans="1:26" s="24" customFormat="1" hidden="1" outlineLevel="1" x14ac:dyDescent="0.25">
      <c r="A273" s="44"/>
      <c r="B273" s="11" t="str">
        <f>CONCATENATE("          ", "4198", " - ", "NON-TAXABLE SALES-GRAD RENTALS")</f>
        <v xml:space="preserve">          4198 - NON-TAXABLE SALES-GRAD RENTALS</v>
      </c>
      <c r="C273" s="11"/>
      <c r="D273" s="2">
        <f>--3237.1</f>
        <v>3237.1</v>
      </c>
      <c r="E273" s="2"/>
      <c r="F273" s="19">
        <f t="shared" si="135"/>
        <v>1.3747858774499622E-3</v>
      </c>
      <c r="G273" s="2"/>
      <c r="H273" s="2"/>
      <c r="I273" s="2"/>
      <c r="J273" s="19">
        <f t="shared" si="136"/>
        <v>0</v>
      </c>
      <c r="K273" s="2"/>
      <c r="L273" s="2">
        <f t="shared" si="137"/>
        <v>3237.1</v>
      </c>
      <c r="M273" s="2"/>
      <c r="N273" s="19">
        <f t="shared" si="138"/>
        <v>0</v>
      </c>
      <c r="O273" s="11"/>
      <c r="P273" s="2">
        <f>--3732.1</f>
        <v>3732.1</v>
      </c>
      <c r="Q273" s="2"/>
      <c r="R273" s="19">
        <f t="shared" si="139"/>
        <v>3.9299335008729754E-4</v>
      </c>
      <c r="S273" s="2"/>
      <c r="T273" s="2"/>
      <c r="U273" s="2"/>
      <c r="V273" s="19">
        <f t="shared" si="140"/>
        <v>0</v>
      </c>
      <c r="W273" s="2"/>
      <c r="X273" s="2">
        <f t="shared" si="141"/>
        <v>3732.1</v>
      </c>
      <c r="Y273" s="2"/>
      <c r="Z273" s="19">
        <f t="shared" si="142"/>
        <v>0</v>
      </c>
    </row>
    <row r="274" spans="1:26" s="24" customFormat="1" hidden="1" outlineLevel="1" x14ac:dyDescent="0.25">
      <c r="A274" s="44"/>
      <c r="B274" s="11" t="str">
        <f>CONCATENATE("          ", "9150", " - ", "MISC. INCOME")</f>
        <v xml:space="preserve">          9150 - MISC. INCOME</v>
      </c>
      <c r="C274" s="11"/>
      <c r="D274" s="2">
        <f>--40793.32</f>
        <v>40793.32</v>
      </c>
      <c r="E274" s="2"/>
      <c r="F274" s="19">
        <f t="shared" si="135"/>
        <v>1.7324790778875256E-2</v>
      </c>
      <c r="G274" s="2"/>
      <c r="H274" s="2">
        <v>29225</v>
      </c>
      <c r="I274" s="2"/>
      <c r="J274" s="19">
        <f t="shared" si="136"/>
        <v>1.1224858025013768E-2</v>
      </c>
      <c r="K274" s="2"/>
      <c r="L274" s="2">
        <f t="shared" si="137"/>
        <v>11568.32</v>
      </c>
      <c r="M274" s="2"/>
      <c r="N274" s="19">
        <f t="shared" si="138"/>
        <v>0.39583644140290847</v>
      </c>
      <c r="O274" s="11"/>
      <c r="P274" s="2">
        <f>--286352.98</f>
        <v>286352.98</v>
      </c>
      <c r="Q274" s="2"/>
      <c r="R274" s="19">
        <f t="shared" si="139"/>
        <v>3.0153215861761718E-2</v>
      </c>
      <c r="S274" s="2"/>
      <c r="T274" s="2">
        <v>216825</v>
      </c>
      <c r="U274" s="2"/>
      <c r="V274" s="19">
        <f t="shared" si="140"/>
        <v>2.1524265280231023E-2</v>
      </c>
      <c r="W274" s="2"/>
      <c r="X274" s="2">
        <f t="shared" si="141"/>
        <v>69527.979999999981</v>
      </c>
      <c r="Y274" s="2"/>
      <c r="Z274" s="19">
        <f t="shared" si="142"/>
        <v>0.32066403781851716</v>
      </c>
    </row>
    <row r="275" spans="1:26" s="24" customFormat="1" hidden="1" outlineLevel="1" x14ac:dyDescent="0.25">
      <c r="A275" s="44"/>
      <c r="B275" s="11" t="str">
        <f>CONCATENATE("          ", "9151", " - ", "MISC. INCOME")</f>
        <v xml:space="preserve">          9151 - MISC. INCOME</v>
      </c>
      <c r="C275" s="11"/>
      <c r="D275" s="2">
        <f>-1539.13</f>
        <v>-1539.13</v>
      </c>
      <c r="E275" s="2"/>
      <c r="F275" s="19">
        <f t="shared" si="135"/>
        <v>-6.5366352215240819E-4</v>
      </c>
      <c r="G275" s="2"/>
      <c r="H275" s="2">
        <v>12850</v>
      </c>
      <c r="I275" s="2"/>
      <c r="J275" s="19">
        <f t="shared" si="136"/>
        <v>4.9354807740436919E-3</v>
      </c>
      <c r="K275" s="2"/>
      <c r="L275" s="2">
        <f t="shared" si="137"/>
        <v>-14389.130000000001</v>
      </c>
      <c r="M275" s="2"/>
      <c r="N275" s="19">
        <f t="shared" si="138"/>
        <v>-1.1197766536964981</v>
      </c>
      <c r="O275" s="11"/>
      <c r="P275" s="2">
        <f>--85953.38</f>
        <v>85953.38</v>
      </c>
      <c r="Q275" s="2"/>
      <c r="R275" s="19">
        <f t="shared" si="139"/>
        <v>9.0509650752998369E-3</v>
      </c>
      <c r="S275" s="2"/>
      <c r="T275" s="2">
        <v>77700</v>
      </c>
      <c r="U275" s="2"/>
      <c r="V275" s="19">
        <f t="shared" si="140"/>
        <v>7.7132960326251609E-3</v>
      </c>
      <c r="W275" s="2"/>
      <c r="X275" s="2">
        <f t="shared" si="141"/>
        <v>8253.3800000000047</v>
      </c>
      <c r="Y275" s="2"/>
      <c r="Z275" s="19">
        <f t="shared" si="142"/>
        <v>0.10622110682110689</v>
      </c>
    </row>
    <row r="276" spans="1:26" s="24" customFormat="1" hidden="1" outlineLevel="1" x14ac:dyDescent="0.25">
      <c r="A276" s="44"/>
      <c r="B276" s="11" t="str">
        <f>CONCATENATE("          ", "9152", " - ", "MISC. INCOME")</f>
        <v xml:space="preserve">          9152 - MISC. INCOME</v>
      </c>
      <c r="C276" s="11"/>
      <c r="D276" s="2">
        <f>--469.1</f>
        <v>469.1</v>
      </c>
      <c r="E276" s="2"/>
      <c r="F276" s="19">
        <f t="shared" si="135"/>
        <v>1.9922524948619977E-4</v>
      </c>
      <c r="G276" s="2"/>
      <c r="H276" s="2"/>
      <c r="I276" s="2"/>
      <c r="J276" s="19">
        <f t="shared" si="136"/>
        <v>0</v>
      </c>
      <c r="K276" s="2"/>
      <c r="L276" s="2">
        <f t="shared" si="137"/>
        <v>469.1</v>
      </c>
      <c r="M276" s="2"/>
      <c r="N276" s="19">
        <f t="shared" si="138"/>
        <v>0</v>
      </c>
      <c r="O276" s="11"/>
      <c r="P276" s="2">
        <f>--4699.86</f>
        <v>4699.8599999999997</v>
      </c>
      <c r="Q276" s="2"/>
      <c r="R276" s="19">
        <f t="shared" si="139"/>
        <v>4.9489931307877236E-4</v>
      </c>
      <c r="S276" s="2"/>
      <c r="T276" s="2"/>
      <c r="U276" s="2"/>
      <c r="V276" s="19">
        <f t="shared" si="140"/>
        <v>0</v>
      </c>
      <c r="W276" s="2"/>
      <c r="X276" s="2">
        <f t="shared" si="141"/>
        <v>4699.8599999999997</v>
      </c>
      <c r="Y276" s="2"/>
      <c r="Z276" s="19">
        <f t="shared" si="142"/>
        <v>0</v>
      </c>
    </row>
    <row r="277" spans="1:26" s="24" customFormat="1" hidden="1" outlineLevel="1" x14ac:dyDescent="0.25">
      <c r="A277" s="44"/>
      <c r="B277" s="11" t="str">
        <f>CONCATENATE("          ", "9153", " - ", "MISC. INCOME")</f>
        <v xml:space="preserve">          9153 - MISC. INCOME</v>
      </c>
      <c r="C277" s="11"/>
      <c r="D277" s="2">
        <f t="shared" ref="D277:D279" si="143">0</f>
        <v>0</v>
      </c>
      <c r="E277" s="2"/>
      <c r="F277" s="19">
        <f t="shared" si="135"/>
        <v>0</v>
      </c>
      <c r="G277" s="2"/>
      <c r="H277" s="2"/>
      <c r="I277" s="2"/>
      <c r="J277" s="19">
        <f t="shared" si="136"/>
        <v>0</v>
      </c>
      <c r="K277" s="2"/>
      <c r="L277" s="2">
        <f t="shared" si="137"/>
        <v>0</v>
      </c>
      <c r="M277" s="2"/>
      <c r="N277" s="19">
        <f t="shared" si="138"/>
        <v>0</v>
      </c>
      <c r="O277" s="11"/>
      <c r="P277" s="2">
        <f>--450</f>
        <v>450</v>
      </c>
      <c r="Q277" s="2"/>
      <c r="R277" s="19">
        <f t="shared" si="139"/>
        <v>4.7385388263788187E-5</v>
      </c>
      <c r="S277" s="2"/>
      <c r="T277" s="2"/>
      <c r="U277" s="2"/>
      <c r="V277" s="19">
        <f t="shared" si="140"/>
        <v>0</v>
      </c>
      <c r="W277" s="2"/>
      <c r="X277" s="2">
        <f t="shared" si="141"/>
        <v>450</v>
      </c>
      <c r="Y277" s="2"/>
      <c r="Z277" s="19">
        <f t="shared" si="142"/>
        <v>0</v>
      </c>
    </row>
    <row r="278" spans="1:26" s="24" customFormat="1" hidden="1" outlineLevel="1" x14ac:dyDescent="0.25">
      <c r="A278" s="44"/>
      <c r="B278" s="11" t="str">
        <f>CONCATENATE("          ", "9160", " - ", "MISC. INCOME")</f>
        <v xml:space="preserve">          9160 - MISC. INCOME</v>
      </c>
      <c r="C278" s="11"/>
      <c r="D278" s="2">
        <f t="shared" si="143"/>
        <v>0</v>
      </c>
      <c r="E278" s="2"/>
      <c r="F278" s="19">
        <f t="shared" si="135"/>
        <v>0</v>
      </c>
      <c r="G278" s="2"/>
      <c r="H278" s="2">
        <v>22300</v>
      </c>
      <c r="I278" s="2"/>
      <c r="J278" s="19">
        <f t="shared" si="136"/>
        <v>8.5650755845271855E-3</v>
      </c>
      <c r="K278" s="2"/>
      <c r="L278" s="2">
        <f t="shared" si="137"/>
        <v>-22300</v>
      </c>
      <c r="M278" s="2"/>
      <c r="N278" s="19">
        <f t="shared" si="138"/>
        <v>-1</v>
      </c>
      <c r="O278" s="11"/>
      <c r="P278" s="2">
        <f>--22475</f>
        <v>22475</v>
      </c>
      <c r="Q278" s="2"/>
      <c r="R278" s="19">
        <f t="shared" si="139"/>
        <v>2.3666368916191991E-3</v>
      </c>
      <c r="S278" s="2"/>
      <c r="T278" s="2">
        <v>213750</v>
      </c>
      <c r="U278" s="2"/>
      <c r="V278" s="19">
        <f t="shared" si="140"/>
        <v>2.1219009356159949E-2</v>
      </c>
      <c r="W278" s="2"/>
      <c r="X278" s="2">
        <f t="shared" si="141"/>
        <v>-191275</v>
      </c>
      <c r="Y278" s="2"/>
      <c r="Z278" s="19">
        <f t="shared" si="142"/>
        <v>-0.89485380116959068</v>
      </c>
    </row>
    <row r="279" spans="1:26" s="24" customFormat="1" hidden="1" outlineLevel="1" x14ac:dyDescent="0.25">
      <c r="A279" s="44"/>
      <c r="B279" s="11" t="str">
        <f>CONCATENATE("          ", "9163", " - ", "MISC. INCOME")</f>
        <v xml:space="preserve">          9163 - MISC. INCOME</v>
      </c>
      <c r="C279" s="11"/>
      <c r="D279" s="2">
        <f t="shared" si="143"/>
        <v>0</v>
      </c>
      <c r="E279" s="2"/>
      <c r="F279" s="19">
        <f t="shared" si="135"/>
        <v>0</v>
      </c>
      <c r="G279" s="2"/>
      <c r="H279" s="2"/>
      <c r="I279" s="2"/>
      <c r="J279" s="19">
        <f t="shared" si="136"/>
        <v>0</v>
      </c>
      <c r="K279" s="2"/>
      <c r="L279" s="2">
        <f t="shared" si="137"/>
        <v>0</v>
      </c>
      <c r="M279" s="2"/>
      <c r="N279" s="19">
        <f t="shared" si="138"/>
        <v>0</v>
      </c>
      <c r="O279" s="11"/>
      <c r="P279" s="2">
        <f>--61106.55</f>
        <v>61106.55</v>
      </c>
      <c r="Q279" s="2"/>
      <c r="R279" s="19">
        <f t="shared" si="139"/>
        <v>6.4345724382457474E-3</v>
      </c>
      <c r="S279" s="2"/>
      <c r="T279" s="2"/>
      <c r="U279" s="2"/>
      <c r="V279" s="19">
        <f t="shared" si="140"/>
        <v>0</v>
      </c>
      <c r="W279" s="2"/>
      <c r="X279" s="2">
        <f t="shared" si="141"/>
        <v>61106.55</v>
      </c>
      <c r="Y279" s="2"/>
      <c r="Z279" s="19">
        <f t="shared" si="142"/>
        <v>0</v>
      </c>
    </row>
    <row r="280" spans="1:26" x14ac:dyDescent="0.25">
      <c r="A280" s="9"/>
      <c r="B280" s="10"/>
      <c r="C280" s="10"/>
      <c r="D280" s="3"/>
      <c r="E280" s="3"/>
      <c r="F280" s="8"/>
      <c r="G280" s="3"/>
      <c r="H280" s="3"/>
      <c r="I280" s="3"/>
      <c r="J280" s="8"/>
      <c r="K280" s="3"/>
      <c r="L280" s="3"/>
      <c r="M280" s="3"/>
      <c r="N280" s="8"/>
      <c r="O280" s="10"/>
      <c r="P280" s="3"/>
      <c r="Q280" s="3"/>
      <c r="R280" s="8"/>
      <c r="S280" s="3"/>
      <c r="T280" s="3"/>
      <c r="U280" s="3"/>
      <c r="V280" s="8"/>
      <c r="W280" s="3"/>
      <c r="X280" s="3"/>
      <c r="Y280" s="3"/>
      <c r="Z280" s="8"/>
    </row>
    <row r="281" spans="1:26" s="23" customFormat="1" x14ac:dyDescent="0.25">
      <c r="A281" s="10"/>
      <c r="B281" s="29" t="s">
        <v>3</v>
      </c>
      <c r="C281" s="29"/>
      <c r="D281" s="21">
        <f>+D164-D166+D270</f>
        <v>556074.81000000029</v>
      </c>
      <c r="E281" s="14"/>
      <c r="F281" s="20">
        <f>IF(D$12=0,0,D281/D$12)</f>
        <v>0.2361631693780456</v>
      </c>
      <c r="G281" s="14"/>
      <c r="H281" s="21">
        <f>+H164-H166+H270</f>
        <v>435728.0230015245</v>
      </c>
      <c r="I281" s="14"/>
      <c r="J281" s="20">
        <f>IF(H$12=0,0,H281/H$12)</f>
        <v>0.16735620857868419</v>
      </c>
      <c r="K281" s="16"/>
      <c r="L281" s="21">
        <f>+D281-H281</f>
        <v>120346.78699847579</v>
      </c>
      <c r="M281" s="16"/>
      <c r="N281" s="20">
        <f>IF(H281=0,0,L281/H281)</f>
        <v>0.27619703265689366</v>
      </c>
      <c r="O281" s="28"/>
      <c r="P281" s="21">
        <f>+P164-P166+P270</f>
        <v>1248071.8799999899</v>
      </c>
      <c r="Q281" s="14"/>
      <c r="R281" s="20">
        <f>IF(P$12=0,0,P281/P$12)</f>
        <v>0.13142304581092351</v>
      </c>
      <c r="S281" s="14"/>
      <c r="T281" s="21">
        <f>+T164-T166+T270</f>
        <v>1162226.1804398275</v>
      </c>
      <c r="U281" s="14"/>
      <c r="V281" s="20">
        <f>IF(T$12=0,0,T281/T$12)</f>
        <v>0.11537444770398476</v>
      </c>
      <c r="W281" s="16"/>
      <c r="X281" s="21">
        <f>+P281-T281</f>
        <v>85845.699560162378</v>
      </c>
      <c r="Y281" s="16"/>
      <c r="Z281" s="20">
        <f>IF(T281=0,0,X281/T281)</f>
        <v>7.3863161065323216E-2</v>
      </c>
    </row>
    <row r="282" spans="1:26" x14ac:dyDescent="0.25">
      <c r="A282" s="9"/>
      <c r="B282" s="10"/>
      <c r="C282" s="9"/>
      <c r="D282" s="3"/>
      <c r="E282" s="3"/>
      <c r="F282" s="8"/>
      <c r="G282" s="3"/>
      <c r="H282" s="3"/>
      <c r="I282" s="3"/>
      <c r="J282" s="8"/>
      <c r="K282" s="3"/>
      <c r="L282" s="3"/>
      <c r="M282" s="3"/>
      <c r="N282" s="8"/>
      <c r="P282" s="3"/>
      <c r="Q282" s="3"/>
      <c r="R282" s="8"/>
      <c r="S282" s="3"/>
      <c r="T282" s="3"/>
      <c r="U282" s="3"/>
      <c r="V282" s="8"/>
      <c r="W282" s="3"/>
      <c r="X282" s="3"/>
      <c r="Y282" s="3"/>
      <c r="Z282" s="8"/>
    </row>
    <row r="283" spans="1:26" s="23" customFormat="1" x14ac:dyDescent="0.25">
      <c r="A283" s="52"/>
      <c r="B283" s="10" t="s">
        <v>14</v>
      </c>
      <c r="C283" s="10"/>
      <c r="D283" s="4">
        <v>218972.16</v>
      </c>
      <c r="E283" s="4"/>
      <c r="F283" s="12">
        <f>IF(D$12=0,0,D283/D$12)</f>
        <v>9.2996766588215846E-2</v>
      </c>
      <c r="G283" s="4"/>
      <c r="H283" s="4">
        <v>278056</v>
      </c>
      <c r="I283" s="4"/>
      <c r="J283" s="12">
        <f>IF(H$12=0,0,H283/H$12)</f>
        <v>0.10679689043638077</v>
      </c>
      <c r="K283" s="4"/>
      <c r="L283" s="4">
        <f>+D283-H283</f>
        <v>-59083.839999999997</v>
      </c>
      <c r="M283" s="4"/>
      <c r="N283" s="12">
        <f>IF(H283=0,0,L283/H283)</f>
        <v>-0.21248899502258536</v>
      </c>
      <c r="O283" s="10"/>
      <c r="P283" s="4">
        <v>990360.7</v>
      </c>
      <c r="Q283" s="4"/>
      <c r="R283" s="12">
        <f>IF(P$12=0,0,P283/P$12)</f>
        <v>0.10428583620154901</v>
      </c>
      <c r="S283" s="4"/>
      <c r="T283" s="4">
        <v>1240289</v>
      </c>
      <c r="U283" s="4"/>
      <c r="V283" s="12">
        <f>IF(T$12=0,0,T283/T$12)</f>
        <v>0.12312376091388195</v>
      </c>
      <c r="W283" s="4"/>
      <c r="X283" s="4">
        <f>+P283-T283</f>
        <v>-249928.30000000005</v>
      </c>
      <c r="Y283" s="4"/>
      <c r="Z283" s="12">
        <f>IF(T283=0,0,X283/T283)</f>
        <v>-0.20150811625355061</v>
      </c>
    </row>
    <row r="284" spans="1:26" x14ac:dyDescent="0.25">
      <c r="A284" s="9"/>
      <c r="B284" s="10"/>
      <c r="C284" s="10"/>
      <c r="D284" s="3"/>
      <c r="E284" s="3"/>
      <c r="F284" s="8"/>
      <c r="G284" s="3"/>
      <c r="H284" s="3"/>
      <c r="I284" s="3"/>
      <c r="J284" s="8"/>
      <c r="K284" s="3"/>
      <c r="L284" s="3"/>
      <c r="M284" s="3"/>
      <c r="N284" s="8"/>
      <c r="O284" s="10"/>
      <c r="P284" s="3"/>
      <c r="Q284" s="3"/>
      <c r="R284" s="8"/>
      <c r="S284" s="3"/>
      <c r="T284" s="3"/>
      <c r="U284" s="3"/>
      <c r="V284" s="8"/>
      <c r="W284" s="3"/>
      <c r="X284" s="3"/>
      <c r="Y284" s="3"/>
      <c r="Z284" s="8"/>
    </row>
    <row r="285" spans="1:26" s="23" customFormat="1" ht="15.75" thickBot="1" x14ac:dyDescent="0.3">
      <c r="A285" s="10"/>
      <c r="B285" s="29" t="s">
        <v>4</v>
      </c>
      <c r="C285" s="29"/>
      <c r="D285" s="34">
        <f>+D281-D283</f>
        <v>337102.65000000026</v>
      </c>
      <c r="E285" s="14"/>
      <c r="F285" s="32">
        <f>IF(D$12=0,0,D285/D$12)</f>
        <v>0.14316640278982973</v>
      </c>
      <c r="G285" s="14"/>
      <c r="H285" s="34">
        <f>+H281-H283</f>
        <v>157672.0230015245</v>
      </c>
      <c r="I285" s="14"/>
      <c r="J285" s="32">
        <f>IF(H$12=0,0,H285/H$12)</f>
        <v>6.0559318142303427E-2</v>
      </c>
      <c r="K285" s="16"/>
      <c r="L285" s="34">
        <f>D285-H285</f>
        <v>179430.62699847575</v>
      </c>
      <c r="M285" s="16"/>
      <c r="N285" s="32">
        <f>IF(H285=0,0,L285/H285)</f>
        <v>1.1379991426680742</v>
      </c>
      <c r="O285" s="28"/>
      <c r="P285" s="34">
        <f>+P281-P283</f>
        <v>257711.17999998992</v>
      </c>
      <c r="Q285" s="14"/>
      <c r="R285" s="32">
        <f>IF(P$12=0,0,P285/P$12)</f>
        <v>2.7137209609374508E-2</v>
      </c>
      <c r="S285" s="14"/>
      <c r="T285" s="34">
        <f>+T281-T283</f>
        <v>-78062.819560172502</v>
      </c>
      <c r="U285" s="14"/>
      <c r="V285" s="32">
        <f>IF(T$12=0,0,T285/T$12)</f>
        <v>-7.7493132098971993E-3</v>
      </c>
      <c r="W285" s="16"/>
      <c r="X285" s="34">
        <f>P285-T285</f>
        <v>335773.99956016243</v>
      </c>
      <c r="Y285" s="16"/>
      <c r="Z285" s="32">
        <f>IF(T285=0,0,X285/T285)</f>
        <v>-4.3013306648671668</v>
      </c>
    </row>
    <row r="286" spans="1:26" ht="15.75" thickTop="1" x14ac:dyDescent="0.25">
      <c r="A286" s="9"/>
      <c r="B286" s="9"/>
      <c r="C286" s="9"/>
      <c r="D286" s="3"/>
      <c r="E286" s="3"/>
      <c r="F286" s="8"/>
      <c r="G286" s="3"/>
      <c r="H286" s="3"/>
      <c r="I286" s="3"/>
      <c r="J286" s="8"/>
      <c r="K286" s="3"/>
      <c r="L286" s="3"/>
      <c r="M286" s="3"/>
      <c r="N286" s="8"/>
      <c r="P286" s="3"/>
      <c r="Q286" s="3"/>
      <c r="R286" s="8"/>
      <c r="S286" s="3"/>
      <c r="T286" s="3"/>
      <c r="U286" s="3"/>
      <c r="V286" s="8"/>
      <c r="W286" s="3"/>
      <c r="X286" s="3"/>
      <c r="Y286" s="3"/>
      <c r="Z286" s="8"/>
    </row>
    <row r="287" spans="1:26" x14ac:dyDescent="0.25">
      <c r="A287" s="9"/>
      <c r="B287" s="9"/>
      <c r="C287" s="9"/>
      <c r="D287" s="3"/>
      <c r="E287" s="3"/>
      <c r="F287" s="8"/>
      <c r="G287" s="3"/>
      <c r="H287" s="3"/>
      <c r="I287" s="3"/>
      <c r="J287" s="8"/>
      <c r="K287" s="3"/>
      <c r="L287" s="3"/>
      <c r="M287" s="3"/>
      <c r="N287" s="8"/>
      <c r="P287" s="3"/>
      <c r="Q287" s="3"/>
      <c r="R287" s="8"/>
      <c r="S287" s="3"/>
      <c r="T287" s="3"/>
      <c r="U287" s="3"/>
      <c r="V287" s="8"/>
      <c r="W287" s="3"/>
      <c r="X287" s="3"/>
      <c r="Y287" s="3"/>
      <c r="Z287" s="8"/>
    </row>
    <row r="288" spans="1:26" s="23" customFormat="1" ht="15.75" thickBot="1" x14ac:dyDescent="0.3">
      <c r="A288" s="10"/>
      <c r="B288" s="29" t="s">
        <v>5</v>
      </c>
      <c r="C288" s="29"/>
      <c r="D288" s="31">
        <f>SUM(D285:D287)</f>
        <v>337102.65000000026</v>
      </c>
      <c r="E288" s="14"/>
      <c r="F288" s="30">
        <f>IF(D$12=0,0,D288/D$12)</f>
        <v>0.14316640278982973</v>
      </c>
      <c r="G288" s="14"/>
      <c r="H288" s="31">
        <f>SUM(H285:H287)</f>
        <v>157672.0230015245</v>
      </c>
      <c r="I288" s="14"/>
      <c r="J288" s="30">
        <f>IF(H$12=0,0,H288/H$12)</f>
        <v>6.0559318142303427E-2</v>
      </c>
      <c r="K288" s="16"/>
      <c r="L288" s="31">
        <f>+D288-H288</f>
        <v>179430.62699847575</v>
      </c>
      <c r="M288" s="16"/>
      <c r="N288" s="30">
        <f>IF(H288=0,0,L288/H288)</f>
        <v>1.1379991426680742</v>
      </c>
      <c r="O288" s="28"/>
      <c r="P288" s="31">
        <f>SUM(P285:P287)</f>
        <v>257711.17999998992</v>
      </c>
      <c r="Q288" s="14"/>
      <c r="R288" s="30">
        <f>IF(P$12=0,0,P288/P$12)</f>
        <v>2.7137209609374508E-2</v>
      </c>
      <c r="S288" s="14"/>
      <c r="T288" s="31">
        <f>SUM(T285:T287)</f>
        <v>-78062.819560172502</v>
      </c>
      <c r="U288" s="14"/>
      <c r="V288" s="30">
        <f>IF(T$12=0,0,T288/T$12)</f>
        <v>-7.7493132098971993E-3</v>
      </c>
      <c r="W288" s="16"/>
      <c r="X288" s="31">
        <f>+P288-T288</f>
        <v>335773.99956016243</v>
      </c>
      <c r="Y288" s="16"/>
      <c r="Z288" s="30">
        <f>IF(T288=0,0,X288/T288)</f>
        <v>-4.3013306648671668</v>
      </c>
    </row>
    <row r="289" spans="1:24" ht="15.75" thickTop="1" x14ac:dyDescent="0.25">
      <c r="A289" s="9"/>
      <c r="C289" s="9"/>
      <c r="D289" s="18"/>
      <c r="E289" s="18"/>
      <c r="G289" s="18"/>
      <c r="H289" s="18"/>
      <c r="I289" s="18"/>
      <c r="J289" s="43"/>
      <c r="K289" s="18"/>
      <c r="L289" s="18"/>
      <c r="M289" s="18"/>
      <c r="P289" s="18"/>
      <c r="Q289" s="18"/>
      <c r="R289" s="43"/>
      <c r="S289" s="18"/>
      <c r="T289" s="18"/>
      <c r="U289" s="18"/>
      <c r="V289" s="43"/>
      <c r="W289" s="18"/>
      <c r="X289" s="18"/>
    </row>
    <row r="290" spans="1:24" x14ac:dyDescent="0.25">
      <c r="A290" s="9"/>
      <c r="B290" s="63">
        <v>43879.545638541669</v>
      </c>
      <c r="D290" s="18"/>
      <c r="E290" s="18"/>
      <c r="G290" s="18"/>
      <c r="H290" s="18"/>
      <c r="I290" s="18"/>
      <c r="J290" s="43"/>
      <c r="K290" s="18"/>
      <c r="L290" s="18"/>
      <c r="M290" s="18"/>
      <c r="P290" s="18"/>
      <c r="Q290" s="18"/>
      <c r="R290" s="43"/>
      <c r="S290" s="18"/>
      <c r="T290" s="18"/>
      <c r="U290" s="18"/>
      <c r="V290" s="43"/>
      <c r="W290" s="18"/>
      <c r="X290" s="18"/>
    </row>
    <row r="291" spans="1:24" x14ac:dyDescent="0.25">
      <c r="A291" s="9"/>
      <c r="B291" s="57" t="s">
        <v>314</v>
      </c>
      <c r="D291" s="18"/>
      <c r="E291" s="18"/>
      <c r="G291" s="18"/>
      <c r="H291" s="18"/>
      <c r="I291" s="18"/>
      <c r="J291" s="43"/>
      <c r="K291" s="18"/>
      <c r="L291" s="18"/>
      <c r="M291" s="18"/>
      <c r="P291" s="18"/>
      <c r="Q291" s="18"/>
      <c r="R291" s="43"/>
      <c r="S291" s="18"/>
      <c r="T291" s="18"/>
      <c r="U291" s="18"/>
      <c r="V291" s="43"/>
      <c r="W291" s="18"/>
      <c r="X291" s="18"/>
    </row>
    <row r="292" spans="1:24" x14ac:dyDescent="0.25">
      <c r="A292" s="9"/>
      <c r="B292" s="60"/>
      <c r="D292" s="18"/>
      <c r="E292" s="18"/>
      <c r="G292" s="18"/>
      <c r="H292" s="18"/>
      <c r="I292" s="18"/>
      <c r="J292" s="43"/>
      <c r="K292" s="18"/>
      <c r="L292" s="18"/>
      <c r="M292" s="18"/>
      <c r="P292" s="18"/>
      <c r="Q292" s="18"/>
      <c r="R292" s="43"/>
      <c r="S292" s="18"/>
      <c r="T292" s="18"/>
      <c r="U292" s="18"/>
      <c r="V292" s="43"/>
      <c r="W292" s="18"/>
      <c r="X292" s="18"/>
    </row>
    <row r="293" spans="1:24" x14ac:dyDescent="0.25">
      <c r="D293" s="18"/>
      <c r="E293" s="18"/>
      <c r="G293" s="18"/>
      <c r="H293" s="18"/>
      <c r="I293" s="18"/>
      <c r="J293" s="43"/>
      <c r="K293" s="18"/>
      <c r="L293" s="18"/>
      <c r="M293" s="18"/>
      <c r="P293" s="18"/>
      <c r="Q293" s="18"/>
      <c r="R293" s="43"/>
      <c r="S293" s="18"/>
      <c r="T293" s="18"/>
      <c r="U293" s="18"/>
      <c r="V293" s="43"/>
      <c r="W293" s="18"/>
      <c r="X293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7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309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2173430.3299999996</v>
      </c>
      <c r="E12" s="4"/>
      <c r="F12" s="12"/>
      <c r="G12" s="4"/>
      <c r="H12" s="4">
        <f>SUM(OSRRefH13x_0)</f>
        <v>2428221.4049499999</v>
      </c>
      <c r="I12" s="4"/>
      <c r="J12" s="12"/>
      <c r="K12" s="4"/>
      <c r="L12" s="4">
        <f t="shared" ref="L12:L103" si="0">+D12-H12</f>
        <v>-254791.07495000027</v>
      </c>
      <c r="M12" s="4"/>
      <c r="N12" s="12">
        <f t="shared" ref="N12:N103" si="1">IF(H12=0,0,L12/H12)</f>
        <v>-0.10492909519313241</v>
      </c>
      <c r="O12" s="10"/>
      <c r="P12" s="4">
        <f>SUM(OSRRefP13x_0)</f>
        <v>7688614.6399999969</v>
      </c>
      <c r="Q12" s="4"/>
      <c r="R12" s="12"/>
      <c r="S12" s="4"/>
      <c r="T12" s="4">
        <f>SUM(OSRRefT13x_0)</f>
        <v>8266955.3742300002</v>
      </c>
      <c r="U12" s="4"/>
      <c r="V12" s="12"/>
      <c r="W12" s="4"/>
      <c r="X12" s="4">
        <f t="shared" ref="X12:X103" si="2">+P12-T12</f>
        <v>-578340.73423000332</v>
      </c>
      <c r="Y12" s="4"/>
      <c r="Z12" s="12">
        <f t="shared" ref="Z12:Z103" si="3">IF(T12=0,0,X12/T12)</f>
        <v>-6.9958129450271897E-2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459189.40495</v>
      </c>
      <c r="I13" s="2"/>
      <c r="J13" s="19"/>
      <c r="K13" s="2"/>
      <c r="L13" s="2">
        <f t="shared" si="0"/>
        <v>-459189.40495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2961945.3742300002</v>
      </c>
      <c r="U13" s="2"/>
      <c r="V13" s="19"/>
      <c r="W13" s="2"/>
      <c r="X13" s="2">
        <f t="shared" si="2"/>
        <v>-2961945.3742300002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--745942.38</f>
        <v>745942.38</v>
      </c>
      <c r="E14" s="2"/>
      <c r="F14" s="19"/>
      <c r="G14" s="2"/>
      <c r="H14" s="2"/>
      <c r="I14" s="2"/>
      <c r="J14" s="19"/>
      <c r="K14" s="2"/>
      <c r="L14" s="2">
        <f t="shared" si="0"/>
        <v>745942.38</v>
      </c>
      <c r="M14" s="2"/>
      <c r="N14" s="19">
        <f t="shared" si="1"/>
        <v>0</v>
      </c>
      <c r="O14" s="11"/>
      <c r="P14" s="2">
        <f>--2285976.76</f>
        <v>2285976.7599999998</v>
      </c>
      <c r="Q14" s="2"/>
      <c r="R14" s="19"/>
      <c r="S14" s="2"/>
      <c r="T14" s="2"/>
      <c r="U14" s="2"/>
      <c r="V14" s="19"/>
      <c r="W14" s="2"/>
      <c r="X14" s="2">
        <f t="shared" si="2"/>
        <v>2285976.7599999998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--512319.44</f>
        <v>512319.44</v>
      </c>
      <c r="E15" s="2"/>
      <c r="F15" s="19"/>
      <c r="G15" s="2"/>
      <c r="H15" s="2"/>
      <c r="I15" s="2"/>
      <c r="J15" s="19"/>
      <c r="K15" s="2"/>
      <c r="L15" s="2">
        <f t="shared" si="0"/>
        <v>512319.44</v>
      </c>
      <c r="M15" s="2"/>
      <c r="N15" s="19">
        <f t="shared" si="1"/>
        <v>0</v>
      </c>
      <c r="O15" s="11"/>
      <c r="P15" s="2">
        <f>--1193414.41</f>
        <v>1193414.4099999999</v>
      </c>
      <c r="Q15" s="2"/>
      <c r="R15" s="19"/>
      <c r="S15" s="2"/>
      <c r="T15" s="2"/>
      <c r="U15" s="2"/>
      <c r="V15" s="19"/>
      <c r="W15" s="2"/>
      <c r="X15" s="2">
        <f t="shared" si="2"/>
        <v>1193414.4099999999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--15841.34</f>
        <v>15841.34</v>
      </c>
      <c r="E16" s="2"/>
      <c r="F16" s="19"/>
      <c r="G16" s="2"/>
      <c r="H16" s="2"/>
      <c r="I16" s="2"/>
      <c r="J16" s="19"/>
      <c r="K16" s="2"/>
      <c r="L16" s="2">
        <f t="shared" si="0"/>
        <v>15841.34</v>
      </c>
      <c r="M16" s="2"/>
      <c r="N16" s="19">
        <f t="shared" si="1"/>
        <v>0</v>
      </c>
      <c r="O16" s="11"/>
      <c r="P16" s="2">
        <f>--32272.01</f>
        <v>32272.01</v>
      </c>
      <c r="Q16" s="2"/>
      <c r="R16" s="19"/>
      <c r="S16" s="2"/>
      <c r="T16" s="2"/>
      <c r="U16" s="2"/>
      <c r="V16" s="19"/>
      <c r="W16" s="2"/>
      <c r="X16" s="2">
        <f t="shared" si="2"/>
        <v>32272.01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--10921.53</f>
        <v>10921.53</v>
      </c>
      <c r="E17" s="2"/>
      <c r="F17" s="19"/>
      <c r="G17" s="2"/>
      <c r="H17" s="2"/>
      <c r="I17" s="2"/>
      <c r="J17" s="19"/>
      <c r="K17" s="2"/>
      <c r="L17" s="2">
        <f t="shared" si="0"/>
        <v>10921.53</v>
      </c>
      <c r="M17" s="2"/>
      <c r="N17" s="19">
        <f t="shared" si="1"/>
        <v>0</v>
      </c>
      <c r="O17" s="11"/>
      <c r="P17" s="2">
        <f>--41201.41</f>
        <v>41201.410000000003</v>
      </c>
      <c r="Q17" s="2"/>
      <c r="R17" s="19"/>
      <c r="S17" s="2"/>
      <c r="T17" s="2"/>
      <c r="U17" s="2"/>
      <c r="V17" s="19"/>
      <c r="W17" s="2"/>
      <c r="X17" s="2">
        <f t="shared" si="2"/>
        <v>41201.410000000003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--13.22</f>
        <v>13.22</v>
      </c>
      <c r="Q18" s="2"/>
      <c r="R18" s="19"/>
      <c r="S18" s="2"/>
      <c r="T18" s="2"/>
      <c r="U18" s="2"/>
      <c r="V18" s="19"/>
      <c r="W18" s="2"/>
      <c r="X18" s="2">
        <f t="shared" si="2"/>
        <v>13.22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--229.57</f>
        <v>229.57</v>
      </c>
      <c r="E19" s="2"/>
      <c r="F19" s="19"/>
      <c r="G19" s="2"/>
      <c r="H19" s="2"/>
      <c r="I19" s="2"/>
      <c r="J19" s="19"/>
      <c r="K19" s="2"/>
      <c r="L19" s="2">
        <f t="shared" si="0"/>
        <v>229.57</v>
      </c>
      <c r="M19" s="2"/>
      <c r="N19" s="19">
        <f t="shared" si="1"/>
        <v>0</v>
      </c>
      <c r="O19" s="11"/>
      <c r="P19" s="2">
        <f>--1509.89</f>
        <v>1509.89</v>
      </c>
      <c r="Q19" s="2"/>
      <c r="R19" s="19"/>
      <c r="S19" s="2"/>
      <c r="T19" s="2"/>
      <c r="U19" s="2"/>
      <c r="V19" s="19"/>
      <c r="W19" s="2"/>
      <c r="X19" s="2">
        <f t="shared" si="2"/>
        <v>1509.89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--107.48</f>
        <v>107.48</v>
      </c>
      <c r="E20" s="2"/>
      <c r="F20" s="19"/>
      <c r="G20" s="2"/>
      <c r="H20" s="2"/>
      <c r="I20" s="2"/>
      <c r="J20" s="19"/>
      <c r="K20" s="2"/>
      <c r="L20" s="2">
        <f t="shared" si="0"/>
        <v>107.48</v>
      </c>
      <c r="M20" s="2"/>
      <c r="N20" s="19">
        <f t="shared" si="1"/>
        <v>0</v>
      </c>
      <c r="O20" s="11"/>
      <c r="P20" s="2">
        <f>--1100.17</f>
        <v>1100.17</v>
      </c>
      <c r="Q20" s="2"/>
      <c r="R20" s="19"/>
      <c r="S20" s="2"/>
      <c r="T20" s="2"/>
      <c r="U20" s="2"/>
      <c r="V20" s="19"/>
      <c r="W20" s="2"/>
      <c r="X20" s="2">
        <f t="shared" si="2"/>
        <v>1100.17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--12.98</f>
        <v>12.98</v>
      </c>
      <c r="E21" s="2"/>
      <c r="F21" s="19"/>
      <c r="G21" s="2"/>
      <c r="H21" s="2"/>
      <c r="I21" s="2"/>
      <c r="J21" s="19"/>
      <c r="K21" s="2"/>
      <c r="L21" s="2">
        <f t="shared" si="0"/>
        <v>12.98</v>
      </c>
      <c r="M21" s="2"/>
      <c r="N21" s="19">
        <f t="shared" si="1"/>
        <v>0</v>
      </c>
      <c r="O21" s="11"/>
      <c r="P21" s="2">
        <f>--255.12</f>
        <v>255.12</v>
      </c>
      <c r="Q21" s="2"/>
      <c r="R21" s="19"/>
      <c r="S21" s="2"/>
      <c r="T21" s="2"/>
      <c r="U21" s="2"/>
      <c r="V21" s="19"/>
      <c r="W21" s="2"/>
      <c r="X21" s="2">
        <f t="shared" si="2"/>
        <v>255.12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--737.51</f>
        <v>737.51</v>
      </c>
      <c r="E22" s="2"/>
      <c r="F22" s="19"/>
      <c r="G22" s="2"/>
      <c r="H22" s="2"/>
      <c r="I22" s="2"/>
      <c r="J22" s="19"/>
      <c r="K22" s="2"/>
      <c r="L22" s="2">
        <f t="shared" si="0"/>
        <v>737.51</v>
      </c>
      <c r="M22" s="2"/>
      <c r="N22" s="19">
        <f t="shared" si="1"/>
        <v>0</v>
      </c>
      <c r="O22" s="11"/>
      <c r="P22" s="2">
        <f>--3627.9</f>
        <v>3627.9</v>
      </c>
      <c r="Q22" s="2"/>
      <c r="R22" s="19"/>
      <c r="S22" s="2"/>
      <c r="T22" s="2"/>
      <c r="U22" s="2"/>
      <c r="V22" s="19"/>
      <c r="W22" s="2"/>
      <c r="X22" s="2">
        <f t="shared" si="2"/>
        <v>3627.9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--33.88</f>
        <v>33.880000000000003</v>
      </c>
      <c r="Q23" s="2"/>
      <c r="R23" s="19"/>
      <c r="S23" s="2"/>
      <c r="T23" s="2"/>
      <c r="U23" s="2"/>
      <c r="V23" s="19"/>
      <c r="W23" s="2"/>
      <c r="X23" s="2">
        <f t="shared" si="2"/>
        <v>33.880000000000003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--5307.35</f>
        <v>5307.35</v>
      </c>
      <c r="E24" s="2"/>
      <c r="F24" s="19"/>
      <c r="G24" s="2"/>
      <c r="H24" s="2"/>
      <c r="I24" s="2"/>
      <c r="J24" s="19"/>
      <c r="K24" s="2"/>
      <c r="L24" s="2">
        <f t="shared" si="0"/>
        <v>5307.35</v>
      </c>
      <c r="M24" s="2"/>
      <c r="N24" s="19">
        <f t="shared" si="1"/>
        <v>0</v>
      </c>
      <c r="O24" s="11"/>
      <c r="P24" s="2">
        <f>--40440.45</f>
        <v>40440.449999999997</v>
      </c>
      <c r="Q24" s="2"/>
      <c r="R24" s="19"/>
      <c r="S24" s="2"/>
      <c r="T24" s="2"/>
      <c r="U24" s="2"/>
      <c r="V24" s="19"/>
      <c r="W24" s="2"/>
      <c r="X24" s="2">
        <f t="shared" si="2"/>
        <v>40440.449999999997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--13761.32</f>
        <v>13761.32</v>
      </c>
      <c r="E25" s="2"/>
      <c r="F25" s="19"/>
      <c r="G25" s="2"/>
      <c r="H25" s="2"/>
      <c r="I25" s="2"/>
      <c r="J25" s="19"/>
      <c r="K25" s="2"/>
      <c r="L25" s="2">
        <f t="shared" si="0"/>
        <v>13761.32</v>
      </c>
      <c r="M25" s="2"/>
      <c r="N25" s="19">
        <f t="shared" si="1"/>
        <v>0</v>
      </c>
      <c r="O25" s="11"/>
      <c r="P25" s="2">
        <f>--63689.49</f>
        <v>63689.49</v>
      </c>
      <c r="Q25" s="2"/>
      <c r="R25" s="19"/>
      <c r="S25" s="2"/>
      <c r="T25" s="2"/>
      <c r="U25" s="2"/>
      <c r="V25" s="19"/>
      <c r="W25" s="2"/>
      <c r="X25" s="2">
        <f t="shared" si="2"/>
        <v>63689.49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--66289.85</f>
        <v>66289.850000000006</v>
      </c>
      <c r="E26" s="2"/>
      <c r="F26" s="19"/>
      <c r="G26" s="2"/>
      <c r="H26" s="2"/>
      <c r="I26" s="2"/>
      <c r="J26" s="19"/>
      <c r="K26" s="2"/>
      <c r="L26" s="2">
        <f t="shared" si="0"/>
        <v>66289.850000000006</v>
      </c>
      <c r="M26" s="2"/>
      <c r="N26" s="19">
        <f t="shared" si="1"/>
        <v>0</v>
      </c>
      <c r="O26" s="11"/>
      <c r="P26" s="2">
        <f>--231647.32</f>
        <v>231647.32</v>
      </c>
      <c r="Q26" s="2"/>
      <c r="R26" s="19"/>
      <c r="S26" s="2"/>
      <c r="T26" s="2"/>
      <c r="U26" s="2"/>
      <c r="V26" s="19"/>
      <c r="W26" s="2"/>
      <c r="X26" s="2">
        <f t="shared" si="2"/>
        <v>231647.32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--43035.21</f>
        <v>43035.21</v>
      </c>
      <c r="E27" s="2"/>
      <c r="F27" s="19"/>
      <c r="G27" s="2"/>
      <c r="H27" s="2"/>
      <c r="I27" s="2"/>
      <c r="J27" s="19"/>
      <c r="K27" s="2"/>
      <c r="L27" s="2">
        <f t="shared" si="0"/>
        <v>43035.21</v>
      </c>
      <c r="M27" s="2"/>
      <c r="N27" s="19">
        <f t="shared" si="1"/>
        <v>0</v>
      </c>
      <c r="O27" s="11"/>
      <c r="P27" s="2">
        <f>--232672.78</f>
        <v>232672.78</v>
      </c>
      <c r="Q27" s="2"/>
      <c r="R27" s="19"/>
      <c r="S27" s="2"/>
      <c r="T27" s="2"/>
      <c r="U27" s="2"/>
      <c r="V27" s="19"/>
      <c r="W27" s="2"/>
      <c r="X27" s="2">
        <f t="shared" si="2"/>
        <v>232672.78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--43.03</f>
        <v>43.03</v>
      </c>
      <c r="E28" s="2"/>
      <c r="F28" s="19"/>
      <c r="G28" s="2"/>
      <c r="H28" s="2"/>
      <c r="I28" s="2"/>
      <c r="J28" s="19"/>
      <c r="K28" s="2"/>
      <c r="L28" s="2">
        <f t="shared" si="0"/>
        <v>43.03</v>
      </c>
      <c r="M28" s="2"/>
      <c r="N28" s="19">
        <f t="shared" si="1"/>
        <v>0</v>
      </c>
      <c r="O28" s="11"/>
      <c r="P28" s="2">
        <f>--349.97</f>
        <v>349.97</v>
      </c>
      <c r="Q28" s="2"/>
      <c r="R28" s="19"/>
      <c r="S28" s="2"/>
      <c r="T28" s="2"/>
      <c r="U28" s="2"/>
      <c r="V28" s="19"/>
      <c r="W28" s="2"/>
      <c r="X28" s="2">
        <f t="shared" si="2"/>
        <v>349.97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--242.25</f>
        <v>242.25</v>
      </c>
      <c r="E29" s="2"/>
      <c r="F29" s="19"/>
      <c r="G29" s="2"/>
      <c r="H29" s="2"/>
      <c r="I29" s="2"/>
      <c r="J29" s="19"/>
      <c r="K29" s="2"/>
      <c r="L29" s="2">
        <f t="shared" si="0"/>
        <v>242.25</v>
      </c>
      <c r="M29" s="2"/>
      <c r="N29" s="19">
        <f t="shared" si="1"/>
        <v>0</v>
      </c>
      <c r="O29" s="11"/>
      <c r="P29" s="2">
        <f>--1108.59</f>
        <v>1108.5899999999999</v>
      </c>
      <c r="Q29" s="2"/>
      <c r="R29" s="19"/>
      <c r="S29" s="2"/>
      <c r="T29" s="2"/>
      <c r="U29" s="2"/>
      <c r="V29" s="19"/>
      <c r="W29" s="2"/>
      <c r="X29" s="2">
        <f t="shared" si="2"/>
        <v>1108.5899999999999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--15.13</f>
        <v>15.13</v>
      </c>
      <c r="E30" s="2"/>
      <c r="F30" s="19"/>
      <c r="G30" s="2"/>
      <c r="H30" s="2"/>
      <c r="I30" s="2"/>
      <c r="J30" s="19"/>
      <c r="K30" s="2"/>
      <c r="L30" s="2">
        <f t="shared" si="0"/>
        <v>15.13</v>
      </c>
      <c r="M30" s="2"/>
      <c r="N30" s="19">
        <f t="shared" si="1"/>
        <v>0</v>
      </c>
      <c r="O30" s="11"/>
      <c r="P30" s="2">
        <f>--146.15</f>
        <v>146.15</v>
      </c>
      <c r="Q30" s="2"/>
      <c r="R30" s="19"/>
      <c r="S30" s="2"/>
      <c r="T30" s="2"/>
      <c r="U30" s="2"/>
      <c r="V30" s="19"/>
      <c r="W30" s="2"/>
      <c r="X30" s="2">
        <f t="shared" si="2"/>
        <v>146.15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--479.73</f>
        <v>479.73</v>
      </c>
      <c r="E31" s="2"/>
      <c r="F31" s="19"/>
      <c r="G31" s="2"/>
      <c r="H31" s="2"/>
      <c r="I31" s="2"/>
      <c r="J31" s="19"/>
      <c r="K31" s="2"/>
      <c r="L31" s="2">
        <f t="shared" si="0"/>
        <v>479.73</v>
      </c>
      <c r="M31" s="2"/>
      <c r="N31" s="19">
        <f t="shared" si="1"/>
        <v>0</v>
      </c>
      <c r="O31" s="11"/>
      <c r="P31" s="2">
        <f>--5751.24</f>
        <v>5751.24</v>
      </c>
      <c r="Q31" s="2"/>
      <c r="R31" s="19"/>
      <c r="S31" s="2"/>
      <c r="T31" s="2"/>
      <c r="U31" s="2"/>
      <c r="V31" s="19"/>
      <c r="W31" s="2"/>
      <c r="X31" s="2">
        <f t="shared" si="2"/>
        <v>5751.24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--171.4</f>
        <v>171.4</v>
      </c>
      <c r="E32" s="2"/>
      <c r="F32" s="19"/>
      <c r="G32" s="2"/>
      <c r="H32" s="2"/>
      <c r="I32" s="2"/>
      <c r="J32" s="19"/>
      <c r="K32" s="2"/>
      <c r="L32" s="2">
        <f t="shared" si="0"/>
        <v>171.4</v>
      </c>
      <c r="M32" s="2"/>
      <c r="N32" s="19">
        <f t="shared" si="1"/>
        <v>0</v>
      </c>
      <c r="O32" s="11"/>
      <c r="P32" s="2">
        <f>--1438.49</f>
        <v>1438.49</v>
      </c>
      <c r="Q32" s="2"/>
      <c r="R32" s="19"/>
      <c r="S32" s="2"/>
      <c r="T32" s="2"/>
      <c r="U32" s="2"/>
      <c r="V32" s="19"/>
      <c r="W32" s="2"/>
      <c r="X32" s="2">
        <f t="shared" si="2"/>
        <v>1438.49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--17.84</f>
        <v>17.84</v>
      </c>
      <c r="E33" s="2"/>
      <c r="F33" s="19"/>
      <c r="G33" s="2"/>
      <c r="H33" s="2"/>
      <c r="I33" s="2"/>
      <c r="J33" s="19"/>
      <c r="K33" s="2"/>
      <c r="L33" s="2">
        <f t="shared" si="0"/>
        <v>17.84</v>
      </c>
      <c r="M33" s="2"/>
      <c r="N33" s="19">
        <f t="shared" si="1"/>
        <v>0</v>
      </c>
      <c r="O33" s="11"/>
      <c r="P33" s="2">
        <f>--414.1</f>
        <v>414.1</v>
      </c>
      <c r="Q33" s="2"/>
      <c r="R33" s="19"/>
      <c r="S33" s="2"/>
      <c r="T33" s="2"/>
      <c r="U33" s="2"/>
      <c r="V33" s="19"/>
      <c r="W33" s="2"/>
      <c r="X33" s="2">
        <f t="shared" si="2"/>
        <v>414.1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--192827.81</f>
        <v>192827.81</v>
      </c>
      <c r="E34" s="2"/>
      <c r="F34" s="19"/>
      <c r="G34" s="2"/>
      <c r="H34" s="2"/>
      <c r="I34" s="2"/>
      <c r="J34" s="19"/>
      <c r="K34" s="2"/>
      <c r="L34" s="2">
        <f t="shared" si="0"/>
        <v>192827.81</v>
      </c>
      <c r="M34" s="2"/>
      <c r="N34" s="19">
        <f t="shared" si="1"/>
        <v>0</v>
      </c>
      <c r="O34" s="11"/>
      <c r="P34" s="2">
        <f>--1484618.99</f>
        <v>1484618.99</v>
      </c>
      <c r="Q34" s="2"/>
      <c r="R34" s="19"/>
      <c r="S34" s="2"/>
      <c r="T34" s="2"/>
      <c r="U34" s="2"/>
      <c r="V34" s="19"/>
      <c r="W34" s="2"/>
      <c r="X34" s="2">
        <f t="shared" si="2"/>
        <v>1484618.99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--104441.67</f>
        <v>104441.67</v>
      </c>
      <c r="E35" s="2"/>
      <c r="F35" s="19"/>
      <c r="G35" s="2"/>
      <c r="H35" s="2"/>
      <c r="I35" s="2"/>
      <c r="J35" s="19"/>
      <c r="K35" s="2"/>
      <c r="L35" s="2">
        <f t="shared" si="0"/>
        <v>104441.67</v>
      </c>
      <c r="M35" s="2"/>
      <c r="N35" s="19">
        <f t="shared" si="1"/>
        <v>0</v>
      </c>
      <c r="O35" s="11"/>
      <c r="P35" s="2">
        <f>--400568.48</f>
        <v>400568.48</v>
      </c>
      <c r="Q35" s="2"/>
      <c r="R35" s="19"/>
      <c r="S35" s="2"/>
      <c r="T35" s="2"/>
      <c r="U35" s="2"/>
      <c r="V35" s="19"/>
      <c r="W35" s="2"/>
      <c r="X35" s="2">
        <f t="shared" si="2"/>
        <v>400568.48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--33043.12</f>
        <v>33043.120000000003</v>
      </c>
      <c r="E36" s="2"/>
      <c r="F36" s="19"/>
      <c r="G36" s="2"/>
      <c r="H36" s="2"/>
      <c r="I36" s="2"/>
      <c r="J36" s="19"/>
      <c r="K36" s="2"/>
      <c r="L36" s="2">
        <f t="shared" si="0"/>
        <v>33043.120000000003</v>
      </c>
      <c r="M36" s="2"/>
      <c r="N36" s="19">
        <f t="shared" si="1"/>
        <v>0</v>
      </c>
      <c r="O36" s="11"/>
      <c r="P36" s="2">
        <f>--232995.22</f>
        <v>232995.22</v>
      </c>
      <c r="Q36" s="2"/>
      <c r="R36" s="19"/>
      <c r="S36" s="2"/>
      <c r="T36" s="2"/>
      <c r="U36" s="2"/>
      <c r="V36" s="19"/>
      <c r="W36" s="2"/>
      <c r="X36" s="2">
        <f t="shared" si="2"/>
        <v>232995.22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--8310.25</f>
        <v>8310.25</v>
      </c>
      <c r="E37" s="2"/>
      <c r="F37" s="19"/>
      <c r="G37" s="2"/>
      <c r="H37" s="2"/>
      <c r="I37" s="2"/>
      <c r="J37" s="19"/>
      <c r="K37" s="2"/>
      <c r="L37" s="2">
        <f t="shared" si="0"/>
        <v>8310.25</v>
      </c>
      <c r="M37" s="2"/>
      <c r="N37" s="19">
        <f t="shared" si="1"/>
        <v>0</v>
      </c>
      <c r="O37" s="11"/>
      <c r="P37" s="2">
        <f>--22630.71</f>
        <v>22630.71</v>
      </c>
      <c r="Q37" s="2"/>
      <c r="R37" s="19"/>
      <c r="S37" s="2"/>
      <c r="T37" s="2"/>
      <c r="U37" s="2"/>
      <c r="V37" s="19"/>
      <c r="W37" s="2"/>
      <c r="X37" s="2">
        <f t="shared" si="2"/>
        <v>22630.71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--6349.96</f>
        <v>6349.96</v>
      </c>
      <c r="E38" s="2"/>
      <c r="F38" s="19"/>
      <c r="G38" s="2"/>
      <c r="H38" s="2"/>
      <c r="I38" s="2"/>
      <c r="J38" s="19"/>
      <c r="K38" s="2"/>
      <c r="L38" s="2">
        <f t="shared" si="0"/>
        <v>6349.96</v>
      </c>
      <c r="M38" s="2"/>
      <c r="N38" s="19">
        <f t="shared" si="1"/>
        <v>0</v>
      </c>
      <c r="O38" s="11"/>
      <c r="P38" s="2">
        <f>--53086.16</f>
        <v>53086.16</v>
      </c>
      <c r="Q38" s="2"/>
      <c r="R38" s="19"/>
      <c r="S38" s="2"/>
      <c r="T38" s="2"/>
      <c r="U38" s="2"/>
      <c r="V38" s="19"/>
      <c r="W38" s="2"/>
      <c r="X38" s="2">
        <f t="shared" si="2"/>
        <v>53086.16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--8732.21</f>
        <v>8732.2099999999991</v>
      </c>
      <c r="E39" s="2"/>
      <c r="F39" s="19"/>
      <c r="G39" s="2"/>
      <c r="H39" s="2"/>
      <c r="I39" s="2"/>
      <c r="J39" s="19"/>
      <c r="K39" s="2"/>
      <c r="L39" s="2">
        <f t="shared" si="0"/>
        <v>8732.2099999999991</v>
      </c>
      <c r="M39" s="2"/>
      <c r="N39" s="19">
        <f t="shared" si="1"/>
        <v>0</v>
      </c>
      <c r="O39" s="11"/>
      <c r="P39" s="2">
        <f>--69738.03</f>
        <v>69738.03</v>
      </c>
      <c r="Q39" s="2"/>
      <c r="R39" s="19"/>
      <c r="S39" s="2"/>
      <c r="T39" s="2"/>
      <c r="U39" s="2"/>
      <c r="V39" s="19"/>
      <c r="W39" s="2"/>
      <c r="X39" s="2">
        <f t="shared" si="2"/>
        <v>69738.03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--183.1</f>
        <v>183.1</v>
      </c>
      <c r="E40" s="2"/>
      <c r="F40" s="19"/>
      <c r="G40" s="2"/>
      <c r="H40" s="2"/>
      <c r="I40" s="2"/>
      <c r="J40" s="19"/>
      <c r="K40" s="2"/>
      <c r="L40" s="2">
        <f t="shared" si="0"/>
        <v>183.1</v>
      </c>
      <c r="M40" s="2"/>
      <c r="N40" s="19">
        <f t="shared" si="1"/>
        <v>0</v>
      </c>
      <c r="O40" s="11"/>
      <c r="P40" s="2">
        <f>--1977.04</f>
        <v>1977.04</v>
      </c>
      <c r="Q40" s="2"/>
      <c r="R40" s="19"/>
      <c r="S40" s="2"/>
      <c r="T40" s="2"/>
      <c r="U40" s="2"/>
      <c r="V40" s="19"/>
      <c r="W40" s="2"/>
      <c r="X40" s="2">
        <f t="shared" si="2"/>
        <v>1977.04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--266.85</f>
        <v>266.85000000000002</v>
      </c>
      <c r="E41" s="2"/>
      <c r="F41" s="19"/>
      <c r="G41" s="2"/>
      <c r="H41" s="2"/>
      <c r="I41" s="2"/>
      <c r="J41" s="19"/>
      <c r="K41" s="2"/>
      <c r="L41" s="2">
        <f t="shared" si="0"/>
        <v>266.85000000000002</v>
      </c>
      <c r="M41" s="2"/>
      <c r="N41" s="19">
        <f t="shared" si="1"/>
        <v>0</v>
      </c>
      <c r="O41" s="11"/>
      <c r="P41" s="2">
        <f>--2801.28</f>
        <v>2801.28</v>
      </c>
      <c r="Q41" s="2"/>
      <c r="R41" s="19"/>
      <c r="S41" s="2"/>
      <c r="T41" s="2"/>
      <c r="U41" s="2"/>
      <c r="V41" s="19"/>
      <c r="W41" s="2"/>
      <c r="X41" s="2">
        <f t="shared" si="2"/>
        <v>2801.28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--38</f>
        <v>38</v>
      </c>
      <c r="E42" s="2"/>
      <c r="F42" s="19"/>
      <c r="G42" s="2"/>
      <c r="H42" s="2"/>
      <c r="I42" s="2"/>
      <c r="J42" s="19"/>
      <c r="K42" s="2"/>
      <c r="L42" s="2">
        <f t="shared" si="0"/>
        <v>38</v>
      </c>
      <c r="M42" s="2"/>
      <c r="N42" s="19">
        <f t="shared" si="1"/>
        <v>0</v>
      </c>
      <c r="O42" s="11"/>
      <c r="P42" s="2">
        <f>--219</f>
        <v>219</v>
      </c>
      <c r="Q42" s="2"/>
      <c r="R42" s="19"/>
      <c r="S42" s="2"/>
      <c r="T42" s="2"/>
      <c r="U42" s="2"/>
      <c r="V42" s="19"/>
      <c r="W42" s="2"/>
      <c r="X42" s="2">
        <f t="shared" si="2"/>
        <v>219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--149.91</f>
        <v>149.91</v>
      </c>
      <c r="E43" s="2"/>
      <c r="F43" s="19"/>
      <c r="G43" s="2"/>
      <c r="H43" s="2"/>
      <c r="I43" s="2"/>
      <c r="J43" s="19"/>
      <c r="K43" s="2"/>
      <c r="L43" s="2">
        <f t="shared" si="0"/>
        <v>149.91</v>
      </c>
      <c r="M43" s="2"/>
      <c r="N43" s="19">
        <f t="shared" si="1"/>
        <v>0</v>
      </c>
      <c r="O43" s="11"/>
      <c r="P43" s="2">
        <f>--849.39</f>
        <v>849.39</v>
      </c>
      <c r="Q43" s="2"/>
      <c r="R43" s="19"/>
      <c r="S43" s="2"/>
      <c r="T43" s="2"/>
      <c r="U43" s="2"/>
      <c r="V43" s="19"/>
      <c r="W43" s="2"/>
      <c r="X43" s="2">
        <f t="shared" si="2"/>
        <v>849.39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--76.99</f>
        <v>76.989999999999995</v>
      </c>
      <c r="E44" s="2"/>
      <c r="F44" s="19"/>
      <c r="G44" s="2"/>
      <c r="H44" s="2"/>
      <c r="I44" s="2"/>
      <c r="J44" s="19"/>
      <c r="K44" s="2"/>
      <c r="L44" s="2">
        <f t="shared" si="0"/>
        <v>76.989999999999995</v>
      </c>
      <c r="M44" s="2"/>
      <c r="N44" s="19">
        <f t="shared" si="1"/>
        <v>0</v>
      </c>
      <c r="O44" s="11"/>
      <c r="P44" s="2">
        <f>--775.76</f>
        <v>775.76</v>
      </c>
      <c r="Q44" s="2"/>
      <c r="R44" s="19"/>
      <c r="S44" s="2"/>
      <c r="T44" s="2"/>
      <c r="U44" s="2"/>
      <c r="V44" s="19"/>
      <c r="W44" s="2"/>
      <c r="X44" s="2">
        <f t="shared" si="2"/>
        <v>775.76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>0</f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--7659.37</f>
        <v>7659.37</v>
      </c>
      <c r="Q45" s="2"/>
      <c r="R45" s="19"/>
      <c r="S45" s="2"/>
      <c r="T45" s="2"/>
      <c r="U45" s="2"/>
      <c r="V45" s="19"/>
      <c r="W45" s="2"/>
      <c r="X45" s="2">
        <f t="shared" si="2"/>
        <v>7659.37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>--11.93</f>
        <v>11.93</v>
      </c>
      <c r="E46" s="2"/>
      <c r="F46" s="19"/>
      <c r="G46" s="2"/>
      <c r="H46" s="2"/>
      <c r="I46" s="2"/>
      <c r="J46" s="19"/>
      <c r="K46" s="2"/>
      <c r="L46" s="2">
        <f t="shared" si="0"/>
        <v>11.93</v>
      </c>
      <c r="M46" s="2"/>
      <c r="N46" s="19">
        <f t="shared" si="1"/>
        <v>0</v>
      </c>
      <c r="O46" s="11"/>
      <c r="P46" s="2">
        <f>--309.26</f>
        <v>309.26</v>
      </c>
      <c r="Q46" s="2"/>
      <c r="R46" s="19"/>
      <c r="S46" s="2"/>
      <c r="T46" s="2"/>
      <c r="U46" s="2"/>
      <c r="V46" s="19"/>
      <c r="W46" s="2"/>
      <c r="X46" s="2">
        <f t="shared" si="2"/>
        <v>309.26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--214291.61</f>
        <v>214291.61</v>
      </c>
      <c r="E47" s="2"/>
      <c r="F47" s="19"/>
      <c r="G47" s="2"/>
      <c r="H47" s="2">
        <v>1969032</v>
      </c>
      <c r="I47" s="2"/>
      <c r="J47" s="19"/>
      <c r="K47" s="2"/>
      <c r="L47" s="2">
        <f t="shared" si="0"/>
        <v>-1754740.3900000001</v>
      </c>
      <c r="M47" s="2"/>
      <c r="N47" s="19">
        <f t="shared" si="1"/>
        <v>-0.89116905667353308</v>
      </c>
      <c r="O47" s="11"/>
      <c r="P47" s="2">
        <f>--550220.16</f>
        <v>550220.16</v>
      </c>
      <c r="Q47" s="2"/>
      <c r="R47" s="19"/>
      <c r="S47" s="2"/>
      <c r="T47" s="2">
        <v>5305010</v>
      </c>
      <c r="U47" s="2"/>
      <c r="V47" s="19"/>
      <c r="W47" s="2"/>
      <c r="X47" s="2">
        <f t="shared" si="2"/>
        <v>-4754789.84</v>
      </c>
      <c r="Y47" s="2"/>
      <c r="Z47" s="19">
        <f t="shared" si="3"/>
        <v>-0.89628291746858157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--37117.66</f>
        <v>37117.660000000003</v>
      </c>
      <c r="E48" s="2"/>
      <c r="F48" s="19"/>
      <c r="G48" s="2"/>
      <c r="H48" s="2"/>
      <c r="I48" s="2"/>
      <c r="J48" s="19"/>
      <c r="K48" s="2"/>
      <c r="L48" s="2">
        <f t="shared" si="0"/>
        <v>37117.660000000003</v>
      </c>
      <c r="M48" s="2"/>
      <c r="N48" s="19">
        <f t="shared" si="1"/>
        <v>0</v>
      </c>
      <c r="O48" s="11"/>
      <c r="P48" s="2">
        <f>--132405.23</f>
        <v>132405.23000000001</v>
      </c>
      <c r="Q48" s="2"/>
      <c r="R48" s="19"/>
      <c r="S48" s="2"/>
      <c r="T48" s="2"/>
      <c r="U48" s="2"/>
      <c r="V48" s="19"/>
      <c r="W48" s="2"/>
      <c r="X48" s="2">
        <f t="shared" si="2"/>
        <v>132405.23000000001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--28414.21</f>
        <v>28414.21</v>
      </c>
      <c r="E49" s="2"/>
      <c r="F49" s="19"/>
      <c r="G49" s="2"/>
      <c r="H49" s="2"/>
      <c r="I49" s="2"/>
      <c r="J49" s="19"/>
      <c r="K49" s="2"/>
      <c r="L49" s="2">
        <f t="shared" si="0"/>
        <v>28414.21</v>
      </c>
      <c r="M49" s="2"/>
      <c r="N49" s="19">
        <f t="shared" si="1"/>
        <v>0</v>
      </c>
      <c r="O49" s="11"/>
      <c r="P49" s="2">
        <f>--66616.8</f>
        <v>66616.800000000003</v>
      </c>
      <c r="Q49" s="2"/>
      <c r="R49" s="19"/>
      <c r="S49" s="2"/>
      <c r="T49" s="2"/>
      <c r="U49" s="2"/>
      <c r="V49" s="19"/>
      <c r="W49" s="2"/>
      <c r="X49" s="2">
        <f t="shared" si="2"/>
        <v>66616.800000000003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--334.99</f>
        <v>334.99</v>
      </c>
      <c r="E50" s="2"/>
      <c r="F50" s="19"/>
      <c r="G50" s="2"/>
      <c r="H50" s="2"/>
      <c r="I50" s="2"/>
      <c r="J50" s="19"/>
      <c r="K50" s="2"/>
      <c r="L50" s="2">
        <f t="shared" si="0"/>
        <v>334.99</v>
      </c>
      <c r="M50" s="2"/>
      <c r="N50" s="19">
        <f t="shared" si="1"/>
        <v>0</v>
      </c>
      <c r="O50" s="11"/>
      <c r="P50" s="2">
        <f>--664.97</f>
        <v>664.97</v>
      </c>
      <c r="Q50" s="2"/>
      <c r="R50" s="19"/>
      <c r="S50" s="2"/>
      <c r="T50" s="2"/>
      <c r="U50" s="2"/>
      <c r="V50" s="19"/>
      <c r="W50" s="2"/>
      <c r="X50" s="2">
        <f t="shared" si="2"/>
        <v>664.97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--169179.13</f>
        <v>169179.13</v>
      </c>
      <c r="E51" s="2"/>
      <c r="F51" s="19"/>
      <c r="G51" s="2"/>
      <c r="H51" s="2"/>
      <c r="I51" s="2"/>
      <c r="J51" s="19"/>
      <c r="K51" s="2"/>
      <c r="L51" s="2">
        <f t="shared" si="0"/>
        <v>169179.13</v>
      </c>
      <c r="M51" s="2"/>
      <c r="N51" s="19">
        <f t="shared" si="1"/>
        <v>0</v>
      </c>
      <c r="O51" s="11"/>
      <c r="P51" s="2">
        <f>--502067.96</f>
        <v>502067.96</v>
      </c>
      <c r="Q51" s="2"/>
      <c r="R51" s="19"/>
      <c r="S51" s="2"/>
      <c r="T51" s="2"/>
      <c r="U51" s="2"/>
      <c r="V51" s="19"/>
      <c r="W51" s="2"/>
      <c r="X51" s="2">
        <f t="shared" si="2"/>
        <v>502067.96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--4684.53</f>
        <v>4684.53</v>
      </c>
      <c r="E52" s="2"/>
      <c r="F52" s="19"/>
      <c r="G52" s="2"/>
      <c r="H52" s="2"/>
      <c r="I52" s="2"/>
      <c r="J52" s="19"/>
      <c r="K52" s="2"/>
      <c r="L52" s="2">
        <f t="shared" si="0"/>
        <v>4684.53</v>
      </c>
      <c r="M52" s="2"/>
      <c r="N52" s="19">
        <f t="shared" si="1"/>
        <v>0</v>
      </c>
      <c r="O52" s="11"/>
      <c r="P52" s="2">
        <f>--12708.5</f>
        <v>12708.5</v>
      </c>
      <c r="Q52" s="2"/>
      <c r="R52" s="19"/>
      <c r="S52" s="2"/>
      <c r="T52" s="2"/>
      <c r="U52" s="2"/>
      <c r="V52" s="19"/>
      <c r="W52" s="2"/>
      <c r="X52" s="2">
        <f t="shared" si="2"/>
        <v>12708.5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 t="shared" ref="D53:D54" si="4">0</f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--1146.72</f>
        <v>1146.72</v>
      </c>
      <c r="Q53" s="2"/>
      <c r="R53" s="19"/>
      <c r="S53" s="2"/>
      <c r="T53" s="2"/>
      <c r="U53" s="2"/>
      <c r="V53" s="19"/>
      <c r="W53" s="2"/>
      <c r="X53" s="2">
        <f t="shared" si="2"/>
        <v>1146.72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 t="shared" si="4"/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--41.91</f>
        <v>41.91</v>
      </c>
      <c r="Q54" s="2"/>
      <c r="R54" s="19"/>
      <c r="S54" s="2"/>
      <c r="T54" s="2"/>
      <c r="U54" s="2"/>
      <c r="V54" s="19"/>
      <c r="W54" s="2"/>
      <c r="X54" s="2">
        <f t="shared" si="2"/>
        <v>41.91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>--98.5</f>
        <v>98.5</v>
      </c>
      <c r="E55" s="2"/>
      <c r="F55" s="19"/>
      <c r="G55" s="2"/>
      <c r="H55" s="2"/>
      <c r="I55" s="2"/>
      <c r="J55" s="19"/>
      <c r="K55" s="2"/>
      <c r="L55" s="2">
        <f t="shared" si="0"/>
        <v>98.5</v>
      </c>
      <c r="M55" s="2"/>
      <c r="N55" s="19">
        <f t="shared" si="1"/>
        <v>0</v>
      </c>
      <c r="O55" s="11"/>
      <c r="P55" s="2">
        <f>--222.68</f>
        <v>222.68</v>
      </c>
      <c r="Q55" s="2"/>
      <c r="R55" s="19"/>
      <c r="S55" s="2"/>
      <c r="T55" s="2"/>
      <c r="U55" s="2"/>
      <c r="V55" s="19"/>
      <c r="W55" s="2"/>
      <c r="X55" s="2">
        <f t="shared" si="2"/>
        <v>222.68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>--1047.53</f>
        <v>1047.53</v>
      </c>
      <c r="E56" s="2"/>
      <c r="F56" s="19"/>
      <c r="G56" s="2"/>
      <c r="H56" s="2"/>
      <c r="I56" s="2"/>
      <c r="J56" s="19"/>
      <c r="K56" s="2"/>
      <c r="L56" s="2">
        <f t="shared" si="0"/>
        <v>1047.53</v>
      </c>
      <c r="M56" s="2"/>
      <c r="N56" s="19">
        <f t="shared" si="1"/>
        <v>0</v>
      </c>
      <c r="O56" s="11"/>
      <c r="P56" s="2">
        <f>--2556.64</f>
        <v>2556.64</v>
      </c>
      <c r="Q56" s="2"/>
      <c r="R56" s="19"/>
      <c r="S56" s="2"/>
      <c r="T56" s="2"/>
      <c r="U56" s="2"/>
      <c r="V56" s="19"/>
      <c r="W56" s="2"/>
      <c r="X56" s="2">
        <f t="shared" si="2"/>
        <v>2556.64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--1531.2</f>
        <v>1531.2</v>
      </c>
      <c r="E57" s="2"/>
      <c r="F57" s="19"/>
      <c r="G57" s="2"/>
      <c r="H57" s="2"/>
      <c r="I57" s="2"/>
      <c r="J57" s="19"/>
      <c r="K57" s="2"/>
      <c r="L57" s="2">
        <f t="shared" si="0"/>
        <v>1531.2</v>
      </c>
      <c r="M57" s="2"/>
      <c r="N57" s="19">
        <f t="shared" si="1"/>
        <v>0</v>
      </c>
      <c r="O57" s="11"/>
      <c r="P57" s="2">
        <f>--4134.6</f>
        <v>4134.6000000000004</v>
      </c>
      <c r="Q57" s="2"/>
      <c r="R57" s="19"/>
      <c r="S57" s="2"/>
      <c r="T57" s="2"/>
      <c r="U57" s="2"/>
      <c r="V57" s="19"/>
      <c r="W57" s="2"/>
      <c r="X57" s="2">
        <f t="shared" si="2"/>
        <v>4134.6000000000004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--182.3</f>
        <v>182.3</v>
      </c>
      <c r="E58" s="2"/>
      <c r="F58" s="19"/>
      <c r="G58" s="2"/>
      <c r="H58" s="2"/>
      <c r="I58" s="2"/>
      <c r="J58" s="19"/>
      <c r="K58" s="2"/>
      <c r="L58" s="2">
        <f t="shared" si="0"/>
        <v>182.3</v>
      </c>
      <c r="M58" s="2"/>
      <c r="N58" s="19">
        <f t="shared" si="1"/>
        <v>0</v>
      </c>
      <c r="O58" s="11"/>
      <c r="P58" s="2">
        <f>--531.02</f>
        <v>531.02</v>
      </c>
      <c r="Q58" s="2"/>
      <c r="R58" s="19"/>
      <c r="S58" s="2"/>
      <c r="T58" s="2"/>
      <c r="U58" s="2"/>
      <c r="V58" s="19"/>
      <c r="W58" s="2"/>
      <c r="X58" s="2">
        <f t="shared" si="2"/>
        <v>531.02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--3944.61</f>
        <v>3944.61</v>
      </c>
      <c r="E59" s="2"/>
      <c r="F59" s="19"/>
      <c r="G59" s="2"/>
      <c r="H59" s="2"/>
      <c r="I59" s="2"/>
      <c r="J59" s="19"/>
      <c r="K59" s="2"/>
      <c r="L59" s="2">
        <f t="shared" si="0"/>
        <v>3944.61</v>
      </c>
      <c r="M59" s="2"/>
      <c r="N59" s="19">
        <f t="shared" si="1"/>
        <v>0</v>
      </c>
      <c r="O59" s="11"/>
      <c r="P59" s="2">
        <f>--43030.34</f>
        <v>43030.34</v>
      </c>
      <c r="Q59" s="2"/>
      <c r="R59" s="19"/>
      <c r="S59" s="2"/>
      <c r="T59" s="2"/>
      <c r="U59" s="2"/>
      <c r="V59" s="19"/>
      <c r="W59" s="2"/>
      <c r="X59" s="2">
        <f t="shared" si="2"/>
        <v>43030.34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>--1102.23</f>
        <v>1102.23</v>
      </c>
      <c r="E60" s="2"/>
      <c r="F60" s="19"/>
      <c r="G60" s="2"/>
      <c r="H60" s="2"/>
      <c r="I60" s="2"/>
      <c r="J60" s="19"/>
      <c r="K60" s="2"/>
      <c r="L60" s="2">
        <f t="shared" si="0"/>
        <v>1102.23</v>
      </c>
      <c r="M60" s="2"/>
      <c r="N60" s="19">
        <f t="shared" si="1"/>
        <v>0</v>
      </c>
      <c r="O60" s="11"/>
      <c r="P60" s="2">
        <f>--12547.43</f>
        <v>12547.43</v>
      </c>
      <c r="Q60" s="2"/>
      <c r="R60" s="19"/>
      <c r="S60" s="2"/>
      <c r="T60" s="2"/>
      <c r="U60" s="2"/>
      <c r="V60" s="19"/>
      <c r="W60" s="2"/>
      <c r="X60" s="2">
        <f t="shared" si="2"/>
        <v>12547.43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>--1436.4</f>
        <v>1436.4</v>
      </c>
      <c r="E61" s="2"/>
      <c r="F61" s="19"/>
      <c r="G61" s="2"/>
      <c r="H61" s="2"/>
      <c r="I61" s="2"/>
      <c r="J61" s="19"/>
      <c r="K61" s="2"/>
      <c r="L61" s="2">
        <f t="shared" si="0"/>
        <v>1436.4</v>
      </c>
      <c r="M61" s="2"/>
      <c r="N61" s="19">
        <f t="shared" si="1"/>
        <v>0</v>
      </c>
      <c r="O61" s="11"/>
      <c r="P61" s="2">
        <f>--13558.18</f>
        <v>13558.18</v>
      </c>
      <c r="Q61" s="2"/>
      <c r="R61" s="19"/>
      <c r="S61" s="2"/>
      <c r="T61" s="2"/>
      <c r="U61" s="2"/>
      <c r="V61" s="19"/>
      <c r="W61" s="2"/>
      <c r="X61" s="2">
        <f t="shared" si="2"/>
        <v>13558.18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"4135", " - ", "NON-TAXABLE SALES")</f>
        <v xml:space="preserve">          4135 - NON-TAXABLE SALES</v>
      </c>
      <c r="C62" s="11"/>
      <c r="D62" s="2">
        <f>--21.54</f>
        <v>21.54</v>
      </c>
      <c r="E62" s="2"/>
      <c r="F62" s="19"/>
      <c r="G62" s="2"/>
      <c r="H62" s="2"/>
      <c r="I62" s="2"/>
      <c r="J62" s="19"/>
      <c r="K62" s="2"/>
      <c r="L62" s="2">
        <f t="shared" si="0"/>
        <v>21.54</v>
      </c>
      <c r="M62" s="2"/>
      <c r="N62" s="19">
        <f t="shared" si="1"/>
        <v>0</v>
      </c>
      <c r="O62" s="11"/>
      <c r="P62" s="2">
        <f>--139.86</f>
        <v>139.86000000000001</v>
      </c>
      <c r="Q62" s="2"/>
      <c r="R62" s="19"/>
      <c r="S62" s="2"/>
      <c r="T62" s="2"/>
      <c r="U62" s="2"/>
      <c r="V62" s="19"/>
      <c r="W62" s="2"/>
      <c r="X62" s="2">
        <f t="shared" si="2"/>
        <v>139.86000000000001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"4137", " - ", "NON-TAXABLE SALES-WATER")</f>
        <v xml:space="preserve">          4137 - NON-TAXABLE SALES-WATER</v>
      </c>
      <c r="C63" s="11"/>
      <c r="D63" s="2">
        <f>--635.89</f>
        <v>635.89</v>
      </c>
      <c r="E63" s="2"/>
      <c r="F63" s="19"/>
      <c r="G63" s="2"/>
      <c r="H63" s="2"/>
      <c r="I63" s="2"/>
      <c r="J63" s="19"/>
      <c r="K63" s="2"/>
      <c r="L63" s="2">
        <f t="shared" si="0"/>
        <v>635.89</v>
      </c>
      <c r="M63" s="2"/>
      <c r="N63" s="19">
        <f t="shared" si="1"/>
        <v>0</v>
      </c>
      <c r="O63" s="11"/>
      <c r="P63" s="2">
        <f>--6548.96</f>
        <v>6548.96</v>
      </c>
      <c r="Q63" s="2"/>
      <c r="R63" s="19"/>
      <c r="S63" s="2"/>
      <c r="T63" s="2"/>
      <c r="U63" s="2"/>
      <c r="V63" s="19"/>
      <c r="W63" s="2"/>
      <c r="X63" s="2">
        <f t="shared" si="2"/>
        <v>6548.96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"4140", " - ", "NON-TAXABLE SALES-LOGO CLOTHIN")</f>
        <v xml:space="preserve">          4140 - NON-TAXABLE SALES-LOGO CLOTHIN</v>
      </c>
      <c r="C64" s="11"/>
      <c r="D64" s="2">
        <f>--3758.83</f>
        <v>3758.83</v>
      </c>
      <c r="E64" s="2"/>
      <c r="F64" s="19"/>
      <c r="G64" s="2"/>
      <c r="H64" s="2"/>
      <c r="I64" s="2"/>
      <c r="J64" s="19"/>
      <c r="K64" s="2"/>
      <c r="L64" s="2">
        <f t="shared" si="0"/>
        <v>3758.83</v>
      </c>
      <c r="M64" s="2"/>
      <c r="N64" s="19">
        <f t="shared" si="1"/>
        <v>0</v>
      </c>
      <c r="O64" s="11"/>
      <c r="P64" s="2">
        <f>--42582.67</f>
        <v>42582.67</v>
      </c>
      <c r="Q64" s="2"/>
      <c r="R64" s="19"/>
      <c r="S64" s="2"/>
      <c r="T64" s="2"/>
      <c r="U64" s="2"/>
      <c r="V64" s="19"/>
      <c r="W64" s="2"/>
      <c r="X64" s="2">
        <f t="shared" si="2"/>
        <v>42582.67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"4141", " - ", "NON-TAXABLE SALES-LOGO GIFTS")</f>
        <v xml:space="preserve">          4141 - NON-TAXABLE SALES-LOGO GIFTS</v>
      </c>
      <c r="C65" s="11"/>
      <c r="D65" s="2">
        <f>--1719.12</f>
        <v>1719.12</v>
      </c>
      <c r="E65" s="2"/>
      <c r="F65" s="19"/>
      <c r="G65" s="2"/>
      <c r="H65" s="2"/>
      <c r="I65" s="2"/>
      <c r="J65" s="19"/>
      <c r="K65" s="2"/>
      <c r="L65" s="2">
        <f t="shared" si="0"/>
        <v>1719.12</v>
      </c>
      <c r="M65" s="2"/>
      <c r="N65" s="19">
        <f t="shared" si="1"/>
        <v>0</v>
      </c>
      <c r="O65" s="11"/>
      <c r="P65" s="2">
        <f>--4249</f>
        <v>4249</v>
      </c>
      <c r="Q65" s="2"/>
      <c r="R65" s="19"/>
      <c r="S65" s="2"/>
      <c r="T65" s="2"/>
      <c r="U65" s="2"/>
      <c r="V65" s="19"/>
      <c r="W65" s="2"/>
      <c r="X65" s="2">
        <f t="shared" si="2"/>
        <v>4249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"4142", " - ", "NON-TAXABLE SALES-EVERYDAY GIF")</f>
        <v xml:space="preserve">          4142 - NON-TAXABLE SALES-EVERYDAY GIF</v>
      </c>
      <c r="C66" s="11"/>
      <c r="D66" s="2">
        <f>--1947.91</f>
        <v>1947.91</v>
      </c>
      <c r="E66" s="2"/>
      <c r="F66" s="19"/>
      <c r="G66" s="2"/>
      <c r="H66" s="2"/>
      <c r="I66" s="2"/>
      <c r="J66" s="19"/>
      <c r="K66" s="2"/>
      <c r="L66" s="2">
        <f t="shared" si="0"/>
        <v>1947.91</v>
      </c>
      <c r="M66" s="2"/>
      <c r="N66" s="19">
        <f t="shared" si="1"/>
        <v>0</v>
      </c>
      <c r="O66" s="11"/>
      <c r="P66" s="2">
        <f>--12435.29</f>
        <v>12435.29</v>
      </c>
      <c r="Q66" s="2"/>
      <c r="R66" s="19"/>
      <c r="S66" s="2"/>
      <c r="T66" s="2"/>
      <c r="U66" s="2"/>
      <c r="V66" s="19"/>
      <c r="W66" s="2"/>
      <c r="X66" s="2">
        <f t="shared" si="2"/>
        <v>12435.29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"4144", " - ", "NON-TAXABLE SALES-ACCESSORIES")</f>
        <v xml:space="preserve">          4144 - NON-TAXABLE SALES-ACCESSORIES</v>
      </c>
      <c r="C67" s="11"/>
      <c r="D67" s="2">
        <f>--374.48</f>
        <v>374.48</v>
      </c>
      <c r="E67" s="2"/>
      <c r="F67" s="19"/>
      <c r="G67" s="2"/>
      <c r="H67" s="2"/>
      <c r="I67" s="2"/>
      <c r="J67" s="19"/>
      <c r="K67" s="2"/>
      <c r="L67" s="2">
        <f t="shared" si="0"/>
        <v>374.48</v>
      </c>
      <c r="M67" s="2"/>
      <c r="N67" s="19">
        <f t="shared" si="1"/>
        <v>0</v>
      </c>
      <c r="O67" s="11"/>
      <c r="P67" s="2">
        <f>--967.33</f>
        <v>967.33</v>
      </c>
      <c r="Q67" s="2"/>
      <c r="R67" s="19"/>
      <c r="S67" s="2"/>
      <c r="T67" s="2"/>
      <c r="U67" s="2"/>
      <c r="V67" s="19"/>
      <c r="W67" s="2"/>
      <c r="X67" s="2">
        <f t="shared" si="2"/>
        <v>967.33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"4145", " - ", "NON-TAXABLE SALES-SPECIAL ORDE")</f>
        <v xml:space="preserve">          4145 - NON-TAXABLE SALES-SPECIAL ORDE</v>
      </c>
      <c r="C68" s="11"/>
      <c r="D68" s="2">
        <f>0</f>
        <v>0</v>
      </c>
      <c r="E68" s="2"/>
      <c r="F68" s="19"/>
      <c r="G68" s="2"/>
      <c r="H68" s="2"/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>--140</f>
        <v>140</v>
      </c>
      <c r="Q68" s="2"/>
      <c r="R68" s="19"/>
      <c r="S68" s="2"/>
      <c r="T68" s="2"/>
      <c r="U68" s="2"/>
      <c r="V68" s="19"/>
      <c r="W68" s="2"/>
      <c r="X68" s="2">
        <f t="shared" si="2"/>
        <v>140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"4146", " - ", "NON-TAXABLE SALES-COIN OP MACH")</f>
        <v xml:space="preserve">          4146 - NON-TAXABLE SALES-COIN OP MACH</v>
      </c>
      <c r="C69" s="11"/>
      <c r="D69" s="2">
        <f>--17086.55</f>
        <v>17086.55</v>
      </c>
      <c r="E69" s="2"/>
      <c r="F69" s="19"/>
      <c r="G69" s="2"/>
      <c r="H69" s="2"/>
      <c r="I69" s="2"/>
      <c r="J69" s="19"/>
      <c r="K69" s="2"/>
      <c r="L69" s="2">
        <f t="shared" si="0"/>
        <v>17086.55</v>
      </c>
      <c r="M69" s="2"/>
      <c r="N69" s="19">
        <f t="shared" si="1"/>
        <v>0</v>
      </c>
      <c r="O69" s="11"/>
      <c r="P69" s="2">
        <f>--163554.5</f>
        <v>163554.5</v>
      </c>
      <c r="Q69" s="2"/>
      <c r="R69" s="19"/>
      <c r="S69" s="2"/>
      <c r="T69" s="2"/>
      <c r="U69" s="2"/>
      <c r="V69" s="19"/>
      <c r="W69" s="2"/>
      <c r="X69" s="2">
        <f t="shared" si="2"/>
        <v>163554.5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"4147", " - ", "NON-TAXABLE SALES-MISC")</f>
        <v xml:space="preserve">          4147 - NON-TAXABLE SALES-MISC</v>
      </c>
      <c r="C70" s="11"/>
      <c r="D70" s="2">
        <f>--11.5</f>
        <v>11.5</v>
      </c>
      <c r="E70" s="2"/>
      <c r="F70" s="19"/>
      <c r="G70" s="2"/>
      <c r="H70" s="2"/>
      <c r="I70" s="2"/>
      <c r="J70" s="19"/>
      <c r="K70" s="2"/>
      <c r="L70" s="2">
        <f t="shared" si="0"/>
        <v>11.5</v>
      </c>
      <c r="M70" s="2"/>
      <c r="N70" s="19">
        <f t="shared" si="1"/>
        <v>0</v>
      </c>
      <c r="O70" s="11"/>
      <c r="P70" s="2">
        <f>--318.9</f>
        <v>318.89999999999998</v>
      </c>
      <c r="Q70" s="2"/>
      <c r="R70" s="19"/>
      <c r="S70" s="2"/>
      <c r="T70" s="2"/>
      <c r="U70" s="2"/>
      <c r="V70" s="19"/>
      <c r="W70" s="2"/>
      <c r="X70" s="2">
        <f t="shared" si="2"/>
        <v>318.89999999999998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"4186", " - ", "NON-TAXABLE SALES-COMPUTER SUP")</f>
        <v xml:space="preserve">          4186 - NON-TAXABLE SALES-COMPUTER SUP</v>
      </c>
      <c r="C71" s="11"/>
      <c r="D71" s="2">
        <f>0</f>
        <v>0</v>
      </c>
      <c r="E71" s="2"/>
      <c r="F71" s="19"/>
      <c r="G71" s="2"/>
      <c r="H71" s="2"/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-30.97</f>
        <v>-30.97</v>
      </c>
      <c r="Q71" s="2"/>
      <c r="R71" s="19"/>
      <c r="S71" s="2"/>
      <c r="T71" s="2"/>
      <c r="U71" s="2"/>
      <c r="V71" s="19"/>
      <c r="W71" s="2"/>
      <c r="X71" s="2">
        <f t="shared" si="2"/>
        <v>-30.97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"4201", " - ", "SALES RETURN TAXABLE-NEW TEXT")</f>
        <v xml:space="preserve">          4201 - SALES RETURN TAXABLE-NEW TEXT</v>
      </c>
      <c r="C72" s="11"/>
      <c r="D72" s="2">
        <f>-37895.48</f>
        <v>-37895.480000000003</v>
      </c>
      <c r="E72" s="2"/>
      <c r="F72" s="19"/>
      <c r="G72" s="2"/>
      <c r="H72" s="2"/>
      <c r="I72" s="2"/>
      <c r="J72" s="19"/>
      <c r="K72" s="2"/>
      <c r="L72" s="2">
        <f t="shared" si="0"/>
        <v>-37895.480000000003</v>
      </c>
      <c r="M72" s="2"/>
      <c r="N72" s="19">
        <f t="shared" si="1"/>
        <v>0</v>
      </c>
      <c r="O72" s="11"/>
      <c r="P72" s="2">
        <f>-116625.85</f>
        <v>-116625.85</v>
      </c>
      <c r="Q72" s="2"/>
      <c r="R72" s="19"/>
      <c r="S72" s="2"/>
      <c r="T72" s="2"/>
      <c r="U72" s="2"/>
      <c r="V72" s="19"/>
      <c r="W72" s="2"/>
      <c r="X72" s="2">
        <f t="shared" si="2"/>
        <v>-116625.85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"4202", " - ", "SALES RETURN TAXABLE-USED TEXT")</f>
        <v xml:space="preserve">          4202 - SALES RETURN TAXABLE-USED TEXT</v>
      </c>
      <c r="C73" s="11"/>
      <c r="D73" s="2">
        <f>-16170.8</f>
        <v>-16170.8</v>
      </c>
      <c r="E73" s="2"/>
      <c r="F73" s="19"/>
      <c r="G73" s="2"/>
      <c r="H73" s="2"/>
      <c r="I73" s="2"/>
      <c r="J73" s="19"/>
      <c r="K73" s="2"/>
      <c r="L73" s="2">
        <f t="shared" si="0"/>
        <v>-16170.8</v>
      </c>
      <c r="M73" s="2"/>
      <c r="N73" s="19">
        <f t="shared" si="1"/>
        <v>0</v>
      </c>
      <c r="O73" s="11"/>
      <c r="P73" s="2">
        <f>-43379.15</f>
        <v>-43379.15</v>
      </c>
      <c r="Q73" s="2"/>
      <c r="R73" s="19"/>
      <c r="S73" s="2"/>
      <c r="T73" s="2"/>
      <c r="U73" s="2"/>
      <c r="V73" s="19"/>
      <c r="W73" s="2"/>
      <c r="X73" s="2">
        <f t="shared" si="2"/>
        <v>-43379.15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"4203", " - ", "SALES RETURN TAXABLE-RENTAL TE")</f>
        <v xml:space="preserve">          4203 - SALES RETURN TAXABLE-RENTAL TE</v>
      </c>
      <c r="C74" s="11"/>
      <c r="D74" s="2">
        <f>0</f>
        <v>0</v>
      </c>
      <c r="E74" s="2"/>
      <c r="F74" s="19"/>
      <c r="G74" s="2"/>
      <c r="H74" s="2"/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1"/>
      <c r="P74" s="2">
        <f>-144.99</f>
        <v>-144.99</v>
      </c>
      <c r="Q74" s="2"/>
      <c r="R74" s="19"/>
      <c r="S74" s="2"/>
      <c r="T74" s="2"/>
      <c r="U74" s="2"/>
      <c r="V74" s="19"/>
      <c r="W74" s="2"/>
      <c r="X74" s="2">
        <f t="shared" si="2"/>
        <v>-144.99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"4204", " - ", "SALES RETURN TAXABLE-DIGITAL T")</f>
        <v xml:space="preserve">          4204 - SALES RETURN TAXABLE-DIGITAL T</v>
      </c>
      <c r="C75" s="11"/>
      <c r="D75" s="2">
        <f>-4891.98</f>
        <v>-4891.9799999999996</v>
      </c>
      <c r="E75" s="2"/>
      <c r="F75" s="19"/>
      <c r="G75" s="2"/>
      <c r="H75" s="2"/>
      <c r="I75" s="2"/>
      <c r="J75" s="19"/>
      <c r="K75" s="2"/>
      <c r="L75" s="2">
        <f t="shared" si="0"/>
        <v>-4891.9799999999996</v>
      </c>
      <c r="M75" s="2"/>
      <c r="N75" s="19">
        <f t="shared" si="1"/>
        <v>0</v>
      </c>
      <c r="O75" s="11"/>
      <c r="P75" s="2">
        <f>-16261.44</f>
        <v>-16261.44</v>
      </c>
      <c r="Q75" s="2"/>
      <c r="R75" s="19"/>
      <c r="S75" s="2"/>
      <c r="T75" s="2"/>
      <c r="U75" s="2"/>
      <c r="V75" s="19"/>
      <c r="W75" s="2"/>
      <c r="X75" s="2">
        <f t="shared" si="2"/>
        <v>-16261.44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"4213", " - ", "NON-TAXABLE SALES-TRADE BOOKS")</f>
        <v xml:space="preserve">          4213 - NON-TAXABLE SALES-TRADE BOOKS</v>
      </c>
      <c r="C76" s="11"/>
      <c r="D76" s="2">
        <f>-13.95</f>
        <v>-13.95</v>
      </c>
      <c r="E76" s="2"/>
      <c r="F76" s="19"/>
      <c r="G76" s="2"/>
      <c r="H76" s="2"/>
      <c r="I76" s="2"/>
      <c r="J76" s="19"/>
      <c r="K76" s="2"/>
      <c r="L76" s="2">
        <f t="shared" si="0"/>
        <v>-13.95</v>
      </c>
      <c r="M76" s="2"/>
      <c r="N76" s="19">
        <f t="shared" si="1"/>
        <v>0</v>
      </c>
      <c r="O76" s="11"/>
      <c r="P76" s="2">
        <f>-116.66</f>
        <v>-116.66</v>
      </c>
      <c r="Q76" s="2"/>
      <c r="R76" s="19"/>
      <c r="S76" s="2"/>
      <c r="T76" s="2"/>
      <c r="U76" s="2"/>
      <c r="V76" s="19"/>
      <c r="W76" s="2"/>
      <c r="X76" s="2">
        <f t="shared" si="2"/>
        <v>-116.66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"4214", " - ", "SALES RETURN TAXABLE-REMAINDER")</f>
        <v xml:space="preserve">          4214 - SALES RETURN TAXABLE-REMAINDER</v>
      </c>
      <c r="C77" s="11"/>
      <c r="D77" s="2">
        <f t="shared" ref="D77:D78" si="5">0</f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-11.94</f>
        <v>-11.94</v>
      </c>
      <c r="Q77" s="2"/>
      <c r="R77" s="19"/>
      <c r="S77" s="2"/>
      <c r="T77" s="2"/>
      <c r="U77" s="2"/>
      <c r="V77" s="19"/>
      <c r="W77" s="2"/>
      <c r="X77" s="2">
        <f t="shared" si="2"/>
        <v>-11.94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"4217", " - ", "NON-TAXABLE SALES-DORM/HOUSEWA")</f>
        <v xml:space="preserve">          4217 - NON-TAXABLE SALES-DORM/HOUSEWA</v>
      </c>
      <c r="C78" s="11"/>
      <c r="D78" s="2">
        <f t="shared" si="5"/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-2.98</f>
        <v>-2.98</v>
      </c>
      <c r="Q78" s="2"/>
      <c r="R78" s="19"/>
      <c r="S78" s="2"/>
      <c r="T78" s="2"/>
      <c r="U78" s="2"/>
      <c r="V78" s="19"/>
      <c r="W78" s="2"/>
      <c r="X78" s="2">
        <f t="shared" si="2"/>
        <v>-2.98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"4218", " - ", "SALES RETURN TAXABLE-STUDY GUI")</f>
        <v xml:space="preserve">          4218 - SALES RETURN TAXABLE-STUDY GUI</v>
      </c>
      <c r="C79" s="11"/>
      <c r="D79" s="2">
        <f>-6.5</f>
        <v>-6.5</v>
      </c>
      <c r="E79" s="2"/>
      <c r="F79" s="19"/>
      <c r="G79" s="2"/>
      <c r="H79" s="2"/>
      <c r="I79" s="2"/>
      <c r="J79" s="19"/>
      <c r="K79" s="2"/>
      <c r="L79" s="2">
        <f t="shared" si="0"/>
        <v>-6.5</v>
      </c>
      <c r="M79" s="2"/>
      <c r="N79" s="19">
        <f t="shared" si="1"/>
        <v>0</v>
      </c>
      <c r="O79" s="11"/>
      <c r="P79" s="2">
        <f>-39.25</f>
        <v>-39.25</v>
      </c>
      <c r="Q79" s="2"/>
      <c r="R79" s="19"/>
      <c r="S79" s="2"/>
      <c r="T79" s="2"/>
      <c r="U79" s="2"/>
      <c r="V79" s="19"/>
      <c r="W79" s="2"/>
      <c r="X79" s="2">
        <f t="shared" si="2"/>
        <v>-39.25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"4225", " - ", "SALES RETURN TAXABLE-TEST FORM")</f>
        <v xml:space="preserve">          4225 - SALES RETURN TAXABLE-TEST FORM</v>
      </c>
      <c r="C80" s="11"/>
      <c r="D80" s="2">
        <f>-14.74</f>
        <v>-14.74</v>
      </c>
      <c r="E80" s="2"/>
      <c r="F80" s="19"/>
      <c r="G80" s="2"/>
      <c r="H80" s="2"/>
      <c r="I80" s="2"/>
      <c r="J80" s="19"/>
      <c r="K80" s="2"/>
      <c r="L80" s="2">
        <f t="shared" si="0"/>
        <v>-14.74</v>
      </c>
      <c r="M80" s="2"/>
      <c r="N80" s="19">
        <f t="shared" si="1"/>
        <v>0</v>
      </c>
      <c r="O80" s="11"/>
      <c r="P80" s="2">
        <f>-95.71</f>
        <v>-95.71</v>
      </c>
      <c r="Q80" s="2"/>
      <c r="R80" s="19"/>
      <c r="S80" s="2"/>
      <c r="T80" s="2"/>
      <c r="U80" s="2"/>
      <c r="V80" s="19"/>
      <c r="W80" s="2"/>
      <c r="X80" s="2">
        <f t="shared" si="2"/>
        <v>-95.71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"4226", " - ", "SALES RETURN TAXABLE-WRITING I")</f>
        <v xml:space="preserve">          4226 - SALES RETURN TAXABLE-WRITING I</v>
      </c>
      <c r="C81" s="11"/>
      <c r="D81" s="2">
        <f>-149.55</f>
        <v>-149.55000000000001</v>
      </c>
      <c r="E81" s="2"/>
      <c r="F81" s="19"/>
      <c r="G81" s="2"/>
      <c r="H81" s="2"/>
      <c r="I81" s="2"/>
      <c r="J81" s="19"/>
      <c r="K81" s="2"/>
      <c r="L81" s="2">
        <f t="shared" si="0"/>
        <v>-149.55000000000001</v>
      </c>
      <c r="M81" s="2"/>
      <c r="N81" s="19">
        <f t="shared" si="1"/>
        <v>0</v>
      </c>
      <c r="O81" s="11"/>
      <c r="P81" s="2">
        <f>-680.91</f>
        <v>-680.91</v>
      </c>
      <c r="Q81" s="2"/>
      <c r="R81" s="19"/>
      <c r="S81" s="2"/>
      <c r="T81" s="2"/>
      <c r="U81" s="2"/>
      <c r="V81" s="19"/>
      <c r="W81" s="2"/>
      <c r="X81" s="2">
        <f t="shared" si="2"/>
        <v>-680.91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"4227", " - ", "SALES RETURN TAXABLE-SCHOOL SU")</f>
        <v xml:space="preserve">          4227 - SALES RETURN TAXABLE-SCHOOL SU</v>
      </c>
      <c r="C82" s="11"/>
      <c r="D82" s="2">
        <f>-962.28</f>
        <v>-962.28</v>
      </c>
      <c r="E82" s="2"/>
      <c r="F82" s="19"/>
      <c r="G82" s="2"/>
      <c r="H82" s="2"/>
      <c r="I82" s="2"/>
      <c r="J82" s="19"/>
      <c r="K82" s="2"/>
      <c r="L82" s="2">
        <f t="shared" si="0"/>
        <v>-962.28</v>
      </c>
      <c r="M82" s="2"/>
      <c r="N82" s="19">
        <f t="shared" si="1"/>
        <v>0</v>
      </c>
      <c r="O82" s="11"/>
      <c r="P82" s="2">
        <f>-6910.86</f>
        <v>-6910.86</v>
      </c>
      <c r="Q82" s="2"/>
      <c r="R82" s="19"/>
      <c r="S82" s="2"/>
      <c r="T82" s="2"/>
      <c r="U82" s="2"/>
      <c r="V82" s="19"/>
      <c r="W82" s="2"/>
      <c r="X82" s="2">
        <f t="shared" si="2"/>
        <v>-6910.86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"4228", " - ", "SALES RETURN TAXABLE-ART/TECH")</f>
        <v xml:space="preserve">          4228 - SALES RETURN TAXABLE-ART/TECH</v>
      </c>
      <c r="C83" s="11"/>
      <c r="D83" s="2">
        <f>-766.07</f>
        <v>-766.07</v>
      </c>
      <c r="E83" s="2"/>
      <c r="F83" s="19"/>
      <c r="G83" s="2"/>
      <c r="H83" s="2"/>
      <c r="I83" s="2"/>
      <c r="J83" s="19"/>
      <c r="K83" s="2"/>
      <c r="L83" s="2">
        <f t="shared" si="0"/>
        <v>-766.07</v>
      </c>
      <c r="M83" s="2"/>
      <c r="N83" s="19">
        <f t="shared" si="1"/>
        <v>0</v>
      </c>
      <c r="O83" s="11"/>
      <c r="P83" s="2">
        <f>-3914.69</f>
        <v>-3914.69</v>
      </c>
      <c r="Q83" s="2"/>
      <c r="R83" s="19"/>
      <c r="S83" s="2"/>
      <c r="T83" s="2"/>
      <c r="U83" s="2"/>
      <c r="V83" s="19"/>
      <c r="W83" s="2"/>
      <c r="X83" s="2">
        <f t="shared" si="2"/>
        <v>-3914.69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"4233", " - ", "SALES RETURN TAXABLE-CANDY")</f>
        <v xml:space="preserve">          4233 - SALES RETURN TAXABLE-CANDY</v>
      </c>
      <c r="C84" s="11"/>
      <c r="D84" s="2">
        <f>0</f>
        <v>0</v>
      </c>
      <c r="E84" s="2"/>
      <c r="F84" s="19"/>
      <c r="G84" s="2"/>
      <c r="H84" s="2"/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-1.29</f>
        <v>-1.29</v>
      </c>
      <c r="Q84" s="2"/>
      <c r="R84" s="19"/>
      <c r="S84" s="2"/>
      <c r="T84" s="2"/>
      <c r="U84" s="2"/>
      <c r="V84" s="19"/>
      <c r="W84" s="2"/>
      <c r="X84" s="2">
        <f t="shared" si="2"/>
        <v>-1.29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"4240", " - ", "SALES RETURN TAXABLE-LOGO CLOT")</f>
        <v xml:space="preserve">          4240 - SALES RETURN TAXABLE-LOGO CLOT</v>
      </c>
      <c r="C85" s="11"/>
      <c r="D85" s="2">
        <f>-12286.81</f>
        <v>-12286.81</v>
      </c>
      <c r="E85" s="2"/>
      <c r="F85" s="19"/>
      <c r="G85" s="2"/>
      <c r="H85" s="2"/>
      <c r="I85" s="2"/>
      <c r="J85" s="19"/>
      <c r="K85" s="2"/>
      <c r="L85" s="2">
        <f t="shared" si="0"/>
        <v>-12286.81</v>
      </c>
      <c r="M85" s="2"/>
      <c r="N85" s="19">
        <f t="shared" si="1"/>
        <v>0</v>
      </c>
      <c r="O85" s="11"/>
      <c r="P85" s="2">
        <f>-61608.75</f>
        <v>-61608.75</v>
      </c>
      <c r="Q85" s="2"/>
      <c r="R85" s="19"/>
      <c r="S85" s="2"/>
      <c r="T85" s="2"/>
      <c r="U85" s="2"/>
      <c r="V85" s="19"/>
      <c r="W85" s="2"/>
      <c r="X85" s="2">
        <f t="shared" si="2"/>
        <v>-61608.75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"4241", " - ", "SALES RETURN TAXABLE-LOGO GIFT")</f>
        <v xml:space="preserve">          4241 - SALES RETURN TAXABLE-LOGO GIFT</v>
      </c>
      <c r="C86" s="11"/>
      <c r="D86" s="2">
        <f>-805.34</f>
        <v>-805.34</v>
      </c>
      <c r="E86" s="2"/>
      <c r="F86" s="19"/>
      <c r="G86" s="2"/>
      <c r="H86" s="2"/>
      <c r="I86" s="2"/>
      <c r="J86" s="19"/>
      <c r="K86" s="2"/>
      <c r="L86" s="2">
        <f t="shared" si="0"/>
        <v>-805.34</v>
      </c>
      <c r="M86" s="2"/>
      <c r="N86" s="19">
        <f t="shared" si="1"/>
        <v>0</v>
      </c>
      <c r="O86" s="11"/>
      <c r="P86" s="2">
        <f>-4954.21</f>
        <v>-4954.21</v>
      </c>
      <c r="Q86" s="2"/>
      <c r="R86" s="19"/>
      <c r="S86" s="2"/>
      <c r="T86" s="2"/>
      <c r="U86" s="2"/>
      <c r="V86" s="19"/>
      <c r="W86" s="2"/>
      <c r="X86" s="2">
        <f t="shared" si="2"/>
        <v>-4954.21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"4242", " - ", "SALES RETURN TAXABLE-EVERYDAY")</f>
        <v xml:space="preserve">          4242 - SALES RETURN TAXABLE-EVERYDAY</v>
      </c>
      <c r="C87" s="11"/>
      <c r="D87" s="2">
        <f>-754.91</f>
        <v>-754.91</v>
      </c>
      <c r="E87" s="2"/>
      <c r="F87" s="19"/>
      <c r="G87" s="2"/>
      <c r="H87" s="2"/>
      <c r="I87" s="2"/>
      <c r="J87" s="19"/>
      <c r="K87" s="2"/>
      <c r="L87" s="2">
        <f t="shared" si="0"/>
        <v>-754.91</v>
      </c>
      <c r="M87" s="2"/>
      <c r="N87" s="19">
        <f t="shared" si="1"/>
        <v>0</v>
      </c>
      <c r="O87" s="11"/>
      <c r="P87" s="2">
        <f>-3544.33</f>
        <v>-3544.33</v>
      </c>
      <c r="Q87" s="2"/>
      <c r="R87" s="19"/>
      <c r="S87" s="2"/>
      <c r="T87" s="2"/>
      <c r="U87" s="2"/>
      <c r="V87" s="19"/>
      <c r="W87" s="2"/>
      <c r="X87" s="2">
        <f t="shared" si="2"/>
        <v>-3544.33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"4243", " - ", "SALES RETURN TAXABLE-CARDS")</f>
        <v xml:space="preserve">          4243 - SALES RETURN TAXABLE-CARDS</v>
      </c>
      <c r="C88" s="11"/>
      <c r="D88" s="2">
        <f>-344.74</f>
        <v>-344.74</v>
      </c>
      <c r="E88" s="2"/>
      <c r="F88" s="19"/>
      <c r="G88" s="2"/>
      <c r="H88" s="2"/>
      <c r="I88" s="2"/>
      <c r="J88" s="19"/>
      <c r="K88" s="2"/>
      <c r="L88" s="2">
        <f t="shared" si="0"/>
        <v>-344.74</v>
      </c>
      <c r="M88" s="2"/>
      <c r="N88" s="19">
        <f t="shared" si="1"/>
        <v>0</v>
      </c>
      <c r="O88" s="11"/>
      <c r="P88" s="2">
        <f>-1224.21</f>
        <v>-1224.21</v>
      </c>
      <c r="Q88" s="2"/>
      <c r="R88" s="19"/>
      <c r="S88" s="2"/>
      <c r="T88" s="2"/>
      <c r="U88" s="2"/>
      <c r="V88" s="19"/>
      <c r="W88" s="2"/>
      <c r="X88" s="2">
        <f t="shared" si="2"/>
        <v>-1224.21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"4244", " - ", "SALES RETURN TAXABLE-ACCESSORI")</f>
        <v xml:space="preserve">          4244 - SALES RETURN TAXABLE-ACCESSORI</v>
      </c>
      <c r="C89" s="11"/>
      <c r="D89" s="2">
        <f>-370.28</f>
        <v>-370.28</v>
      </c>
      <c r="E89" s="2"/>
      <c r="F89" s="19"/>
      <c r="G89" s="2"/>
      <c r="H89" s="2"/>
      <c r="I89" s="2"/>
      <c r="J89" s="19"/>
      <c r="K89" s="2"/>
      <c r="L89" s="2">
        <f t="shared" si="0"/>
        <v>-370.28</v>
      </c>
      <c r="M89" s="2"/>
      <c r="N89" s="19">
        <f t="shared" si="1"/>
        <v>0</v>
      </c>
      <c r="O89" s="11"/>
      <c r="P89" s="2">
        <f>-2102.05</f>
        <v>-2102.0500000000002</v>
      </c>
      <c r="Q89" s="2"/>
      <c r="R89" s="19"/>
      <c r="S89" s="2"/>
      <c r="T89" s="2"/>
      <c r="U89" s="2"/>
      <c r="V89" s="19"/>
      <c r="W89" s="2"/>
      <c r="X89" s="2">
        <f t="shared" si="2"/>
        <v>-2102.0500000000002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"4245", " - ", "SALES RETURN TAXABLE-SPECIAL O")</f>
        <v xml:space="preserve">          4245 - SALES RETURN TAXABLE-SPECIAL O</v>
      </c>
      <c r="C90" s="11"/>
      <c r="D90" s="2">
        <f>-1623.09</f>
        <v>-1623.09</v>
      </c>
      <c r="E90" s="2"/>
      <c r="F90" s="19"/>
      <c r="G90" s="2"/>
      <c r="H90" s="2"/>
      <c r="I90" s="2"/>
      <c r="J90" s="19"/>
      <c r="K90" s="2"/>
      <c r="L90" s="2">
        <f t="shared" si="0"/>
        <v>-1623.09</v>
      </c>
      <c r="M90" s="2"/>
      <c r="N90" s="19">
        <f t="shared" si="1"/>
        <v>0</v>
      </c>
      <c r="O90" s="11"/>
      <c r="P90" s="2">
        <f>-1715.05</f>
        <v>-1715.05</v>
      </c>
      <c r="Q90" s="2"/>
      <c r="R90" s="19"/>
      <c r="S90" s="2"/>
      <c r="T90" s="2"/>
      <c r="U90" s="2"/>
      <c r="V90" s="19"/>
      <c r="W90" s="2"/>
      <c r="X90" s="2">
        <f t="shared" si="2"/>
        <v>-1715.05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"4281", " - ", "SALES RETURN TAXABLE-ELECTRONI")</f>
        <v xml:space="preserve">          4281 - SALES RETURN TAXABLE-ELECTRONI</v>
      </c>
      <c r="C91" s="11"/>
      <c r="D91" s="2">
        <f t="shared" ref="D91:D93" si="6">0</f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-54.97</f>
        <v>-54.97</v>
      </c>
      <c r="Q91" s="2"/>
      <c r="R91" s="19"/>
      <c r="S91" s="2"/>
      <c r="T91" s="2"/>
      <c r="U91" s="2"/>
      <c r="V91" s="19"/>
      <c r="W91" s="2"/>
      <c r="X91" s="2">
        <f t="shared" si="2"/>
        <v>-54.97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"4292", " - ", "SALES RETURN TAXABLE-GRAD MERC")</f>
        <v xml:space="preserve">          4292 - SALES RETURN TAXABLE-GRAD MERC</v>
      </c>
      <c r="C92" s="11"/>
      <c r="D92" s="2">
        <f t="shared" si="6"/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-419.05</f>
        <v>-419.05</v>
      </c>
      <c r="Q92" s="2"/>
      <c r="R92" s="19"/>
      <c r="S92" s="2"/>
      <c r="T92" s="2"/>
      <c r="U92" s="2"/>
      <c r="V92" s="19"/>
      <c r="W92" s="2"/>
      <c r="X92" s="2">
        <f t="shared" si="2"/>
        <v>-419.05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"4295", " - ", "SALES RETURN TAXABLE-CUSTOMER")</f>
        <v xml:space="preserve">          4295 - SALES RETURN TAXABLE-CUSTOMER</v>
      </c>
      <c r="C93" s="11"/>
      <c r="D93" s="2">
        <f t="shared" si="6"/>
        <v>0</v>
      </c>
      <c r="E93" s="2"/>
      <c r="F93" s="19"/>
      <c r="G93" s="2"/>
      <c r="H93" s="2"/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--0.99</f>
        <v>0.99</v>
      </c>
      <c r="Q93" s="2"/>
      <c r="R93" s="19"/>
      <c r="S93" s="2"/>
      <c r="T93" s="2"/>
      <c r="U93" s="2"/>
      <c r="V93" s="19"/>
      <c r="W93" s="2"/>
      <c r="X93" s="2">
        <f t="shared" si="2"/>
        <v>0.99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"4301", " - ", "SALES RETURN NON TAXABLE-NEW T")</f>
        <v xml:space="preserve">          4301 - SALES RETURN NON TAXABLE-NEW T</v>
      </c>
      <c r="C94" s="11"/>
      <c r="D94" s="2">
        <f>-2910.64</f>
        <v>-2910.64</v>
      </c>
      <c r="E94" s="2"/>
      <c r="F94" s="19"/>
      <c r="G94" s="2"/>
      <c r="H94" s="2"/>
      <c r="I94" s="2"/>
      <c r="J94" s="19"/>
      <c r="K94" s="2"/>
      <c r="L94" s="2">
        <f t="shared" si="0"/>
        <v>-2910.64</v>
      </c>
      <c r="M94" s="2"/>
      <c r="N94" s="19">
        <f t="shared" si="1"/>
        <v>0</v>
      </c>
      <c r="O94" s="11"/>
      <c r="P94" s="2">
        <f>-15221.62</f>
        <v>-15221.62</v>
      </c>
      <c r="Q94" s="2"/>
      <c r="R94" s="19"/>
      <c r="S94" s="2"/>
      <c r="T94" s="2"/>
      <c r="U94" s="2"/>
      <c r="V94" s="19"/>
      <c r="W94" s="2"/>
      <c r="X94" s="2">
        <f t="shared" si="2"/>
        <v>-15221.62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"4302", " - ", "SALES RETURN NON TAXABLE-TEXT")</f>
        <v xml:space="preserve">          4302 - SALES RETURN NON TAXABLE-TEXT</v>
      </c>
      <c r="C95" s="11"/>
      <c r="D95" s="2">
        <f>-614.47</f>
        <v>-614.47</v>
      </c>
      <c r="E95" s="2"/>
      <c r="F95" s="19"/>
      <c r="G95" s="2"/>
      <c r="H95" s="2"/>
      <c r="I95" s="2"/>
      <c r="J95" s="19"/>
      <c r="K95" s="2"/>
      <c r="L95" s="2">
        <f t="shared" si="0"/>
        <v>-614.47</v>
      </c>
      <c r="M95" s="2"/>
      <c r="N95" s="19">
        <f t="shared" si="1"/>
        <v>0</v>
      </c>
      <c r="O95" s="11"/>
      <c r="P95" s="2">
        <f>-1312.37</f>
        <v>-1312.37</v>
      </c>
      <c r="Q95" s="2"/>
      <c r="R95" s="19"/>
      <c r="S95" s="2"/>
      <c r="T95" s="2"/>
      <c r="U95" s="2"/>
      <c r="V95" s="19"/>
      <c r="W95" s="2"/>
      <c r="X95" s="2">
        <f t="shared" si="2"/>
        <v>-1312.37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"4303", " - ", "SALES RETURN NON-TAXABLE-RENTA")</f>
        <v xml:space="preserve">          4303 - SALES RETURN NON-TAXABLE-RENTA</v>
      </c>
      <c r="C96" s="11"/>
      <c r="D96" s="2">
        <f>0</f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-184.99</f>
        <v>-184.99</v>
      </c>
      <c r="Q96" s="2"/>
      <c r="R96" s="19"/>
      <c r="S96" s="2"/>
      <c r="T96" s="2"/>
      <c r="U96" s="2"/>
      <c r="V96" s="19"/>
      <c r="W96" s="2"/>
      <c r="X96" s="2">
        <f t="shared" si="2"/>
        <v>-184.99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"4304", " - ", "SALES RETURN NON TAXABLE-DIGIT")</f>
        <v xml:space="preserve">          4304 - SALES RETURN NON TAXABLE-DIGIT</v>
      </c>
      <c r="C97" s="11"/>
      <c r="D97" s="2">
        <f>-4312.43</f>
        <v>-4312.43</v>
      </c>
      <c r="E97" s="2"/>
      <c r="F97" s="19"/>
      <c r="G97" s="2"/>
      <c r="H97" s="2"/>
      <c r="I97" s="2"/>
      <c r="J97" s="19"/>
      <c r="K97" s="2"/>
      <c r="L97" s="2">
        <f t="shared" si="0"/>
        <v>-4312.43</v>
      </c>
      <c r="M97" s="2"/>
      <c r="N97" s="19">
        <f t="shared" si="1"/>
        <v>0</v>
      </c>
      <c r="O97" s="11"/>
      <c r="P97" s="2">
        <f>-17742.75</f>
        <v>-17742.75</v>
      </c>
      <c r="Q97" s="2"/>
      <c r="R97" s="19"/>
      <c r="S97" s="2"/>
      <c r="T97" s="2"/>
      <c r="U97" s="2"/>
      <c r="V97" s="19"/>
      <c r="W97" s="2"/>
      <c r="X97" s="2">
        <f t="shared" si="2"/>
        <v>-17742.75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"4311", " - ", "SALES RETURN NON TAXABLE-NO VA")</f>
        <v xml:space="preserve">          4311 - SALES RETURN NON TAXABLE-NO VA</v>
      </c>
      <c r="C98" s="11"/>
      <c r="D98" s="2">
        <f>-237.35</f>
        <v>-237.35</v>
      </c>
      <c r="E98" s="2"/>
      <c r="F98" s="19"/>
      <c r="G98" s="2"/>
      <c r="H98" s="2"/>
      <c r="I98" s="2"/>
      <c r="J98" s="19"/>
      <c r="K98" s="2"/>
      <c r="L98" s="2">
        <f t="shared" si="0"/>
        <v>-237.35</v>
      </c>
      <c r="M98" s="2"/>
      <c r="N98" s="19">
        <f t="shared" si="1"/>
        <v>0</v>
      </c>
      <c r="O98" s="11"/>
      <c r="P98" s="2">
        <f>-625.31</f>
        <v>-625.30999999999995</v>
      </c>
      <c r="Q98" s="2"/>
      <c r="R98" s="19"/>
      <c r="S98" s="2"/>
      <c r="T98" s="2"/>
      <c r="U98" s="2"/>
      <c r="V98" s="19"/>
      <c r="W98" s="2"/>
      <c r="X98" s="2">
        <f t="shared" si="2"/>
        <v>-625.30999999999995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"4327", " - ", "SALES RETURN NON TAXABLE-SCHOO")</f>
        <v xml:space="preserve">          4327 - SALES RETURN NON TAXABLE-SCHOO</v>
      </c>
      <c r="C99" s="11"/>
      <c r="D99" s="2">
        <f>0</f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-21.87</f>
        <v>-21.87</v>
      </c>
      <c r="Q99" s="2"/>
      <c r="R99" s="19"/>
      <c r="S99" s="2"/>
      <c r="T99" s="2"/>
      <c r="U99" s="2"/>
      <c r="V99" s="19"/>
      <c r="W99" s="2"/>
      <c r="X99" s="2">
        <f t="shared" si="2"/>
        <v>-21.87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"4340", " - ", "SALES RETURN NON TAXABLE-LOGO")</f>
        <v xml:space="preserve">          4340 - SALES RETURN NON TAXABLE-LOGO</v>
      </c>
      <c r="C100" s="11"/>
      <c r="D100" s="2">
        <f>-216.75</f>
        <v>-216.75</v>
      </c>
      <c r="E100" s="2"/>
      <c r="F100" s="19"/>
      <c r="G100" s="2"/>
      <c r="H100" s="2"/>
      <c r="I100" s="2"/>
      <c r="J100" s="19"/>
      <c r="K100" s="2"/>
      <c r="L100" s="2">
        <f t="shared" si="0"/>
        <v>-216.75</v>
      </c>
      <c r="M100" s="2"/>
      <c r="N100" s="19">
        <f t="shared" si="1"/>
        <v>0</v>
      </c>
      <c r="O100" s="11"/>
      <c r="P100" s="2">
        <f>-931.65</f>
        <v>-931.65</v>
      </c>
      <c r="Q100" s="2"/>
      <c r="R100" s="19"/>
      <c r="S100" s="2"/>
      <c r="T100" s="2"/>
      <c r="U100" s="2"/>
      <c r="V100" s="19"/>
      <c r="W100" s="2"/>
      <c r="X100" s="2">
        <f t="shared" si="2"/>
        <v>-931.65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"4341", " - ", "SALES RETURN NON TAXABLE-LOGO")</f>
        <v xml:space="preserve">          4341 - SALES RETURN NON TAXABLE-LOGO</v>
      </c>
      <c r="C101" s="11"/>
      <c r="D101" s="2">
        <f>-9.95</f>
        <v>-9.9499999999999993</v>
      </c>
      <c r="E101" s="2"/>
      <c r="F101" s="19"/>
      <c r="G101" s="2"/>
      <c r="H101" s="2"/>
      <c r="I101" s="2"/>
      <c r="J101" s="19"/>
      <c r="K101" s="2"/>
      <c r="L101" s="2">
        <f t="shared" si="0"/>
        <v>-9.9499999999999993</v>
      </c>
      <c r="M101" s="2"/>
      <c r="N101" s="19">
        <f t="shared" si="1"/>
        <v>0</v>
      </c>
      <c r="O101" s="11"/>
      <c r="P101" s="2">
        <f>-30.8</f>
        <v>-30.8</v>
      </c>
      <c r="Q101" s="2"/>
      <c r="R101" s="19"/>
      <c r="S101" s="2"/>
      <c r="T101" s="2"/>
      <c r="U101" s="2"/>
      <c r="V101" s="19"/>
      <c r="W101" s="2"/>
      <c r="X101" s="2">
        <f t="shared" si="2"/>
        <v>-30.8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"4342", " - ", "SALES RETURN NON TAXABLE-EVERY")</f>
        <v xml:space="preserve">          4342 - SALES RETURN NON TAXABLE-EVERY</v>
      </c>
      <c r="C102" s="11"/>
      <c r="D102" s="2">
        <f>-39.42</f>
        <v>-39.42</v>
      </c>
      <c r="E102" s="2"/>
      <c r="F102" s="19"/>
      <c r="G102" s="2"/>
      <c r="H102" s="2"/>
      <c r="I102" s="2"/>
      <c r="J102" s="19"/>
      <c r="K102" s="2"/>
      <c r="L102" s="2">
        <f t="shared" si="0"/>
        <v>-39.42</v>
      </c>
      <c r="M102" s="2"/>
      <c r="N102" s="19">
        <f t="shared" si="1"/>
        <v>0</v>
      </c>
      <c r="O102" s="11"/>
      <c r="P102" s="2">
        <f>-149.22</f>
        <v>-149.22</v>
      </c>
      <c r="Q102" s="2"/>
      <c r="R102" s="19"/>
      <c r="S102" s="2"/>
      <c r="T102" s="2"/>
      <c r="U102" s="2"/>
      <c r="V102" s="19"/>
      <c r="W102" s="2"/>
      <c r="X102" s="2">
        <f t="shared" si="2"/>
        <v>-149.22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"4346", " - ", "SALES RETURN NON TAXABLE-COIN-")</f>
        <v xml:space="preserve">          4346 - SALES RETURN NON TAXABLE-COIN-</v>
      </c>
      <c r="C103" s="11"/>
      <c r="D103" s="2">
        <f>0</f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-8.15</f>
        <v>-8.15</v>
      </c>
      <c r="Q103" s="2"/>
      <c r="R103" s="19"/>
      <c r="S103" s="2"/>
      <c r="T103" s="2"/>
      <c r="U103" s="2"/>
      <c r="V103" s="19"/>
      <c r="W103" s="2"/>
      <c r="X103" s="2">
        <f t="shared" si="2"/>
        <v>-8.15</v>
      </c>
      <c r="Y103" s="2"/>
      <c r="Z103" s="19">
        <f t="shared" si="3"/>
        <v>0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collapsed="1" x14ac:dyDescent="0.25">
      <c r="A105" s="10"/>
      <c r="B105" s="28" t="s">
        <v>8</v>
      </c>
      <c r="C105" s="10"/>
      <c r="D105" s="4">
        <f>SUM(OSRRefD16x_0)</f>
        <v>1189522.4299999995</v>
      </c>
      <c r="E105" s="4"/>
      <c r="F105" s="12">
        <f t="shared" ref="F105:F156" si="7">IF(D$12=0,0,D105/D$12)</f>
        <v>0.54730184518958092</v>
      </c>
      <c r="G105" s="4"/>
      <c r="H105" s="4">
        <f>SUM(OSRRefH16x_0)</f>
        <v>1588012.57559</v>
      </c>
      <c r="I105" s="4"/>
      <c r="J105" s="12">
        <f t="shared" ref="J105:J156" si="8">IF(H$12=0,0,H105/H$12)</f>
        <v>0.65398178780270622</v>
      </c>
      <c r="K105" s="4"/>
      <c r="L105" s="4">
        <f t="shared" ref="L105:L156" si="9">+D105-H105</f>
        <v>-398490.14559000055</v>
      </c>
      <c r="M105" s="4"/>
      <c r="N105" s="12">
        <f t="shared" ref="N105:N156" si="10">IF(H105=0,0,L105/H105)</f>
        <v>-0.25093639163527914</v>
      </c>
      <c r="O105" s="10"/>
      <c r="P105" s="4">
        <f>SUM(OSRRefP16x_0)</f>
        <v>4409949.3900000025</v>
      </c>
      <c r="Q105" s="4"/>
      <c r="R105" s="12">
        <f t="shared" ref="R105:R156" si="11">IF(P$12=0,0,P105/P$12)</f>
        <v>0.57356878924029464</v>
      </c>
      <c r="S105" s="4"/>
      <c r="T105" s="4">
        <f>SUM(OSRRefT16x_0)</f>
        <v>4934199.3834500005</v>
      </c>
      <c r="U105" s="4"/>
      <c r="V105" s="12">
        <f t="shared" ref="V105:V156" si="12">IF(T$12=0,0,T105/T$12)</f>
        <v>0.5968581128224103</v>
      </c>
      <c r="W105" s="4"/>
      <c r="X105" s="4">
        <f t="shared" ref="X105:X156" si="13">+P105-T105</f>
        <v>-524249.99344999809</v>
      </c>
      <c r="Y105" s="4"/>
      <c r="Z105" s="12">
        <f t="shared" ref="Z105:Z156" si="14">IF(T105=0,0,X105/T105)</f>
        <v>-0.10624823861159854</v>
      </c>
    </row>
    <row r="106" spans="1:26" s="24" customFormat="1" hidden="1" outlineLevel="1" x14ac:dyDescent="0.25">
      <c r="A106" s="44"/>
      <c r="B106" s="11" t="str">
        <f>CONCATENATE("          ", "5000", " - ", "PURCHASES @ COST")</f>
        <v xml:space="preserve">          5000 - PURCHASES @ COST</v>
      </c>
      <c r="C106" s="11"/>
      <c r="D106" s="2"/>
      <c r="E106" s="2"/>
      <c r="F106" s="19">
        <f t="shared" si="7"/>
        <v>0</v>
      </c>
      <c r="G106" s="2"/>
      <c r="H106" s="2">
        <v>1588012.57559</v>
      </c>
      <c r="I106" s="2"/>
      <c r="J106" s="19">
        <f t="shared" si="8"/>
        <v>0.65398178780270622</v>
      </c>
      <c r="K106" s="2"/>
      <c r="L106" s="2">
        <f t="shared" si="9"/>
        <v>-1588012.57559</v>
      </c>
      <c r="M106" s="2"/>
      <c r="N106" s="19">
        <f t="shared" si="10"/>
        <v>-1</v>
      </c>
      <c r="O106" s="11"/>
      <c r="P106" s="2"/>
      <c r="Q106" s="2"/>
      <c r="R106" s="19">
        <f t="shared" si="11"/>
        <v>0</v>
      </c>
      <c r="S106" s="2"/>
      <c r="T106" s="2">
        <v>4934199.3834500005</v>
      </c>
      <c r="U106" s="2"/>
      <c r="V106" s="19">
        <f t="shared" si="12"/>
        <v>0.5968581128224103</v>
      </c>
      <c r="W106" s="2"/>
      <c r="X106" s="2">
        <f t="shared" si="13"/>
        <v>-4934199.3834500005</v>
      </c>
      <c r="Y106" s="2"/>
      <c r="Z106" s="19">
        <f t="shared" si="14"/>
        <v>-1</v>
      </c>
    </row>
    <row r="107" spans="1:26" s="24" customFormat="1" hidden="1" outlineLevel="1" x14ac:dyDescent="0.25">
      <c r="A107" s="44"/>
      <c r="B107" s="11" t="str">
        <f>CONCATENATE("          ", "5001", " - ", "PURCHASES @ COST-NEW TEXT")</f>
        <v xml:space="preserve">          5001 - PURCHASES @ COST-NEW TEXT</v>
      </c>
      <c r="C107" s="11"/>
      <c r="D107" s="2">
        <v>890224.90999999992</v>
      </c>
      <c r="E107" s="2"/>
      <c r="F107" s="19">
        <f t="shared" si="7"/>
        <v>0.40959440830109334</v>
      </c>
      <c r="G107" s="2"/>
      <c r="H107" s="2"/>
      <c r="I107" s="2"/>
      <c r="J107" s="19">
        <f t="shared" si="8"/>
        <v>0</v>
      </c>
      <c r="K107" s="2"/>
      <c r="L107" s="2">
        <f t="shared" si="9"/>
        <v>890224.90999999992</v>
      </c>
      <c r="M107" s="2"/>
      <c r="N107" s="19">
        <f t="shared" si="10"/>
        <v>0</v>
      </c>
      <c r="O107" s="11"/>
      <c r="P107" s="2">
        <v>2627294.66</v>
      </c>
      <c r="Q107" s="2"/>
      <c r="R107" s="19">
        <f t="shared" si="11"/>
        <v>0.34171236081094591</v>
      </c>
      <c r="S107" s="2"/>
      <c r="T107" s="2"/>
      <c r="U107" s="2"/>
      <c r="V107" s="19">
        <f t="shared" si="12"/>
        <v>0</v>
      </c>
      <c r="W107" s="2"/>
      <c r="X107" s="2">
        <f t="shared" si="13"/>
        <v>2627294.66</v>
      </c>
      <c r="Y107" s="2"/>
      <c r="Z107" s="19">
        <f t="shared" si="14"/>
        <v>0</v>
      </c>
    </row>
    <row r="108" spans="1:26" s="24" customFormat="1" hidden="1" outlineLevel="1" x14ac:dyDescent="0.25">
      <c r="A108" s="44"/>
      <c r="B108" s="11" t="str">
        <f>CONCATENATE("          ", "5002", " - ", "PURCHASES @ COST-USED TEXT")</f>
        <v xml:space="preserve">          5002 - PURCHASES @ COST-USED TEXT</v>
      </c>
      <c r="C108" s="11"/>
      <c r="D108" s="2">
        <v>260084.68000000002</v>
      </c>
      <c r="E108" s="2"/>
      <c r="F108" s="19">
        <f t="shared" si="7"/>
        <v>0.11966552431427607</v>
      </c>
      <c r="G108" s="2"/>
      <c r="H108" s="2"/>
      <c r="I108" s="2"/>
      <c r="J108" s="19">
        <f t="shared" si="8"/>
        <v>0</v>
      </c>
      <c r="K108" s="2"/>
      <c r="L108" s="2">
        <f t="shared" si="9"/>
        <v>260084.68000000002</v>
      </c>
      <c r="M108" s="2"/>
      <c r="N108" s="19">
        <f t="shared" si="10"/>
        <v>0</v>
      </c>
      <c r="O108" s="11"/>
      <c r="P108" s="2">
        <v>512607.53</v>
      </c>
      <c r="Q108" s="2"/>
      <c r="R108" s="19">
        <f t="shared" si="11"/>
        <v>6.6670987427716918E-2</v>
      </c>
      <c r="S108" s="2"/>
      <c r="T108" s="2"/>
      <c r="U108" s="2"/>
      <c r="V108" s="19">
        <f t="shared" si="12"/>
        <v>0</v>
      </c>
      <c r="W108" s="2"/>
      <c r="X108" s="2">
        <f t="shared" si="13"/>
        <v>512607.53</v>
      </c>
      <c r="Y108" s="2"/>
      <c r="Z108" s="19">
        <f t="shared" si="14"/>
        <v>0</v>
      </c>
    </row>
    <row r="109" spans="1:26" s="24" customFormat="1" hidden="1" outlineLevel="1" x14ac:dyDescent="0.25">
      <c r="A109" s="44"/>
      <c r="B109" s="11" t="str">
        <f>CONCATENATE("          ", "5003", " - ", "PURCHASES @ COST-RENTAL TEXT")</f>
        <v xml:space="preserve">          5003 - PURCHASES @ COST-RENTAL TEXT</v>
      </c>
      <c r="C109" s="11"/>
      <c r="D109" s="2"/>
      <c r="E109" s="2"/>
      <c r="F109" s="19">
        <f t="shared" si="7"/>
        <v>0</v>
      </c>
      <c r="G109" s="2"/>
      <c r="H109" s="2"/>
      <c r="I109" s="2"/>
      <c r="J109" s="19">
        <f t="shared" si="8"/>
        <v>0</v>
      </c>
      <c r="K109" s="2"/>
      <c r="L109" s="2">
        <f t="shared" si="9"/>
        <v>0</v>
      </c>
      <c r="M109" s="2"/>
      <c r="N109" s="19">
        <f t="shared" si="10"/>
        <v>0</v>
      </c>
      <c r="O109" s="11"/>
      <c r="P109" s="2">
        <v>-78.400000000000006</v>
      </c>
      <c r="Q109" s="2"/>
      <c r="R109" s="19">
        <f t="shared" si="11"/>
        <v>-1.0196895496897999E-5</v>
      </c>
      <c r="S109" s="2"/>
      <c r="T109" s="2"/>
      <c r="U109" s="2"/>
      <c r="V109" s="19">
        <f t="shared" si="12"/>
        <v>0</v>
      </c>
      <c r="W109" s="2"/>
      <c r="X109" s="2">
        <f t="shared" si="13"/>
        <v>-78.400000000000006</v>
      </c>
      <c r="Y109" s="2"/>
      <c r="Z109" s="19">
        <f t="shared" si="14"/>
        <v>0</v>
      </c>
    </row>
    <row r="110" spans="1:26" s="24" customFormat="1" hidden="1" outlineLevel="1" x14ac:dyDescent="0.25">
      <c r="A110" s="44"/>
      <c r="B110" s="11" t="str">
        <f>CONCATENATE("          ", "5004", " - ", "PURCHASES @ COST-DIGITAL TEXT")</f>
        <v xml:space="preserve">          5004 - PURCHASES @ COST-DIGITAL TEXT</v>
      </c>
      <c r="C110" s="11"/>
      <c r="D110" s="2">
        <v>119541.49999999999</v>
      </c>
      <c r="E110" s="2"/>
      <c r="F110" s="19">
        <f t="shared" si="7"/>
        <v>5.5001302940315557E-2</v>
      </c>
      <c r="G110" s="2"/>
      <c r="H110" s="2"/>
      <c r="I110" s="2"/>
      <c r="J110" s="19">
        <f t="shared" si="8"/>
        <v>0</v>
      </c>
      <c r="K110" s="2"/>
      <c r="L110" s="2">
        <f t="shared" si="9"/>
        <v>119541.49999999999</v>
      </c>
      <c r="M110" s="2"/>
      <c r="N110" s="19">
        <f t="shared" si="10"/>
        <v>0</v>
      </c>
      <c r="O110" s="11"/>
      <c r="P110" s="2">
        <v>473893.77</v>
      </c>
      <c r="Q110" s="2"/>
      <c r="R110" s="19">
        <f t="shared" si="11"/>
        <v>6.1635781241339498E-2</v>
      </c>
      <c r="S110" s="2"/>
      <c r="T110" s="2"/>
      <c r="U110" s="2"/>
      <c r="V110" s="19">
        <f t="shared" si="12"/>
        <v>0</v>
      </c>
      <c r="W110" s="2"/>
      <c r="X110" s="2">
        <f t="shared" si="13"/>
        <v>473893.77</v>
      </c>
      <c r="Y110" s="2"/>
      <c r="Z110" s="19">
        <f t="shared" si="14"/>
        <v>0</v>
      </c>
    </row>
    <row r="111" spans="1:26" s="24" customFormat="1" hidden="1" outlineLevel="1" x14ac:dyDescent="0.25">
      <c r="A111" s="44"/>
      <c r="B111" s="11" t="str">
        <f>CONCATENATE("          ", "5011", " - ", "PURCHASES @ COST-NO VALUE TEXT")</f>
        <v xml:space="preserve">          5011 - PURCHASES @ COST-NO VALUE TEXT</v>
      </c>
      <c r="C111" s="11"/>
      <c r="D111" s="2">
        <v>573</v>
      </c>
      <c r="E111" s="2"/>
      <c r="F111" s="19">
        <f t="shared" si="7"/>
        <v>2.6363854046336055E-4</v>
      </c>
      <c r="G111" s="2"/>
      <c r="H111" s="2"/>
      <c r="I111" s="2"/>
      <c r="J111" s="19">
        <f t="shared" si="8"/>
        <v>0</v>
      </c>
      <c r="K111" s="2"/>
      <c r="L111" s="2">
        <f t="shared" si="9"/>
        <v>573</v>
      </c>
      <c r="M111" s="2"/>
      <c r="N111" s="19">
        <f t="shared" si="10"/>
        <v>0</v>
      </c>
      <c r="O111" s="11"/>
      <c r="P111" s="2">
        <v>5475</v>
      </c>
      <c r="Q111" s="2"/>
      <c r="R111" s="19">
        <f t="shared" si="11"/>
        <v>7.1209187302954783E-4</v>
      </c>
      <c r="S111" s="2"/>
      <c r="T111" s="2"/>
      <c r="U111" s="2"/>
      <c r="V111" s="19">
        <f t="shared" si="12"/>
        <v>0</v>
      </c>
      <c r="W111" s="2"/>
      <c r="X111" s="2">
        <f t="shared" si="13"/>
        <v>5475</v>
      </c>
      <c r="Y111" s="2"/>
      <c r="Z111" s="19">
        <f t="shared" si="14"/>
        <v>0</v>
      </c>
    </row>
    <row r="112" spans="1:26" s="24" customFormat="1" hidden="1" outlineLevel="1" x14ac:dyDescent="0.25">
      <c r="A112" s="44"/>
      <c r="B112" s="11" t="str">
        <f>CONCATENATE("          ", "5013", " - ", "PURCHASES @ COST-TRADE BOOKS")</f>
        <v xml:space="preserve">          5013 - PURCHASES @ COST-TRADE BOOKS</v>
      </c>
      <c r="C112" s="11"/>
      <c r="D112" s="2">
        <v>-276.85000000000002</v>
      </c>
      <c r="E112" s="2"/>
      <c r="F112" s="19">
        <f t="shared" si="7"/>
        <v>-1.2737928434080519E-4</v>
      </c>
      <c r="G112" s="2"/>
      <c r="H112" s="2"/>
      <c r="I112" s="2"/>
      <c r="J112" s="19">
        <f t="shared" si="8"/>
        <v>0</v>
      </c>
      <c r="K112" s="2"/>
      <c r="L112" s="2">
        <f t="shared" si="9"/>
        <v>-276.85000000000002</v>
      </c>
      <c r="M112" s="2"/>
      <c r="N112" s="19">
        <f t="shared" si="10"/>
        <v>0</v>
      </c>
      <c r="O112" s="11"/>
      <c r="P112" s="2">
        <v>458.46</v>
      </c>
      <c r="Q112" s="2"/>
      <c r="R112" s="19">
        <f t="shared" si="11"/>
        <v>5.9628427417192045E-5</v>
      </c>
      <c r="S112" s="2"/>
      <c r="T112" s="2"/>
      <c r="U112" s="2"/>
      <c r="V112" s="19">
        <f t="shared" si="12"/>
        <v>0</v>
      </c>
      <c r="W112" s="2"/>
      <c r="X112" s="2">
        <f t="shared" si="13"/>
        <v>458.46</v>
      </c>
      <c r="Y112" s="2"/>
      <c r="Z112" s="19">
        <f t="shared" si="14"/>
        <v>0</v>
      </c>
    </row>
    <row r="113" spans="1:26" s="24" customFormat="1" hidden="1" outlineLevel="1" x14ac:dyDescent="0.25">
      <c r="A113" s="44"/>
      <c r="B113" s="11" t="str">
        <f>CONCATENATE("          ", "5014", " - ", "PURCHASES @ COST-REMAINDERS")</f>
        <v xml:space="preserve">          5014 - PURCHASES @ COST-REMAINDERS</v>
      </c>
      <c r="C113" s="11"/>
      <c r="D113" s="2">
        <v>69.599999999999994</v>
      </c>
      <c r="E113" s="2"/>
      <c r="F113" s="19">
        <f t="shared" si="7"/>
        <v>3.2023110674083587E-5</v>
      </c>
      <c r="G113" s="2"/>
      <c r="H113" s="2"/>
      <c r="I113" s="2"/>
      <c r="J113" s="19">
        <f t="shared" si="8"/>
        <v>0</v>
      </c>
      <c r="K113" s="2"/>
      <c r="L113" s="2">
        <f t="shared" si="9"/>
        <v>69.599999999999994</v>
      </c>
      <c r="M113" s="2"/>
      <c r="N113" s="19">
        <f t="shared" si="10"/>
        <v>0</v>
      </c>
      <c r="O113" s="11"/>
      <c r="P113" s="2">
        <v>583.39</v>
      </c>
      <c r="Q113" s="2"/>
      <c r="R113" s="19">
        <f t="shared" si="11"/>
        <v>7.587712836652198E-5</v>
      </c>
      <c r="S113" s="2"/>
      <c r="T113" s="2"/>
      <c r="U113" s="2"/>
      <c r="V113" s="19">
        <f t="shared" si="12"/>
        <v>0</v>
      </c>
      <c r="W113" s="2"/>
      <c r="X113" s="2">
        <f t="shared" si="13"/>
        <v>583.39</v>
      </c>
      <c r="Y113" s="2"/>
      <c r="Z113" s="19">
        <f t="shared" si="14"/>
        <v>0</v>
      </c>
    </row>
    <row r="114" spans="1:26" s="24" customFormat="1" hidden="1" outlineLevel="1" x14ac:dyDescent="0.25">
      <c r="A114" s="44"/>
      <c r="B114" s="11" t="str">
        <f>CONCATENATE("          ", "5017", " - ", "PURCHASES @ COST-DORM/HOUSEWAR")</f>
        <v xml:space="preserve">          5017 - PURCHASES @ COST-DORM/HOUSEWAR</v>
      </c>
      <c r="C114" s="11"/>
      <c r="D114" s="2"/>
      <c r="E114" s="2"/>
      <c r="F114" s="19">
        <f t="shared" si="7"/>
        <v>0</v>
      </c>
      <c r="G114" s="2"/>
      <c r="H114" s="2"/>
      <c r="I114" s="2"/>
      <c r="J114" s="19">
        <f t="shared" si="8"/>
        <v>0</v>
      </c>
      <c r="K114" s="2"/>
      <c r="L114" s="2">
        <f t="shared" si="9"/>
        <v>0</v>
      </c>
      <c r="M114" s="2"/>
      <c r="N114" s="19">
        <f t="shared" si="10"/>
        <v>0</v>
      </c>
      <c r="O114" s="11"/>
      <c r="P114" s="2">
        <v>0</v>
      </c>
      <c r="Q114" s="2"/>
      <c r="R114" s="19">
        <f t="shared" si="11"/>
        <v>0</v>
      </c>
      <c r="S114" s="2"/>
      <c r="T114" s="2"/>
      <c r="U114" s="2"/>
      <c r="V114" s="19">
        <f t="shared" si="12"/>
        <v>0</v>
      </c>
      <c r="W114" s="2"/>
      <c r="X114" s="2">
        <f t="shared" si="13"/>
        <v>0</v>
      </c>
      <c r="Y114" s="2"/>
      <c r="Z114" s="19">
        <f t="shared" si="14"/>
        <v>0</v>
      </c>
    </row>
    <row r="115" spans="1:26" s="24" customFormat="1" hidden="1" outlineLevel="1" x14ac:dyDescent="0.25">
      <c r="A115" s="44"/>
      <c r="B115" s="11" t="str">
        <f>CONCATENATE("          ", "5018", " - ", "PURCHASES @ COST-STUDY GUIDES")</f>
        <v xml:space="preserve">          5018 - PURCHASES @ COST-STUDY GUIDES</v>
      </c>
      <c r="C115" s="11"/>
      <c r="D115" s="2">
        <v>1032.75</v>
      </c>
      <c r="E115" s="2"/>
      <c r="F115" s="19">
        <f t="shared" si="7"/>
        <v>4.7517051075660668E-4</v>
      </c>
      <c r="G115" s="2"/>
      <c r="H115" s="2"/>
      <c r="I115" s="2"/>
      <c r="J115" s="19">
        <f t="shared" si="8"/>
        <v>0</v>
      </c>
      <c r="K115" s="2"/>
      <c r="L115" s="2">
        <f t="shared" si="9"/>
        <v>1032.75</v>
      </c>
      <c r="M115" s="2"/>
      <c r="N115" s="19">
        <f t="shared" si="10"/>
        <v>0</v>
      </c>
      <c r="O115" s="11"/>
      <c r="P115" s="2">
        <v>2031.15</v>
      </c>
      <c r="Q115" s="2"/>
      <c r="R115" s="19">
        <f t="shared" si="11"/>
        <v>2.6417633021077005E-4</v>
      </c>
      <c r="S115" s="2"/>
      <c r="T115" s="2"/>
      <c r="U115" s="2"/>
      <c r="V115" s="19">
        <f t="shared" si="12"/>
        <v>0</v>
      </c>
      <c r="W115" s="2"/>
      <c r="X115" s="2">
        <f t="shared" si="13"/>
        <v>2031.15</v>
      </c>
      <c r="Y115" s="2"/>
      <c r="Z115" s="19">
        <f t="shared" si="14"/>
        <v>0</v>
      </c>
    </row>
    <row r="116" spans="1:26" s="24" customFormat="1" hidden="1" outlineLevel="1" x14ac:dyDescent="0.25">
      <c r="A116" s="44"/>
      <c r="B116" s="11" t="str">
        <f>CONCATENATE("          ", "5025", " - ", "PURCHASES @ COST-TEST FORMS")</f>
        <v xml:space="preserve">          5025 - PURCHASES @ COST-TEST FORMS</v>
      </c>
      <c r="C116" s="11"/>
      <c r="D116" s="2">
        <v>880</v>
      </c>
      <c r="E116" s="2"/>
      <c r="F116" s="19">
        <f t="shared" si="7"/>
        <v>4.0488990507462009E-4</v>
      </c>
      <c r="G116" s="2"/>
      <c r="H116" s="2"/>
      <c r="I116" s="2"/>
      <c r="J116" s="19">
        <f t="shared" si="8"/>
        <v>0</v>
      </c>
      <c r="K116" s="2"/>
      <c r="L116" s="2">
        <f t="shared" si="9"/>
        <v>880</v>
      </c>
      <c r="M116" s="2"/>
      <c r="N116" s="19">
        <f t="shared" si="10"/>
        <v>0</v>
      </c>
      <c r="O116" s="11"/>
      <c r="P116" s="2">
        <v>22978.390000000003</v>
      </c>
      <c r="Q116" s="2"/>
      <c r="R116" s="19">
        <f t="shared" si="11"/>
        <v>2.9886255295531383E-3</v>
      </c>
      <c r="S116" s="2"/>
      <c r="T116" s="2"/>
      <c r="U116" s="2"/>
      <c r="V116" s="19">
        <f t="shared" si="12"/>
        <v>0</v>
      </c>
      <c r="W116" s="2"/>
      <c r="X116" s="2">
        <f t="shared" si="13"/>
        <v>22978.390000000003</v>
      </c>
      <c r="Y116" s="2"/>
      <c r="Z116" s="19">
        <f t="shared" si="14"/>
        <v>0</v>
      </c>
    </row>
    <row r="117" spans="1:26" s="24" customFormat="1" hidden="1" outlineLevel="1" x14ac:dyDescent="0.25">
      <c r="A117" s="44"/>
      <c r="B117" s="11" t="str">
        <f>CONCATENATE("          ", "5026", " - ", "PURCHASES @ COST-WRITING INSTR")</f>
        <v xml:space="preserve">          5026 - PURCHASES @ COST-WRITING INSTR</v>
      </c>
      <c r="C117" s="11"/>
      <c r="D117" s="2">
        <v>9201.3799999999992</v>
      </c>
      <c r="E117" s="2"/>
      <c r="F117" s="19">
        <f t="shared" si="7"/>
        <v>4.233574857676713E-3</v>
      </c>
      <c r="G117" s="2"/>
      <c r="H117" s="2"/>
      <c r="I117" s="2"/>
      <c r="J117" s="19">
        <f t="shared" si="8"/>
        <v>0</v>
      </c>
      <c r="K117" s="2"/>
      <c r="L117" s="2">
        <f t="shared" si="9"/>
        <v>9201.3799999999992</v>
      </c>
      <c r="M117" s="2"/>
      <c r="N117" s="19">
        <f t="shared" si="10"/>
        <v>0</v>
      </c>
      <c r="O117" s="11"/>
      <c r="P117" s="2">
        <v>43496.15</v>
      </c>
      <c r="Q117" s="2"/>
      <c r="R117" s="19">
        <f t="shared" si="11"/>
        <v>5.6572155110637748E-3</v>
      </c>
      <c r="S117" s="2"/>
      <c r="T117" s="2"/>
      <c r="U117" s="2"/>
      <c r="V117" s="19">
        <f t="shared" si="12"/>
        <v>0</v>
      </c>
      <c r="W117" s="2"/>
      <c r="X117" s="2">
        <f t="shared" si="13"/>
        <v>43496.15</v>
      </c>
      <c r="Y117" s="2"/>
      <c r="Z117" s="19">
        <f t="shared" si="14"/>
        <v>0</v>
      </c>
    </row>
    <row r="118" spans="1:26" s="24" customFormat="1" hidden="1" outlineLevel="1" x14ac:dyDescent="0.25">
      <c r="A118" s="44"/>
      <c r="B118" s="11" t="str">
        <f>CONCATENATE("          ", "5027", " - ", "PURCHASES @ COST-SCHOOL SUPPLI")</f>
        <v xml:space="preserve">          5027 - PURCHASES @ COST-SCHOOL SUPPLI</v>
      </c>
      <c r="C118" s="11"/>
      <c r="D118" s="2">
        <v>42814.02</v>
      </c>
      <c r="E118" s="2"/>
      <c r="F118" s="19">
        <f t="shared" si="7"/>
        <v>1.9698823288253276E-2</v>
      </c>
      <c r="G118" s="2"/>
      <c r="H118" s="2"/>
      <c r="I118" s="2"/>
      <c r="J118" s="19">
        <f t="shared" si="8"/>
        <v>0</v>
      </c>
      <c r="K118" s="2"/>
      <c r="L118" s="2">
        <f t="shared" si="9"/>
        <v>42814.02</v>
      </c>
      <c r="M118" s="2"/>
      <c r="N118" s="19">
        <f t="shared" si="10"/>
        <v>0</v>
      </c>
      <c r="O118" s="11"/>
      <c r="P118" s="2">
        <v>120814.02</v>
      </c>
      <c r="Q118" s="2"/>
      <c r="R118" s="19">
        <f t="shared" si="11"/>
        <v>1.5713366536991645E-2</v>
      </c>
      <c r="S118" s="2"/>
      <c r="T118" s="2"/>
      <c r="U118" s="2"/>
      <c r="V118" s="19">
        <f t="shared" si="12"/>
        <v>0</v>
      </c>
      <c r="W118" s="2"/>
      <c r="X118" s="2">
        <f t="shared" si="13"/>
        <v>120814.02</v>
      </c>
      <c r="Y118" s="2"/>
      <c r="Z118" s="19">
        <f t="shared" si="14"/>
        <v>0</v>
      </c>
    </row>
    <row r="119" spans="1:26" s="24" customFormat="1" hidden="1" outlineLevel="1" x14ac:dyDescent="0.25">
      <c r="A119" s="44"/>
      <c r="B119" s="11" t="str">
        <f>CONCATENATE("          ", "5028", " - ", "PURCHASES @ COST-ART/TECH")</f>
        <v xml:space="preserve">          5028 - PURCHASES @ COST-ART/TECH</v>
      </c>
      <c r="C119" s="11"/>
      <c r="D119" s="2">
        <v>32126.68</v>
      </c>
      <c r="E119" s="2"/>
      <c r="F119" s="19">
        <f t="shared" si="7"/>
        <v>1.4781555017684881E-2</v>
      </c>
      <c r="G119" s="2"/>
      <c r="H119" s="2"/>
      <c r="I119" s="2"/>
      <c r="J119" s="19">
        <f t="shared" si="8"/>
        <v>0</v>
      </c>
      <c r="K119" s="2"/>
      <c r="L119" s="2">
        <f t="shared" si="9"/>
        <v>32126.68</v>
      </c>
      <c r="M119" s="2"/>
      <c r="N119" s="19">
        <f t="shared" si="10"/>
        <v>0</v>
      </c>
      <c r="O119" s="11"/>
      <c r="P119" s="2">
        <v>135127.5</v>
      </c>
      <c r="Q119" s="2"/>
      <c r="R119" s="19">
        <f t="shared" si="11"/>
        <v>1.7575012707360772E-2</v>
      </c>
      <c r="S119" s="2"/>
      <c r="T119" s="2"/>
      <c r="U119" s="2"/>
      <c r="V119" s="19">
        <f t="shared" si="12"/>
        <v>0</v>
      </c>
      <c r="W119" s="2"/>
      <c r="X119" s="2">
        <f t="shared" si="13"/>
        <v>135127.5</v>
      </c>
      <c r="Y119" s="2"/>
      <c r="Z119" s="19">
        <f t="shared" si="14"/>
        <v>0</v>
      </c>
    </row>
    <row r="120" spans="1:26" s="24" customFormat="1" hidden="1" outlineLevel="1" x14ac:dyDescent="0.25">
      <c r="A120" s="44"/>
      <c r="B120" s="11" t="str">
        <f>CONCATENATE("          ", "5031", " - ", "PURCHASES @ COST-FOOD")</f>
        <v xml:space="preserve">          5031 - PURCHASES @ COST-FOOD</v>
      </c>
      <c r="C120" s="11"/>
      <c r="D120" s="2">
        <v>2390.66</v>
      </c>
      <c r="E120" s="2"/>
      <c r="F120" s="19">
        <f t="shared" si="7"/>
        <v>1.0999478414382854E-3</v>
      </c>
      <c r="G120" s="2"/>
      <c r="H120" s="2"/>
      <c r="I120" s="2"/>
      <c r="J120" s="19">
        <f t="shared" si="8"/>
        <v>0</v>
      </c>
      <c r="K120" s="2"/>
      <c r="L120" s="2">
        <f t="shared" si="9"/>
        <v>2390.66</v>
      </c>
      <c r="M120" s="2"/>
      <c r="N120" s="19">
        <f t="shared" si="10"/>
        <v>0</v>
      </c>
      <c r="O120" s="11"/>
      <c r="P120" s="2">
        <v>24900.390000000003</v>
      </c>
      <c r="Q120" s="2"/>
      <c r="R120" s="19">
        <f t="shared" si="11"/>
        <v>3.2386055441582145E-3</v>
      </c>
      <c r="S120" s="2"/>
      <c r="T120" s="2"/>
      <c r="U120" s="2"/>
      <c r="V120" s="19">
        <f t="shared" si="12"/>
        <v>0</v>
      </c>
      <c r="W120" s="2"/>
      <c r="X120" s="2">
        <f t="shared" si="13"/>
        <v>24900.390000000003</v>
      </c>
      <c r="Y120" s="2"/>
      <c r="Z120" s="19">
        <f t="shared" si="14"/>
        <v>0</v>
      </c>
    </row>
    <row r="121" spans="1:26" s="24" customFormat="1" hidden="1" outlineLevel="1" x14ac:dyDescent="0.25">
      <c r="A121" s="44"/>
      <c r="B121" s="11" t="str">
        <f>CONCATENATE("          ", "5032", " - ", "PURCHASES @ COST-JUICE")</f>
        <v xml:space="preserve">          5032 - PURCHASES @ COST-JUICE</v>
      </c>
      <c r="C121" s="11"/>
      <c r="D121" s="2">
        <v>371.03</v>
      </c>
      <c r="E121" s="2"/>
      <c r="F121" s="19">
        <f t="shared" si="7"/>
        <v>1.7071170622708667E-4</v>
      </c>
      <c r="G121" s="2"/>
      <c r="H121" s="2"/>
      <c r="I121" s="2"/>
      <c r="J121" s="19">
        <f t="shared" si="8"/>
        <v>0</v>
      </c>
      <c r="K121" s="2"/>
      <c r="L121" s="2">
        <f t="shared" si="9"/>
        <v>371.03</v>
      </c>
      <c r="M121" s="2"/>
      <c r="N121" s="19">
        <f t="shared" si="10"/>
        <v>0</v>
      </c>
      <c r="O121" s="11"/>
      <c r="P121" s="2">
        <v>5392.51</v>
      </c>
      <c r="Q121" s="2"/>
      <c r="R121" s="19">
        <f t="shared" si="11"/>
        <v>7.0136302214256934E-4</v>
      </c>
      <c r="S121" s="2"/>
      <c r="T121" s="2"/>
      <c r="U121" s="2"/>
      <c r="V121" s="19">
        <f t="shared" si="12"/>
        <v>0</v>
      </c>
      <c r="W121" s="2"/>
      <c r="X121" s="2">
        <f t="shared" si="13"/>
        <v>5392.51</v>
      </c>
      <c r="Y121" s="2"/>
      <c r="Z121" s="19">
        <f t="shared" si="14"/>
        <v>0</v>
      </c>
    </row>
    <row r="122" spans="1:26" s="24" customFormat="1" hidden="1" outlineLevel="1" x14ac:dyDescent="0.25">
      <c r="A122" s="44"/>
      <c r="B122" s="11" t="str">
        <f>CONCATENATE("          ", "5033", " - ", "PURCHASES @ COST-CANDY")</f>
        <v xml:space="preserve">          5033 - PURCHASES @ COST-CANDY</v>
      </c>
      <c r="C122" s="11"/>
      <c r="D122" s="2">
        <v>805.69</v>
      </c>
      <c r="E122" s="2"/>
      <c r="F122" s="19">
        <f t="shared" si="7"/>
        <v>3.7069971320405755E-4</v>
      </c>
      <c r="G122" s="2"/>
      <c r="H122" s="2"/>
      <c r="I122" s="2"/>
      <c r="J122" s="19">
        <f t="shared" si="8"/>
        <v>0</v>
      </c>
      <c r="K122" s="2"/>
      <c r="L122" s="2">
        <f t="shared" si="9"/>
        <v>805.69</v>
      </c>
      <c r="M122" s="2"/>
      <c r="N122" s="19">
        <f t="shared" si="10"/>
        <v>0</v>
      </c>
      <c r="O122" s="11"/>
      <c r="P122" s="2">
        <v>7003.62</v>
      </c>
      <c r="Q122" s="2"/>
      <c r="R122" s="19">
        <f t="shared" si="11"/>
        <v>9.1090792397939752E-4</v>
      </c>
      <c r="S122" s="2"/>
      <c r="T122" s="2"/>
      <c r="U122" s="2"/>
      <c r="V122" s="19">
        <f t="shared" si="12"/>
        <v>0</v>
      </c>
      <c r="W122" s="2"/>
      <c r="X122" s="2">
        <f t="shared" si="13"/>
        <v>7003.62</v>
      </c>
      <c r="Y122" s="2"/>
      <c r="Z122" s="19">
        <f t="shared" si="14"/>
        <v>0</v>
      </c>
    </row>
    <row r="123" spans="1:26" s="24" customFormat="1" hidden="1" outlineLevel="1" x14ac:dyDescent="0.25">
      <c r="A123" s="44"/>
      <c r="B123" s="11" t="str">
        <f>CONCATENATE("          ", "5034", " - ", "PURCHASES @ COST-SODA")</f>
        <v xml:space="preserve">          5034 - PURCHASES @ COST-SODA</v>
      </c>
      <c r="C123" s="11"/>
      <c r="D123" s="2"/>
      <c r="E123" s="2"/>
      <c r="F123" s="19">
        <f t="shared" si="7"/>
        <v>0</v>
      </c>
      <c r="G123" s="2"/>
      <c r="H123" s="2"/>
      <c r="I123" s="2"/>
      <c r="J123" s="19">
        <f t="shared" si="8"/>
        <v>0</v>
      </c>
      <c r="K123" s="2"/>
      <c r="L123" s="2">
        <f t="shared" si="9"/>
        <v>0</v>
      </c>
      <c r="M123" s="2"/>
      <c r="N123" s="19">
        <f t="shared" si="10"/>
        <v>0</v>
      </c>
      <c r="O123" s="11"/>
      <c r="P123" s="2">
        <v>2124.16</v>
      </c>
      <c r="Q123" s="2"/>
      <c r="R123" s="19">
        <f t="shared" si="11"/>
        <v>2.7627343799350578E-4</v>
      </c>
      <c r="S123" s="2"/>
      <c r="T123" s="2"/>
      <c r="U123" s="2"/>
      <c r="V123" s="19">
        <f t="shared" si="12"/>
        <v>0</v>
      </c>
      <c r="W123" s="2"/>
      <c r="X123" s="2">
        <f t="shared" si="13"/>
        <v>2124.16</v>
      </c>
      <c r="Y123" s="2"/>
      <c r="Z123" s="19">
        <f t="shared" si="14"/>
        <v>0</v>
      </c>
    </row>
    <row r="124" spans="1:26" s="24" customFormat="1" hidden="1" outlineLevel="1" x14ac:dyDescent="0.25">
      <c r="A124" s="44"/>
      <c r="B124" s="11" t="str">
        <f>CONCATENATE("          ", "5035", " - ", "PURCHASES @ COST-HEALTH &amp; BEAU")</f>
        <v xml:space="preserve">          5035 - PURCHASES @ COST-HEALTH &amp; BEAU</v>
      </c>
      <c r="C124" s="11"/>
      <c r="D124" s="2">
        <v>32.82</v>
      </c>
      <c r="E124" s="2"/>
      <c r="F124" s="19">
        <f t="shared" si="7"/>
        <v>1.5100553050623899E-5</v>
      </c>
      <c r="G124" s="2"/>
      <c r="H124" s="2"/>
      <c r="I124" s="2"/>
      <c r="J124" s="19">
        <f t="shared" si="8"/>
        <v>0</v>
      </c>
      <c r="K124" s="2"/>
      <c r="L124" s="2">
        <f t="shared" si="9"/>
        <v>32.82</v>
      </c>
      <c r="M124" s="2"/>
      <c r="N124" s="19">
        <f t="shared" si="10"/>
        <v>0</v>
      </c>
      <c r="O124" s="11"/>
      <c r="P124" s="2">
        <v>857.2</v>
      </c>
      <c r="Q124" s="2"/>
      <c r="R124" s="19">
        <f t="shared" si="11"/>
        <v>1.1148952576455313E-4</v>
      </c>
      <c r="S124" s="2"/>
      <c r="T124" s="2"/>
      <c r="U124" s="2"/>
      <c r="V124" s="19">
        <f t="shared" si="12"/>
        <v>0</v>
      </c>
      <c r="W124" s="2"/>
      <c r="X124" s="2">
        <f t="shared" si="13"/>
        <v>857.2</v>
      </c>
      <c r="Y124" s="2"/>
      <c r="Z124" s="19">
        <f t="shared" si="14"/>
        <v>0</v>
      </c>
    </row>
    <row r="125" spans="1:26" s="24" customFormat="1" hidden="1" outlineLevel="1" x14ac:dyDescent="0.25">
      <c r="A125" s="44"/>
      <c r="B125" s="11" t="str">
        <f>CONCATENATE("          ", "5037", " - ", "PURCHASES @ COST-WATER")</f>
        <v xml:space="preserve">          5037 - PURCHASES @ COST-WATER</v>
      </c>
      <c r="C125" s="11"/>
      <c r="D125" s="2"/>
      <c r="E125" s="2"/>
      <c r="F125" s="19">
        <f t="shared" si="7"/>
        <v>0</v>
      </c>
      <c r="G125" s="2"/>
      <c r="H125" s="2"/>
      <c r="I125" s="2"/>
      <c r="J125" s="19">
        <f t="shared" si="8"/>
        <v>0</v>
      </c>
      <c r="K125" s="2"/>
      <c r="L125" s="2">
        <f t="shared" si="9"/>
        <v>0</v>
      </c>
      <c r="M125" s="2"/>
      <c r="N125" s="19">
        <f t="shared" si="10"/>
        <v>0</v>
      </c>
      <c r="O125" s="11"/>
      <c r="P125" s="2">
        <v>3759.27</v>
      </c>
      <c r="Q125" s="2"/>
      <c r="R125" s="19">
        <f t="shared" si="11"/>
        <v>4.8893983845183344E-4</v>
      </c>
      <c r="S125" s="2"/>
      <c r="T125" s="2"/>
      <c r="U125" s="2"/>
      <c r="V125" s="19">
        <f t="shared" si="12"/>
        <v>0</v>
      </c>
      <c r="W125" s="2"/>
      <c r="X125" s="2">
        <f t="shared" si="13"/>
        <v>3759.27</v>
      </c>
      <c r="Y125" s="2"/>
      <c r="Z125" s="19">
        <f t="shared" si="14"/>
        <v>0</v>
      </c>
    </row>
    <row r="126" spans="1:26" s="24" customFormat="1" hidden="1" outlineLevel="1" x14ac:dyDescent="0.25">
      <c r="A126" s="44"/>
      <c r="B126" s="11" t="str">
        <f>CONCATENATE("          ", "5040", " - ", "PURCHASES @ COST-LOGO CLOTHING")</f>
        <v xml:space="preserve">          5040 - PURCHASES @ COST-LOGO CLOTHING</v>
      </c>
      <c r="C126" s="11"/>
      <c r="D126" s="2">
        <v>94500.17</v>
      </c>
      <c r="E126" s="2"/>
      <c r="F126" s="19">
        <f t="shared" si="7"/>
        <v>4.3479732796403929E-2</v>
      </c>
      <c r="G126" s="2"/>
      <c r="H126" s="2"/>
      <c r="I126" s="2"/>
      <c r="J126" s="19">
        <f t="shared" si="8"/>
        <v>0</v>
      </c>
      <c r="K126" s="2"/>
      <c r="L126" s="2">
        <f t="shared" si="9"/>
        <v>94500.17</v>
      </c>
      <c r="M126" s="2"/>
      <c r="N126" s="19">
        <f t="shared" si="10"/>
        <v>0</v>
      </c>
      <c r="O126" s="11"/>
      <c r="P126" s="2">
        <v>810739.01</v>
      </c>
      <c r="Q126" s="2"/>
      <c r="R126" s="19">
        <f t="shared" si="11"/>
        <v>0.10544669592128242</v>
      </c>
      <c r="S126" s="2"/>
      <c r="T126" s="2"/>
      <c r="U126" s="2"/>
      <c r="V126" s="19">
        <f t="shared" si="12"/>
        <v>0</v>
      </c>
      <c r="W126" s="2"/>
      <c r="X126" s="2">
        <f t="shared" si="13"/>
        <v>810739.01</v>
      </c>
      <c r="Y126" s="2"/>
      <c r="Z126" s="19">
        <f t="shared" si="14"/>
        <v>0</v>
      </c>
    </row>
    <row r="127" spans="1:26" s="24" customFormat="1" hidden="1" outlineLevel="1" x14ac:dyDescent="0.25">
      <c r="A127" s="44"/>
      <c r="B127" s="11" t="str">
        <f>CONCATENATE("          ", "5041", " - ", "PURCHASES @ COST-LOGO GIFTS")</f>
        <v xml:space="preserve">          5041 - PURCHASES @ COST-LOGO GIFTS</v>
      </c>
      <c r="C127" s="11"/>
      <c r="D127" s="2">
        <v>14612.2</v>
      </c>
      <c r="E127" s="2"/>
      <c r="F127" s="19">
        <f t="shared" si="7"/>
        <v>6.7231048533310947E-3</v>
      </c>
      <c r="G127" s="2"/>
      <c r="H127" s="2"/>
      <c r="I127" s="2"/>
      <c r="J127" s="19">
        <f t="shared" si="8"/>
        <v>0</v>
      </c>
      <c r="K127" s="2"/>
      <c r="L127" s="2">
        <f t="shared" si="9"/>
        <v>14612.2</v>
      </c>
      <c r="M127" s="2"/>
      <c r="N127" s="19">
        <f t="shared" si="10"/>
        <v>0</v>
      </c>
      <c r="O127" s="11"/>
      <c r="P127" s="2">
        <v>124015.87000000001</v>
      </c>
      <c r="Q127" s="2"/>
      <c r="R127" s="19">
        <f t="shared" si="11"/>
        <v>1.6129806968710303E-2</v>
      </c>
      <c r="S127" s="2"/>
      <c r="T127" s="2"/>
      <c r="U127" s="2"/>
      <c r="V127" s="19">
        <f t="shared" si="12"/>
        <v>0</v>
      </c>
      <c r="W127" s="2"/>
      <c r="X127" s="2">
        <f t="shared" si="13"/>
        <v>124015.87000000001</v>
      </c>
      <c r="Y127" s="2"/>
      <c r="Z127" s="19">
        <f t="shared" si="14"/>
        <v>0</v>
      </c>
    </row>
    <row r="128" spans="1:26" s="24" customFormat="1" hidden="1" outlineLevel="1" x14ac:dyDescent="0.25">
      <c r="A128" s="44"/>
      <c r="B128" s="11" t="str">
        <f>CONCATENATE("          ", "5042", " - ", "PURCHASES @ COST-EVERYDAY GIFT")</f>
        <v xml:space="preserve">          5042 - PURCHASES @ COST-EVERYDAY GIFT</v>
      </c>
      <c r="C128" s="11"/>
      <c r="D128" s="2">
        <v>2972.86</v>
      </c>
      <c r="E128" s="2"/>
      <c r="F128" s="19">
        <f t="shared" si="7"/>
        <v>1.3678193218183354E-3</v>
      </c>
      <c r="G128" s="2"/>
      <c r="H128" s="2"/>
      <c r="I128" s="2"/>
      <c r="J128" s="19">
        <f t="shared" si="8"/>
        <v>0</v>
      </c>
      <c r="K128" s="2"/>
      <c r="L128" s="2">
        <f t="shared" si="9"/>
        <v>2972.86</v>
      </c>
      <c r="M128" s="2"/>
      <c r="N128" s="19">
        <f t="shared" si="10"/>
        <v>0</v>
      </c>
      <c r="O128" s="11"/>
      <c r="P128" s="2">
        <v>91360.97</v>
      </c>
      <c r="Q128" s="2"/>
      <c r="R128" s="19">
        <f t="shared" si="11"/>
        <v>1.1882630913076954E-2</v>
      </c>
      <c r="S128" s="2"/>
      <c r="T128" s="2"/>
      <c r="U128" s="2"/>
      <c r="V128" s="19">
        <f t="shared" si="12"/>
        <v>0</v>
      </c>
      <c r="W128" s="2"/>
      <c r="X128" s="2">
        <f t="shared" si="13"/>
        <v>91360.97</v>
      </c>
      <c r="Y128" s="2"/>
      <c r="Z128" s="19">
        <f t="shared" si="14"/>
        <v>0</v>
      </c>
    </row>
    <row r="129" spans="1:26" s="24" customFormat="1" hidden="1" outlineLevel="1" x14ac:dyDescent="0.25">
      <c r="A129" s="44"/>
      <c r="B129" s="11" t="str">
        <f>CONCATENATE("          ", "5043", " - ", "PURCHASES @ COST-CARDS")</f>
        <v xml:space="preserve">          5043 - PURCHASES @ COST-CARDS</v>
      </c>
      <c r="C129" s="11"/>
      <c r="D129" s="2">
        <v>3909.52</v>
      </c>
      <c r="E129" s="2"/>
      <c r="F129" s="19">
        <f t="shared" si="7"/>
        <v>1.7987786155537824E-3</v>
      </c>
      <c r="G129" s="2"/>
      <c r="H129" s="2"/>
      <c r="I129" s="2"/>
      <c r="J129" s="19">
        <f t="shared" si="8"/>
        <v>0</v>
      </c>
      <c r="K129" s="2"/>
      <c r="L129" s="2">
        <f t="shared" si="9"/>
        <v>3909.52</v>
      </c>
      <c r="M129" s="2"/>
      <c r="N129" s="19">
        <f t="shared" si="10"/>
        <v>0</v>
      </c>
      <c r="O129" s="11"/>
      <c r="P129" s="2">
        <v>10694.41</v>
      </c>
      <c r="Q129" s="2"/>
      <c r="R129" s="19">
        <f t="shared" si="11"/>
        <v>1.3909410863645526E-3</v>
      </c>
      <c r="S129" s="2"/>
      <c r="T129" s="2"/>
      <c r="U129" s="2"/>
      <c r="V129" s="19">
        <f t="shared" si="12"/>
        <v>0</v>
      </c>
      <c r="W129" s="2"/>
      <c r="X129" s="2">
        <f t="shared" si="13"/>
        <v>10694.41</v>
      </c>
      <c r="Y129" s="2"/>
      <c r="Z129" s="19">
        <f t="shared" si="14"/>
        <v>0</v>
      </c>
    </row>
    <row r="130" spans="1:26" s="24" customFormat="1" hidden="1" outlineLevel="1" x14ac:dyDescent="0.25">
      <c r="A130" s="44"/>
      <c r="B130" s="11" t="str">
        <f>CONCATENATE("          ", "5044", " - ", "PURCHASES @ COST-ACCESSORIES")</f>
        <v xml:space="preserve">          5044 - PURCHASES @ COST-ACCESSORIES</v>
      </c>
      <c r="C130" s="11"/>
      <c r="D130" s="2">
        <v>3179.63</v>
      </c>
      <c r="E130" s="2"/>
      <c r="F130" s="19">
        <f t="shared" si="7"/>
        <v>1.4629546464459253E-3</v>
      </c>
      <c r="G130" s="2"/>
      <c r="H130" s="2"/>
      <c r="I130" s="2"/>
      <c r="J130" s="19">
        <f t="shared" si="8"/>
        <v>0</v>
      </c>
      <c r="K130" s="2"/>
      <c r="L130" s="2">
        <f t="shared" si="9"/>
        <v>3179.63</v>
      </c>
      <c r="M130" s="2"/>
      <c r="N130" s="19">
        <f t="shared" si="10"/>
        <v>0</v>
      </c>
      <c r="O130" s="11"/>
      <c r="P130" s="2">
        <v>20867.21</v>
      </c>
      <c r="Q130" s="2"/>
      <c r="R130" s="19">
        <f t="shared" si="11"/>
        <v>2.714040302064093E-3</v>
      </c>
      <c r="S130" s="2"/>
      <c r="T130" s="2"/>
      <c r="U130" s="2"/>
      <c r="V130" s="19">
        <f t="shared" si="12"/>
        <v>0</v>
      </c>
      <c r="W130" s="2"/>
      <c r="X130" s="2">
        <f t="shared" si="13"/>
        <v>20867.21</v>
      </c>
      <c r="Y130" s="2"/>
      <c r="Z130" s="19">
        <f t="shared" si="14"/>
        <v>0</v>
      </c>
    </row>
    <row r="131" spans="1:26" s="24" customFormat="1" hidden="1" outlineLevel="1" x14ac:dyDescent="0.25">
      <c r="A131" s="44"/>
      <c r="B131" s="11" t="str">
        <f>CONCATENATE("          ", "5045", " - ", "PURCHASES @ COST-SPECIAL ORDER")</f>
        <v xml:space="preserve">          5045 - PURCHASES @ COST-SPECIAL ORDER</v>
      </c>
      <c r="C131" s="11"/>
      <c r="D131" s="2">
        <v>6835.65</v>
      </c>
      <c r="E131" s="2"/>
      <c r="F131" s="19">
        <f t="shared" si="7"/>
        <v>3.1450973632083257E-3</v>
      </c>
      <c r="G131" s="2"/>
      <c r="H131" s="2"/>
      <c r="I131" s="2"/>
      <c r="J131" s="19">
        <f t="shared" si="8"/>
        <v>0</v>
      </c>
      <c r="K131" s="2"/>
      <c r="L131" s="2">
        <f t="shared" si="9"/>
        <v>6835.65</v>
      </c>
      <c r="M131" s="2"/>
      <c r="N131" s="19">
        <f t="shared" si="10"/>
        <v>0</v>
      </c>
      <c r="O131" s="11"/>
      <c r="P131" s="2">
        <v>48016.23</v>
      </c>
      <c r="Q131" s="2"/>
      <c r="R131" s="19">
        <f t="shared" si="11"/>
        <v>6.2451081564415646E-3</v>
      </c>
      <c r="S131" s="2"/>
      <c r="T131" s="2"/>
      <c r="U131" s="2"/>
      <c r="V131" s="19">
        <f t="shared" si="12"/>
        <v>0</v>
      </c>
      <c r="W131" s="2"/>
      <c r="X131" s="2">
        <f t="shared" si="13"/>
        <v>48016.23</v>
      </c>
      <c r="Y131" s="2"/>
      <c r="Z131" s="19">
        <f t="shared" si="14"/>
        <v>0</v>
      </c>
    </row>
    <row r="132" spans="1:26" s="24" customFormat="1" hidden="1" outlineLevel="1" x14ac:dyDescent="0.25">
      <c r="A132" s="44"/>
      <c r="B132" s="11" t="str">
        <f>CONCATENATE("          ", "5081", " - ", "PURCHASES @ COST-ELECTRONICS")</f>
        <v xml:space="preserve">          5081 - PURCHASES @ COST-ELECTRONICS</v>
      </c>
      <c r="C132" s="11"/>
      <c r="D132" s="2">
        <v>119.66</v>
      </c>
      <c r="E132" s="2"/>
      <c r="F132" s="19">
        <f t="shared" si="7"/>
        <v>5.5055825046851179E-5</v>
      </c>
      <c r="G132" s="2"/>
      <c r="H132" s="2"/>
      <c r="I132" s="2"/>
      <c r="J132" s="19">
        <f t="shared" si="8"/>
        <v>0</v>
      </c>
      <c r="K132" s="2"/>
      <c r="L132" s="2">
        <f t="shared" si="9"/>
        <v>119.66</v>
      </c>
      <c r="M132" s="2"/>
      <c r="N132" s="19">
        <f t="shared" si="10"/>
        <v>0</v>
      </c>
      <c r="O132" s="11"/>
      <c r="P132" s="2">
        <v>1891.21</v>
      </c>
      <c r="Q132" s="2"/>
      <c r="R132" s="19">
        <f t="shared" si="11"/>
        <v>2.4597539199857737E-4</v>
      </c>
      <c r="S132" s="2"/>
      <c r="T132" s="2"/>
      <c r="U132" s="2"/>
      <c r="V132" s="19">
        <f t="shared" si="12"/>
        <v>0</v>
      </c>
      <c r="W132" s="2"/>
      <c r="X132" s="2">
        <f t="shared" si="13"/>
        <v>1891.21</v>
      </c>
      <c r="Y132" s="2"/>
      <c r="Z132" s="19">
        <f t="shared" si="14"/>
        <v>0</v>
      </c>
    </row>
    <row r="133" spans="1:26" s="24" customFormat="1" hidden="1" outlineLevel="1" x14ac:dyDescent="0.25">
      <c r="A133" s="44"/>
      <c r="B133" s="11" t="str">
        <f>CONCATENATE("          ", "5082", " - ", "PURCHASES @ COST-COMPUTER HARD")</f>
        <v xml:space="preserve">          5082 - PURCHASES @ COST-COMPUTER HARD</v>
      </c>
      <c r="C133" s="11"/>
      <c r="D133" s="2"/>
      <c r="E133" s="2"/>
      <c r="F133" s="19">
        <f t="shared" si="7"/>
        <v>0</v>
      </c>
      <c r="G133" s="2"/>
      <c r="H133" s="2"/>
      <c r="I133" s="2"/>
      <c r="J133" s="19">
        <f t="shared" si="8"/>
        <v>0</v>
      </c>
      <c r="K133" s="2"/>
      <c r="L133" s="2">
        <f t="shared" si="9"/>
        <v>0</v>
      </c>
      <c r="M133" s="2"/>
      <c r="N133" s="19">
        <f t="shared" si="10"/>
        <v>0</v>
      </c>
      <c r="O133" s="11"/>
      <c r="P133" s="2">
        <v>349.6</v>
      </c>
      <c r="Q133" s="2"/>
      <c r="R133" s="19">
        <f t="shared" si="11"/>
        <v>4.5469829919841083E-5</v>
      </c>
      <c r="S133" s="2"/>
      <c r="T133" s="2"/>
      <c r="U133" s="2"/>
      <c r="V133" s="19">
        <f t="shared" si="12"/>
        <v>0</v>
      </c>
      <c r="W133" s="2"/>
      <c r="X133" s="2">
        <f t="shared" si="13"/>
        <v>349.6</v>
      </c>
      <c r="Y133" s="2"/>
      <c r="Z133" s="19">
        <f t="shared" si="14"/>
        <v>0</v>
      </c>
    </row>
    <row r="134" spans="1:26" s="24" customFormat="1" hidden="1" outlineLevel="1" x14ac:dyDescent="0.25">
      <c r="A134" s="44"/>
      <c r="B134" s="11" t="str">
        <f>CONCATENATE("          ", "5083", " - ", "PURCHASES @ COST-COMPUTER EQUI")</f>
        <v xml:space="preserve">          5083 - PURCHASES @ COST-COMPUTER EQUI</v>
      </c>
      <c r="C134" s="11"/>
      <c r="D134" s="2">
        <v>83.36</v>
      </c>
      <c r="E134" s="2"/>
      <c r="F134" s="19">
        <f t="shared" si="7"/>
        <v>3.8354116462523103E-5</v>
      </c>
      <c r="G134" s="2"/>
      <c r="H134" s="2"/>
      <c r="I134" s="2"/>
      <c r="J134" s="19">
        <f t="shared" si="8"/>
        <v>0</v>
      </c>
      <c r="K134" s="2"/>
      <c r="L134" s="2">
        <f t="shared" si="9"/>
        <v>83.36</v>
      </c>
      <c r="M134" s="2"/>
      <c r="N134" s="19">
        <f t="shared" si="10"/>
        <v>0</v>
      </c>
      <c r="O134" s="11"/>
      <c r="P134" s="2">
        <v>462.71</v>
      </c>
      <c r="Q134" s="2"/>
      <c r="R134" s="19">
        <f t="shared" si="11"/>
        <v>6.0181192798082565E-5</v>
      </c>
      <c r="S134" s="2"/>
      <c r="T134" s="2"/>
      <c r="U134" s="2"/>
      <c r="V134" s="19">
        <f t="shared" si="12"/>
        <v>0</v>
      </c>
      <c r="W134" s="2"/>
      <c r="X134" s="2">
        <f t="shared" si="13"/>
        <v>462.71</v>
      </c>
      <c r="Y134" s="2"/>
      <c r="Z134" s="19">
        <f t="shared" si="14"/>
        <v>0</v>
      </c>
    </row>
    <row r="135" spans="1:26" s="24" customFormat="1" hidden="1" outlineLevel="1" x14ac:dyDescent="0.25">
      <c r="A135" s="44"/>
      <c r="B135" s="11" t="str">
        <f>CONCATENATE("          ", "5086", " - ", "PURCHASES @ COST-COMPUTER SUPP")</f>
        <v xml:space="preserve">          5086 - PURCHASES @ COST-COMPUTER SUPP</v>
      </c>
      <c r="C135" s="11"/>
      <c r="D135" s="2">
        <v>36.979999999999997</v>
      </c>
      <c r="E135" s="2"/>
      <c r="F135" s="19">
        <f t="shared" si="7"/>
        <v>1.7014578056431193E-5</v>
      </c>
      <c r="G135" s="2"/>
      <c r="H135" s="2"/>
      <c r="I135" s="2"/>
      <c r="J135" s="19">
        <f t="shared" si="8"/>
        <v>0</v>
      </c>
      <c r="K135" s="2"/>
      <c r="L135" s="2">
        <f t="shared" si="9"/>
        <v>36.979999999999997</v>
      </c>
      <c r="M135" s="2"/>
      <c r="N135" s="19">
        <f t="shared" si="10"/>
        <v>0</v>
      </c>
      <c r="O135" s="11"/>
      <c r="P135" s="2">
        <v>416.24</v>
      </c>
      <c r="Q135" s="2"/>
      <c r="R135" s="19">
        <f t="shared" si="11"/>
        <v>5.4137191092204377E-5</v>
      </c>
      <c r="S135" s="2"/>
      <c r="T135" s="2"/>
      <c r="U135" s="2"/>
      <c r="V135" s="19">
        <f t="shared" si="12"/>
        <v>0</v>
      </c>
      <c r="W135" s="2"/>
      <c r="X135" s="2">
        <f t="shared" si="13"/>
        <v>416.24</v>
      </c>
      <c r="Y135" s="2"/>
      <c r="Z135" s="19">
        <f t="shared" si="14"/>
        <v>0</v>
      </c>
    </row>
    <row r="136" spans="1:26" s="24" customFormat="1" hidden="1" outlineLevel="1" x14ac:dyDescent="0.25">
      <c r="A136" s="44"/>
      <c r="B136" s="11" t="str">
        <f>CONCATENATE("          ", "5092", " - ", "PURCHASES @ COST-GRAD MERCH")</f>
        <v xml:space="preserve">          5092 - PURCHASES @ COST-GRAD MERCH</v>
      </c>
      <c r="C136" s="11"/>
      <c r="D136" s="2">
        <v>122.72</v>
      </c>
      <c r="E136" s="2"/>
      <c r="F136" s="19">
        <f t="shared" si="7"/>
        <v>5.6463737671315197E-5</v>
      </c>
      <c r="G136" s="2"/>
      <c r="H136" s="2"/>
      <c r="I136" s="2"/>
      <c r="J136" s="19">
        <f t="shared" si="8"/>
        <v>0</v>
      </c>
      <c r="K136" s="2"/>
      <c r="L136" s="2">
        <f t="shared" si="9"/>
        <v>122.72</v>
      </c>
      <c r="M136" s="2"/>
      <c r="N136" s="19">
        <f t="shared" si="10"/>
        <v>0</v>
      </c>
      <c r="O136" s="11"/>
      <c r="P136" s="2">
        <v>2046.86</v>
      </c>
      <c r="Q136" s="2"/>
      <c r="R136" s="19">
        <f t="shared" si="11"/>
        <v>2.6621961118342651E-4</v>
      </c>
      <c r="S136" s="2"/>
      <c r="T136" s="2"/>
      <c r="U136" s="2"/>
      <c r="V136" s="19">
        <f t="shared" si="12"/>
        <v>0</v>
      </c>
      <c r="W136" s="2"/>
      <c r="X136" s="2">
        <f t="shared" si="13"/>
        <v>2046.86</v>
      </c>
      <c r="Y136" s="2"/>
      <c r="Z136" s="19">
        <f t="shared" si="14"/>
        <v>0</v>
      </c>
    </row>
    <row r="137" spans="1:26" s="24" customFormat="1" hidden="1" outlineLevel="1" x14ac:dyDescent="0.25">
      <c r="A137" s="44"/>
      <c r="B137" s="11" t="str">
        <f>CONCATENATE("          ", "5095", " - ", "PURCHASES @ COST-CUSTOMER SERV")</f>
        <v xml:space="preserve">          5095 - PURCHASES @ COST-CUSTOMER SERV</v>
      </c>
      <c r="C137" s="11"/>
      <c r="D137" s="2"/>
      <c r="E137" s="2"/>
      <c r="F137" s="19">
        <f t="shared" si="7"/>
        <v>0</v>
      </c>
      <c r="G137" s="2"/>
      <c r="H137" s="2"/>
      <c r="I137" s="2"/>
      <c r="J137" s="19">
        <f t="shared" si="8"/>
        <v>0</v>
      </c>
      <c r="K137" s="2"/>
      <c r="L137" s="2">
        <f t="shared" si="9"/>
        <v>0</v>
      </c>
      <c r="M137" s="2"/>
      <c r="N137" s="19">
        <f t="shared" si="10"/>
        <v>0</v>
      </c>
      <c r="O137" s="11"/>
      <c r="P137" s="2">
        <v>0</v>
      </c>
      <c r="Q137" s="2"/>
      <c r="R137" s="19">
        <f t="shared" si="11"/>
        <v>0</v>
      </c>
      <c r="S137" s="2"/>
      <c r="T137" s="2"/>
      <c r="U137" s="2"/>
      <c r="V137" s="19">
        <f t="shared" si="12"/>
        <v>0</v>
      </c>
      <c r="W137" s="2"/>
      <c r="X137" s="2">
        <f t="shared" si="13"/>
        <v>0</v>
      </c>
      <c r="Y137" s="2"/>
      <c r="Z137" s="19">
        <f t="shared" si="14"/>
        <v>0</v>
      </c>
    </row>
    <row r="138" spans="1:26" s="24" customFormat="1" hidden="1" outlineLevel="1" x14ac:dyDescent="0.25">
      <c r="A138" s="44"/>
      <c r="B138" s="11" t="str">
        <f>CONCATENATE("          ", "5200", " - ", "PURCHASES OFFSET")</f>
        <v xml:space="preserve">          5200 - PURCHASES OFFSET</v>
      </c>
      <c r="C138" s="11"/>
      <c r="D138" s="2">
        <v>-1039044</v>
      </c>
      <c r="E138" s="2"/>
      <c r="F138" s="19">
        <f t="shared" si="7"/>
        <v>-0.47806639378221993</v>
      </c>
      <c r="G138" s="2"/>
      <c r="H138" s="2"/>
      <c r="I138" s="2"/>
      <c r="J138" s="19">
        <f t="shared" si="8"/>
        <v>0</v>
      </c>
      <c r="K138" s="2"/>
      <c r="L138" s="2">
        <f t="shared" si="9"/>
        <v>-1039044</v>
      </c>
      <c r="M138" s="2"/>
      <c r="N138" s="19">
        <f t="shared" si="10"/>
        <v>0</v>
      </c>
      <c r="O138" s="11"/>
      <c r="P138" s="2">
        <v>-4025566</v>
      </c>
      <c r="Q138" s="2"/>
      <c r="R138" s="19">
        <f t="shared" si="11"/>
        <v>-0.5235749466564501</v>
      </c>
      <c r="S138" s="2"/>
      <c r="T138" s="2"/>
      <c r="U138" s="2"/>
      <c r="V138" s="19">
        <f t="shared" si="12"/>
        <v>0</v>
      </c>
      <c r="W138" s="2"/>
      <c r="X138" s="2">
        <f t="shared" si="13"/>
        <v>-4025566</v>
      </c>
      <c r="Y138" s="2"/>
      <c r="Z138" s="19">
        <f t="shared" si="14"/>
        <v>0</v>
      </c>
    </row>
    <row r="139" spans="1:26" s="24" customFormat="1" hidden="1" outlineLevel="1" x14ac:dyDescent="0.25">
      <c r="A139" s="44"/>
      <c r="B139" s="11" t="str">
        <f>CONCATENATE("          ", "5300", " - ", "COG$ OFFSET")</f>
        <v xml:space="preserve">          5300 - COG$ OFFSET</v>
      </c>
      <c r="C139" s="11"/>
      <c r="D139" s="2">
        <v>732800</v>
      </c>
      <c r="E139" s="2"/>
      <c r="F139" s="19">
        <f t="shared" si="7"/>
        <v>0.33716286640759269</v>
      </c>
      <c r="G139" s="2"/>
      <c r="H139" s="2"/>
      <c r="I139" s="2"/>
      <c r="J139" s="19">
        <f t="shared" si="8"/>
        <v>0</v>
      </c>
      <c r="K139" s="2"/>
      <c r="L139" s="2">
        <f t="shared" si="9"/>
        <v>732800</v>
      </c>
      <c r="M139" s="2"/>
      <c r="N139" s="19">
        <f t="shared" si="10"/>
        <v>0</v>
      </c>
      <c r="O139" s="11"/>
      <c r="P139" s="2">
        <v>3245890.47</v>
      </c>
      <c r="Q139" s="2"/>
      <c r="R139" s="19">
        <f t="shared" si="11"/>
        <v>0.42216844281845833</v>
      </c>
      <c r="S139" s="2"/>
      <c r="T139" s="2"/>
      <c r="U139" s="2"/>
      <c r="V139" s="19">
        <f t="shared" si="12"/>
        <v>0</v>
      </c>
      <c r="W139" s="2"/>
      <c r="X139" s="2">
        <f t="shared" si="13"/>
        <v>3245890.47</v>
      </c>
      <c r="Y139" s="2"/>
      <c r="Z139" s="19">
        <f t="shared" si="14"/>
        <v>0</v>
      </c>
    </row>
    <row r="140" spans="1:26" s="24" customFormat="1" hidden="1" outlineLevel="1" x14ac:dyDescent="0.25">
      <c r="A140" s="44"/>
      <c r="B140" s="11" t="str">
        <f>CONCATENATE("          ", "5500", " - ", "FREIGHT-IN")</f>
        <v xml:space="preserve">          5500 - FREIGHT-IN</v>
      </c>
      <c r="C140" s="11"/>
      <c r="D140" s="2">
        <v>7.3</v>
      </c>
      <c r="E140" s="2"/>
      <c r="F140" s="19">
        <f t="shared" si="7"/>
        <v>3.3587458034599164E-6</v>
      </c>
      <c r="G140" s="2"/>
      <c r="H140" s="2"/>
      <c r="I140" s="2"/>
      <c r="J140" s="19">
        <f t="shared" si="8"/>
        <v>0</v>
      </c>
      <c r="K140" s="2"/>
      <c r="L140" s="2">
        <f t="shared" si="9"/>
        <v>7.3</v>
      </c>
      <c r="M140" s="2"/>
      <c r="N140" s="19">
        <f t="shared" si="10"/>
        <v>0</v>
      </c>
      <c r="O140" s="11"/>
      <c r="P140" s="2">
        <v>122.53</v>
      </c>
      <c r="Q140" s="2"/>
      <c r="R140" s="19">
        <f t="shared" si="11"/>
        <v>1.5936551087179997E-5</v>
      </c>
      <c r="S140" s="2"/>
      <c r="T140" s="2"/>
      <c r="U140" s="2"/>
      <c r="V140" s="19">
        <f t="shared" si="12"/>
        <v>0</v>
      </c>
      <c r="W140" s="2"/>
      <c r="X140" s="2">
        <f t="shared" si="13"/>
        <v>122.53</v>
      </c>
      <c r="Y140" s="2"/>
      <c r="Z140" s="19">
        <f t="shared" si="14"/>
        <v>0</v>
      </c>
    </row>
    <row r="141" spans="1:26" s="24" customFormat="1" hidden="1" outlineLevel="1" x14ac:dyDescent="0.25">
      <c r="A141" s="44"/>
      <c r="B141" s="11" t="str">
        <f>CONCATENATE("          ", "5501", " - ", "FREIGHT-IN-NEW TEXT")</f>
        <v xml:space="preserve">          5501 - FREIGHT-IN-NEW TEXT</v>
      </c>
      <c r="C141" s="11"/>
      <c r="D141" s="2">
        <v>3407.43</v>
      </c>
      <c r="E141" s="2"/>
      <c r="F141" s="19">
        <f t="shared" si="7"/>
        <v>1.5677659196004687E-3</v>
      </c>
      <c r="G141" s="2"/>
      <c r="H141" s="2"/>
      <c r="I141" s="2"/>
      <c r="J141" s="19">
        <f t="shared" si="8"/>
        <v>0</v>
      </c>
      <c r="K141" s="2"/>
      <c r="L141" s="2">
        <f t="shared" si="9"/>
        <v>3407.43</v>
      </c>
      <c r="M141" s="2"/>
      <c r="N141" s="19">
        <f t="shared" si="10"/>
        <v>0</v>
      </c>
      <c r="O141" s="11"/>
      <c r="P141" s="2">
        <v>42077.369999999995</v>
      </c>
      <c r="Q141" s="2"/>
      <c r="R141" s="19">
        <f t="shared" si="11"/>
        <v>5.4726855188049865E-3</v>
      </c>
      <c r="S141" s="2"/>
      <c r="T141" s="2"/>
      <c r="U141" s="2"/>
      <c r="V141" s="19">
        <f t="shared" si="12"/>
        <v>0</v>
      </c>
      <c r="W141" s="2"/>
      <c r="X141" s="2">
        <f t="shared" si="13"/>
        <v>42077.369999999995</v>
      </c>
      <c r="Y141" s="2"/>
      <c r="Z141" s="19">
        <f t="shared" si="14"/>
        <v>0</v>
      </c>
    </row>
    <row r="142" spans="1:26" s="24" customFormat="1" hidden="1" outlineLevel="1" x14ac:dyDescent="0.25">
      <c r="A142" s="44"/>
      <c r="B142" s="11" t="str">
        <f>CONCATENATE("          ", "5502", " - ", "FREIGHT-IN-USED TEXT")</f>
        <v xml:space="preserve">          5502 - FREIGHT-IN-USED TEXT</v>
      </c>
      <c r="C142" s="11"/>
      <c r="D142" s="2">
        <v>4124.8100000000004</v>
      </c>
      <c r="E142" s="2"/>
      <c r="F142" s="19">
        <f t="shared" si="7"/>
        <v>1.8978340106259588E-3</v>
      </c>
      <c r="G142" s="2"/>
      <c r="H142" s="2"/>
      <c r="I142" s="2"/>
      <c r="J142" s="19">
        <f t="shared" si="8"/>
        <v>0</v>
      </c>
      <c r="K142" s="2"/>
      <c r="L142" s="2">
        <f t="shared" si="9"/>
        <v>4124.8100000000004</v>
      </c>
      <c r="M142" s="2"/>
      <c r="N142" s="19">
        <f t="shared" si="10"/>
        <v>0</v>
      </c>
      <c r="O142" s="11"/>
      <c r="P142" s="2">
        <v>11778.23</v>
      </c>
      <c r="Q142" s="2"/>
      <c r="R142" s="19">
        <f t="shared" si="11"/>
        <v>1.5319053628626137E-3</v>
      </c>
      <c r="S142" s="2"/>
      <c r="T142" s="2"/>
      <c r="U142" s="2"/>
      <c r="V142" s="19">
        <f t="shared" si="12"/>
        <v>0</v>
      </c>
      <c r="W142" s="2"/>
      <c r="X142" s="2">
        <f t="shared" si="13"/>
        <v>11778.23</v>
      </c>
      <c r="Y142" s="2"/>
      <c r="Z142" s="19">
        <f t="shared" si="14"/>
        <v>0</v>
      </c>
    </row>
    <row r="143" spans="1:26" s="24" customFormat="1" hidden="1" outlineLevel="1" x14ac:dyDescent="0.25">
      <c r="A143" s="44"/>
      <c r="B143" s="11" t="str">
        <f>CONCATENATE("          ", "5504", " - ", "FREIGHT-IN-DIGITAL TEXT")</f>
        <v xml:space="preserve">          5504 - FREIGHT-IN-DIGITAL TEXT</v>
      </c>
      <c r="C143" s="11"/>
      <c r="D143" s="2"/>
      <c r="E143" s="2"/>
      <c r="F143" s="19">
        <f t="shared" si="7"/>
        <v>0</v>
      </c>
      <c r="G143" s="2"/>
      <c r="H143" s="2"/>
      <c r="I143" s="2"/>
      <c r="J143" s="19">
        <f t="shared" si="8"/>
        <v>0</v>
      </c>
      <c r="K143" s="2"/>
      <c r="L143" s="2">
        <f t="shared" si="9"/>
        <v>0</v>
      </c>
      <c r="M143" s="2"/>
      <c r="N143" s="19">
        <f t="shared" si="10"/>
        <v>0</v>
      </c>
      <c r="O143" s="11"/>
      <c r="P143" s="2">
        <v>105.97</v>
      </c>
      <c r="Q143" s="2"/>
      <c r="R143" s="19">
        <f t="shared" si="11"/>
        <v>1.3782717038345421E-5</v>
      </c>
      <c r="S143" s="2"/>
      <c r="T143" s="2"/>
      <c r="U143" s="2"/>
      <c r="V143" s="19">
        <f t="shared" si="12"/>
        <v>0</v>
      </c>
      <c r="W143" s="2"/>
      <c r="X143" s="2">
        <f t="shared" si="13"/>
        <v>105.97</v>
      </c>
      <c r="Y143" s="2"/>
      <c r="Z143" s="19">
        <f t="shared" si="14"/>
        <v>0</v>
      </c>
    </row>
    <row r="144" spans="1:26" s="24" customFormat="1" hidden="1" outlineLevel="1" x14ac:dyDescent="0.25">
      <c r="A144" s="44"/>
      <c r="B144" s="11" t="str">
        <f>CONCATENATE("          ", "5513", " - ", "FREIGHT-IN-TRADE BOOKS")</f>
        <v xml:space="preserve">          5513 - FREIGHT-IN-TRADE BOOKS</v>
      </c>
      <c r="C144" s="11"/>
      <c r="D144" s="2"/>
      <c r="E144" s="2"/>
      <c r="F144" s="19">
        <f t="shared" si="7"/>
        <v>0</v>
      </c>
      <c r="G144" s="2"/>
      <c r="H144" s="2"/>
      <c r="I144" s="2"/>
      <c r="J144" s="19">
        <f t="shared" si="8"/>
        <v>0</v>
      </c>
      <c r="K144" s="2"/>
      <c r="L144" s="2">
        <f t="shared" si="9"/>
        <v>0</v>
      </c>
      <c r="M144" s="2"/>
      <c r="N144" s="19">
        <f t="shared" si="10"/>
        <v>0</v>
      </c>
      <c r="O144" s="11"/>
      <c r="P144" s="2">
        <v>21.41</v>
      </c>
      <c r="Q144" s="2"/>
      <c r="R144" s="19">
        <f t="shared" si="11"/>
        <v>2.7846368952625786E-6</v>
      </c>
      <c r="S144" s="2"/>
      <c r="T144" s="2"/>
      <c r="U144" s="2"/>
      <c r="V144" s="19">
        <f t="shared" si="12"/>
        <v>0</v>
      </c>
      <c r="W144" s="2"/>
      <c r="X144" s="2">
        <f t="shared" si="13"/>
        <v>21.41</v>
      </c>
      <c r="Y144" s="2"/>
      <c r="Z144" s="19">
        <f t="shared" si="14"/>
        <v>0</v>
      </c>
    </row>
    <row r="145" spans="1:26" s="24" customFormat="1" hidden="1" outlineLevel="1" x14ac:dyDescent="0.25">
      <c r="A145" s="44"/>
      <c r="B145" s="11" t="str">
        <f>CONCATENATE("          ", "5518", " - ", "FREIGHT-IN-STUDY GUIDES")</f>
        <v xml:space="preserve">          5518 - FREIGHT-IN-STUDY GUIDES</v>
      </c>
      <c r="C145" s="11"/>
      <c r="D145" s="2"/>
      <c r="E145" s="2"/>
      <c r="F145" s="19">
        <f t="shared" si="7"/>
        <v>0</v>
      </c>
      <c r="G145" s="2"/>
      <c r="H145" s="2"/>
      <c r="I145" s="2"/>
      <c r="J145" s="19">
        <f t="shared" si="8"/>
        <v>0</v>
      </c>
      <c r="K145" s="2"/>
      <c r="L145" s="2">
        <f t="shared" si="9"/>
        <v>0</v>
      </c>
      <c r="M145" s="2"/>
      <c r="N145" s="19">
        <f t="shared" si="10"/>
        <v>0</v>
      </c>
      <c r="O145" s="11"/>
      <c r="P145" s="2">
        <v>21.13</v>
      </c>
      <c r="Q145" s="2"/>
      <c r="R145" s="19">
        <f t="shared" si="11"/>
        <v>2.7482194113450855E-6</v>
      </c>
      <c r="S145" s="2"/>
      <c r="T145" s="2"/>
      <c r="U145" s="2"/>
      <c r="V145" s="19">
        <f t="shared" si="12"/>
        <v>0</v>
      </c>
      <c r="W145" s="2"/>
      <c r="X145" s="2">
        <f t="shared" si="13"/>
        <v>21.13</v>
      </c>
      <c r="Y145" s="2"/>
      <c r="Z145" s="19">
        <f t="shared" si="14"/>
        <v>0</v>
      </c>
    </row>
    <row r="146" spans="1:26" s="24" customFormat="1" hidden="1" outlineLevel="1" x14ac:dyDescent="0.25">
      <c r="A146" s="44"/>
      <c r="B146" s="11" t="str">
        <f>CONCATENATE("          ", "5525", " - ", "FREIGHT-IN-TEST FORMS")</f>
        <v xml:space="preserve">          5525 - FREIGHT-IN-TEST FORMS</v>
      </c>
      <c r="C146" s="11"/>
      <c r="D146" s="2"/>
      <c r="E146" s="2"/>
      <c r="F146" s="19">
        <f t="shared" si="7"/>
        <v>0</v>
      </c>
      <c r="G146" s="2"/>
      <c r="H146" s="2"/>
      <c r="I146" s="2"/>
      <c r="J146" s="19">
        <f t="shared" si="8"/>
        <v>0</v>
      </c>
      <c r="K146" s="2"/>
      <c r="L146" s="2">
        <f t="shared" si="9"/>
        <v>0</v>
      </c>
      <c r="M146" s="2"/>
      <c r="N146" s="19">
        <f t="shared" si="10"/>
        <v>0</v>
      </c>
      <c r="O146" s="11"/>
      <c r="P146" s="2">
        <v>622.41</v>
      </c>
      <c r="Q146" s="2"/>
      <c r="R146" s="19">
        <f t="shared" si="11"/>
        <v>8.0952164875309742E-5</v>
      </c>
      <c r="S146" s="2"/>
      <c r="T146" s="2"/>
      <c r="U146" s="2"/>
      <c r="V146" s="19">
        <f t="shared" si="12"/>
        <v>0</v>
      </c>
      <c r="W146" s="2"/>
      <c r="X146" s="2">
        <f t="shared" si="13"/>
        <v>622.41</v>
      </c>
      <c r="Y146" s="2"/>
      <c r="Z146" s="19">
        <f t="shared" si="14"/>
        <v>0</v>
      </c>
    </row>
    <row r="147" spans="1:26" s="24" customFormat="1" hidden="1" outlineLevel="1" x14ac:dyDescent="0.25">
      <c r="A147" s="44"/>
      <c r="B147" s="11" t="str">
        <f>CONCATENATE("          ", "5526", " - ", "FREIGHT-IN-WRITING INSTRUMENTS")</f>
        <v xml:space="preserve">          5526 - FREIGHT-IN-WRITING INSTRUMENTS</v>
      </c>
      <c r="C147" s="11"/>
      <c r="D147" s="2"/>
      <c r="E147" s="2"/>
      <c r="F147" s="19">
        <f t="shared" si="7"/>
        <v>0</v>
      </c>
      <c r="G147" s="2"/>
      <c r="H147" s="2"/>
      <c r="I147" s="2"/>
      <c r="J147" s="19">
        <f t="shared" si="8"/>
        <v>0</v>
      </c>
      <c r="K147" s="2"/>
      <c r="L147" s="2">
        <f t="shared" si="9"/>
        <v>0</v>
      </c>
      <c r="M147" s="2"/>
      <c r="N147" s="19">
        <f t="shared" si="10"/>
        <v>0</v>
      </c>
      <c r="O147" s="11"/>
      <c r="P147" s="2">
        <v>260.35000000000002</v>
      </c>
      <c r="Q147" s="2"/>
      <c r="R147" s="19">
        <f t="shared" si="11"/>
        <v>3.3861756921140234E-5</v>
      </c>
      <c r="S147" s="2"/>
      <c r="T147" s="2"/>
      <c r="U147" s="2"/>
      <c r="V147" s="19">
        <f t="shared" si="12"/>
        <v>0</v>
      </c>
      <c r="W147" s="2"/>
      <c r="X147" s="2">
        <f t="shared" si="13"/>
        <v>260.35000000000002</v>
      </c>
      <c r="Y147" s="2"/>
      <c r="Z147" s="19">
        <f t="shared" si="14"/>
        <v>0</v>
      </c>
    </row>
    <row r="148" spans="1:26" s="24" customFormat="1" hidden="1" outlineLevel="1" x14ac:dyDescent="0.25">
      <c r="A148" s="44"/>
      <c r="B148" s="11" t="str">
        <f>CONCATENATE("          ", "5527", " - ", "FREIGHT-IN-SCHOOL SUPPLIES")</f>
        <v xml:space="preserve">          5527 - FREIGHT-IN-SCHOOL SUPPLIES</v>
      </c>
      <c r="C148" s="11"/>
      <c r="D148" s="2">
        <v>321.92</v>
      </c>
      <c r="E148" s="2"/>
      <c r="F148" s="19">
        <f t="shared" si="7"/>
        <v>1.4811608891093374E-4</v>
      </c>
      <c r="G148" s="2"/>
      <c r="H148" s="2"/>
      <c r="I148" s="2"/>
      <c r="J148" s="19">
        <f t="shared" si="8"/>
        <v>0</v>
      </c>
      <c r="K148" s="2"/>
      <c r="L148" s="2">
        <f t="shared" si="9"/>
        <v>321.92</v>
      </c>
      <c r="M148" s="2"/>
      <c r="N148" s="19">
        <f t="shared" si="10"/>
        <v>0</v>
      </c>
      <c r="O148" s="11"/>
      <c r="P148" s="2">
        <v>1219.8399999999999</v>
      </c>
      <c r="Q148" s="2"/>
      <c r="R148" s="19">
        <f t="shared" si="11"/>
        <v>1.5865536993540886E-4</v>
      </c>
      <c r="S148" s="2"/>
      <c r="T148" s="2"/>
      <c r="U148" s="2"/>
      <c r="V148" s="19">
        <f t="shared" si="12"/>
        <v>0</v>
      </c>
      <c r="W148" s="2"/>
      <c r="X148" s="2">
        <f t="shared" si="13"/>
        <v>1219.8399999999999</v>
      </c>
      <c r="Y148" s="2"/>
      <c r="Z148" s="19">
        <f t="shared" si="14"/>
        <v>0</v>
      </c>
    </row>
    <row r="149" spans="1:26" s="24" customFormat="1" hidden="1" outlineLevel="1" x14ac:dyDescent="0.25">
      <c r="A149" s="44"/>
      <c r="B149" s="11" t="str">
        <f>CONCATENATE("          ", "5528", " - ", "FREIGHT-IN-ART/TECH")</f>
        <v xml:space="preserve">          5528 - FREIGHT-IN-ART/TECH</v>
      </c>
      <c r="C149" s="11"/>
      <c r="D149" s="2">
        <v>220.82</v>
      </c>
      <c r="E149" s="2"/>
      <c r="F149" s="19">
        <f t="shared" si="7"/>
        <v>1.0159976004383818E-4</v>
      </c>
      <c r="G149" s="2"/>
      <c r="H149" s="2"/>
      <c r="I149" s="2"/>
      <c r="J149" s="19">
        <f t="shared" si="8"/>
        <v>0</v>
      </c>
      <c r="K149" s="2"/>
      <c r="L149" s="2">
        <f t="shared" si="9"/>
        <v>220.82</v>
      </c>
      <c r="M149" s="2"/>
      <c r="N149" s="19">
        <f t="shared" si="10"/>
        <v>0</v>
      </c>
      <c r="O149" s="11"/>
      <c r="P149" s="2">
        <v>1331.46</v>
      </c>
      <c r="Q149" s="2"/>
      <c r="R149" s="19">
        <f t="shared" si="11"/>
        <v>1.7317293977423228E-4</v>
      </c>
      <c r="S149" s="2"/>
      <c r="T149" s="2"/>
      <c r="U149" s="2"/>
      <c r="V149" s="19">
        <f t="shared" si="12"/>
        <v>0</v>
      </c>
      <c r="W149" s="2"/>
      <c r="X149" s="2">
        <f t="shared" si="13"/>
        <v>1331.46</v>
      </c>
      <c r="Y149" s="2"/>
      <c r="Z149" s="19">
        <f t="shared" si="14"/>
        <v>0</v>
      </c>
    </row>
    <row r="150" spans="1:26" s="24" customFormat="1" hidden="1" outlineLevel="1" x14ac:dyDescent="0.25">
      <c r="A150" s="44"/>
      <c r="B150" s="11" t="str">
        <f>CONCATENATE("          ", "5540", " - ", "FREIGHT-IN-LOGO CLOTHING")</f>
        <v xml:space="preserve">          5540 - FREIGHT-IN-LOGO CLOTHING</v>
      </c>
      <c r="C150" s="11"/>
      <c r="D150" s="2">
        <v>1400.5</v>
      </c>
      <c r="E150" s="2"/>
      <c r="F150" s="19">
        <f t="shared" si="7"/>
        <v>6.4437308188296065E-4</v>
      </c>
      <c r="G150" s="2"/>
      <c r="H150" s="2"/>
      <c r="I150" s="2"/>
      <c r="J150" s="19">
        <f t="shared" si="8"/>
        <v>0</v>
      </c>
      <c r="K150" s="2"/>
      <c r="L150" s="2">
        <f t="shared" si="9"/>
        <v>1400.5</v>
      </c>
      <c r="M150" s="2"/>
      <c r="N150" s="19">
        <f t="shared" si="10"/>
        <v>0</v>
      </c>
      <c r="O150" s="11"/>
      <c r="P150" s="2">
        <v>25677.89</v>
      </c>
      <c r="Q150" s="2"/>
      <c r="R150" s="19">
        <f t="shared" si="11"/>
        <v>3.339729093250538E-3</v>
      </c>
      <c r="S150" s="2"/>
      <c r="T150" s="2"/>
      <c r="U150" s="2"/>
      <c r="V150" s="19">
        <f t="shared" si="12"/>
        <v>0</v>
      </c>
      <c r="W150" s="2"/>
      <c r="X150" s="2">
        <f t="shared" si="13"/>
        <v>25677.89</v>
      </c>
      <c r="Y150" s="2"/>
      <c r="Z150" s="19">
        <f t="shared" si="14"/>
        <v>0</v>
      </c>
    </row>
    <row r="151" spans="1:26" s="24" customFormat="1" hidden="1" outlineLevel="1" x14ac:dyDescent="0.25">
      <c r="A151" s="44"/>
      <c r="B151" s="11" t="str">
        <f>CONCATENATE("          ", "5541", " - ", "FREIGHT-IN-LOGO GIFTS")</f>
        <v xml:space="preserve">          5541 - FREIGHT-IN-LOGO GIFTS</v>
      </c>
      <c r="C151" s="11"/>
      <c r="D151" s="2">
        <v>24.8</v>
      </c>
      <c r="E151" s="2"/>
      <c r="F151" s="19">
        <f t="shared" si="7"/>
        <v>1.1410533688466566E-5</v>
      </c>
      <c r="G151" s="2"/>
      <c r="H151" s="2"/>
      <c r="I151" s="2"/>
      <c r="J151" s="19">
        <f t="shared" si="8"/>
        <v>0</v>
      </c>
      <c r="K151" s="2"/>
      <c r="L151" s="2">
        <f t="shared" si="9"/>
        <v>24.8</v>
      </c>
      <c r="M151" s="2"/>
      <c r="N151" s="19">
        <f t="shared" si="10"/>
        <v>0</v>
      </c>
      <c r="O151" s="11"/>
      <c r="P151" s="2">
        <v>3587.57</v>
      </c>
      <c r="Q151" s="2"/>
      <c r="R151" s="19">
        <f t="shared" si="11"/>
        <v>4.6660811706385658E-4</v>
      </c>
      <c r="S151" s="2"/>
      <c r="T151" s="2"/>
      <c r="U151" s="2"/>
      <c r="V151" s="19">
        <f t="shared" si="12"/>
        <v>0</v>
      </c>
      <c r="W151" s="2"/>
      <c r="X151" s="2">
        <f t="shared" si="13"/>
        <v>3587.57</v>
      </c>
      <c r="Y151" s="2"/>
      <c r="Z151" s="19">
        <f t="shared" si="14"/>
        <v>0</v>
      </c>
    </row>
    <row r="152" spans="1:26" s="24" customFormat="1" hidden="1" outlineLevel="1" x14ac:dyDescent="0.25">
      <c r="A152" s="44"/>
      <c r="B152" s="11" t="str">
        <f>CONCATENATE("          ", "5542", " - ", "FREIGHT-IN-EVERYDAY GIFTS")</f>
        <v xml:space="preserve">          5542 - FREIGHT-IN-EVERYDAY GIFTS</v>
      </c>
      <c r="C152" s="11"/>
      <c r="D152" s="2"/>
      <c r="E152" s="2"/>
      <c r="F152" s="19">
        <f t="shared" si="7"/>
        <v>0</v>
      </c>
      <c r="G152" s="2"/>
      <c r="H152" s="2"/>
      <c r="I152" s="2"/>
      <c r="J152" s="19">
        <f t="shared" si="8"/>
        <v>0</v>
      </c>
      <c r="K152" s="2"/>
      <c r="L152" s="2">
        <f t="shared" si="9"/>
        <v>0</v>
      </c>
      <c r="M152" s="2"/>
      <c r="N152" s="19">
        <f t="shared" si="10"/>
        <v>0</v>
      </c>
      <c r="O152" s="11"/>
      <c r="P152" s="2">
        <v>1708.33</v>
      </c>
      <c r="Q152" s="2"/>
      <c r="R152" s="19">
        <f t="shared" si="11"/>
        <v>2.2218957250275202E-4</v>
      </c>
      <c r="S152" s="2"/>
      <c r="T152" s="2"/>
      <c r="U152" s="2"/>
      <c r="V152" s="19">
        <f t="shared" si="12"/>
        <v>0</v>
      </c>
      <c r="W152" s="2"/>
      <c r="X152" s="2">
        <f t="shared" si="13"/>
        <v>1708.33</v>
      </c>
      <c r="Y152" s="2"/>
      <c r="Z152" s="19">
        <f t="shared" si="14"/>
        <v>0</v>
      </c>
    </row>
    <row r="153" spans="1:26" s="24" customFormat="1" hidden="1" outlineLevel="1" x14ac:dyDescent="0.25">
      <c r="A153" s="44"/>
      <c r="B153" s="11" t="str">
        <f>CONCATENATE("          ", "5543", " - ", "FREIGHT-IN-CARDS")</f>
        <v xml:space="preserve">          5543 - FREIGHT-IN-CARDS</v>
      </c>
      <c r="C153" s="11"/>
      <c r="D153" s="2"/>
      <c r="E153" s="2"/>
      <c r="F153" s="19">
        <f t="shared" si="7"/>
        <v>0</v>
      </c>
      <c r="G153" s="2"/>
      <c r="H153" s="2"/>
      <c r="I153" s="2"/>
      <c r="J153" s="19">
        <f t="shared" si="8"/>
        <v>0</v>
      </c>
      <c r="K153" s="2"/>
      <c r="L153" s="2">
        <f t="shared" si="9"/>
        <v>0</v>
      </c>
      <c r="M153" s="2"/>
      <c r="N153" s="19">
        <f t="shared" si="10"/>
        <v>0</v>
      </c>
      <c r="O153" s="11"/>
      <c r="P153" s="2">
        <v>121.35</v>
      </c>
      <c r="Q153" s="2"/>
      <c r="R153" s="19">
        <f t="shared" si="11"/>
        <v>1.5783077404956276E-5</v>
      </c>
      <c r="S153" s="2"/>
      <c r="T153" s="2"/>
      <c r="U153" s="2"/>
      <c r="V153" s="19">
        <f t="shared" si="12"/>
        <v>0</v>
      </c>
      <c r="W153" s="2"/>
      <c r="X153" s="2">
        <f t="shared" si="13"/>
        <v>121.35</v>
      </c>
      <c r="Y153" s="2"/>
      <c r="Z153" s="19">
        <f t="shared" si="14"/>
        <v>0</v>
      </c>
    </row>
    <row r="154" spans="1:26" s="24" customFormat="1" hidden="1" outlineLevel="1" x14ac:dyDescent="0.25">
      <c r="A154" s="44"/>
      <c r="B154" s="11" t="str">
        <f>CONCATENATE("          ", "5544", " - ", "FREIGHT-IN-ACCESSORIES")</f>
        <v xml:space="preserve">          5544 - FREIGHT-IN-ACCESSORIES</v>
      </c>
      <c r="C154" s="11"/>
      <c r="D154" s="2"/>
      <c r="E154" s="2"/>
      <c r="F154" s="19">
        <f t="shared" si="7"/>
        <v>0</v>
      </c>
      <c r="G154" s="2"/>
      <c r="H154" s="2"/>
      <c r="I154" s="2"/>
      <c r="J154" s="19">
        <f t="shared" si="8"/>
        <v>0</v>
      </c>
      <c r="K154" s="2"/>
      <c r="L154" s="2">
        <f t="shared" si="9"/>
        <v>0</v>
      </c>
      <c r="M154" s="2"/>
      <c r="N154" s="19">
        <f t="shared" si="10"/>
        <v>0</v>
      </c>
      <c r="O154" s="11"/>
      <c r="P154" s="2">
        <v>442.31</v>
      </c>
      <c r="Q154" s="2"/>
      <c r="R154" s="19">
        <f t="shared" si="11"/>
        <v>5.7527918969808087E-5</v>
      </c>
      <c r="S154" s="2"/>
      <c r="T154" s="2"/>
      <c r="U154" s="2"/>
      <c r="V154" s="19">
        <f t="shared" si="12"/>
        <v>0</v>
      </c>
      <c r="W154" s="2"/>
      <c r="X154" s="2">
        <f t="shared" si="13"/>
        <v>442.31</v>
      </c>
      <c r="Y154" s="2"/>
      <c r="Z154" s="19">
        <f t="shared" si="14"/>
        <v>0</v>
      </c>
    </row>
    <row r="155" spans="1:26" s="24" customFormat="1" hidden="1" outlineLevel="1" x14ac:dyDescent="0.25">
      <c r="A155" s="44"/>
      <c r="B155" s="11" t="str">
        <f>CONCATENATE("          ", "5545", " - ", "FREIGHT-IN-SPECIAL ORDERS")</f>
        <v xml:space="preserve">          5545 - FREIGHT-IN-SPECIAL ORDERS</v>
      </c>
      <c r="C155" s="11"/>
      <c r="D155" s="2">
        <v>14.23</v>
      </c>
      <c r="E155" s="2"/>
      <c r="F155" s="19">
        <f t="shared" si="7"/>
        <v>6.5472538059225493E-6</v>
      </c>
      <c r="G155" s="2"/>
      <c r="H155" s="2"/>
      <c r="I155" s="2"/>
      <c r="J155" s="19">
        <f t="shared" si="8"/>
        <v>0</v>
      </c>
      <c r="K155" s="2"/>
      <c r="L155" s="2">
        <f t="shared" si="9"/>
        <v>14.23</v>
      </c>
      <c r="M155" s="2"/>
      <c r="N155" s="19">
        <f t="shared" si="10"/>
        <v>0</v>
      </c>
      <c r="O155" s="11"/>
      <c r="P155" s="2">
        <v>841.9</v>
      </c>
      <c r="Q155" s="2"/>
      <c r="R155" s="19">
        <f t="shared" si="11"/>
        <v>1.0949957039334726E-4</v>
      </c>
      <c r="S155" s="2"/>
      <c r="T155" s="2"/>
      <c r="U155" s="2"/>
      <c r="V155" s="19">
        <f t="shared" si="12"/>
        <v>0</v>
      </c>
      <c r="W155" s="2"/>
      <c r="X155" s="2">
        <f t="shared" si="13"/>
        <v>841.9</v>
      </c>
      <c r="Y155" s="2"/>
      <c r="Z155" s="19">
        <f t="shared" si="14"/>
        <v>0</v>
      </c>
    </row>
    <row r="156" spans="1:26" s="24" customFormat="1" hidden="1" outlineLevel="1" x14ac:dyDescent="0.25">
      <c r="A156" s="44"/>
      <c r="B156" s="11" t="str">
        <f>CONCATENATE("          ", "5592", " - ", "FREIGHT-IN-GRAD MERCH")</f>
        <v xml:space="preserve">          5592 - FREIGHT-IN-GRAD MERCH</v>
      </c>
      <c r="C156" s="11"/>
      <c r="D156" s="2"/>
      <c r="E156" s="2"/>
      <c r="F156" s="19">
        <f t="shared" si="7"/>
        <v>0</v>
      </c>
      <c r="G156" s="2"/>
      <c r="H156" s="2"/>
      <c r="I156" s="2"/>
      <c r="J156" s="19">
        <f t="shared" si="8"/>
        <v>0</v>
      </c>
      <c r="K156" s="2"/>
      <c r="L156" s="2">
        <f t="shared" si="9"/>
        <v>0</v>
      </c>
      <c r="M156" s="2"/>
      <c r="N156" s="19">
        <f t="shared" si="10"/>
        <v>0</v>
      </c>
      <c r="O156" s="11"/>
      <c r="P156" s="2">
        <v>105.78</v>
      </c>
      <c r="Q156" s="2"/>
      <c r="R156" s="19">
        <f t="shared" si="11"/>
        <v>1.3758005174258551E-5</v>
      </c>
      <c r="S156" s="2"/>
      <c r="T156" s="2"/>
      <c r="U156" s="2"/>
      <c r="V156" s="19">
        <f t="shared" si="12"/>
        <v>0</v>
      </c>
      <c r="W156" s="2"/>
      <c r="X156" s="2">
        <f t="shared" si="13"/>
        <v>105.78</v>
      </c>
      <c r="Y156" s="2"/>
      <c r="Z156" s="19">
        <f t="shared" si="14"/>
        <v>0</v>
      </c>
    </row>
    <row r="157" spans="1:26" x14ac:dyDescent="0.25">
      <c r="A157" s="9"/>
      <c r="B157" s="10"/>
      <c r="C157" s="10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O157" s="10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x14ac:dyDescent="0.25">
      <c r="A158" s="10"/>
      <c r="B158" s="29" t="s">
        <v>6</v>
      </c>
      <c r="C158" s="29"/>
      <c r="D158" s="21">
        <f>D12-D105</f>
        <v>983907.90000000014</v>
      </c>
      <c r="E158" s="14"/>
      <c r="F158" s="20">
        <f>IF(D$12=0,0,D158/D$12)</f>
        <v>0.45269815481041914</v>
      </c>
      <c r="G158" s="14"/>
      <c r="H158" s="21">
        <f>H12-H105</f>
        <v>840208.82935999986</v>
      </c>
      <c r="I158" s="14"/>
      <c r="J158" s="20">
        <f>IF(H$12=0,0,H158/H$12)</f>
        <v>0.34601821219729378</v>
      </c>
      <c r="K158" s="16"/>
      <c r="L158" s="21">
        <f>+D158-H158</f>
        <v>143699.07064000028</v>
      </c>
      <c r="M158" s="16"/>
      <c r="N158" s="20">
        <f>IF(H158=0,0,L158/H158)</f>
        <v>0.1710278035871845</v>
      </c>
      <c r="O158" s="28"/>
      <c r="P158" s="21">
        <f>P12-P105</f>
        <v>3278665.2499999944</v>
      </c>
      <c r="Q158" s="14"/>
      <c r="R158" s="20">
        <f>IF(P$12=0,0,P158/P$12)</f>
        <v>0.4264312107597053</v>
      </c>
      <c r="S158" s="14"/>
      <c r="T158" s="21">
        <f>T12-T105</f>
        <v>3332755.9907799996</v>
      </c>
      <c r="U158" s="14"/>
      <c r="V158" s="20">
        <f>IF(T$12=0,0,T158/T$12)</f>
        <v>0.4031418871775897</v>
      </c>
      <c r="W158" s="16"/>
      <c r="X158" s="21">
        <f>+P158-T158</f>
        <v>-54090.740780005231</v>
      </c>
      <c r="Y158" s="16"/>
      <c r="Z158" s="20">
        <f>IF(T158=0,0,X158/T158)</f>
        <v>-1.6230033320664982E-2</v>
      </c>
    </row>
    <row r="159" spans="1:26" x14ac:dyDescent="0.25">
      <c r="A159" s="9"/>
      <c r="B159" s="10"/>
      <c r="C159" s="9"/>
      <c r="D159" s="1"/>
      <c r="E159" s="1"/>
      <c r="F159" s="5"/>
      <c r="G159" s="1"/>
      <c r="H159" s="1"/>
      <c r="I159" s="1"/>
      <c r="J159" s="5"/>
      <c r="K159" s="1"/>
      <c r="L159" s="1"/>
      <c r="M159" s="1"/>
      <c r="N159" s="5"/>
      <c r="O159" s="36"/>
      <c r="P159" s="1"/>
      <c r="Q159" s="1"/>
      <c r="R159" s="5"/>
      <c r="S159" s="1"/>
      <c r="T159" s="1"/>
      <c r="U159" s="1"/>
      <c r="V159" s="5"/>
      <c r="W159" s="1"/>
      <c r="X159" s="1"/>
      <c r="Y159" s="1"/>
      <c r="Z159" s="5"/>
    </row>
    <row r="160" spans="1:26" s="23" customFormat="1" x14ac:dyDescent="0.25">
      <c r="A160" s="10"/>
      <c r="B160" s="28" t="s">
        <v>9</v>
      </c>
      <c r="C160" s="10"/>
      <c r="D160" s="22">
        <f>SUM(OSRRefD22x_0)</f>
        <v>469995.02000000014</v>
      </c>
      <c r="E160" s="22"/>
      <c r="F160" s="35">
        <f t="shared" ref="F160:F171" si="15">IF(D$12=0,0,D160/D$12)</f>
        <v>0.21624572617425478</v>
      </c>
      <c r="G160" s="22"/>
      <c r="H160" s="22">
        <f>SUM(OSRRefH22x_0)</f>
        <v>463206.45003541565</v>
      </c>
      <c r="I160" s="22"/>
      <c r="J160" s="35">
        <f t="shared" ref="J160:J171" si="16">IF(H$12=0,0,H160/H$12)</f>
        <v>0.19075956133619276</v>
      </c>
      <c r="K160" s="4"/>
      <c r="L160" s="22">
        <f t="shared" ref="L160:L171" si="17">+D160-H160</f>
        <v>6788.569964584487</v>
      </c>
      <c r="M160" s="4"/>
      <c r="N160" s="35">
        <f t="shared" ref="N160:N171" si="18">IF(H160=0,0,L160/H160)</f>
        <v>1.4655603271641509E-2</v>
      </c>
      <c r="O160" s="10"/>
      <c r="P160" s="22">
        <f>SUM(OSRRefP22x_0)</f>
        <v>2710081.4000000004</v>
      </c>
      <c r="Q160" s="22"/>
      <c r="R160" s="35">
        <f t="shared" ref="R160:R171" si="19">IF(P$12=0,0,P160/P$12)</f>
        <v>0.3524798064271305</v>
      </c>
      <c r="S160" s="22"/>
      <c r="T160" s="22">
        <f>SUM(OSRRefT22x_0)</f>
        <v>2902772.7588664633</v>
      </c>
      <c r="U160" s="22"/>
      <c r="V160" s="35">
        <f t="shared" ref="V160:V171" si="20">IF(T$12=0,0,T160/T$12)</f>
        <v>0.35112960303560764</v>
      </c>
      <c r="W160" s="4"/>
      <c r="X160" s="22">
        <f t="shared" ref="X160:X171" si="21">+P160-T160</f>
        <v>-192691.35886646295</v>
      </c>
      <c r="Y160" s="4"/>
      <c r="Z160" s="35">
        <f t="shared" ref="Z160:Z171" si="22">IF(T160=0,0,X160/T160)</f>
        <v>-6.638182691975833E-2</v>
      </c>
    </row>
    <row r="161" spans="1:26" s="27" customFormat="1" outlineLevel="1" collapsed="1" x14ac:dyDescent="0.25">
      <c r="A161" s="26"/>
      <c r="B161" s="13" t="str">
        <f>CONCATENATE("     ","*Benefits                                         ")</f>
        <v xml:space="preserve">     *Benefits                                         </v>
      </c>
      <c r="C161" s="13"/>
      <c r="D161" s="1">
        <f>SUM(OSRRefD22_0x_0)</f>
        <v>48144.320000000007</v>
      </c>
      <c r="E161" s="1"/>
      <c r="F161" s="5">
        <f t="shared" si="15"/>
        <v>2.2151305857593336E-2</v>
      </c>
      <c r="G161" s="1"/>
      <c r="H161" s="1">
        <f>SUM(OSRRefH22_0x_0)</f>
        <v>53662.629349551113</v>
      </c>
      <c r="I161" s="1"/>
      <c r="J161" s="5">
        <f t="shared" si="16"/>
        <v>2.2099561942810604E-2</v>
      </c>
      <c r="K161" s="1"/>
      <c r="L161" s="1">
        <f t="shared" si="17"/>
        <v>-5518.3093495511057</v>
      </c>
      <c r="M161" s="1"/>
      <c r="N161" s="5">
        <f t="shared" si="18"/>
        <v>-0.10283337615839851</v>
      </c>
      <c r="O161" s="13"/>
      <c r="P161" s="1">
        <f>SUM(OSRRefP22_0x_0)</f>
        <v>349890.69</v>
      </c>
      <c r="Q161" s="1"/>
      <c r="R161" s="5">
        <f t="shared" si="19"/>
        <v>4.5507637771269566E-2</v>
      </c>
      <c r="S161" s="1"/>
      <c r="T161" s="1">
        <f>SUM(OSRRefT22_0x_0)</f>
        <v>348063.88205917866</v>
      </c>
      <c r="U161" s="1"/>
      <c r="V161" s="5">
        <f t="shared" si="20"/>
        <v>4.2103031443011509E-2</v>
      </c>
      <c r="W161" s="1"/>
      <c r="X161" s="1">
        <f t="shared" si="21"/>
        <v>1826.807940821338</v>
      </c>
      <c r="Y161" s="1"/>
      <c r="Z161" s="5">
        <f t="shared" si="22"/>
        <v>5.2484846460189158E-3</v>
      </c>
    </row>
    <row r="162" spans="1:26" s="24" customFormat="1" hidden="1" outlineLevel="2" x14ac:dyDescent="0.25">
      <c r="A162" s="25"/>
      <c r="B162" s="11" t="str">
        <f>CONCATENATE("          ", "6111", " - ", "F.I.C.A.")</f>
        <v xml:space="preserve">          6111 - F.I.C.A.</v>
      </c>
      <c r="C162" s="11"/>
      <c r="D162" s="7">
        <v>7050.15</v>
      </c>
      <c r="E162" s="2"/>
      <c r="F162" s="6">
        <f t="shared" si="15"/>
        <v>3.243789277570264E-3</v>
      </c>
      <c r="G162" s="2"/>
      <c r="H162" s="7">
        <v>9477.6937003614803</v>
      </c>
      <c r="I162" s="2"/>
      <c r="J162" s="6">
        <f t="shared" si="16"/>
        <v>3.9031423086218278E-3</v>
      </c>
      <c r="K162" s="2"/>
      <c r="L162" s="7">
        <f t="shared" si="17"/>
        <v>-2427.5437003614807</v>
      </c>
      <c r="M162" s="2"/>
      <c r="N162" s="6">
        <f t="shared" si="18"/>
        <v>-0.25613232259963137</v>
      </c>
      <c r="O162" s="11"/>
      <c r="P162" s="7">
        <v>67610.349999999991</v>
      </c>
      <c r="Q162" s="2"/>
      <c r="R162" s="6">
        <f t="shared" si="19"/>
        <v>8.7935672635037956E-3</v>
      </c>
      <c r="S162" s="2"/>
      <c r="T162" s="7">
        <v>66478.390748269696</v>
      </c>
      <c r="U162" s="2"/>
      <c r="V162" s="6">
        <f t="shared" si="20"/>
        <v>8.0414599739461658E-3</v>
      </c>
      <c r="W162" s="2"/>
      <c r="X162" s="7">
        <f t="shared" si="21"/>
        <v>1131.9592517302954</v>
      </c>
      <c r="Y162" s="2"/>
      <c r="Z162" s="6">
        <f t="shared" si="22"/>
        <v>1.7027476733253475E-2</v>
      </c>
    </row>
    <row r="163" spans="1:26" s="24" customFormat="1" hidden="1" outlineLevel="2" x14ac:dyDescent="0.25">
      <c r="A163" s="25"/>
      <c r="B163" s="11" t="str">
        <f>CONCATENATE("          ", "6112", " - ", "COMPENSATION INSURANCE")</f>
        <v xml:space="preserve">          6112 - COMPENSATION INSURANCE</v>
      </c>
      <c r="C163" s="11"/>
      <c r="D163" s="7">
        <v>3511.82</v>
      </c>
      <c r="E163" s="2"/>
      <c r="F163" s="6">
        <f t="shared" si="15"/>
        <v>1.6157959845899458E-3</v>
      </c>
      <c r="G163" s="2"/>
      <c r="H163" s="7">
        <v>4651.7118940903802</v>
      </c>
      <c r="I163" s="2"/>
      <c r="J163" s="6">
        <f t="shared" si="16"/>
        <v>1.9156868828384967E-3</v>
      </c>
      <c r="K163" s="2"/>
      <c r="L163" s="7">
        <f t="shared" si="17"/>
        <v>-1139.89189409038</v>
      </c>
      <c r="M163" s="2"/>
      <c r="N163" s="6">
        <f t="shared" si="18"/>
        <v>-0.24504782756183149</v>
      </c>
      <c r="O163" s="11"/>
      <c r="P163" s="7">
        <v>16961.62</v>
      </c>
      <c r="Q163" s="2"/>
      <c r="R163" s="6">
        <f t="shared" si="19"/>
        <v>2.2060697270165183E-3</v>
      </c>
      <c r="S163" s="2"/>
      <c r="T163" s="7">
        <v>25152.324868840373</v>
      </c>
      <c r="U163" s="2"/>
      <c r="V163" s="6">
        <f t="shared" si="20"/>
        <v>3.0425136861444721E-3</v>
      </c>
      <c r="W163" s="2"/>
      <c r="X163" s="7">
        <f t="shared" si="21"/>
        <v>-8190.7048688403738</v>
      </c>
      <c r="Y163" s="2"/>
      <c r="Z163" s="6">
        <f t="shared" si="22"/>
        <v>-0.32564404728197993</v>
      </c>
    </row>
    <row r="164" spans="1:26" s="24" customFormat="1" hidden="1" outlineLevel="2" x14ac:dyDescent="0.25">
      <c r="A164" s="25"/>
      <c r="B164" s="11" t="str">
        <f>CONCATENATE("          ", "6113", " - ", "GROUP INSURANCE")</f>
        <v xml:space="preserve">          6113 - GROUP INSURANCE</v>
      </c>
      <c r="C164" s="11"/>
      <c r="D164" s="7">
        <v>17435.190000000002</v>
      </c>
      <c r="E164" s="2"/>
      <c r="F164" s="6">
        <f t="shared" si="15"/>
        <v>8.0219686637022346E-3</v>
      </c>
      <c r="G164" s="2"/>
      <c r="H164" s="7">
        <v>18982.511538461542</v>
      </c>
      <c r="I164" s="2"/>
      <c r="J164" s="6">
        <f t="shared" si="16"/>
        <v>7.8174549897983524E-3</v>
      </c>
      <c r="K164" s="2"/>
      <c r="L164" s="7">
        <f t="shared" si="17"/>
        <v>-1547.3215384615396</v>
      </c>
      <c r="M164" s="2"/>
      <c r="N164" s="6">
        <f t="shared" si="18"/>
        <v>-8.1513003973495493E-2</v>
      </c>
      <c r="O164" s="11"/>
      <c r="P164" s="7">
        <v>128355.12000000001</v>
      </c>
      <c r="Q164" s="2"/>
      <c r="R164" s="6">
        <f t="shared" si="19"/>
        <v>1.6694180422599521E-2</v>
      </c>
      <c r="S164" s="2"/>
      <c r="T164" s="7">
        <v>130990.81153846154</v>
      </c>
      <c r="U164" s="2"/>
      <c r="V164" s="6">
        <f t="shared" si="20"/>
        <v>1.5845109306721311E-2</v>
      </c>
      <c r="W164" s="2"/>
      <c r="X164" s="7">
        <f t="shared" si="21"/>
        <v>-2635.6915384615277</v>
      </c>
      <c r="Y164" s="2"/>
      <c r="Z164" s="6">
        <f t="shared" si="22"/>
        <v>-2.0121194055566529E-2</v>
      </c>
    </row>
    <row r="165" spans="1:26" s="24" customFormat="1" hidden="1" outlineLevel="2" x14ac:dyDescent="0.25">
      <c r="A165" s="25"/>
      <c r="B165" s="11" t="str">
        <f>CONCATENATE("          ", "6114", " - ", "STATE UNEMPLOYMENT INSURANCE")</f>
        <v xml:space="preserve">          6114 - STATE UNEMPLOYMENT INSURANCE</v>
      </c>
      <c r="C165" s="11"/>
      <c r="D165" s="7">
        <v>556.9</v>
      </c>
      <c r="E165" s="2"/>
      <c r="F165" s="6">
        <f t="shared" si="15"/>
        <v>2.5623089560915442E-4</v>
      </c>
      <c r="G165" s="2"/>
      <c r="H165" s="7">
        <v>657.51706414349792</v>
      </c>
      <c r="I165" s="2"/>
      <c r="J165" s="6">
        <f t="shared" si="16"/>
        <v>2.7078134753409649E-4</v>
      </c>
      <c r="K165" s="2"/>
      <c r="L165" s="7">
        <f t="shared" si="17"/>
        <v>-100.61706414349794</v>
      </c>
      <c r="M165" s="2"/>
      <c r="N165" s="6">
        <f t="shared" si="18"/>
        <v>-0.15302578386245358</v>
      </c>
      <c r="O165" s="11"/>
      <c r="P165" s="7">
        <v>3514.07</v>
      </c>
      <c r="Q165" s="2"/>
      <c r="R165" s="6">
        <f t="shared" si="19"/>
        <v>4.5704852753551472E-4</v>
      </c>
      <c r="S165" s="2"/>
      <c r="T165" s="7">
        <v>3569.5696422657702</v>
      </c>
      <c r="U165" s="2"/>
      <c r="V165" s="6">
        <f t="shared" si="20"/>
        <v>4.317876994223217E-4</v>
      </c>
      <c r="W165" s="2"/>
      <c r="X165" s="7">
        <f t="shared" si="21"/>
        <v>-55.499642265770035</v>
      </c>
      <c r="Y165" s="2"/>
      <c r="Z165" s="6">
        <f t="shared" si="22"/>
        <v>-1.5547992567121301E-2</v>
      </c>
    </row>
    <row r="166" spans="1:26" s="24" customFormat="1" hidden="1" outlineLevel="2" x14ac:dyDescent="0.25">
      <c r="A166" s="25"/>
      <c r="B166" s="11" t="str">
        <f>CONCATENATE("          ", "6115", " - ", "P.E.R.S.")</f>
        <v xml:space="preserve">          6115 - P.E.R.S.</v>
      </c>
      <c r="C166" s="11"/>
      <c r="D166" s="7">
        <v>8904.76</v>
      </c>
      <c r="E166" s="2"/>
      <c r="F166" s="6">
        <f t="shared" si="15"/>
        <v>4.0970993535366746E-3</v>
      </c>
      <c r="G166" s="2"/>
      <c r="H166" s="7">
        <v>7584.9434099038408</v>
      </c>
      <c r="I166" s="2"/>
      <c r="J166" s="6">
        <f t="shared" si="16"/>
        <v>3.1236621975416711E-3</v>
      </c>
      <c r="K166" s="2"/>
      <c r="L166" s="7">
        <f t="shared" si="17"/>
        <v>1319.8165900961594</v>
      </c>
      <c r="M166" s="2"/>
      <c r="N166" s="6">
        <f t="shared" si="18"/>
        <v>0.17400480382923406</v>
      </c>
      <c r="O166" s="11"/>
      <c r="P166" s="7">
        <v>50671.8</v>
      </c>
      <c r="Q166" s="2"/>
      <c r="R166" s="6">
        <f t="shared" si="19"/>
        <v>6.5904980770371945E-3</v>
      </c>
      <c r="S166" s="2"/>
      <c r="T166" s="7">
        <v>46640.268341403797</v>
      </c>
      <c r="U166" s="2"/>
      <c r="V166" s="6">
        <f t="shared" si="20"/>
        <v>5.6417709096134999E-3</v>
      </c>
      <c r="W166" s="2"/>
      <c r="X166" s="7">
        <f t="shared" si="21"/>
        <v>4031.5316585962064</v>
      </c>
      <c r="Y166" s="2"/>
      <c r="Z166" s="6">
        <f t="shared" si="22"/>
        <v>8.643886070906906E-2</v>
      </c>
    </row>
    <row r="167" spans="1:26" s="24" customFormat="1" hidden="1" outlineLevel="2" x14ac:dyDescent="0.25">
      <c r="A167" s="25"/>
      <c r="B167" s="11" t="str">
        <f>CONCATENATE("          ", "6116", " - ", "EDUCATIONAL BENEFITS")</f>
        <v xml:space="preserve">          6116 - EDUCATIONAL BENEFITS</v>
      </c>
      <c r="C167" s="11"/>
      <c r="D167" s="7"/>
      <c r="E167" s="2"/>
      <c r="F167" s="6">
        <f t="shared" si="15"/>
        <v>0</v>
      </c>
      <c r="G167" s="2"/>
      <c r="H167" s="7">
        <v>0</v>
      </c>
      <c r="I167" s="2"/>
      <c r="J167" s="6">
        <f t="shared" si="16"/>
        <v>0</v>
      </c>
      <c r="K167" s="2"/>
      <c r="L167" s="7">
        <f t="shared" si="17"/>
        <v>0</v>
      </c>
      <c r="M167" s="2"/>
      <c r="N167" s="6">
        <f t="shared" si="18"/>
        <v>0</v>
      </c>
      <c r="O167" s="11"/>
      <c r="P167" s="7"/>
      <c r="Q167" s="2"/>
      <c r="R167" s="6">
        <f t="shared" si="19"/>
        <v>0</v>
      </c>
      <c r="S167" s="2"/>
      <c r="T167" s="7">
        <v>0</v>
      </c>
      <c r="U167" s="2"/>
      <c r="V167" s="6">
        <f t="shared" si="20"/>
        <v>0</v>
      </c>
      <c r="W167" s="2"/>
      <c r="X167" s="7">
        <f t="shared" si="21"/>
        <v>0</v>
      </c>
      <c r="Y167" s="2"/>
      <c r="Z167" s="6">
        <f t="shared" si="22"/>
        <v>0</v>
      </c>
    </row>
    <row r="168" spans="1:26" s="24" customFormat="1" hidden="1" outlineLevel="2" x14ac:dyDescent="0.25">
      <c r="A168" s="25"/>
      <c r="B168" s="11" t="str">
        <f>CONCATENATE("          ", "6117", " - ", "RETIREMENT STAFF HOURLY")</f>
        <v xml:space="preserve">          6117 - RETIREMENT STAFF HOURLY</v>
      </c>
      <c r="C168" s="11"/>
      <c r="D168" s="7">
        <v>213.49</v>
      </c>
      <c r="E168" s="2"/>
      <c r="F168" s="6">
        <f t="shared" si="15"/>
        <v>9.8227211175432548E-5</v>
      </c>
      <c r="G168" s="2"/>
      <c r="H168" s="7"/>
      <c r="I168" s="2"/>
      <c r="J168" s="6">
        <f t="shared" si="16"/>
        <v>0</v>
      </c>
      <c r="K168" s="2"/>
      <c r="L168" s="7">
        <f t="shared" si="17"/>
        <v>213.49</v>
      </c>
      <c r="M168" s="2"/>
      <c r="N168" s="6">
        <f t="shared" si="18"/>
        <v>0</v>
      </c>
      <c r="O168" s="11"/>
      <c r="P168" s="7">
        <v>952.23</v>
      </c>
      <c r="Q168" s="2"/>
      <c r="R168" s="6">
        <f t="shared" si="19"/>
        <v>1.2384935968126506E-4</v>
      </c>
      <c r="S168" s="2"/>
      <c r="T168" s="7"/>
      <c r="U168" s="2"/>
      <c r="V168" s="6">
        <f t="shared" si="20"/>
        <v>0</v>
      </c>
      <c r="W168" s="2"/>
      <c r="X168" s="7">
        <f t="shared" si="21"/>
        <v>952.23</v>
      </c>
      <c r="Y168" s="2"/>
      <c r="Z168" s="6">
        <f t="shared" si="22"/>
        <v>0</v>
      </c>
    </row>
    <row r="169" spans="1:26" s="24" customFormat="1" hidden="1" outlineLevel="2" x14ac:dyDescent="0.25">
      <c r="A169" s="25"/>
      <c r="B169" s="11" t="str">
        <f>CONCATENATE("          ", "6118", " - ", "VACATION")</f>
        <v xml:space="preserve">          6118 - VACATION</v>
      </c>
      <c r="C169" s="11"/>
      <c r="D169" s="7">
        <v>4317.5</v>
      </c>
      <c r="E169" s="2"/>
      <c r="F169" s="6">
        <f t="shared" si="15"/>
        <v>1.9864910967723548E-3</v>
      </c>
      <c r="G169" s="2"/>
      <c r="H169" s="7">
        <v>5525.4732486730754</v>
      </c>
      <c r="I169" s="2"/>
      <c r="J169" s="6">
        <f t="shared" si="16"/>
        <v>2.2755228322298938E-3</v>
      </c>
      <c r="K169" s="2"/>
      <c r="L169" s="7">
        <f t="shared" si="17"/>
        <v>-1207.9732486730754</v>
      </c>
      <c r="M169" s="2"/>
      <c r="N169" s="6">
        <f t="shared" si="18"/>
        <v>-0.21861896607013098</v>
      </c>
      <c r="O169" s="11"/>
      <c r="P169" s="7">
        <v>37958.800000000003</v>
      </c>
      <c r="Q169" s="2"/>
      <c r="R169" s="6">
        <f t="shared" si="19"/>
        <v>4.9370142447404571E-3</v>
      </c>
      <c r="S169" s="2"/>
      <c r="T169" s="7">
        <v>33973.390141773052</v>
      </c>
      <c r="U169" s="2"/>
      <c r="V169" s="6">
        <f t="shared" si="20"/>
        <v>4.1095407685005679E-3</v>
      </c>
      <c r="W169" s="2"/>
      <c r="X169" s="7">
        <f t="shared" si="21"/>
        <v>3985.4098582269507</v>
      </c>
      <c r="Y169" s="2"/>
      <c r="Z169" s="6">
        <f t="shared" si="22"/>
        <v>0.11730974864726745</v>
      </c>
    </row>
    <row r="170" spans="1:26" s="24" customFormat="1" hidden="1" outlineLevel="2" x14ac:dyDescent="0.25">
      <c r="A170" s="25"/>
      <c r="B170" s="11" t="str">
        <f>CONCATENATE("          ", "6119", " - ", "SICK LEAVE")</f>
        <v xml:space="preserve">          6119 - SICK LEAVE</v>
      </c>
      <c r="C170" s="11"/>
      <c r="D170" s="7">
        <v>3376.33</v>
      </c>
      <c r="E170" s="2"/>
      <c r="F170" s="6">
        <f t="shared" si="15"/>
        <v>1.5534567422734E-3</v>
      </c>
      <c r="G170" s="2"/>
      <c r="H170" s="7">
        <v>5232.7784939172925</v>
      </c>
      <c r="I170" s="2"/>
      <c r="J170" s="6">
        <f t="shared" si="16"/>
        <v>2.1549840896922007E-3</v>
      </c>
      <c r="K170" s="2"/>
      <c r="L170" s="7">
        <f t="shared" si="17"/>
        <v>-1856.4484939172926</v>
      </c>
      <c r="M170" s="2"/>
      <c r="N170" s="6">
        <f t="shared" si="18"/>
        <v>-0.35477299413213703</v>
      </c>
      <c r="O170" s="11"/>
      <c r="P170" s="7">
        <v>29565.58</v>
      </c>
      <c r="Q170" s="2"/>
      <c r="R170" s="6">
        <f t="shared" si="19"/>
        <v>3.8453715505762445E-3</v>
      </c>
      <c r="S170" s="2"/>
      <c r="T170" s="7">
        <v>30409.126778164478</v>
      </c>
      <c r="U170" s="2"/>
      <c r="V170" s="6">
        <f t="shared" si="20"/>
        <v>3.6783949352087609E-3</v>
      </c>
      <c r="W170" s="2"/>
      <c r="X170" s="7">
        <f t="shared" si="21"/>
        <v>-843.54677816447656</v>
      </c>
      <c r="Y170" s="2"/>
      <c r="Z170" s="6">
        <f t="shared" si="22"/>
        <v>-2.7739921120332606E-2</v>
      </c>
    </row>
    <row r="171" spans="1:26" s="24" customFormat="1" hidden="1" outlineLevel="2" x14ac:dyDescent="0.25">
      <c r="A171" s="25"/>
      <c r="B171" s="11" t="str">
        <f>CONCATENATE("          ", "6156", " - ", "EMPLOYEE MEALS")</f>
        <v xml:space="preserve">          6156 - EMPLOYEE MEALS</v>
      </c>
      <c r="C171" s="11"/>
      <c r="D171" s="7">
        <v>2778.18</v>
      </c>
      <c r="E171" s="2"/>
      <c r="F171" s="6">
        <f t="shared" si="15"/>
        <v>1.2782466323638727E-3</v>
      </c>
      <c r="G171" s="2"/>
      <c r="H171" s="7">
        <v>1550</v>
      </c>
      <c r="I171" s="2"/>
      <c r="J171" s="6">
        <f t="shared" si="16"/>
        <v>6.3832729455406327E-4</v>
      </c>
      <c r="K171" s="2"/>
      <c r="L171" s="7">
        <f t="shared" si="17"/>
        <v>1228.1799999999998</v>
      </c>
      <c r="M171" s="2"/>
      <c r="N171" s="6">
        <f t="shared" si="18"/>
        <v>0.79237419354838701</v>
      </c>
      <c r="O171" s="11"/>
      <c r="P171" s="7">
        <v>14301.12</v>
      </c>
      <c r="Q171" s="2"/>
      <c r="R171" s="6">
        <f t="shared" si="19"/>
        <v>1.8600385985790551E-3</v>
      </c>
      <c r="S171" s="2"/>
      <c r="T171" s="7">
        <v>10850</v>
      </c>
      <c r="U171" s="2"/>
      <c r="V171" s="6">
        <f t="shared" si="20"/>
        <v>1.3124541634544132E-3</v>
      </c>
      <c r="W171" s="2"/>
      <c r="X171" s="7">
        <f t="shared" si="21"/>
        <v>3451.1200000000008</v>
      </c>
      <c r="Y171" s="2"/>
      <c r="Z171" s="6">
        <f t="shared" si="22"/>
        <v>0.31807557603686643</v>
      </c>
    </row>
    <row r="172" spans="1:26" s="27" customFormat="1" outlineLevel="1" collapsed="1" x14ac:dyDescent="0.25">
      <c r="A172" s="26"/>
      <c r="B172" s="13" t="str">
        <f>CONCATENATE("     ","*Payroll                                          ")</f>
        <v xml:space="preserve">     *Payroll                                          </v>
      </c>
      <c r="C172" s="13"/>
      <c r="D172" s="1">
        <f>SUM(OSRRefD22_1x_0)</f>
        <v>267287.26</v>
      </c>
      <c r="E172" s="1"/>
      <c r="F172" s="5">
        <f t="shared" ref="F172:F182" si="23">IF(D$12=0,0,D172/D$12)</f>
        <v>0.12297944696483556</v>
      </c>
      <c r="G172" s="1"/>
      <c r="H172" s="1">
        <f>SUM(OSRRefH22_1x_0)</f>
        <v>243785.32068586457</v>
      </c>
      <c r="I172" s="1"/>
      <c r="J172" s="5">
        <f t="shared" ref="J172:J182" si="24">IF(H$12=0,0,H172/H$12)</f>
        <v>0.10039666077767913</v>
      </c>
      <c r="K172" s="1"/>
      <c r="L172" s="1">
        <f t="shared" ref="L172:L182" si="25">+D172-H172</f>
        <v>23501.939314135438</v>
      </c>
      <c r="M172" s="1"/>
      <c r="N172" s="5">
        <f t="shared" ref="N172:N182" si="26">IF(H172=0,0,L172/H172)</f>
        <v>9.6404243077537172E-2</v>
      </c>
      <c r="O172" s="13"/>
      <c r="P172" s="1">
        <f>SUM(OSRRefP22_1x_0)</f>
        <v>1302058.4099999999</v>
      </c>
      <c r="Q172" s="1"/>
      <c r="R172" s="5">
        <f t="shared" ref="R172:R182" si="27">IF(P$12=0,0,P172/P$12)</f>
        <v>0.16934889716361184</v>
      </c>
      <c r="S172" s="1"/>
      <c r="T172" s="1">
        <f>SUM(OSRRefT22_1x_0)</f>
        <v>1316797.3768072845</v>
      </c>
      <c r="U172" s="1"/>
      <c r="V172" s="5">
        <f t="shared" ref="V172:V182" si="28">IF(T$12=0,0,T172/T$12)</f>
        <v>0.15928444236097422</v>
      </c>
      <c r="W172" s="1"/>
      <c r="X172" s="1">
        <f t="shared" ref="X172:X182" si="29">+P172-T172</f>
        <v>-14738.966807284625</v>
      </c>
      <c r="Y172" s="1"/>
      <c r="Z172" s="5">
        <f t="shared" ref="Z172:Z182" si="30">IF(T172=0,0,X172/T172)</f>
        <v>-1.1193040832919048E-2</v>
      </c>
    </row>
    <row r="173" spans="1:26" s="24" customFormat="1" hidden="1" outlineLevel="2" x14ac:dyDescent="0.25">
      <c r="A173" s="25"/>
      <c r="B173" s="11" t="str">
        <f>CONCATENATE("          ", "6001", " - ", "ADMINISTRATIVE SALARIES")</f>
        <v xml:space="preserve">          6001 - ADMINISTRATIVE SALARIES</v>
      </c>
      <c r="C173" s="11"/>
      <c r="D173" s="7">
        <v>12324.43</v>
      </c>
      <c r="E173" s="2"/>
      <c r="F173" s="6">
        <f t="shared" si="23"/>
        <v>5.6704969236349998E-3</v>
      </c>
      <c r="G173" s="2"/>
      <c r="H173" s="7">
        <v>30633.201127307686</v>
      </c>
      <c r="I173" s="2"/>
      <c r="J173" s="6">
        <f t="shared" si="24"/>
        <v>1.2615489289757933E-2</v>
      </c>
      <c r="K173" s="2"/>
      <c r="L173" s="7">
        <f t="shared" si="25"/>
        <v>-18308.771127307686</v>
      </c>
      <c r="M173" s="2"/>
      <c r="N173" s="6">
        <f t="shared" si="26"/>
        <v>-0.59767737139905042</v>
      </c>
      <c r="O173" s="11"/>
      <c r="P173" s="7">
        <v>79306.540000000008</v>
      </c>
      <c r="Q173" s="2"/>
      <c r="R173" s="6">
        <f t="shared" si="27"/>
        <v>1.0314802303578586E-2</v>
      </c>
      <c r="S173" s="2"/>
      <c r="T173" s="7">
        <v>189925.84698930767</v>
      </c>
      <c r="U173" s="2"/>
      <c r="V173" s="6">
        <f t="shared" si="28"/>
        <v>2.2974098491126513E-2</v>
      </c>
      <c r="W173" s="2"/>
      <c r="X173" s="7">
        <f t="shared" si="29"/>
        <v>-110619.30698930766</v>
      </c>
      <c r="Y173" s="2"/>
      <c r="Z173" s="6">
        <f t="shared" si="30"/>
        <v>-0.58243419072673785</v>
      </c>
    </row>
    <row r="174" spans="1:26" s="24" customFormat="1" hidden="1" outlineLevel="2" x14ac:dyDescent="0.25">
      <c r="A174" s="25"/>
      <c r="B174" s="11" t="str">
        <f>CONCATENATE("          ", "6002", " - ", "STAFF SALARIES")</f>
        <v xml:space="preserve">          6002 - STAFF SALARIES</v>
      </c>
      <c r="C174" s="11"/>
      <c r="D174" s="7">
        <v>67079.87</v>
      </c>
      <c r="E174" s="2"/>
      <c r="F174" s="6">
        <f t="shared" si="23"/>
        <v>3.0863593405361194E-2</v>
      </c>
      <c r="G174" s="2"/>
      <c r="H174" s="7">
        <v>49686.883182057689</v>
      </c>
      <c r="I174" s="2"/>
      <c r="J174" s="6">
        <f t="shared" si="24"/>
        <v>2.0462254010597852E-2</v>
      </c>
      <c r="K174" s="2"/>
      <c r="L174" s="7">
        <f t="shared" si="25"/>
        <v>17392.986817942307</v>
      </c>
      <c r="M174" s="2"/>
      <c r="N174" s="6">
        <f t="shared" si="26"/>
        <v>0.35005187896798984</v>
      </c>
      <c r="O174" s="11"/>
      <c r="P174" s="7">
        <v>416563.19</v>
      </c>
      <c r="Q174" s="2"/>
      <c r="R174" s="6">
        <f t="shared" si="27"/>
        <v>5.4179225973016144E-2</v>
      </c>
      <c r="S174" s="2"/>
      <c r="T174" s="7">
        <v>304045.10772875778</v>
      </c>
      <c r="U174" s="2"/>
      <c r="V174" s="6">
        <f t="shared" si="28"/>
        <v>3.6778365669728454E-2</v>
      </c>
      <c r="W174" s="2"/>
      <c r="X174" s="7">
        <f t="shared" si="29"/>
        <v>112518.08227124222</v>
      </c>
      <c r="Y174" s="2"/>
      <c r="Z174" s="6">
        <f t="shared" si="30"/>
        <v>0.37007035933503962</v>
      </c>
    </row>
    <row r="175" spans="1:26" s="24" customFormat="1" hidden="1" outlineLevel="2" x14ac:dyDescent="0.25">
      <c r="A175" s="25"/>
      <c r="B175" s="11" t="str">
        <f>CONCATENATE("          ", "6003", " - ", "STAFF HOURLY-9 MONTH")</f>
        <v xml:space="preserve">          6003 - STAFF HOURLY-9 MONTH</v>
      </c>
      <c r="C175" s="11"/>
      <c r="D175" s="7"/>
      <c r="E175" s="2"/>
      <c r="F175" s="6">
        <f t="shared" si="23"/>
        <v>0</v>
      </c>
      <c r="G175" s="2"/>
      <c r="H175" s="7">
        <v>0</v>
      </c>
      <c r="I175" s="2"/>
      <c r="J175" s="6">
        <f t="shared" si="24"/>
        <v>0</v>
      </c>
      <c r="K175" s="2"/>
      <c r="L175" s="7">
        <f t="shared" si="25"/>
        <v>0</v>
      </c>
      <c r="M175" s="2"/>
      <c r="N175" s="6">
        <f t="shared" si="26"/>
        <v>0</v>
      </c>
      <c r="O175" s="11"/>
      <c r="P175" s="7"/>
      <c r="Q175" s="2"/>
      <c r="R175" s="6">
        <f t="shared" si="27"/>
        <v>0</v>
      </c>
      <c r="S175" s="2"/>
      <c r="T175" s="7">
        <v>0</v>
      </c>
      <c r="U175" s="2"/>
      <c r="V175" s="6">
        <f t="shared" si="28"/>
        <v>0</v>
      </c>
      <c r="W175" s="2"/>
      <c r="X175" s="7">
        <f t="shared" si="29"/>
        <v>0</v>
      </c>
      <c r="Y175" s="2"/>
      <c r="Z175" s="6">
        <f t="shared" si="30"/>
        <v>0</v>
      </c>
    </row>
    <row r="176" spans="1:26" s="24" customFormat="1" hidden="1" outlineLevel="2" x14ac:dyDescent="0.25">
      <c r="A176" s="25"/>
      <c r="B176" s="11" t="str">
        <f>CONCATENATE("          ", "6004", " - ", "STAFF HOURLY")</f>
        <v xml:space="preserve">          6004 - STAFF HOURLY</v>
      </c>
      <c r="C176" s="11"/>
      <c r="D176" s="7">
        <v>4901.03</v>
      </c>
      <c r="E176" s="2"/>
      <c r="F176" s="6">
        <f t="shared" si="23"/>
        <v>2.2549745130316648E-3</v>
      </c>
      <c r="G176" s="2"/>
      <c r="H176" s="7">
        <v>26069.22954</v>
      </c>
      <c r="I176" s="2"/>
      <c r="J176" s="6">
        <f t="shared" si="24"/>
        <v>1.0735935976372303E-2</v>
      </c>
      <c r="K176" s="2"/>
      <c r="L176" s="7">
        <f t="shared" si="25"/>
        <v>-21168.199540000001</v>
      </c>
      <c r="M176" s="2"/>
      <c r="N176" s="6">
        <f t="shared" si="26"/>
        <v>-0.81199943049793721</v>
      </c>
      <c r="O176" s="11"/>
      <c r="P176" s="7">
        <v>20845.27</v>
      </c>
      <c r="Q176" s="2"/>
      <c r="R176" s="6">
        <f t="shared" si="27"/>
        <v>2.7111867320742723E-3</v>
      </c>
      <c r="S176" s="2"/>
      <c r="T176" s="7">
        <v>164593.738148</v>
      </c>
      <c r="U176" s="2"/>
      <c r="V176" s="6">
        <f t="shared" si="28"/>
        <v>1.9909837503305813E-2</v>
      </c>
      <c r="W176" s="2"/>
      <c r="X176" s="7">
        <f t="shared" si="29"/>
        <v>-143748.46814800001</v>
      </c>
      <c r="Y176" s="2"/>
      <c r="Z176" s="6">
        <f t="shared" si="30"/>
        <v>-0.87335320143676265</v>
      </c>
    </row>
    <row r="177" spans="1:26" s="24" customFormat="1" hidden="1" outlineLevel="2" x14ac:dyDescent="0.25">
      <c r="A177" s="25"/>
      <c r="B177" s="11" t="str">
        <f>CONCATENATE("          ", "6005", " - ", "TEMPORARY WAGES-HOURLY")</f>
        <v xml:space="preserve">          6005 - TEMPORARY WAGES-HOURLY</v>
      </c>
      <c r="C177" s="11"/>
      <c r="D177" s="7">
        <v>19670.46</v>
      </c>
      <c r="E177" s="2"/>
      <c r="F177" s="6">
        <f t="shared" si="23"/>
        <v>9.0504212297433072E-3</v>
      </c>
      <c r="G177" s="2"/>
      <c r="H177" s="7">
        <v>4606.8</v>
      </c>
      <c r="I177" s="2"/>
      <c r="J177" s="6">
        <f t="shared" si="24"/>
        <v>1.8971910842268767E-3</v>
      </c>
      <c r="K177" s="2"/>
      <c r="L177" s="7">
        <f t="shared" si="25"/>
        <v>15063.66</v>
      </c>
      <c r="M177" s="2"/>
      <c r="N177" s="6">
        <f t="shared" si="26"/>
        <v>3.2698749674394372</v>
      </c>
      <c r="O177" s="11"/>
      <c r="P177" s="7">
        <v>127875.18000000001</v>
      </c>
      <c r="Q177" s="2"/>
      <c r="R177" s="6">
        <f t="shared" si="27"/>
        <v>1.6631758253916086E-2</v>
      </c>
      <c r="S177" s="2"/>
      <c r="T177" s="7">
        <v>24430</v>
      </c>
      <c r="U177" s="2"/>
      <c r="V177" s="6">
        <f t="shared" si="28"/>
        <v>2.9551387293263883E-3</v>
      </c>
      <c r="W177" s="2"/>
      <c r="X177" s="7">
        <f t="shared" si="29"/>
        <v>103445.18000000001</v>
      </c>
      <c r="Y177" s="2"/>
      <c r="Z177" s="6">
        <f t="shared" si="30"/>
        <v>4.2343503888661482</v>
      </c>
    </row>
    <row r="178" spans="1:26" s="24" customFormat="1" hidden="1" outlineLevel="2" x14ac:dyDescent="0.25">
      <c r="A178" s="25"/>
      <c r="B178" s="11" t="str">
        <f>CONCATENATE("          ", "6006", " - ", "TEMPORARY PART TIME")</f>
        <v xml:space="preserve">          6006 - TEMPORARY PART TIME</v>
      </c>
      <c r="C178" s="11"/>
      <c r="D178" s="7">
        <v>1012.12</v>
      </c>
      <c r="E178" s="2"/>
      <c r="F178" s="6">
        <f t="shared" si="23"/>
        <v>4.65678603095596E-4</v>
      </c>
      <c r="G178" s="2"/>
      <c r="H178" s="7">
        <v>0</v>
      </c>
      <c r="I178" s="2"/>
      <c r="J178" s="6">
        <f t="shared" si="24"/>
        <v>0</v>
      </c>
      <c r="K178" s="2"/>
      <c r="L178" s="7">
        <f t="shared" si="25"/>
        <v>1012.12</v>
      </c>
      <c r="M178" s="2"/>
      <c r="N178" s="6">
        <f t="shared" si="26"/>
        <v>0</v>
      </c>
      <c r="O178" s="11"/>
      <c r="P178" s="7">
        <v>21519.870000000003</v>
      </c>
      <c r="Q178" s="2"/>
      <c r="R178" s="6">
        <f t="shared" si="27"/>
        <v>2.7989268558269182E-3</v>
      </c>
      <c r="S178" s="2"/>
      <c r="T178" s="7">
        <v>0</v>
      </c>
      <c r="U178" s="2"/>
      <c r="V178" s="6">
        <f t="shared" si="28"/>
        <v>0</v>
      </c>
      <c r="W178" s="2"/>
      <c r="X178" s="7">
        <f t="shared" si="29"/>
        <v>21519.870000000003</v>
      </c>
      <c r="Y178" s="2"/>
      <c r="Z178" s="6">
        <f t="shared" si="30"/>
        <v>0</v>
      </c>
    </row>
    <row r="179" spans="1:26" s="24" customFormat="1" hidden="1" outlineLevel="2" x14ac:dyDescent="0.25">
      <c r="A179" s="25"/>
      <c r="B179" s="11" t="str">
        <f>CONCATENATE("          ", "6007", " - ", "STUDENT HOURLY")</f>
        <v xml:space="preserve">          6007 - STUDENT HOURLY</v>
      </c>
      <c r="C179" s="11"/>
      <c r="D179" s="7">
        <v>157739.96000000002</v>
      </c>
      <c r="E179" s="2"/>
      <c r="F179" s="6">
        <f t="shared" si="23"/>
        <v>7.2576497080539065E-2</v>
      </c>
      <c r="G179" s="2"/>
      <c r="H179" s="7">
        <v>8347.6834139999992</v>
      </c>
      <c r="I179" s="2"/>
      <c r="J179" s="6">
        <f t="shared" si="24"/>
        <v>3.4377768835177074E-3</v>
      </c>
      <c r="K179" s="2"/>
      <c r="L179" s="7">
        <f t="shared" si="25"/>
        <v>149392.27658600002</v>
      </c>
      <c r="M179" s="2"/>
      <c r="N179" s="6">
        <f t="shared" si="26"/>
        <v>17.896255664829415</v>
      </c>
      <c r="O179" s="11"/>
      <c r="P179" s="7">
        <v>624945.72</v>
      </c>
      <c r="Q179" s="2"/>
      <c r="R179" s="6">
        <f t="shared" si="27"/>
        <v>8.128196681216425E-2</v>
      </c>
      <c r="S179" s="2"/>
      <c r="T179" s="7">
        <v>154030.36977720002</v>
      </c>
      <c r="U179" s="2"/>
      <c r="V179" s="6">
        <f t="shared" si="28"/>
        <v>1.8632055309908659E-2</v>
      </c>
      <c r="W179" s="2"/>
      <c r="X179" s="7">
        <f t="shared" si="29"/>
        <v>470915.35022279993</v>
      </c>
      <c r="Y179" s="2"/>
      <c r="Z179" s="6">
        <f t="shared" si="30"/>
        <v>3.0572889677793014</v>
      </c>
    </row>
    <row r="180" spans="1:26" s="24" customFormat="1" hidden="1" outlineLevel="2" x14ac:dyDescent="0.25">
      <c r="A180" s="25"/>
      <c r="B180" s="11" t="str">
        <f>CONCATENATE("          ", "6008", " - ", "STUDENT HOURLY-FICA EXEMPT")</f>
        <v xml:space="preserve">          6008 - STUDENT HOURLY-FICA EXEMPT</v>
      </c>
      <c r="C180" s="11"/>
      <c r="D180" s="7">
        <v>4559.3900000000003</v>
      </c>
      <c r="E180" s="2"/>
      <c r="F180" s="6">
        <f t="shared" si="23"/>
        <v>2.0977852094297409E-3</v>
      </c>
      <c r="G180" s="2"/>
      <c r="H180" s="7">
        <v>124441.5234224992</v>
      </c>
      <c r="I180" s="2"/>
      <c r="J180" s="6">
        <f t="shared" si="24"/>
        <v>5.124801353320646E-2</v>
      </c>
      <c r="K180" s="2"/>
      <c r="L180" s="7">
        <f t="shared" si="25"/>
        <v>-119882.1334224992</v>
      </c>
      <c r="M180" s="2"/>
      <c r="N180" s="6">
        <f t="shared" si="26"/>
        <v>-0.96336118463834508</v>
      </c>
      <c r="O180" s="11"/>
      <c r="P180" s="7">
        <v>11002.64</v>
      </c>
      <c r="Q180" s="2"/>
      <c r="R180" s="6">
        <f t="shared" si="27"/>
        <v>1.4310302330355841E-3</v>
      </c>
      <c r="S180" s="2"/>
      <c r="T180" s="7">
        <v>479772.31416401919</v>
      </c>
      <c r="U180" s="2"/>
      <c r="V180" s="6">
        <f t="shared" si="28"/>
        <v>5.8034946657578405E-2</v>
      </c>
      <c r="W180" s="2"/>
      <c r="X180" s="7">
        <f t="shared" si="29"/>
        <v>-468769.67416401918</v>
      </c>
      <c r="Y180" s="2"/>
      <c r="Z180" s="6">
        <f t="shared" si="30"/>
        <v>-0.97706695514689801</v>
      </c>
    </row>
    <row r="181" spans="1:26" s="24" customFormat="1" hidden="1" outlineLevel="2" x14ac:dyDescent="0.25">
      <c r="A181" s="25"/>
      <c r="B181" s="11" t="str">
        <f>CONCATENATE("          ", "6009", " - ", "TEMPORARY-SEASONAL")</f>
        <v xml:space="preserve">          6009 - TEMPORARY-SEASONAL</v>
      </c>
      <c r="C181" s="11"/>
      <c r="D181" s="7"/>
      <c r="E181" s="2"/>
      <c r="F181" s="6">
        <f t="shared" si="23"/>
        <v>0</v>
      </c>
      <c r="G181" s="2"/>
      <c r="H181" s="7">
        <v>0</v>
      </c>
      <c r="I181" s="2"/>
      <c r="J181" s="6">
        <f t="shared" si="24"/>
        <v>0</v>
      </c>
      <c r="K181" s="2"/>
      <c r="L181" s="7">
        <f t="shared" si="25"/>
        <v>0</v>
      </c>
      <c r="M181" s="2"/>
      <c r="N181" s="6">
        <f t="shared" si="26"/>
        <v>0</v>
      </c>
      <c r="O181" s="11"/>
      <c r="P181" s="7"/>
      <c r="Q181" s="2"/>
      <c r="R181" s="6">
        <f t="shared" si="27"/>
        <v>0</v>
      </c>
      <c r="S181" s="2"/>
      <c r="T181" s="7">
        <v>0</v>
      </c>
      <c r="U181" s="2"/>
      <c r="V181" s="6">
        <f t="shared" si="28"/>
        <v>0</v>
      </c>
      <c r="W181" s="2"/>
      <c r="X181" s="7">
        <f t="shared" si="29"/>
        <v>0</v>
      </c>
      <c r="Y181" s="2"/>
      <c r="Z181" s="6">
        <f t="shared" si="30"/>
        <v>0</v>
      </c>
    </row>
    <row r="182" spans="1:26" s="24" customFormat="1" hidden="1" outlineLevel="2" x14ac:dyDescent="0.25">
      <c r="A182" s="25"/>
      <c r="B182" s="11" t="str">
        <f>CONCATENATE("          ", "6010", " - ", "GRATUITY")</f>
        <v xml:space="preserve">          6010 - GRATUITY</v>
      </c>
      <c r="C182" s="11"/>
      <c r="D182" s="7"/>
      <c r="E182" s="2"/>
      <c r="F182" s="6">
        <f t="shared" si="23"/>
        <v>0</v>
      </c>
      <c r="G182" s="2"/>
      <c r="H182" s="7">
        <v>0</v>
      </c>
      <c r="I182" s="2"/>
      <c r="J182" s="6">
        <f t="shared" si="24"/>
        <v>0</v>
      </c>
      <c r="K182" s="2"/>
      <c r="L182" s="7">
        <f t="shared" si="25"/>
        <v>0</v>
      </c>
      <c r="M182" s="2"/>
      <c r="N182" s="6">
        <f t="shared" si="26"/>
        <v>0</v>
      </c>
      <c r="O182" s="11"/>
      <c r="P182" s="7"/>
      <c r="Q182" s="2"/>
      <c r="R182" s="6">
        <f t="shared" si="27"/>
        <v>0</v>
      </c>
      <c r="S182" s="2"/>
      <c r="T182" s="7">
        <v>0</v>
      </c>
      <c r="U182" s="2"/>
      <c r="V182" s="6">
        <f t="shared" si="28"/>
        <v>0</v>
      </c>
      <c r="W182" s="2"/>
      <c r="X182" s="7">
        <f t="shared" si="29"/>
        <v>0</v>
      </c>
      <c r="Y182" s="2"/>
      <c r="Z182" s="6">
        <f t="shared" si="30"/>
        <v>0</v>
      </c>
    </row>
    <row r="183" spans="1:26" s="27" customFormat="1" outlineLevel="1" collapsed="1" x14ac:dyDescent="0.25">
      <c r="A183" s="26"/>
      <c r="B183" s="13" t="str">
        <f>CONCATENATE("     ","Advertising/Promo                                 ")</f>
        <v xml:space="preserve">     Advertising/Promo                                 </v>
      </c>
      <c r="C183" s="13"/>
      <c r="D183" s="1">
        <f>SUM(OSRRefD22_2x_0)</f>
        <v>3053.5</v>
      </c>
      <c r="E183" s="1"/>
      <c r="F183" s="5">
        <f t="shared" ref="F183:F187" si="31">IF(D$12=0,0,D183/D$12)</f>
        <v>1.4049219603924459E-3</v>
      </c>
      <c r="G183" s="1"/>
      <c r="H183" s="1">
        <f>SUM(OSRRefH22_2x_0)</f>
        <v>8570</v>
      </c>
      <c r="I183" s="1"/>
      <c r="J183" s="5">
        <f t="shared" ref="J183:J187" si="32">IF(H$12=0,0,H183/H$12)</f>
        <v>3.529332202792466E-3</v>
      </c>
      <c r="K183" s="1"/>
      <c r="L183" s="1">
        <f t="shared" ref="L183:L187" si="33">+D183-H183</f>
        <v>-5516.5</v>
      </c>
      <c r="M183" s="1"/>
      <c r="N183" s="5">
        <f t="shared" ref="N183:N187" si="34">IF(H183=0,0,L183/H183)</f>
        <v>-0.64369894982497078</v>
      </c>
      <c r="O183" s="13"/>
      <c r="P183" s="1">
        <f>SUM(OSRRefP22_2x_0)</f>
        <v>40355.03</v>
      </c>
      <c r="Q183" s="1"/>
      <c r="R183" s="5">
        <f t="shared" ref="R183:R187" si="35">IF(P$12=0,0,P183/P$12)</f>
        <v>5.2486737714819345E-3</v>
      </c>
      <c r="S183" s="1"/>
      <c r="T183" s="1">
        <f>SUM(OSRRefT22_2x_0)</f>
        <v>47390</v>
      </c>
      <c r="U183" s="1"/>
      <c r="V183" s="5">
        <f t="shared" ref="V183:V187" si="36">IF(T$12=0,0,T183/T$12)</f>
        <v>5.7324610881202432E-3</v>
      </c>
      <c r="W183" s="1"/>
      <c r="X183" s="1">
        <f t="shared" ref="X183:X187" si="37">+P183-T183</f>
        <v>-7034.9700000000012</v>
      </c>
      <c r="Y183" s="1"/>
      <c r="Z183" s="5">
        <f t="shared" ref="Z183:Z187" si="38">IF(T183=0,0,X183/T183)</f>
        <v>-0.14844840683688545</v>
      </c>
    </row>
    <row r="184" spans="1:26" s="24" customFormat="1" hidden="1" outlineLevel="2" x14ac:dyDescent="0.25">
      <c r="A184" s="25"/>
      <c r="B184" s="11" t="str">
        <f>CONCATENATE("          ", "6362", " - ", "ADVERTISING EXPENSE")</f>
        <v xml:space="preserve">          6362 - ADVERTISING EXPENSE</v>
      </c>
      <c r="C184" s="11"/>
      <c r="D184" s="7">
        <v>3053.5</v>
      </c>
      <c r="E184" s="2"/>
      <c r="F184" s="6">
        <f t="shared" si="31"/>
        <v>1.4049219603924459E-3</v>
      </c>
      <c r="G184" s="2"/>
      <c r="H184" s="7">
        <v>8570</v>
      </c>
      <c r="I184" s="2"/>
      <c r="J184" s="6">
        <f t="shared" si="32"/>
        <v>3.529332202792466E-3</v>
      </c>
      <c r="K184" s="2"/>
      <c r="L184" s="7">
        <f t="shared" si="33"/>
        <v>-5516.5</v>
      </c>
      <c r="M184" s="2"/>
      <c r="N184" s="6">
        <f t="shared" si="34"/>
        <v>-0.64369894982497078</v>
      </c>
      <c r="O184" s="11"/>
      <c r="P184" s="7">
        <v>40355.03</v>
      </c>
      <c r="Q184" s="2"/>
      <c r="R184" s="6">
        <f t="shared" si="35"/>
        <v>5.2486737714819345E-3</v>
      </c>
      <c r="S184" s="2"/>
      <c r="T184" s="7">
        <v>47390</v>
      </c>
      <c r="U184" s="2"/>
      <c r="V184" s="6">
        <f t="shared" si="36"/>
        <v>5.7324610881202432E-3</v>
      </c>
      <c r="W184" s="2"/>
      <c r="X184" s="7">
        <f t="shared" si="37"/>
        <v>-7034.9700000000012</v>
      </c>
      <c r="Y184" s="2"/>
      <c r="Z184" s="6">
        <f t="shared" si="38"/>
        <v>-0.14844840683688545</v>
      </c>
    </row>
    <row r="185" spans="1:26" s="27" customFormat="1" outlineLevel="1" collapsed="1" x14ac:dyDescent="0.25">
      <c r="A185" s="26"/>
      <c r="B185" s="13" t="str">
        <f>CONCATENATE("     ","Bad Debts/Over/Short                              ")</f>
        <v xml:space="preserve">     Bad Debts/Over/Short                              </v>
      </c>
      <c r="C185" s="13"/>
      <c r="D185" s="1">
        <f>SUM(OSRRefD22_3x_0)</f>
        <v>-95</v>
      </c>
      <c r="E185" s="1"/>
      <c r="F185" s="5">
        <f t="shared" si="31"/>
        <v>-4.3709705661464664E-5</v>
      </c>
      <c r="G185" s="1"/>
      <c r="H185" s="1">
        <f>SUM(OSRRefH22_3x_0)</f>
        <v>135</v>
      </c>
      <c r="I185" s="1"/>
      <c r="J185" s="5">
        <f t="shared" si="32"/>
        <v>5.5596248235353897E-5</v>
      </c>
      <c r="K185" s="1"/>
      <c r="L185" s="1">
        <f t="shared" si="33"/>
        <v>-230</v>
      </c>
      <c r="M185" s="1"/>
      <c r="N185" s="5">
        <f t="shared" si="34"/>
        <v>-1.7037037037037037</v>
      </c>
      <c r="O185" s="13"/>
      <c r="P185" s="1">
        <f>SUM(OSRRefP22_3x_0)</f>
        <v>55.019999999999996</v>
      </c>
      <c r="Q185" s="1"/>
      <c r="R185" s="5">
        <f t="shared" si="35"/>
        <v>7.1560355897873451E-6</v>
      </c>
      <c r="S185" s="1"/>
      <c r="T185" s="1">
        <f>SUM(OSRRefT22_3x_0)</f>
        <v>945</v>
      </c>
      <c r="U185" s="1"/>
      <c r="V185" s="5">
        <f t="shared" si="36"/>
        <v>1.1431052391377146E-4</v>
      </c>
      <c r="W185" s="1"/>
      <c r="X185" s="1">
        <f t="shared" si="37"/>
        <v>-889.98</v>
      </c>
      <c r="Y185" s="1"/>
      <c r="Z185" s="5">
        <f t="shared" si="38"/>
        <v>-0.94177777777777782</v>
      </c>
    </row>
    <row r="186" spans="1:26" s="24" customFormat="1" hidden="1" outlineLevel="2" x14ac:dyDescent="0.25">
      <c r="A186" s="25"/>
      <c r="B186" s="11" t="str">
        <f>CONCATENATE("          ", "6272", " - ", "CASH (OVER/SHORT)")</f>
        <v xml:space="preserve">          6272 - CASH (OVER/SHORT)</v>
      </c>
      <c r="C186" s="11"/>
      <c r="D186" s="7">
        <v>-95</v>
      </c>
      <c r="E186" s="2"/>
      <c r="F186" s="6">
        <f t="shared" si="31"/>
        <v>-4.3709705661464664E-5</v>
      </c>
      <c r="G186" s="2"/>
      <c r="H186" s="7">
        <v>125</v>
      </c>
      <c r="I186" s="2"/>
      <c r="J186" s="6">
        <f t="shared" si="32"/>
        <v>5.1478007625327687E-5</v>
      </c>
      <c r="K186" s="2"/>
      <c r="L186" s="7">
        <f t="shared" si="33"/>
        <v>-220</v>
      </c>
      <c r="M186" s="2"/>
      <c r="N186" s="6">
        <f t="shared" si="34"/>
        <v>-1.76</v>
      </c>
      <c r="O186" s="11"/>
      <c r="P186" s="7">
        <v>10.220000000000001</v>
      </c>
      <c r="Q186" s="2"/>
      <c r="R186" s="6">
        <f t="shared" si="35"/>
        <v>1.3292381629884892E-6</v>
      </c>
      <c r="S186" s="2"/>
      <c r="T186" s="7">
        <v>875</v>
      </c>
      <c r="U186" s="2"/>
      <c r="V186" s="6">
        <f t="shared" si="36"/>
        <v>1.0584307769793654E-4</v>
      </c>
      <c r="W186" s="2"/>
      <c r="X186" s="7">
        <f t="shared" si="37"/>
        <v>-864.78</v>
      </c>
      <c r="Y186" s="2"/>
      <c r="Z186" s="6">
        <f t="shared" si="38"/>
        <v>-0.98831999999999998</v>
      </c>
    </row>
    <row r="187" spans="1:26" s="24" customFormat="1" hidden="1" outlineLevel="2" x14ac:dyDescent="0.25">
      <c r="A187" s="25"/>
      <c r="B187" s="11" t="str">
        <f>CONCATENATE("          ", "6342", " - ", "BAD DEBT")</f>
        <v xml:space="preserve">          6342 - BAD DEBT</v>
      </c>
      <c r="C187" s="11"/>
      <c r="D187" s="7"/>
      <c r="E187" s="2"/>
      <c r="F187" s="6">
        <f t="shared" si="31"/>
        <v>0</v>
      </c>
      <c r="G187" s="2"/>
      <c r="H187" s="7">
        <v>10</v>
      </c>
      <c r="I187" s="2"/>
      <c r="J187" s="6">
        <f t="shared" si="32"/>
        <v>4.1182406100262152E-6</v>
      </c>
      <c r="K187" s="2"/>
      <c r="L187" s="7">
        <f t="shared" si="33"/>
        <v>-10</v>
      </c>
      <c r="M187" s="2"/>
      <c r="N187" s="6">
        <f t="shared" si="34"/>
        <v>-1</v>
      </c>
      <c r="O187" s="11"/>
      <c r="P187" s="7">
        <v>44.8</v>
      </c>
      <c r="Q187" s="2"/>
      <c r="R187" s="6">
        <f t="shared" si="35"/>
        <v>5.8267974267988567E-6</v>
      </c>
      <c r="S187" s="2"/>
      <c r="T187" s="7">
        <v>70</v>
      </c>
      <c r="U187" s="2"/>
      <c r="V187" s="6">
        <f t="shared" si="36"/>
        <v>8.4674462158349238E-6</v>
      </c>
      <c r="W187" s="2"/>
      <c r="X187" s="7">
        <f t="shared" si="37"/>
        <v>-25.200000000000003</v>
      </c>
      <c r="Y187" s="2"/>
      <c r="Z187" s="6">
        <f t="shared" si="38"/>
        <v>-0.36000000000000004</v>
      </c>
    </row>
    <row r="188" spans="1:26" s="27" customFormat="1" outlineLevel="1" collapsed="1" x14ac:dyDescent="0.25">
      <c r="A188" s="26"/>
      <c r="B188" s="13" t="str">
        <f>CONCATENATE("     ","Bank/card Fees                                    ")</f>
        <v xml:space="preserve">     Bank/card Fees                                    </v>
      </c>
      <c r="C188" s="13"/>
      <c r="D188" s="1">
        <f>SUM(OSRRefD22_4x_0)</f>
        <v>25656.59</v>
      </c>
      <c r="E188" s="1"/>
      <c r="F188" s="5">
        <f t="shared" ref="F188:F194" si="39">IF(D$12=0,0,D188/D$12)</f>
        <v>1.1804652601861872E-2</v>
      </c>
      <c r="G188" s="1"/>
      <c r="H188" s="1">
        <f>SUM(OSRRefH22_4x_0)</f>
        <v>14490</v>
      </c>
      <c r="I188" s="1"/>
      <c r="J188" s="5">
        <f t="shared" ref="J188:J194" si="40">IF(H$12=0,0,H188/H$12)</f>
        <v>5.9673306439279854E-3</v>
      </c>
      <c r="K188" s="1"/>
      <c r="L188" s="1">
        <f t="shared" ref="L188:L194" si="41">+D188-H188</f>
        <v>11166.59</v>
      </c>
      <c r="M188" s="1"/>
      <c r="N188" s="5">
        <f t="shared" ref="N188:N194" si="42">IF(H188=0,0,L188/H188)</f>
        <v>0.7706411318150449</v>
      </c>
      <c r="O188" s="13"/>
      <c r="P188" s="1">
        <f>SUM(OSRRefP22_4x_0)</f>
        <v>117324.77</v>
      </c>
      <c r="Q188" s="1"/>
      <c r="R188" s="5">
        <f t="shared" ref="R188:R194" si="43">IF(P$12=0,0,P188/P$12)</f>
        <v>1.525954615928053E-2</v>
      </c>
      <c r="S188" s="1"/>
      <c r="T188" s="1">
        <f>SUM(OSRRefT22_4x_0)</f>
        <v>127385</v>
      </c>
      <c r="U188" s="1"/>
      <c r="V188" s="5">
        <f t="shared" ref="V188:V194" si="44">IF(T$12=0,0,T188/T$12)</f>
        <v>1.5408937660059024E-2</v>
      </c>
      <c r="W188" s="1"/>
      <c r="X188" s="1">
        <f t="shared" ref="X188:X194" si="45">+P188-T188</f>
        <v>-10060.229999999996</v>
      </c>
      <c r="Y188" s="1"/>
      <c r="Z188" s="5">
        <f t="shared" ref="Z188:Z194" si="46">IF(T188=0,0,X188/T188)</f>
        <v>-7.8974997056168283E-2</v>
      </c>
    </row>
    <row r="189" spans="1:26" s="24" customFormat="1" hidden="1" outlineLevel="2" x14ac:dyDescent="0.25">
      <c r="A189" s="25"/>
      <c r="B189" s="11" t="str">
        <f>CONCATENATE("          ", "6381", " - ", "BANK/CREDIT CARD FEES")</f>
        <v xml:space="preserve">          6381 - BANK/CREDIT CARD FEES</v>
      </c>
      <c r="C189" s="11"/>
      <c r="D189" s="7">
        <v>25656.59</v>
      </c>
      <c r="E189" s="2"/>
      <c r="F189" s="6">
        <f t="shared" si="39"/>
        <v>1.1804652601861872E-2</v>
      </c>
      <c r="G189" s="2"/>
      <c r="H189" s="7">
        <v>14490</v>
      </c>
      <c r="I189" s="2"/>
      <c r="J189" s="6">
        <f t="shared" si="40"/>
        <v>5.9673306439279854E-3</v>
      </c>
      <c r="K189" s="2"/>
      <c r="L189" s="7">
        <f t="shared" si="41"/>
        <v>11166.59</v>
      </c>
      <c r="M189" s="2"/>
      <c r="N189" s="6">
        <f t="shared" si="42"/>
        <v>0.7706411318150449</v>
      </c>
      <c r="O189" s="11"/>
      <c r="P189" s="7">
        <v>117324.77</v>
      </c>
      <c r="Q189" s="2"/>
      <c r="R189" s="6">
        <f t="shared" si="43"/>
        <v>1.525954615928053E-2</v>
      </c>
      <c r="S189" s="2"/>
      <c r="T189" s="7">
        <v>127385</v>
      </c>
      <c r="U189" s="2"/>
      <c r="V189" s="6">
        <f t="shared" si="44"/>
        <v>1.5408937660059024E-2</v>
      </c>
      <c r="W189" s="2"/>
      <c r="X189" s="7">
        <f t="shared" si="45"/>
        <v>-10060.229999999996</v>
      </c>
      <c r="Y189" s="2"/>
      <c r="Z189" s="6">
        <f t="shared" si="46"/>
        <v>-7.8974997056168283E-2</v>
      </c>
    </row>
    <row r="190" spans="1:26" s="27" customFormat="1" outlineLevel="1" collapsed="1" x14ac:dyDescent="0.25">
      <c r="A190" s="26"/>
      <c r="B190" s="13" t="str">
        <f>CONCATENATE("     ","Depreciation                                      ")</f>
        <v xml:space="preserve">     Depreciation                                      </v>
      </c>
      <c r="C190" s="13"/>
      <c r="D190" s="1">
        <f>SUM(OSRRefD22_5x_0)</f>
        <v>29777.31</v>
      </c>
      <c r="E190" s="1"/>
      <c r="F190" s="5">
        <f t="shared" si="39"/>
        <v>1.3700604794633562E-2</v>
      </c>
      <c r="G190" s="1"/>
      <c r="H190" s="1">
        <f>SUM(OSRRefH22_5x_0)</f>
        <v>31271</v>
      </c>
      <c r="I190" s="1"/>
      <c r="J190" s="5">
        <f t="shared" si="40"/>
        <v>1.2878150211612977E-2</v>
      </c>
      <c r="K190" s="1"/>
      <c r="L190" s="1">
        <f t="shared" si="41"/>
        <v>-1493.6899999999987</v>
      </c>
      <c r="M190" s="1"/>
      <c r="N190" s="5">
        <f t="shared" si="42"/>
        <v>-4.7765981260592838E-2</v>
      </c>
      <c r="O190" s="13"/>
      <c r="P190" s="1">
        <f>SUM(OSRRefP22_5x_0)</f>
        <v>207591.77000000002</v>
      </c>
      <c r="Q190" s="1"/>
      <c r="R190" s="5">
        <f t="shared" si="43"/>
        <v>2.6999892662067416E-2</v>
      </c>
      <c r="S190" s="1"/>
      <c r="T190" s="1">
        <f>SUM(OSRRefT22_5x_0)</f>
        <v>213314</v>
      </c>
      <c r="U190" s="1"/>
      <c r="V190" s="5">
        <f t="shared" si="44"/>
        <v>2.5803211744065871E-2</v>
      </c>
      <c r="W190" s="1"/>
      <c r="X190" s="1">
        <f t="shared" si="45"/>
        <v>-5722.2299999999814</v>
      </c>
      <c r="Y190" s="1"/>
      <c r="Z190" s="5">
        <f t="shared" si="46"/>
        <v>-2.6825384175440812E-2</v>
      </c>
    </row>
    <row r="191" spans="1:26" s="24" customFormat="1" hidden="1" outlineLevel="2" x14ac:dyDescent="0.25">
      <c r="A191" s="25"/>
      <c r="B191" s="11" t="str">
        <f>CONCATENATE("          ", "6321", " - ", "BUILDING DEPRECIATION")</f>
        <v xml:space="preserve">          6321 - BUILDING DEPRECIATION</v>
      </c>
      <c r="C191" s="11"/>
      <c r="D191" s="7">
        <v>16396.52</v>
      </c>
      <c r="E191" s="2"/>
      <c r="F191" s="6">
        <f t="shared" si="39"/>
        <v>7.5440743481296696E-3</v>
      </c>
      <c r="G191" s="2"/>
      <c r="H191" s="7">
        <v>16397</v>
      </c>
      <c r="I191" s="2"/>
      <c r="J191" s="6">
        <f t="shared" si="40"/>
        <v>6.7526791282599844E-3</v>
      </c>
      <c r="K191" s="2"/>
      <c r="L191" s="7">
        <f t="shared" si="41"/>
        <v>-0.47999999999956344</v>
      </c>
      <c r="M191" s="2"/>
      <c r="N191" s="6">
        <f t="shared" si="42"/>
        <v>-2.927364761844017E-5</v>
      </c>
      <c r="O191" s="11"/>
      <c r="P191" s="7">
        <v>114775.64</v>
      </c>
      <c r="Q191" s="2"/>
      <c r="R191" s="6">
        <f t="shared" si="43"/>
        <v>1.4928000085071249E-2</v>
      </c>
      <c r="S191" s="2"/>
      <c r="T191" s="7">
        <v>114947</v>
      </c>
      <c r="U191" s="2"/>
      <c r="V191" s="6">
        <f t="shared" si="44"/>
        <v>1.3904393431022528E-2</v>
      </c>
      <c r="W191" s="2"/>
      <c r="X191" s="7">
        <f t="shared" si="45"/>
        <v>-171.36000000000058</v>
      </c>
      <c r="Y191" s="2"/>
      <c r="Z191" s="6">
        <f t="shared" si="46"/>
        <v>-1.4907740088910592E-3</v>
      </c>
    </row>
    <row r="192" spans="1:26" s="24" customFormat="1" hidden="1" outlineLevel="2" x14ac:dyDescent="0.25">
      <c r="A192" s="25"/>
      <c r="B192" s="11" t="str">
        <f>CONCATENATE("          ", "6322", " - ", "EQUIPMENT DEPRECIATION EXPENSE")</f>
        <v xml:space="preserve">          6322 - EQUIPMENT DEPRECIATION EXPENSE</v>
      </c>
      <c r="C192" s="11"/>
      <c r="D192" s="7">
        <v>13380.79</v>
      </c>
      <c r="E192" s="2"/>
      <c r="F192" s="6">
        <f t="shared" si="39"/>
        <v>6.1565304465038932E-3</v>
      </c>
      <c r="G192" s="2"/>
      <c r="H192" s="7">
        <v>13049</v>
      </c>
      <c r="I192" s="2"/>
      <c r="J192" s="6">
        <f t="shared" si="40"/>
        <v>5.3738921720232081E-3</v>
      </c>
      <c r="K192" s="2"/>
      <c r="L192" s="7">
        <f t="shared" si="41"/>
        <v>331.79000000000087</v>
      </c>
      <c r="M192" s="2"/>
      <c r="N192" s="6">
        <f t="shared" si="42"/>
        <v>2.5426469461261467E-2</v>
      </c>
      <c r="O192" s="11"/>
      <c r="P192" s="7">
        <v>92816.13</v>
      </c>
      <c r="Q192" s="2"/>
      <c r="R192" s="6">
        <f t="shared" si="43"/>
        <v>1.2071892576996165E-2</v>
      </c>
      <c r="S192" s="2"/>
      <c r="T192" s="7">
        <v>91343</v>
      </c>
      <c r="U192" s="2"/>
      <c r="V192" s="6">
        <f t="shared" si="44"/>
        <v>1.1049170567042991E-2</v>
      </c>
      <c r="W192" s="2"/>
      <c r="X192" s="7">
        <f t="shared" si="45"/>
        <v>1473.1300000000047</v>
      </c>
      <c r="Y192" s="2"/>
      <c r="Z192" s="6">
        <f t="shared" si="46"/>
        <v>1.6127453663663385E-2</v>
      </c>
    </row>
    <row r="193" spans="1:26" s="24" customFormat="1" hidden="1" outlineLevel="2" x14ac:dyDescent="0.25">
      <c r="A193" s="25"/>
      <c r="B193" s="11" t="str">
        <f>CONCATENATE("          ", "6324", " - ", "FURNITURE + FIXT DEPRECIATION")</f>
        <v xml:space="preserve">          6324 - FURNITURE + FIXT DEPRECIATION</v>
      </c>
      <c r="C193" s="11"/>
      <c r="D193" s="7"/>
      <c r="E193" s="2"/>
      <c r="F193" s="6">
        <f t="shared" si="39"/>
        <v>0</v>
      </c>
      <c r="G193" s="2"/>
      <c r="H193" s="7">
        <v>1492</v>
      </c>
      <c r="I193" s="2"/>
      <c r="J193" s="6">
        <f t="shared" si="40"/>
        <v>6.1444149901591124E-4</v>
      </c>
      <c r="K193" s="2"/>
      <c r="L193" s="7">
        <f t="shared" si="41"/>
        <v>-1492</v>
      </c>
      <c r="M193" s="2"/>
      <c r="N193" s="6">
        <f t="shared" si="42"/>
        <v>-1</v>
      </c>
      <c r="O193" s="11"/>
      <c r="P193" s="7"/>
      <c r="Q193" s="2"/>
      <c r="R193" s="6">
        <f t="shared" si="43"/>
        <v>0</v>
      </c>
      <c r="S193" s="2"/>
      <c r="T193" s="7">
        <v>5692</v>
      </c>
      <c r="U193" s="2"/>
      <c r="V193" s="6">
        <f t="shared" si="44"/>
        <v>6.8852434086474836E-4</v>
      </c>
      <c r="W193" s="2"/>
      <c r="X193" s="7">
        <f t="shared" si="45"/>
        <v>-5692</v>
      </c>
      <c r="Y193" s="2"/>
      <c r="Z193" s="6">
        <f t="shared" si="46"/>
        <v>-1</v>
      </c>
    </row>
    <row r="194" spans="1:26" s="24" customFormat="1" hidden="1" outlineLevel="2" x14ac:dyDescent="0.25">
      <c r="A194" s="25"/>
      <c r="B194" s="11" t="str">
        <f>CONCATENATE("          ", "6326", " - ", "VEHICLES DEPRECIATION EXPENSE")</f>
        <v xml:space="preserve">          6326 - VEHICLES DEPRECIATION EXPENSE</v>
      </c>
      <c r="C194" s="11"/>
      <c r="D194" s="7"/>
      <c r="E194" s="2"/>
      <c r="F194" s="6">
        <f t="shared" si="39"/>
        <v>0</v>
      </c>
      <c r="G194" s="2"/>
      <c r="H194" s="7">
        <v>333</v>
      </c>
      <c r="I194" s="2"/>
      <c r="J194" s="6">
        <f t="shared" si="40"/>
        <v>1.3713741231387294E-4</v>
      </c>
      <c r="K194" s="2"/>
      <c r="L194" s="7">
        <f t="shared" si="41"/>
        <v>-333</v>
      </c>
      <c r="M194" s="2"/>
      <c r="N194" s="6">
        <f t="shared" si="42"/>
        <v>-1</v>
      </c>
      <c r="O194" s="11"/>
      <c r="P194" s="7"/>
      <c r="Q194" s="2"/>
      <c r="R194" s="6">
        <f t="shared" si="43"/>
        <v>0</v>
      </c>
      <c r="S194" s="2"/>
      <c r="T194" s="7">
        <v>1332</v>
      </c>
      <c r="U194" s="2"/>
      <c r="V194" s="6">
        <f t="shared" si="44"/>
        <v>1.6112340513560168E-4</v>
      </c>
      <c r="W194" s="2"/>
      <c r="X194" s="7">
        <f t="shared" si="45"/>
        <v>-1332</v>
      </c>
      <c r="Y194" s="2"/>
      <c r="Z194" s="6">
        <f t="shared" si="46"/>
        <v>-1</v>
      </c>
    </row>
    <row r="195" spans="1:26" s="27" customFormat="1" outlineLevel="1" collapsed="1" x14ac:dyDescent="0.25">
      <c r="A195" s="26"/>
      <c r="B195" s="13" t="str">
        <f>CONCATENATE("     ","Discounts and Markdowns                           ")</f>
        <v xml:space="preserve">     Discounts and Markdowns                           </v>
      </c>
      <c r="C195" s="13"/>
      <c r="D195" s="1">
        <f>SUM(OSRRefD22_6x_0)</f>
        <v>36956.35</v>
      </c>
      <c r="E195" s="1"/>
      <c r="F195" s="5">
        <f t="shared" ref="F195:F197" si="47">IF(D$12=0,0,D195/D$12)</f>
        <v>1.700369664023231E-2</v>
      </c>
      <c r="G195" s="1"/>
      <c r="H195" s="1">
        <f>SUM(OSRRefH22_6x_0)</f>
        <v>37425</v>
      </c>
      <c r="I195" s="1"/>
      <c r="J195" s="5">
        <f t="shared" ref="J195:J197" si="48">IF(H$12=0,0,H195/H$12)</f>
        <v>1.5412515483023109E-2</v>
      </c>
      <c r="K195" s="1"/>
      <c r="L195" s="1">
        <f t="shared" ref="L195:L197" si="49">+D195-H195</f>
        <v>-468.65000000000146</v>
      </c>
      <c r="M195" s="1"/>
      <c r="N195" s="5">
        <f t="shared" ref="N195:N197" si="50">IF(H195=0,0,L195/H195)</f>
        <v>-1.2522378089512396E-2</v>
      </c>
      <c r="O195" s="13"/>
      <c r="P195" s="1">
        <f>SUM(OSRRefP22_6x_0)</f>
        <v>224660.69</v>
      </c>
      <c r="Q195" s="1"/>
      <c r="R195" s="5">
        <f t="shared" ref="R195:R197" si="51">IF(P$12=0,0,P195/P$12)</f>
        <v>2.9219918089170887E-2</v>
      </c>
      <c r="S195" s="1"/>
      <c r="T195" s="1">
        <f>SUM(OSRRefT22_6x_0)</f>
        <v>229475</v>
      </c>
      <c r="U195" s="1"/>
      <c r="V195" s="5">
        <f t="shared" ref="V195:V197" si="52">IF(T$12=0,0,T195/T$12)</f>
        <v>2.7758103148267415E-2</v>
      </c>
      <c r="W195" s="1"/>
      <c r="X195" s="1">
        <f t="shared" ref="X195:X197" si="53">+P195-T195</f>
        <v>-4814.3099999999977</v>
      </c>
      <c r="Y195" s="1"/>
      <c r="Z195" s="5">
        <f t="shared" ref="Z195:Z197" si="54">IF(T195=0,0,X195/T195)</f>
        <v>-2.0979670988125056E-2</v>
      </c>
    </row>
    <row r="196" spans="1:26" s="24" customFormat="1" hidden="1" outlineLevel="2" x14ac:dyDescent="0.25">
      <c r="A196" s="25"/>
      <c r="B196" s="11" t="str">
        <f>CONCATENATE("          ", "6382", " - ", "DISCOUNTS/MARK DOWNS")</f>
        <v xml:space="preserve">          6382 - DISCOUNTS/MARK DOWNS</v>
      </c>
      <c r="C196" s="11"/>
      <c r="D196" s="7">
        <v>37376.85</v>
      </c>
      <c r="E196" s="2"/>
      <c r="F196" s="6">
        <f t="shared" si="47"/>
        <v>1.7197169600554899E-2</v>
      </c>
      <c r="G196" s="2"/>
      <c r="H196" s="7">
        <v>37425</v>
      </c>
      <c r="I196" s="2"/>
      <c r="J196" s="6">
        <f t="shared" si="48"/>
        <v>1.5412515483023109E-2</v>
      </c>
      <c r="K196" s="2"/>
      <c r="L196" s="7">
        <f t="shared" si="49"/>
        <v>-48.150000000001455</v>
      </c>
      <c r="M196" s="2"/>
      <c r="N196" s="6">
        <f t="shared" si="50"/>
        <v>-1.2865731462926241E-3</v>
      </c>
      <c r="O196" s="11"/>
      <c r="P196" s="7">
        <v>227567.69</v>
      </c>
      <c r="Q196" s="2"/>
      <c r="R196" s="6">
        <f t="shared" si="51"/>
        <v>2.9598009609699997E-2</v>
      </c>
      <c r="S196" s="2"/>
      <c r="T196" s="7">
        <v>229475</v>
      </c>
      <c r="U196" s="2"/>
      <c r="V196" s="6">
        <f t="shared" si="52"/>
        <v>2.7758103148267415E-2</v>
      </c>
      <c r="W196" s="2"/>
      <c r="X196" s="7">
        <f t="shared" si="53"/>
        <v>-1907.3099999999977</v>
      </c>
      <c r="Y196" s="2"/>
      <c r="Z196" s="6">
        <f t="shared" si="54"/>
        <v>-8.3116243599520544E-3</v>
      </c>
    </row>
    <row r="197" spans="1:26" s="24" customFormat="1" hidden="1" outlineLevel="2" x14ac:dyDescent="0.25">
      <c r="A197" s="25"/>
      <c r="B197" s="11" t="str">
        <f>CONCATENATE("          ", "9175", " - ", "EARNED DISCOUNTS")</f>
        <v xml:space="preserve">          9175 - EARNED DISCOUNTS</v>
      </c>
      <c r="C197" s="11"/>
      <c r="D197" s="7">
        <v>-420.5</v>
      </c>
      <c r="E197" s="2"/>
      <c r="F197" s="6">
        <f t="shared" si="47"/>
        <v>-1.9347296032258833E-4</v>
      </c>
      <c r="G197" s="2"/>
      <c r="H197" s="7"/>
      <c r="I197" s="2"/>
      <c r="J197" s="6">
        <f t="shared" si="48"/>
        <v>0</v>
      </c>
      <c r="K197" s="2"/>
      <c r="L197" s="7">
        <f t="shared" si="49"/>
        <v>-420.5</v>
      </c>
      <c r="M197" s="2"/>
      <c r="N197" s="6">
        <f t="shared" si="50"/>
        <v>0</v>
      </c>
      <c r="O197" s="11"/>
      <c r="P197" s="7">
        <v>-2907</v>
      </c>
      <c r="Q197" s="2"/>
      <c r="R197" s="6">
        <f t="shared" si="51"/>
        <v>-3.780915205291133E-4</v>
      </c>
      <c r="S197" s="2"/>
      <c r="T197" s="7"/>
      <c r="U197" s="2"/>
      <c r="V197" s="6">
        <f t="shared" si="52"/>
        <v>0</v>
      </c>
      <c r="W197" s="2"/>
      <c r="X197" s="7">
        <f t="shared" si="53"/>
        <v>-2907</v>
      </c>
      <c r="Y197" s="2"/>
      <c r="Z197" s="6">
        <f t="shared" si="54"/>
        <v>0</v>
      </c>
    </row>
    <row r="198" spans="1:26" s="27" customFormat="1" outlineLevel="1" collapsed="1" x14ac:dyDescent="0.25">
      <c r="A198" s="26"/>
      <c r="B198" s="13" t="str">
        <f>CONCATENATE("     ","Donations                                         ")</f>
        <v xml:space="preserve">     Donations                                         </v>
      </c>
      <c r="C198" s="13"/>
      <c r="D198" s="1">
        <f>SUM(OSRRefD22_7x_0)</f>
        <v>0</v>
      </c>
      <c r="E198" s="1"/>
      <c r="F198" s="5">
        <f t="shared" ref="F198:F200" si="55">IF(D$12=0,0,D198/D$12)</f>
        <v>0</v>
      </c>
      <c r="G198" s="1"/>
      <c r="H198" s="1">
        <f>SUM(OSRRefH22_7x_0)</f>
        <v>1025</v>
      </c>
      <c r="I198" s="1"/>
      <c r="J198" s="5">
        <f t="shared" ref="J198:J200" si="56">IF(H$12=0,0,H198/H$12)</f>
        <v>4.22119662527687E-4</v>
      </c>
      <c r="K198" s="1"/>
      <c r="L198" s="1">
        <f t="shared" ref="L198:L200" si="57">+D198-H198</f>
        <v>-1025</v>
      </c>
      <c r="M198" s="1"/>
      <c r="N198" s="5">
        <f t="shared" ref="N198:N200" si="58">IF(H198=0,0,L198/H198)</f>
        <v>-1</v>
      </c>
      <c r="O198" s="13"/>
      <c r="P198" s="1">
        <f>SUM(OSRRefP22_7x_0)</f>
        <v>9798.2199999999993</v>
      </c>
      <c r="Q198" s="1"/>
      <c r="R198" s="5">
        <f t="shared" ref="R198:R200" si="59">IF(P$12=0,0,P198/P$12)</f>
        <v>1.2743804259644886E-3</v>
      </c>
      <c r="S198" s="1"/>
      <c r="T198" s="1">
        <f>SUM(OSRRefT22_7x_0)</f>
        <v>7250</v>
      </c>
      <c r="U198" s="1"/>
      <c r="V198" s="5">
        <f t="shared" ref="V198:V200" si="60">IF(T$12=0,0,T198/T$12)</f>
        <v>8.769855009257599E-4</v>
      </c>
      <c r="W198" s="1"/>
      <c r="X198" s="1">
        <f t="shared" ref="X198:X200" si="61">+P198-T198</f>
        <v>2548.2199999999993</v>
      </c>
      <c r="Y198" s="1"/>
      <c r="Z198" s="5">
        <f t="shared" ref="Z198:Z200" si="62">IF(T198=0,0,X198/T198)</f>
        <v>0.35147862068965507</v>
      </c>
    </row>
    <row r="199" spans="1:26" s="24" customFormat="1" hidden="1" outlineLevel="2" x14ac:dyDescent="0.25">
      <c r="A199" s="25"/>
      <c r="B199" s="11" t="str">
        <f>CONCATENATE("          ", "6395", " - ", "DONATION-OFF CAMPUS")</f>
        <v xml:space="preserve">          6395 - DONATION-OFF CAMPUS</v>
      </c>
      <c r="C199" s="11"/>
      <c r="D199" s="7"/>
      <c r="E199" s="2"/>
      <c r="F199" s="6">
        <f t="shared" si="55"/>
        <v>0</v>
      </c>
      <c r="G199" s="2"/>
      <c r="H199" s="7">
        <v>1025</v>
      </c>
      <c r="I199" s="2"/>
      <c r="J199" s="6">
        <f t="shared" si="56"/>
        <v>4.22119662527687E-4</v>
      </c>
      <c r="K199" s="2"/>
      <c r="L199" s="7">
        <f t="shared" si="57"/>
        <v>-1025</v>
      </c>
      <c r="M199" s="2"/>
      <c r="N199" s="6">
        <f t="shared" si="58"/>
        <v>-1</v>
      </c>
      <c r="O199" s="11"/>
      <c r="P199" s="7"/>
      <c r="Q199" s="2"/>
      <c r="R199" s="6">
        <f t="shared" si="59"/>
        <v>0</v>
      </c>
      <c r="S199" s="2"/>
      <c r="T199" s="7">
        <v>7250</v>
      </c>
      <c r="U199" s="2"/>
      <c r="V199" s="6">
        <f t="shared" si="60"/>
        <v>8.769855009257599E-4</v>
      </c>
      <c r="W199" s="2"/>
      <c r="X199" s="7">
        <f t="shared" si="61"/>
        <v>-7250</v>
      </c>
      <c r="Y199" s="2"/>
      <c r="Z199" s="6">
        <f t="shared" si="62"/>
        <v>-1</v>
      </c>
    </row>
    <row r="200" spans="1:26" s="24" customFormat="1" hidden="1" outlineLevel="2" x14ac:dyDescent="0.25">
      <c r="A200" s="25"/>
      <c r="B200" s="11" t="str">
        <f>CONCATENATE("          ", "6399", " - ", "DONATION-ON CAMPUS")</f>
        <v xml:space="preserve">          6399 - DONATION-ON CAMPUS</v>
      </c>
      <c r="C200" s="11"/>
      <c r="D200" s="7"/>
      <c r="E200" s="2"/>
      <c r="F200" s="6">
        <f t="shared" si="55"/>
        <v>0</v>
      </c>
      <c r="G200" s="2"/>
      <c r="H200" s="7"/>
      <c r="I200" s="2"/>
      <c r="J200" s="6">
        <f t="shared" si="56"/>
        <v>0</v>
      </c>
      <c r="K200" s="2"/>
      <c r="L200" s="7">
        <f t="shared" si="57"/>
        <v>0</v>
      </c>
      <c r="M200" s="2"/>
      <c r="N200" s="6">
        <f t="shared" si="58"/>
        <v>0</v>
      </c>
      <c r="O200" s="11"/>
      <c r="P200" s="7">
        <v>9798.2199999999993</v>
      </c>
      <c r="Q200" s="2"/>
      <c r="R200" s="6">
        <f t="shared" si="59"/>
        <v>1.2743804259644886E-3</v>
      </c>
      <c r="S200" s="2"/>
      <c r="T200" s="7"/>
      <c r="U200" s="2"/>
      <c r="V200" s="6">
        <f t="shared" si="60"/>
        <v>0</v>
      </c>
      <c r="W200" s="2"/>
      <c r="X200" s="7">
        <f t="shared" si="61"/>
        <v>9798.2199999999993</v>
      </c>
      <c r="Y200" s="2"/>
      <c r="Z200" s="6">
        <f t="shared" si="62"/>
        <v>0</v>
      </c>
    </row>
    <row r="201" spans="1:26" s="27" customFormat="1" outlineLevel="1" collapsed="1" x14ac:dyDescent="0.25">
      <c r="A201" s="26"/>
      <c r="B201" s="13" t="str">
        <f>CONCATENATE("     ","Employees' Appreciation                           ")</f>
        <v xml:space="preserve">     Employees' Appreciation                           </v>
      </c>
      <c r="C201" s="13"/>
      <c r="D201" s="1">
        <f>SUM(OSRRefD22_8x_0)</f>
        <v>0</v>
      </c>
      <c r="E201" s="1"/>
      <c r="F201" s="5">
        <f t="shared" ref="F201:F207" si="63">IF(D$12=0,0,D201/D$12)</f>
        <v>0</v>
      </c>
      <c r="G201" s="1"/>
      <c r="H201" s="1">
        <f>SUM(OSRRefH22_8x_0)</f>
        <v>800</v>
      </c>
      <c r="I201" s="1"/>
      <c r="J201" s="5">
        <f t="shared" ref="J201:J207" si="64">IF(H$12=0,0,H201/H$12)</f>
        <v>3.2945924880209719E-4</v>
      </c>
      <c r="K201" s="1"/>
      <c r="L201" s="1">
        <f t="shared" ref="L201:L207" si="65">+D201-H201</f>
        <v>-800</v>
      </c>
      <c r="M201" s="1"/>
      <c r="N201" s="5">
        <f t="shared" ref="N201:N207" si="66">IF(H201=0,0,L201/H201)</f>
        <v>-1</v>
      </c>
      <c r="O201" s="13"/>
      <c r="P201" s="1">
        <f>SUM(OSRRefP22_8x_0)</f>
        <v>1194.04</v>
      </c>
      <c r="Q201" s="1"/>
      <c r="R201" s="5">
        <f t="shared" ref="R201:R207" si="67">IF(P$12=0,0,P201/P$12)</f>
        <v>1.5529975891729703E-4</v>
      </c>
      <c r="S201" s="1"/>
      <c r="T201" s="1">
        <f>SUM(OSRRefT22_8x_0)</f>
        <v>5075</v>
      </c>
      <c r="U201" s="1"/>
      <c r="V201" s="5">
        <f t="shared" ref="V201:V207" si="68">IF(T$12=0,0,T201/T$12)</f>
        <v>6.13889850648032E-4</v>
      </c>
      <c r="W201" s="1"/>
      <c r="X201" s="1">
        <f t="shared" ref="X201:X207" si="69">+P201-T201</f>
        <v>-3880.96</v>
      </c>
      <c r="Y201" s="1"/>
      <c r="Z201" s="5">
        <f t="shared" ref="Z201:Z207" si="70">IF(T201=0,0,X201/T201)</f>
        <v>-0.76472118226600982</v>
      </c>
    </row>
    <row r="202" spans="1:26" s="24" customFormat="1" hidden="1" outlineLevel="2" x14ac:dyDescent="0.25">
      <c r="A202" s="25"/>
      <c r="B202" s="11" t="str">
        <f>CONCATENATE("          ", "6277", " - ", "EMPLOYEE APPRECIATION")</f>
        <v xml:space="preserve">          6277 - EMPLOYEE APPRECIATION</v>
      </c>
      <c r="C202" s="11"/>
      <c r="D202" s="7"/>
      <c r="E202" s="2"/>
      <c r="F202" s="6">
        <f t="shared" si="63"/>
        <v>0</v>
      </c>
      <c r="G202" s="2"/>
      <c r="H202" s="7">
        <v>800</v>
      </c>
      <c r="I202" s="2"/>
      <c r="J202" s="6">
        <f t="shared" si="64"/>
        <v>3.2945924880209719E-4</v>
      </c>
      <c r="K202" s="2"/>
      <c r="L202" s="7">
        <f t="shared" si="65"/>
        <v>-800</v>
      </c>
      <c r="M202" s="2"/>
      <c r="N202" s="6">
        <f t="shared" si="66"/>
        <v>-1</v>
      </c>
      <c r="O202" s="11"/>
      <c r="P202" s="7">
        <v>1194.04</v>
      </c>
      <c r="Q202" s="2"/>
      <c r="R202" s="6">
        <f t="shared" si="67"/>
        <v>1.5529975891729703E-4</v>
      </c>
      <c r="S202" s="2"/>
      <c r="T202" s="7">
        <v>5075</v>
      </c>
      <c r="U202" s="2"/>
      <c r="V202" s="6">
        <f t="shared" si="68"/>
        <v>6.13889850648032E-4</v>
      </c>
      <c r="W202" s="2"/>
      <c r="X202" s="7">
        <f t="shared" si="69"/>
        <v>-3880.96</v>
      </c>
      <c r="Y202" s="2"/>
      <c r="Z202" s="6">
        <f t="shared" si="70"/>
        <v>-0.76472118226600982</v>
      </c>
    </row>
    <row r="203" spans="1:26" s="27" customFormat="1" outlineLevel="1" collapsed="1" x14ac:dyDescent="0.25">
      <c r="A203" s="26"/>
      <c r="B203" s="13" t="str">
        <f>CONCATENATE("     ","Equipment Rental                                  ")</f>
        <v xml:space="preserve">     Equipment Rental                                  </v>
      </c>
      <c r="C203" s="13"/>
      <c r="D203" s="1">
        <f>SUM(OSRRefD22_9x_0)</f>
        <v>1388.16</v>
      </c>
      <c r="E203" s="1"/>
      <c r="F203" s="5">
        <f t="shared" si="63"/>
        <v>6.3869542116861886E-4</v>
      </c>
      <c r="G203" s="1"/>
      <c r="H203" s="1">
        <f>SUM(OSRRefH22_9x_0)</f>
        <v>3225</v>
      </c>
      <c r="I203" s="1"/>
      <c r="J203" s="5">
        <f t="shared" si="64"/>
        <v>1.3281325967334542E-3</v>
      </c>
      <c r="K203" s="1"/>
      <c r="L203" s="1">
        <f t="shared" si="65"/>
        <v>-1836.84</v>
      </c>
      <c r="M203" s="1"/>
      <c r="N203" s="5">
        <f t="shared" si="66"/>
        <v>-0.56956279069767435</v>
      </c>
      <c r="O203" s="13"/>
      <c r="P203" s="1">
        <f>SUM(OSRRefP22_9x_0)</f>
        <v>12478.3</v>
      </c>
      <c r="Q203" s="1"/>
      <c r="R203" s="5">
        <f t="shared" si="67"/>
        <v>1.6229581770273252E-3</v>
      </c>
      <c r="S203" s="1"/>
      <c r="T203" s="1">
        <f>SUM(OSRRefT22_9x_0)</f>
        <v>22575</v>
      </c>
      <c r="U203" s="1"/>
      <c r="V203" s="5">
        <f t="shared" si="68"/>
        <v>2.730751404606763E-3</v>
      </c>
      <c r="W203" s="1"/>
      <c r="X203" s="1">
        <f t="shared" si="69"/>
        <v>-10096.700000000001</v>
      </c>
      <c r="Y203" s="1"/>
      <c r="Z203" s="5">
        <f t="shared" si="70"/>
        <v>-0.44725138427464012</v>
      </c>
    </row>
    <row r="204" spans="1:26" s="24" customFormat="1" hidden="1" outlineLevel="2" x14ac:dyDescent="0.25">
      <c r="A204" s="25"/>
      <c r="B204" s="11" t="str">
        <f>CONCATENATE("          ", "6351", " - ", "EQUIPMENT RENTAL")</f>
        <v xml:space="preserve">          6351 - EQUIPMENT RENTAL</v>
      </c>
      <c r="C204" s="11"/>
      <c r="D204" s="7">
        <v>1388.16</v>
      </c>
      <c r="E204" s="2"/>
      <c r="F204" s="6">
        <f t="shared" si="63"/>
        <v>6.3869542116861886E-4</v>
      </c>
      <c r="G204" s="2"/>
      <c r="H204" s="7">
        <v>3225</v>
      </c>
      <c r="I204" s="2"/>
      <c r="J204" s="6">
        <f t="shared" si="64"/>
        <v>1.3281325967334542E-3</v>
      </c>
      <c r="K204" s="2"/>
      <c r="L204" s="7">
        <f t="shared" si="65"/>
        <v>-1836.84</v>
      </c>
      <c r="M204" s="2"/>
      <c r="N204" s="6">
        <f t="shared" si="66"/>
        <v>-0.56956279069767435</v>
      </c>
      <c r="O204" s="11"/>
      <c r="P204" s="7">
        <v>12478.3</v>
      </c>
      <c r="Q204" s="2"/>
      <c r="R204" s="6">
        <f t="shared" si="67"/>
        <v>1.6229581770273252E-3</v>
      </c>
      <c r="S204" s="2"/>
      <c r="T204" s="7">
        <v>22575</v>
      </c>
      <c r="U204" s="2"/>
      <c r="V204" s="6">
        <f t="shared" si="68"/>
        <v>2.730751404606763E-3</v>
      </c>
      <c r="W204" s="2"/>
      <c r="X204" s="7">
        <f t="shared" si="69"/>
        <v>-10096.700000000001</v>
      </c>
      <c r="Y204" s="2"/>
      <c r="Z204" s="6">
        <f t="shared" si="70"/>
        <v>-0.44725138427464012</v>
      </c>
    </row>
    <row r="205" spans="1:26" s="27" customFormat="1" outlineLevel="1" collapsed="1" x14ac:dyDescent="0.25">
      <c r="A205" s="26"/>
      <c r="B205" s="13" t="str">
        <f>CONCATENATE("     ","Freight out/Postage                               ")</f>
        <v xml:space="preserve">     Freight out/Postage                               </v>
      </c>
      <c r="C205" s="13"/>
      <c r="D205" s="1">
        <f>SUM(OSRRefD22_10x_0)</f>
        <v>-13215.979999999998</v>
      </c>
      <c r="E205" s="1"/>
      <c r="F205" s="5">
        <f t="shared" si="63"/>
        <v>-6.0807010087137233E-3</v>
      </c>
      <c r="G205" s="1"/>
      <c r="H205" s="1">
        <f>SUM(OSRRefH22_10x_0)</f>
        <v>-23210</v>
      </c>
      <c r="I205" s="1"/>
      <c r="J205" s="5">
        <f t="shared" si="64"/>
        <v>-9.5584364558708446E-3</v>
      </c>
      <c r="K205" s="1"/>
      <c r="L205" s="1">
        <f t="shared" si="65"/>
        <v>9994.0200000000023</v>
      </c>
      <c r="M205" s="1"/>
      <c r="N205" s="5">
        <f t="shared" si="66"/>
        <v>-0.43059112451529524</v>
      </c>
      <c r="O205" s="13"/>
      <c r="P205" s="1">
        <f>SUM(OSRRefP22_10x_0)</f>
        <v>-6657.6999999999971</v>
      </c>
      <c r="Q205" s="1"/>
      <c r="R205" s="5">
        <f t="shared" si="67"/>
        <v>-8.6591672384818592E-4</v>
      </c>
      <c r="S205" s="1"/>
      <c r="T205" s="1">
        <f>SUM(OSRRefT22_10x_0)</f>
        <v>-53170</v>
      </c>
      <c r="U205" s="1"/>
      <c r="V205" s="5">
        <f t="shared" si="68"/>
        <v>-6.4316302185134702E-3</v>
      </c>
      <c r="W205" s="1"/>
      <c r="X205" s="1">
        <f t="shared" si="69"/>
        <v>46512.3</v>
      </c>
      <c r="Y205" s="1"/>
      <c r="Z205" s="5">
        <f t="shared" si="70"/>
        <v>-0.87478465299981201</v>
      </c>
    </row>
    <row r="206" spans="1:26" s="24" customFormat="1" hidden="1" outlineLevel="2" x14ac:dyDescent="0.25">
      <c r="A206" s="25"/>
      <c r="B206" s="11" t="str">
        <f>CONCATENATE("          ", "6305", " - ", "FREIGHT OUT")</f>
        <v xml:space="preserve">          6305 - FREIGHT OUT</v>
      </c>
      <c r="C206" s="11"/>
      <c r="D206" s="7">
        <v>2307.9899999999998</v>
      </c>
      <c r="E206" s="2"/>
      <c r="F206" s="6">
        <f t="shared" si="63"/>
        <v>1.0619111954695139E-3</v>
      </c>
      <c r="G206" s="2"/>
      <c r="H206" s="7">
        <v>-23250</v>
      </c>
      <c r="I206" s="2"/>
      <c r="J206" s="6">
        <f t="shared" si="64"/>
        <v>-9.5749094183109496E-3</v>
      </c>
      <c r="K206" s="2"/>
      <c r="L206" s="7">
        <f t="shared" si="65"/>
        <v>25557.989999999998</v>
      </c>
      <c r="M206" s="2"/>
      <c r="N206" s="6">
        <f t="shared" si="66"/>
        <v>-1.0992683870967741</v>
      </c>
      <c r="O206" s="11"/>
      <c r="P206" s="7">
        <v>37020.11</v>
      </c>
      <c r="Q206" s="2"/>
      <c r="R206" s="6">
        <f t="shared" si="67"/>
        <v>4.8149259305314872E-3</v>
      </c>
      <c r="S206" s="2"/>
      <c r="T206" s="7">
        <v>-53450</v>
      </c>
      <c r="U206" s="2"/>
      <c r="V206" s="6">
        <f t="shared" si="68"/>
        <v>-6.4655000033768091E-3</v>
      </c>
      <c r="W206" s="2"/>
      <c r="X206" s="7">
        <f t="shared" si="69"/>
        <v>90470.11</v>
      </c>
      <c r="Y206" s="2"/>
      <c r="Z206" s="6">
        <f t="shared" si="70"/>
        <v>-1.6926119738072964</v>
      </c>
    </row>
    <row r="207" spans="1:26" s="24" customFormat="1" hidden="1" outlineLevel="2" x14ac:dyDescent="0.25">
      <c r="A207" s="25"/>
      <c r="B207" s="11" t="str">
        <f>CONCATENATE("          ", "6307", " - ", "POSTAGE")</f>
        <v xml:space="preserve">          6307 - POSTAGE</v>
      </c>
      <c r="C207" s="11"/>
      <c r="D207" s="7">
        <v>-15523.969999999998</v>
      </c>
      <c r="E207" s="2"/>
      <c r="F207" s="6">
        <f t="shared" si="63"/>
        <v>-7.1426122041832367E-3</v>
      </c>
      <c r="G207" s="2"/>
      <c r="H207" s="7">
        <v>40</v>
      </c>
      <c r="I207" s="2"/>
      <c r="J207" s="6">
        <f t="shared" si="64"/>
        <v>1.6472962440104861E-5</v>
      </c>
      <c r="K207" s="2"/>
      <c r="L207" s="7">
        <f t="shared" si="65"/>
        <v>-15563.969999999998</v>
      </c>
      <c r="M207" s="2"/>
      <c r="N207" s="6">
        <f t="shared" si="66"/>
        <v>-389.09924999999993</v>
      </c>
      <c r="O207" s="11"/>
      <c r="P207" s="7">
        <v>-43677.81</v>
      </c>
      <c r="Q207" s="2"/>
      <c r="R207" s="6">
        <f t="shared" si="67"/>
        <v>-5.680842654379673E-3</v>
      </c>
      <c r="S207" s="2"/>
      <c r="T207" s="7">
        <v>280</v>
      </c>
      <c r="U207" s="2"/>
      <c r="V207" s="6">
        <f t="shared" si="68"/>
        <v>3.3869784863339695E-5</v>
      </c>
      <c r="W207" s="2"/>
      <c r="X207" s="7">
        <f t="shared" si="69"/>
        <v>-43957.81</v>
      </c>
      <c r="Y207" s="2"/>
      <c r="Z207" s="6">
        <f t="shared" si="70"/>
        <v>-156.99217857142855</v>
      </c>
    </row>
    <row r="208" spans="1:26" s="27" customFormat="1" outlineLevel="1" collapsed="1" x14ac:dyDescent="0.25">
      <c r="A208" s="26"/>
      <c r="B208" s="13" t="str">
        <f>CONCATENATE("     ","General                                           ")</f>
        <v xml:space="preserve">     General                                           </v>
      </c>
      <c r="C208" s="13"/>
      <c r="D208" s="1">
        <f>SUM(OSRRefD22_11x_0)</f>
        <v>316.16000000000003</v>
      </c>
      <c r="E208" s="1"/>
      <c r="F208" s="5">
        <f t="shared" ref="F208:F222" si="71">IF(D$12=0,0,D208/D$12)</f>
        <v>1.4546590044135443E-4</v>
      </c>
      <c r="G208" s="1"/>
      <c r="H208" s="1">
        <f>SUM(OSRRefH22_11x_0)</f>
        <v>1330</v>
      </c>
      <c r="I208" s="1"/>
      <c r="J208" s="5">
        <f t="shared" ref="J208:J222" si="72">IF(H$12=0,0,H208/H$12)</f>
        <v>5.4772600113348654E-4</v>
      </c>
      <c r="K208" s="1"/>
      <c r="L208" s="1">
        <f t="shared" ref="L208:L222" si="73">+D208-H208</f>
        <v>-1013.8399999999999</v>
      </c>
      <c r="M208" s="1"/>
      <c r="N208" s="5">
        <f t="shared" ref="N208:N222" si="74">IF(H208=0,0,L208/H208)</f>
        <v>-0.76228571428571423</v>
      </c>
      <c r="O208" s="13"/>
      <c r="P208" s="1">
        <f>SUM(OSRRefP22_11x_0)</f>
        <v>-1031.5899999999999</v>
      </c>
      <c r="Q208" s="1"/>
      <c r="R208" s="5">
        <f t="shared" ref="R208:R222" si="75">IF(P$12=0,0,P208/P$12)</f>
        <v>-1.3417111512302303E-4</v>
      </c>
      <c r="S208" s="1"/>
      <c r="T208" s="1">
        <f>SUM(OSRRefT22_11x_0)</f>
        <v>18125</v>
      </c>
      <c r="U208" s="1"/>
      <c r="V208" s="5">
        <f t="shared" ref="V208:V222" si="76">IF(T$12=0,0,T208/T$12)</f>
        <v>2.1924637523144E-3</v>
      </c>
      <c r="W208" s="1"/>
      <c r="X208" s="1">
        <f t="shared" ref="X208:X222" si="77">+P208-T208</f>
        <v>-19156.59</v>
      </c>
      <c r="Y208" s="1"/>
      <c r="Z208" s="5">
        <f t="shared" ref="Z208:Z222" si="78">IF(T208=0,0,X208/T208)</f>
        <v>-1.0569153103448277</v>
      </c>
    </row>
    <row r="209" spans="1:26" s="24" customFormat="1" hidden="1" outlineLevel="2" x14ac:dyDescent="0.25">
      <c r="A209" s="25"/>
      <c r="B209" s="11" t="str">
        <f>CONCATENATE("          ", "6279", " - ", "GENERAL EXPENSE")</f>
        <v xml:space="preserve">          6279 - GENERAL EXPENSE</v>
      </c>
      <c r="C209" s="11"/>
      <c r="D209" s="7">
        <v>316.16000000000003</v>
      </c>
      <c r="E209" s="2"/>
      <c r="F209" s="6">
        <f t="shared" si="71"/>
        <v>1.4546590044135443E-4</v>
      </c>
      <c r="G209" s="2"/>
      <c r="H209" s="7">
        <v>1330</v>
      </c>
      <c r="I209" s="2"/>
      <c r="J209" s="6">
        <f t="shared" si="72"/>
        <v>5.4772600113348654E-4</v>
      </c>
      <c r="K209" s="2"/>
      <c r="L209" s="7">
        <f t="shared" si="73"/>
        <v>-1013.8399999999999</v>
      </c>
      <c r="M209" s="2"/>
      <c r="N209" s="6">
        <f t="shared" si="74"/>
        <v>-0.76228571428571423</v>
      </c>
      <c r="O209" s="11"/>
      <c r="P209" s="7">
        <v>-1031.5899999999999</v>
      </c>
      <c r="Q209" s="2"/>
      <c r="R209" s="6">
        <f t="shared" si="75"/>
        <v>-1.3417111512302303E-4</v>
      </c>
      <c r="S209" s="2"/>
      <c r="T209" s="7">
        <v>18125</v>
      </c>
      <c r="U209" s="2"/>
      <c r="V209" s="6">
        <f t="shared" si="76"/>
        <v>2.1924637523144E-3</v>
      </c>
      <c r="W209" s="2"/>
      <c r="X209" s="7">
        <f t="shared" si="77"/>
        <v>-19156.59</v>
      </c>
      <c r="Y209" s="2"/>
      <c r="Z209" s="6">
        <f t="shared" si="78"/>
        <v>-1.0569153103448277</v>
      </c>
    </row>
    <row r="210" spans="1:26" s="27" customFormat="1" outlineLevel="1" collapsed="1" x14ac:dyDescent="0.25">
      <c r="A210" s="26"/>
      <c r="B210" s="13" t="str">
        <f>CONCATENATE("     ","Insurance                                         ")</f>
        <v xml:space="preserve">     Insurance                                         </v>
      </c>
      <c r="C210" s="13"/>
      <c r="D210" s="1">
        <f>SUM(OSRRefD22_12x_0)</f>
        <v>4044.74</v>
      </c>
      <c r="E210" s="1"/>
      <c r="F210" s="5">
        <f t="shared" si="71"/>
        <v>1.8609936302858166E-3</v>
      </c>
      <c r="G210" s="1"/>
      <c r="H210" s="1">
        <f>SUM(OSRRefH22_12x_0)</f>
        <v>3815</v>
      </c>
      <c r="I210" s="1"/>
      <c r="J210" s="5">
        <f t="shared" si="72"/>
        <v>1.571108792725001E-3</v>
      </c>
      <c r="K210" s="1"/>
      <c r="L210" s="1">
        <f t="shared" si="73"/>
        <v>229.73999999999978</v>
      </c>
      <c r="M210" s="1"/>
      <c r="N210" s="5">
        <f t="shared" si="74"/>
        <v>6.0220183486238477E-2</v>
      </c>
      <c r="O210" s="13"/>
      <c r="P210" s="1">
        <f>SUM(OSRRefP22_12x_0)</f>
        <v>28313.18</v>
      </c>
      <c r="Q210" s="1"/>
      <c r="R210" s="5">
        <f t="shared" si="75"/>
        <v>3.6824813475110013E-3</v>
      </c>
      <c r="S210" s="1"/>
      <c r="T210" s="1">
        <f>SUM(OSRRefT22_12x_0)</f>
        <v>26705</v>
      </c>
      <c r="U210" s="1"/>
      <c r="V210" s="5">
        <f t="shared" si="76"/>
        <v>3.2303307313410233E-3</v>
      </c>
      <c r="W210" s="1"/>
      <c r="X210" s="1">
        <f t="shared" si="77"/>
        <v>1608.1800000000003</v>
      </c>
      <c r="Y210" s="1"/>
      <c r="Z210" s="5">
        <f t="shared" si="78"/>
        <v>6.0220183486238546E-2</v>
      </c>
    </row>
    <row r="211" spans="1:26" s="24" customFormat="1" hidden="1" outlineLevel="2" x14ac:dyDescent="0.25">
      <c r="A211" s="25"/>
      <c r="B211" s="11" t="str">
        <f>CONCATENATE("          ", "6314", " - ", "LIABILITY INSURANCE")</f>
        <v xml:space="preserve">          6314 - LIABILITY INSURANCE</v>
      </c>
      <c r="C211" s="11"/>
      <c r="D211" s="7">
        <v>4044.74</v>
      </c>
      <c r="E211" s="2"/>
      <c r="F211" s="6">
        <f t="shared" si="71"/>
        <v>1.8609936302858166E-3</v>
      </c>
      <c r="G211" s="2"/>
      <c r="H211" s="7">
        <v>3815</v>
      </c>
      <c r="I211" s="2"/>
      <c r="J211" s="6">
        <f t="shared" si="72"/>
        <v>1.571108792725001E-3</v>
      </c>
      <c r="K211" s="2"/>
      <c r="L211" s="7">
        <f t="shared" si="73"/>
        <v>229.73999999999978</v>
      </c>
      <c r="M211" s="2"/>
      <c r="N211" s="6">
        <f t="shared" si="74"/>
        <v>6.0220183486238477E-2</v>
      </c>
      <c r="O211" s="11"/>
      <c r="P211" s="7">
        <v>28313.18</v>
      </c>
      <c r="Q211" s="2"/>
      <c r="R211" s="6">
        <f t="shared" si="75"/>
        <v>3.6824813475110013E-3</v>
      </c>
      <c r="S211" s="2"/>
      <c r="T211" s="7">
        <v>26705</v>
      </c>
      <c r="U211" s="2"/>
      <c r="V211" s="6">
        <f t="shared" si="76"/>
        <v>3.2303307313410233E-3</v>
      </c>
      <c r="W211" s="2"/>
      <c r="X211" s="7">
        <f t="shared" si="77"/>
        <v>1608.1800000000003</v>
      </c>
      <c r="Y211" s="2"/>
      <c r="Z211" s="6">
        <f t="shared" si="78"/>
        <v>6.0220183486238546E-2</v>
      </c>
    </row>
    <row r="212" spans="1:26" s="27" customFormat="1" outlineLevel="1" collapsed="1" x14ac:dyDescent="0.25">
      <c r="A212" s="26"/>
      <c r="B212" s="13" t="str">
        <f>CONCATENATE("     ","Inventory Adjustment                              ")</f>
        <v xml:space="preserve">     Inventory Adjustment                              </v>
      </c>
      <c r="C212" s="13"/>
      <c r="D212" s="1">
        <f>SUM(OSRRefD22_13x_0)</f>
        <v>4250</v>
      </c>
      <c r="E212" s="1"/>
      <c r="F212" s="5">
        <f t="shared" si="71"/>
        <v>1.9554342006444718E-3</v>
      </c>
      <c r="G212" s="1"/>
      <c r="H212" s="1">
        <f>SUM(OSRRefH22_13x_0)</f>
        <v>4250</v>
      </c>
      <c r="I212" s="1"/>
      <c r="J212" s="5">
        <f t="shared" si="72"/>
        <v>1.7502522592611413E-3</v>
      </c>
      <c r="K212" s="1"/>
      <c r="L212" s="1">
        <f t="shared" si="73"/>
        <v>0</v>
      </c>
      <c r="M212" s="1"/>
      <c r="N212" s="5">
        <f t="shared" si="74"/>
        <v>0</v>
      </c>
      <c r="O212" s="13"/>
      <c r="P212" s="1">
        <f>SUM(OSRRefP22_13x_0)</f>
        <v>35450</v>
      </c>
      <c r="Q212" s="1"/>
      <c r="R212" s="5">
        <f t="shared" si="75"/>
        <v>4.6107135888397207E-3</v>
      </c>
      <c r="S212" s="1"/>
      <c r="T212" s="1">
        <f>SUM(OSRRefT22_13x_0)</f>
        <v>35450</v>
      </c>
      <c r="U212" s="1"/>
      <c r="V212" s="5">
        <f t="shared" si="76"/>
        <v>4.2881566907335437E-3</v>
      </c>
      <c r="W212" s="1"/>
      <c r="X212" s="1">
        <f t="shared" si="77"/>
        <v>0</v>
      </c>
      <c r="Y212" s="1"/>
      <c r="Z212" s="5">
        <f t="shared" si="78"/>
        <v>0</v>
      </c>
    </row>
    <row r="213" spans="1:26" s="24" customFormat="1" hidden="1" outlineLevel="2" x14ac:dyDescent="0.25">
      <c r="A213" s="25"/>
      <c r="B213" s="11" t="str">
        <f>CONCATENATE("          ", "6408", " - ", "INVENTORY ADJUSTMENT")</f>
        <v xml:space="preserve">          6408 - INVENTORY ADJUSTMENT</v>
      </c>
      <c r="C213" s="11"/>
      <c r="D213" s="7">
        <v>4250</v>
      </c>
      <c r="E213" s="2"/>
      <c r="F213" s="6">
        <f t="shared" si="71"/>
        <v>1.9554342006444718E-3</v>
      </c>
      <c r="G213" s="2"/>
      <c r="H213" s="7">
        <v>4250</v>
      </c>
      <c r="I213" s="2"/>
      <c r="J213" s="6">
        <f t="shared" si="72"/>
        <v>1.7502522592611413E-3</v>
      </c>
      <c r="K213" s="2"/>
      <c r="L213" s="7">
        <f t="shared" si="73"/>
        <v>0</v>
      </c>
      <c r="M213" s="2"/>
      <c r="N213" s="6">
        <f t="shared" si="74"/>
        <v>0</v>
      </c>
      <c r="O213" s="11"/>
      <c r="P213" s="7">
        <v>35450</v>
      </c>
      <c r="Q213" s="2"/>
      <c r="R213" s="6">
        <f t="shared" si="75"/>
        <v>4.6107135888397207E-3</v>
      </c>
      <c r="S213" s="2"/>
      <c r="T213" s="7">
        <v>35450</v>
      </c>
      <c r="U213" s="2"/>
      <c r="V213" s="6">
        <f t="shared" si="76"/>
        <v>4.2881566907335437E-3</v>
      </c>
      <c r="W213" s="2"/>
      <c r="X213" s="7">
        <f t="shared" si="77"/>
        <v>0</v>
      </c>
      <c r="Y213" s="2"/>
      <c r="Z213" s="6">
        <f t="shared" si="78"/>
        <v>0</v>
      </c>
    </row>
    <row r="214" spans="1:26" s="27" customFormat="1" outlineLevel="1" collapsed="1" x14ac:dyDescent="0.25">
      <c r="A214" s="26"/>
      <c r="B214" s="13" t="str">
        <f>CONCATENATE("     ","Professional Services                             ")</f>
        <v xml:space="preserve">     Professional Services                             </v>
      </c>
      <c r="C214" s="13"/>
      <c r="D214" s="1">
        <f>SUM(OSRRefD22_14x_0)</f>
        <v>0</v>
      </c>
      <c r="E214" s="1"/>
      <c r="F214" s="5">
        <f t="shared" si="71"/>
        <v>0</v>
      </c>
      <c r="G214" s="1"/>
      <c r="H214" s="1">
        <f>SUM(OSRRefH22_14x_0)</f>
        <v>1265</v>
      </c>
      <c r="I214" s="1"/>
      <c r="J214" s="5">
        <f t="shared" si="72"/>
        <v>5.2095743716831615E-4</v>
      </c>
      <c r="K214" s="1"/>
      <c r="L214" s="1">
        <f t="shared" si="73"/>
        <v>-1265</v>
      </c>
      <c r="M214" s="1"/>
      <c r="N214" s="5">
        <f t="shared" si="74"/>
        <v>-1</v>
      </c>
      <c r="O214" s="13"/>
      <c r="P214" s="1">
        <f>SUM(OSRRefP22_14x_0)</f>
        <v>6199.56</v>
      </c>
      <c r="Q214" s="1"/>
      <c r="R214" s="5">
        <f t="shared" si="75"/>
        <v>8.0632991641261436E-4</v>
      </c>
      <c r="S214" s="1"/>
      <c r="T214" s="1">
        <f>SUM(OSRRefT22_14x_0)</f>
        <v>10005</v>
      </c>
      <c r="U214" s="1"/>
      <c r="V214" s="5">
        <f t="shared" si="76"/>
        <v>1.2102399912775487E-3</v>
      </c>
      <c r="W214" s="1"/>
      <c r="X214" s="1">
        <f t="shared" si="77"/>
        <v>-3805.4399999999996</v>
      </c>
      <c r="Y214" s="1"/>
      <c r="Z214" s="5">
        <f t="shared" si="78"/>
        <v>-0.38035382308845572</v>
      </c>
    </row>
    <row r="215" spans="1:26" s="24" customFormat="1" hidden="1" outlineLevel="2" x14ac:dyDescent="0.25">
      <c r="A215" s="25"/>
      <c r="B215" s="11" t="str">
        <f>CONCATENATE("          ", "6336", " - ", "PROFESSIONAL SERVICES")</f>
        <v xml:space="preserve">          6336 - PROFESSIONAL SERVICES</v>
      </c>
      <c r="C215" s="11"/>
      <c r="D215" s="7"/>
      <c r="E215" s="2"/>
      <c r="F215" s="6">
        <f t="shared" si="71"/>
        <v>0</v>
      </c>
      <c r="G215" s="2"/>
      <c r="H215" s="7">
        <v>1265</v>
      </c>
      <c r="I215" s="2"/>
      <c r="J215" s="6">
        <f t="shared" si="72"/>
        <v>5.2095743716831615E-4</v>
      </c>
      <c r="K215" s="2"/>
      <c r="L215" s="7">
        <f t="shared" si="73"/>
        <v>-1265</v>
      </c>
      <c r="M215" s="2"/>
      <c r="N215" s="6">
        <f t="shared" si="74"/>
        <v>-1</v>
      </c>
      <c r="O215" s="11"/>
      <c r="P215" s="7">
        <v>6199.56</v>
      </c>
      <c r="Q215" s="2"/>
      <c r="R215" s="6">
        <f t="shared" si="75"/>
        <v>8.0632991641261436E-4</v>
      </c>
      <c r="S215" s="2"/>
      <c r="T215" s="7">
        <v>10005</v>
      </c>
      <c r="U215" s="2"/>
      <c r="V215" s="6">
        <f t="shared" si="76"/>
        <v>1.2102399912775487E-3</v>
      </c>
      <c r="W215" s="2"/>
      <c r="X215" s="7">
        <f t="shared" si="77"/>
        <v>-3805.4399999999996</v>
      </c>
      <c r="Y215" s="2"/>
      <c r="Z215" s="6">
        <f t="shared" si="78"/>
        <v>-0.38035382308845572</v>
      </c>
    </row>
    <row r="216" spans="1:26" s="27" customFormat="1" outlineLevel="1" collapsed="1" x14ac:dyDescent="0.25">
      <c r="A216" s="26"/>
      <c r="B216" s="13" t="str">
        <f>CONCATENATE("     ","Rent                                              ")</f>
        <v xml:space="preserve">     Rent                                              </v>
      </c>
      <c r="C216" s="13"/>
      <c r="D216" s="1">
        <f>SUM(OSRRefD22_15x_0)</f>
        <v>7700</v>
      </c>
      <c r="E216" s="1"/>
      <c r="F216" s="5">
        <f t="shared" si="71"/>
        <v>3.5427866694029255E-3</v>
      </c>
      <c r="G216" s="1"/>
      <c r="H216" s="1">
        <f>SUM(OSRRefH22_15x_0)</f>
        <v>6400</v>
      </c>
      <c r="I216" s="1"/>
      <c r="J216" s="5">
        <f t="shared" si="72"/>
        <v>2.6356739904167775E-3</v>
      </c>
      <c r="K216" s="1"/>
      <c r="L216" s="1">
        <f t="shared" si="73"/>
        <v>1300</v>
      </c>
      <c r="M216" s="1"/>
      <c r="N216" s="5">
        <f t="shared" si="74"/>
        <v>0.203125</v>
      </c>
      <c r="O216" s="13"/>
      <c r="P216" s="1">
        <f>SUM(OSRRefP22_15x_0)</f>
        <v>44300</v>
      </c>
      <c r="Q216" s="1"/>
      <c r="R216" s="5">
        <f t="shared" si="75"/>
        <v>5.7617662055176192E-3</v>
      </c>
      <c r="S216" s="1"/>
      <c r="T216" s="1">
        <f>SUM(OSRRefT22_15x_0)</f>
        <v>44800</v>
      </c>
      <c r="U216" s="1"/>
      <c r="V216" s="5">
        <f t="shared" si="76"/>
        <v>5.4191655781343512E-3</v>
      </c>
      <c r="W216" s="1"/>
      <c r="X216" s="1">
        <f t="shared" si="77"/>
        <v>-500</v>
      </c>
      <c r="Y216" s="1"/>
      <c r="Z216" s="5">
        <f t="shared" si="78"/>
        <v>-1.1160714285714286E-2</v>
      </c>
    </row>
    <row r="217" spans="1:26" s="24" customFormat="1" hidden="1" outlineLevel="2" x14ac:dyDescent="0.25">
      <c r="A217" s="25"/>
      <c r="B217" s="11" t="str">
        <f>CONCATENATE("          ", "6273", " - ", "RENT")</f>
        <v xml:space="preserve">          6273 - RENT</v>
      </c>
      <c r="C217" s="11"/>
      <c r="D217" s="7">
        <v>7700</v>
      </c>
      <c r="E217" s="2"/>
      <c r="F217" s="6">
        <f t="shared" si="71"/>
        <v>3.5427866694029255E-3</v>
      </c>
      <c r="G217" s="2"/>
      <c r="H217" s="7">
        <v>6400</v>
      </c>
      <c r="I217" s="2"/>
      <c r="J217" s="6">
        <f t="shared" si="72"/>
        <v>2.6356739904167775E-3</v>
      </c>
      <c r="K217" s="2"/>
      <c r="L217" s="7">
        <f t="shared" si="73"/>
        <v>1300</v>
      </c>
      <c r="M217" s="2"/>
      <c r="N217" s="6">
        <f t="shared" si="74"/>
        <v>0.203125</v>
      </c>
      <c r="O217" s="11"/>
      <c r="P217" s="7">
        <v>44300</v>
      </c>
      <c r="Q217" s="2"/>
      <c r="R217" s="6">
        <f t="shared" si="75"/>
        <v>5.7617662055176192E-3</v>
      </c>
      <c r="S217" s="2"/>
      <c r="T217" s="7">
        <v>44800</v>
      </c>
      <c r="U217" s="2"/>
      <c r="V217" s="6">
        <f t="shared" si="76"/>
        <v>5.4191655781343512E-3</v>
      </c>
      <c r="W217" s="2"/>
      <c r="X217" s="7">
        <f t="shared" si="77"/>
        <v>-500</v>
      </c>
      <c r="Y217" s="2"/>
      <c r="Z217" s="6">
        <f t="shared" si="78"/>
        <v>-1.1160714285714286E-2</v>
      </c>
    </row>
    <row r="218" spans="1:26" s="27" customFormat="1" outlineLevel="1" collapsed="1" x14ac:dyDescent="0.25">
      <c r="A218" s="26"/>
      <c r="B218" s="13" t="str">
        <f>CONCATENATE("     ","Repair and Maintenance                            ")</f>
        <v xml:space="preserve">     Repair and Maintenance                            </v>
      </c>
      <c r="C218" s="13"/>
      <c r="D218" s="1">
        <f>SUM(OSRRefD22_16x_0)</f>
        <v>19358.940000000002</v>
      </c>
      <c r="E218" s="1"/>
      <c r="F218" s="5">
        <f t="shared" si="71"/>
        <v>8.9070902033468943E-3</v>
      </c>
      <c r="G218" s="1"/>
      <c r="H218" s="1">
        <f>SUM(OSRRefH22_16x_0)</f>
        <v>14540</v>
      </c>
      <c r="I218" s="1"/>
      <c r="J218" s="5">
        <f t="shared" si="72"/>
        <v>5.9879218469781163E-3</v>
      </c>
      <c r="K218" s="1"/>
      <c r="L218" s="1">
        <f t="shared" si="73"/>
        <v>4818.9400000000023</v>
      </c>
      <c r="M218" s="1"/>
      <c r="N218" s="5">
        <f t="shared" si="74"/>
        <v>0.33142640990371403</v>
      </c>
      <c r="O218" s="13"/>
      <c r="P218" s="1">
        <f>SUM(OSRRefP22_16x_0)</f>
        <v>101513.78</v>
      </c>
      <c r="Q218" s="1"/>
      <c r="R218" s="5">
        <f t="shared" si="75"/>
        <v>1.3203130180549671E-2</v>
      </c>
      <c r="S218" s="1"/>
      <c r="T218" s="1">
        <f>SUM(OSRRefT22_16x_0)</f>
        <v>146415</v>
      </c>
      <c r="U218" s="1"/>
      <c r="V218" s="5">
        <f t="shared" si="76"/>
        <v>1.7710873395592432E-2</v>
      </c>
      <c r="W218" s="1"/>
      <c r="X218" s="1">
        <f t="shared" si="77"/>
        <v>-44901.22</v>
      </c>
      <c r="Y218" s="1"/>
      <c r="Z218" s="5">
        <f t="shared" si="78"/>
        <v>-0.30667090120547758</v>
      </c>
    </row>
    <row r="219" spans="1:26" s="24" customFormat="1" hidden="1" outlineLevel="2" x14ac:dyDescent="0.25">
      <c r="A219" s="25"/>
      <c r="B219" s="11" t="str">
        <f>CONCATENATE("          ", "6371", " - ", "COMPUTER SOFTWARE MAINTENANCE")</f>
        <v xml:space="preserve">          6371 - COMPUTER SOFTWARE MAINTENANCE</v>
      </c>
      <c r="C219" s="11"/>
      <c r="D219" s="7">
        <v>601</v>
      </c>
      <c r="E219" s="2"/>
      <c r="F219" s="6">
        <f t="shared" si="71"/>
        <v>2.7652140107937122E-4</v>
      </c>
      <c r="G219" s="2"/>
      <c r="H219" s="7"/>
      <c r="I219" s="2"/>
      <c r="J219" s="6">
        <f t="shared" si="72"/>
        <v>0</v>
      </c>
      <c r="K219" s="2"/>
      <c r="L219" s="7">
        <f t="shared" si="73"/>
        <v>601</v>
      </c>
      <c r="M219" s="2"/>
      <c r="N219" s="6">
        <f t="shared" si="74"/>
        <v>0</v>
      </c>
      <c r="O219" s="11"/>
      <c r="P219" s="7">
        <v>14554.4</v>
      </c>
      <c r="Q219" s="2"/>
      <c r="R219" s="6">
        <f t="shared" si="75"/>
        <v>1.8929808140312786E-3</v>
      </c>
      <c r="S219" s="2"/>
      <c r="T219" s="7">
        <v>48535</v>
      </c>
      <c r="U219" s="2"/>
      <c r="V219" s="6">
        <f t="shared" si="76"/>
        <v>5.8709643155078284E-3</v>
      </c>
      <c r="W219" s="2"/>
      <c r="X219" s="7">
        <f t="shared" si="77"/>
        <v>-33980.6</v>
      </c>
      <c r="Y219" s="2"/>
      <c r="Z219" s="6">
        <f t="shared" si="78"/>
        <v>-0.700125682497167</v>
      </c>
    </row>
    <row r="220" spans="1:26" s="24" customFormat="1" hidden="1" outlineLevel="2" x14ac:dyDescent="0.25">
      <c r="A220" s="25"/>
      <c r="B220" s="11" t="str">
        <f>CONCATENATE("          ", "6372", " - ", "COMPUTER HARDWARE MAINTENANCE")</f>
        <v xml:space="preserve">          6372 - COMPUTER HARDWARE MAINTENANCE</v>
      </c>
      <c r="C220" s="11"/>
      <c r="D220" s="7">
        <v>52.32</v>
      </c>
      <c r="E220" s="2"/>
      <c r="F220" s="6">
        <f t="shared" si="71"/>
        <v>2.4072545265345593E-5</v>
      </c>
      <c r="G220" s="2"/>
      <c r="H220" s="7"/>
      <c r="I220" s="2"/>
      <c r="J220" s="6">
        <f t="shared" si="72"/>
        <v>0</v>
      </c>
      <c r="K220" s="2"/>
      <c r="L220" s="7">
        <f t="shared" si="73"/>
        <v>52.32</v>
      </c>
      <c r="M220" s="2"/>
      <c r="N220" s="6">
        <f t="shared" si="74"/>
        <v>0</v>
      </c>
      <c r="O220" s="11"/>
      <c r="P220" s="7">
        <v>52.32</v>
      </c>
      <c r="Q220" s="2"/>
      <c r="R220" s="6">
        <f t="shared" si="75"/>
        <v>6.8048669948686647E-6</v>
      </c>
      <c r="S220" s="2"/>
      <c r="T220" s="7">
        <v>2000</v>
      </c>
      <c r="U220" s="2"/>
      <c r="V220" s="6">
        <f t="shared" si="76"/>
        <v>2.4192703473814068E-4</v>
      </c>
      <c r="W220" s="2"/>
      <c r="X220" s="7">
        <f t="shared" si="77"/>
        <v>-1947.68</v>
      </c>
      <c r="Y220" s="2"/>
      <c r="Z220" s="6">
        <f t="shared" si="78"/>
        <v>-0.97384000000000004</v>
      </c>
    </row>
    <row r="221" spans="1:26" s="24" customFormat="1" hidden="1" outlineLevel="2" x14ac:dyDescent="0.25">
      <c r="A221" s="25"/>
      <c r="B221" s="11" t="str">
        <f>CONCATENATE("          ", "6373", " - ", "MAINTENANCE CONTRACTS")</f>
        <v xml:space="preserve">          6373 - MAINTENANCE CONTRACTS</v>
      </c>
      <c r="C221" s="11"/>
      <c r="D221" s="7">
        <v>12841.11</v>
      </c>
      <c r="E221" s="2"/>
      <c r="F221" s="6">
        <f t="shared" si="71"/>
        <v>5.9082225101735851E-3</v>
      </c>
      <c r="G221" s="2"/>
      <c r="H221" s="7">
        <v>7040</v>
      </c>
      <c r="I221" s="2"/>
      <c r="J221" s="6">
        <f t="shared" si="72"/>
        <v>2.8992413894584554E-3</v>
      </c>
      <c r="K221" s="2"/>
      <c r="L221" s="7">
        <f t="shared" si="73"/>
        <v>5801.1100000000006</v>
      </c>
      <c r="M221" s="2"/>
      <c r="N221" s="6">
        <f t="shared" si="74"/>
        <v>0.82402130681818186</v>
      </c>
      <c r="O221" s="11"/>
      <c r="P221" s="7">
        <v>52539.5</v>
      </c>
      <c r="Q221" s="2"/>
      <c r="R221" s="6">
        <f t="shared" si="75"/>
        <v>6.8334157010111283E-3</v>
      </c>
      <c r="S221" s="2"/>
      <c r="T221" s="7">
        <v>49355</v>
      </c>
      <c r="U221" s="2"/>
      <c r="V221" s="6">
        <f t="shared" si="76"/>
        <v>5.9701543997504663E-3</v>
      </c>
      <c r="W221" s="2"/>
      <c r="X221" s="7">
        <f t="shared" si="77"/>
        <v>3184.5</v>
      </c>
      <c r="Y221" s="2"/>
      <c r="Z221" s="6">
        <f t="shared" si="78"/>
        <v>6.4522338162293594E-2</v>
      </c>
    </row>
    <row r="222" spans="1:26" s="24" customFormat="1" hidden="1" outlineLevel="2" x14ac:dyDescent="0.25">
      <c r="A222" s="25"/>
      <c r="B222" s="11" t="str">
        <f>CONCATENATE("          ", "6375", " - ", "OUTSIDE REPAIRS &amp; MAINTENANCE")</f>
        <v xml:space="preserve">          6375 - OUTSIDE REPAIRS &amp; MAINTENANCE</v>
      </c>
      <c r="C222" s="11"/>
      <c r="D222" s="7">
        <v>5864.51</v>
      </c>
      <c r="E222" s="2"/>
      <c r="F222" s="6">
        <f t="shared" si="71"/>
        <v>2.6982737468285913E-3</v>
      </c>
      <c r="G222" s="2"/>
      <c r="H222" s="7">
        <v>7500</v>
      </c>
      <c r="I222" s="2"/>
      <c r="J222" s="6">
        <f t="shared" si="72"/>
        <v>3.0886804575196609E-3</v>
      </c>
      <c r="K222" s="2"/>
      <c r="L222" s="7">
        <f t="shared" si="73"/>
        <v>-1635.4899999999998</v>
      </c>
      <c r="M222" s="2"/>
      <c r="N222" s="6">
        <f t="shared" si="74"/>
        <v>-0.21806533333333331</v>
      </c>
      <c r="O222" s="11"/>
      <c r="P222" s="7">
        <v>34367.56</v>
      </c>
      <c r="Q222" s="2"/>
      <c r="R222" s="6">
        <f t="shared" si="75"/>
        <v>4.4699287985123948E-3</v>
      </c>
      <c r="S222" s="2"/>
      <c r="T222" s="7">
        <v>46525</v>
      </c>
      <c r="U222" s="2"/>
      <c r="V222" s="6">
        <f t="shared" si="76"/>
        <v>5.6278276455959978E-3</v>
      </c>
      <c r="W222" s="2"/>
      <c r="X222" s="7">
        <f t="shared" si="77"/>
        <v>-12157.440000000002</v>
      </c>
      <c r="Y222" s="2"/>
      <c r="Z222" s="6">
        <f t="shared" si="78"/>
        <v>-0.26130983342289099</v>
      </c>
    </row>
    <row r="223" spans="1:26" s="27" customFormat="1" outlineLevel="1" collapsed="1" x14ac:dyDescent="0.25">
      <c r="A223" s="26"/>
      <c r="B223" s="13" t="str">
        <f>CONCATENATE("     ","Royalty &amp; Commissions                             ")</f>
        <v xml:space="preserve">     Royalty &amp; Commissions                             </v>
      </c>
      <c r="C223" s="13"/>
      <c r="D223" s="1">
        <f>SUM(OSRRefD22_17x_0)</f>
        <v>8601.39</v>
      </c>
      <c r="E223" s="1"/>
      <c r="F223" s="5">
        <f t="shared" ref="F223:F227" si="79">IF(D$12=0,0,D223/D$12)</f>
        <v>3.9575181597838478E-3</v>
      </c>
      <c r="G223" s="1"/>
      <c r="H223" s="1">
        <f>SUM(OSRRefH22_17x_0)</f>
        <v>16485</v>
      </c>
      <c r="I223" s="1"/>
      <c r="J223" s="5">
        <f t="shared" ref="J223:J227" si="80">IF(H$12=0,0,H223/H$12)</f>
        <v>6.788919645628215E-3</v>
      </c>
      <c r="K223" s="1"/>
      <c r="L223" s="1">
        <f t="shared" ref="L223:L227" si="81">+D223-H223</f>
        <v>-7883.6100000000006</v>
      </c>
      <c r="M223" s="1"/>
      <c r="N223" s="5">
        <f t="shared" ref="N223:N227" si="82">IF(H223=0,0,L223/H223)</f>
        <v>-0.47822929936305736</v>
      </c>
      <c r="O223" s="13"/>
      <c r="P223" s="1">
        <f>SUM(OSRRefP22_17x_0)</f>
        <v>72092.160000000003</v>
      </c>
      <c r="Q223" s="1"/>
      <c r="R223" s="5">
        <f t="shared" ref="R223:R227" si="83">IF(P$12=0,0,P223/P$12)</f>
        <v>9.3764824192047215E-3</v>
      </c>
      <c r="S223" s="1"/>
      <c r="T223" s="1">
        <f>SUM(OSRRefT22_17x_0)</f>
        <v>115395</v>
      </c>
      <c r="U223" s="1"/>
      <c r="V223" s="5">
        <f t="shared" ref="V223:V227" si="84">IF(T$12=0,0,T223/T$12)</f>
        <v>1.3958585086803872E-2</v>
      </c>
      <c r="W223" s="1"/>
      <c r="X223" s="1">
        <f t="shared" ref="X223:X227" si="85">+P223-T223</f>
        <v>-43302.84</v>
      </c>
      <c r="Y223" s="1"/>
      <c r="Z223" s="5">
        <f t="shared" ref="Z223:Z227" si="86">IF(T223=0,0,X223/T223)</f>
        <v>-0.3752575068243858</v>
      </c>
    </row>
    <row r="224" spans="1:26" s="24" customFormat="1" hidden="1" outlineLevel="2" x14ac:dyDescent="0.25">
      <c r="A224" s="25"/>
      <c r="B224" s="11" t="str">
        <f>CONCATENATE("          ", "6252", " - ", "ROYALTY DUE CSTV")</f>
        <v xml:space="preserve">          6252 - ROYALTY DUE CSTV</v>
      </c>
      <c r="C224" s="11"/>
      <c r="D224" s="7"/>
      <c r="E224" s="2"/>
      <c r="F224" s="6">
        <f t="shared" si="79"/>
        <v>0</v>
      </c>
      <c r="G224" s="2"/>
      <c r="H224" s="7">
        <v>1085</v>
      </c>
      <c r="I224" s="2"/>
      <c r="J224" s="6">
        <f t="shared" si="80"/>
        <v>4.4682910618784431E-4</v>
      </c>
      <c r="K224" s="2"/>
      <c r="L224" s="7">
        <f t="shared" si="81"/>
        <v>-1085</v>
      </c>
      <c r="M224" s="2"/>
      <c r="N224" s="6">
        <f t="shared" si="82"/>
        <v>-1</v>
      </c>
      <c r="O224" s="11"/>
      <c r="P224" s="7"/>
      <c r="Q224" s="2"/>
      <c r="R224" s="6">
        <f t="shared" si="83"/>
        <v>0</v>
      </c>
      <c r="S224" s="2"/>
      <c r="T224" s="7">
        <v>7595</v>
      </c>
      <c r="U224" s="2"/>
      <c r="V224" s="6">
        <f t="shared" si="84"/>
        <v>9.187179144180892E-4</v>
      </c>
      <c r="W224" s="2"/>
      <c r="X224" s="7">
        <f t="shared" si="85"/>
        <v>-7595</v>
      </c>
      <c r="Y224" s="2"/>
      <c r="Z224" s="6">
        <f t="shared" si="86"/>
        <v>-1</v>
      </c>
    </row>
    <row r="225" spans="1:26" s="24" customFormat="1" hidden="1" outlineLevel="2" x14ac:dyDescent="0.25">
      <c r="A225" s="25"/>
      <c r="B225" s="11" t="str">
        <f>CONCATENATE("          ", "6253", " - ", "ROYALTY DUE ATHLETICS-LRG")</f>
        <v xml:space="preserve">          6253 - ROYALTY DUE ATHLETICS-LRG</v>
      </c>
      <c r="C225" s="11"/>
      <c r="D225" s="7"/>
      <c r="E225" s="2"/>
      <c r="F225" s="6">
        <f t="shared" si="79"/>
        <v>0</v>
      </c>
      <c r="G225" s="2"/>
      <c r="H225" s="7">
        <v>3700</v>
      </c>
      <c r="I225" s="2"/>
      <c r="J225" s="6">
        <f t="shared" si="80"/>
        <v>1.5237490257096996E-3</v>
      </c>
      <c r="K225" s="2"/>
      <c r="L225" s="7">
        <f t="shared" si="81"/>
        <v>-3700</v>
      </c>
      <c r="M225" s="2"/>
      <c r="N225" s="6">
        <f t="shared" si="82"/>
        <v>-1</v>
      </c>
      <c r="O225" s="11"/>
      <c r="P225" s="7">
        <v>4366.95</v>
      </c>
      <c r="Q225" s="2"/>
      <c r="R225" s="6">
        <f t="shared" si="83"/>
        <v>5.6797618354819789E-4</v>
      </c>
      <c r="S225" s="2"/>
      <c r="T225" s="7">
        <v>25900</v>
      </c>
      <c r="U225" s="2"/>
      <c r="V225" s="6">
        <f t="shared" si="84"/>
        <v>3.1329550998589217E-3</v>
      </c>
      <c r="W225" s="2"/>
      <c r="X225" s="7">
        <f t="shared" si="85"/>
        <v>-21533.05</v>
      </c>
      <c r="Y225" s="2"/>
      <c r="Z225" s="6">
        <f t="shared" si="86"/>
        <v>-0.83139189189189189</v>
      </c>
    </row>
    <row r="226" spans="1:26" s="24" customFormat="1" hidden="1" outlineLevel="2" x14ac:dyDescent="0.25">
      <c r="A226" s="25"/>
      <c r="B226" s="11" t="str">
        <f>CONCATENATE("          ", "6254", " - ", "ROYALTY &amp; COMMISSIONS")</f>
        <v xml:space="preserve">          6254 - ROYALTY &amp; COMMISSIONS</v>
      </c>
      <c r="C226" s="11"/>
      <c r="D226" s="7">
        <v>760.81</v>
      </c>
      <c r="E226" s="2"/>
      <c r="F226" s="6">
        <f t="shared" si="79"/>
        <v>3.500503280452519E-4</v>
      </c>
      <c r="G226" s="2"/>
      <c r="H226" s="7">
        <v>11700</v>
      </c>
      <c r="I226" s="2"/>
      <c r="J226" s="6">
        <f t="shared" si="80"/>
        <v>4.8183415137306711E-3</v>
      </c>
      <c r="K226" s="2"/>
      <c r="L226" s="7">
        <f t="shared" si="81"/>
        <v>-10939.19</v>
      </c>
      <c r="M226" s="2"/>
      <c r="N226" s="6">
        <f t="shared" si="82"/>
        <v>-0.93497350427350434</v>
      </c>
      <c r="O226" s="11"/>
      <c r="P226" s="7">
        <v>3324.65</v>
      </c>
      <c r="Q226" s="2"/>
      <c r="R226" s="6">
        <f t="shared" si="83"/>
        <v>4.324120996653308E-4</v>
      </c>
      <c r="S226" s="2"/>
      <c r="T226" s="7">
        <v>81900</v>
      </c>
      <c r="U226" s="2"/>
      <c r="V226" s="6">
        <f t="shared" si="84"/>
        <v>9.9069120725268599E-3</v>
      </c>
      <c r="W226" s="2"/>
      <c r="X226" s="7">
        <f t="shared" si="85"/>
        <v>-78575.350000000006</v>
      </c>
      <c r="Y226" s="2"/>
      <c r="Z226" s="6">
        <f t="shared" si="86"/>
        <v>-0.959405982905983</v>
      </c>
    </row>
    <row r="227" spans="1:26" s="24" customFormat="1" hidden="1" outlineLevel="2" x14ac:dyDescent="0.25">
      <c r="A227" s="25"/>
      <c r="B227" s="11" t="str">
        <f>CONCATENATE("          ", "6259", " - ", "ROYALTY &amp; COMMISSIONS")</f>
        <v xml:space="preserve">          6259 - ROYALTY &amp; COMMISSIONS</v>
      </c>
      <c r="C227" s="11"/>
      <c r="D227" s="7">
        <v>7840.58</v>
      </c>
      <c r="E227" s="2"/>
      <c r="F227" s="6">
        <f t="shared" si="79"/>
        <v>3.607467831738596E-3</v>
      </c>
      <c r="G227" s="2"/>
      <c r="H227" s="7"/>
      <c r="I227" s="2"/>
      <c r="J227" s="6">
        <f t="shared" si="80"/>
        <v>0</v>
      </c>
      <c r="K227" s="2"/>
      <c r="L227" s="7">
        <f t="shared" si="81"/>
        <v>7840.58</v>
      </c>
      <c r="M227" s="2"/>
      <c r="N227" s="6">
        <f t="shared" si="82"/>
        <v>0</v>
      </c>
      <c r="O227" s="11"/>
      <c r="P227" s="7">
        <v>64400.56</v>
      </c>
      <c r="Q227" s="2"/>
      <c r="R227" s="6">
        <f t="shared" si="83"/>
        <v>8.3760941359911911E-3</v>
      </c>
      <c r="S227" s="2"/>
      <c r="T227" s="7"/>
      <c r="U227" s="2"/>
      <c r="V227" s="6">
        <f t="shared" si="84"/>
        <v>0</v>
      </c>
      <c r="W227" s="2"/>
      <c r="X227" s="7">
        <f t="shared" si="85"/>
        <v>64400.56</v>
      </c>
      <c r="Y227" s="2"/>
      <c r="Z227" s="6">
        <f t="shared" si="86"/>
        <v>0</v>
      </c>
    </row>
    <row r="228" spans="1:26" s="27" customFormat="1" outlineLevel="1" collapsed="1" x14ac:dyDescent="0.25">
      <c r="A228" s="26"/>
      <c r="B228" s="13" t="str">
        <f>CONCATENATE("     ","Services                                          ")</f>
        <v xml:space="preserve">     Services                                          </v>
      </c>
      <c r="C228" s="13"/>
      <c r="D228" s="1">
        <f>SUM(OSRRefD22_18x_0)</f>
        <v>4858.3</v>
      </c>
      <c r="E228" s="1"/>
      <c r="F228" s="5">
        <f t="shared" ref="F228:F232" si="87">IF(D$12=0,0,D228/D$12)</f>
        <v>2.2353143475273029E-3</v>
      </c>
      <c r="G228" s="1"/>
      <c r="H228" s="1">
        <f>SUM(OSRRefH22_18x_0)</f>
        <v>4767.5</v>
      </c>
      <c r="I228" s="1"/>
      <c r="J228" s="5">
        <f t="shared" ref="J228:J232" si="88">IF(H$12=0,0,H228/H$12)</f>
        <v>1.9633712108299978E-3</v>
      </c>
      <c r="K228" s="1"/>
      <c r="L228" s="1">
        <f t="shared" ref="L228:L232" si="89">+D228-H228</f>
        <v>90.800000000000182</v>
      </c>
      <c r="M228" s="1"/>
      <c r="N228" s="5">
        <f t="shared" ref="N228:N232" si="90">IF(H228=0,0,L228/H228)</f>
        <v>1.9045621394861077E-2</v>
      </c>
      <c r="O228" s="13"/>
      <c r="P228" s="1">
        <f>SUM(OSRRefP22_18x_0)</f>
        <v>32250.18</v>
      </c>
      <c r="Q228" s="1"/>
      <c r="R228" s="5">
        <f t="shared" ref="R228:R232" si="91">IF(P$12=0,0,P228/P$12)</f>
        <v>4.1945371838794637E-3</v>
      </c>
      <c r="S228" s="1"/>
      <c r="T228" s="1">
        <f>SUM(OSRRefT22_18x_0)</f>
        <v>31362.5</v>
      </c>
      <c r="U228" s="1"/>
      <c r="V228" s="5">
        <f t="shared" ref="V228:V232" si="92">IF(T$12=0,0,T228/T$12)</f>
        <v>3.7937183134874684E-3</v>
      </c>
      <c r="W228" s="1"/>
      <c r="X228" s="1">
        <f t="shared" ref="X228:X232" si="93">+P228-T228</f>
        <v>887.68000000000029</v>
      </c>
      <c r="Y228" s="1"/>
      <c r="Z228" s="5">
        <f t="shared" ref="Z228:Z232" si="94">IF(T228=0,0,X228/T228)</f>
        <v>2.8303866082104435E-2</v>
      </c>
    </row>
    <row r="229" spans="1:26" s="24" customFormat="1" hidden="1" outlineLevel="2" x14ac:dyDescent="0.25">
      <c r="A229" s="25"/>
      <c r="B229" s="11" t="str">
        <f>CONCATENATE("          ", "6282", " - ", "JANITORIAL/EXTERMINATOR EXPENS")</f>
        <v xml:space="preserve">          6282 - JANITORIAL/EXTERMINATOR EXPENS</v>
      </c>
      <c r="C229" s="11"/>
      <c r="D229" s="7">
        <v>287.52</v>
      </c>
      <c r="E229" s="2"/>
      <c r="F229" s="6">
        <f t="shared" si="87"/>
        <v>1.3228857443983494E-4</v>
      </c>
      <c r="G229" s="2"/>
      <c r="H229" s="7">
        <v>50</v>
      </c>
      <c r="I229" s="2"/>
      <c r="J229" s="6">
        <f t="shared" si="88"/>
        <v>2.0591203050131074E-5</v>
      </c>
      <c r="K229" s="2"/>
      <c r="L229" s="7">
        <f t="shared" si="89"/>
        <v>237.51999999999998</v>
      </c>
      <c r="M229" s="2"/>
      <c r="N229" s="6">
        <f t="shared" si="90"/>
        <v>4.7504</v>
      </c>
      <c r="O229" s="11"/>
      <c r="P229" s="7">
        <v>1886.52</v>
      </c>
      <c r="Q229" s="2"/>
      <c r="R229" s="6">
        <f t="shared" si="91"/>
        <v>2.4536539914295935E-4</v>
      </c>
      <c r="S229" s="2"/>
      <c r="T229" s="7">
        <v>350</v>
      </c>
      <c r="U229" s="2"/>
      <c r="V229" s="6">
        <f t="shared" si="92"/>
        <v>4.2337231079174619E-5</v>
      </c>
      <c r="W229" s="2"/>
      <c r="X229" s="7">
        <f t="shared" si="93"/>
        <v>1536.52</v>
      </c>
      <c r="Y229" s="2"/>
      <c r="Z229" s="6">
        <f t="shared" si="94"/>
        <v>4.3900571428571427</v>
      </c>
    </row>
    <row r="230" spans="1:26" s="24" customFormat="1" hidden="1" outlineLevel="2" x14ac:dyDescent="0.25">
      <c r="A230" s="25"/>
      <c r="B230" s="11" t="str">
        <f>CONCATENATE("          ", "6283", " - ", "PLANT SERVICE")</f>
        <v xml:space="preserve">          6283 - PLANT SERVICE</v>
      </c>
      <c r="C230" s="11"/>
      <c r="D230" s="7"/>
      <c r="E230" s="2"/>
      <c r="F230" s="6">
        <f t="shared" si="87"/>
        <v>0</v>
      </c>
      <c r="G230" s="2"/>
      <c r="H230" s="7">
        <v>60</v>
      </c>
      <c r="I230" s="2"/>
      <c r="J230" s="6">
        <f t="shared" si="88"/>
        <v>2.4709443660157288E-5</v>
      </c>
      <c r="K230" s="2"/>
      <c r="L230" s="7">
        <f t="shared" si="89"/>
        <v>-60</v>
      </c>
      <c r="M230" s="2"/>
      <c r="N230" s="6">
        <f t="shared" si="90"/>
        <v>-1</v>
      </c>
      <c r="O230" s="11"/>
      <c r="P230" s="7">
        <v>541.98</v>
      </c>
      <c r="Q230" s="2"/>
      <c r="R230" s="6">
        <f t="shared" si="91"/>
        <v>7.0491242620009925E-5</v>
      </c>
      <c r="S230" s="2"/>
      <c r="T230" s="7">
        <v>420</v>
      </c>
      <c r="U230" s="2"/>
      <c r="V230" s="6">
        <f t="shared" si="92"/>
        <v>5.0804677295009543E-5</v>
      </c>
      <c r="W230" s="2"/>
      <c r="X230" s="7">
        <f t="shared" si="93"/>
        <v>121.98000000000002</v>
      </c>
      <c r="Y230" s="2"/>
      <c r="Z230" s="6">
        <f t="shared" si="94"/>
        <v>0.29042857142857148</v>
      </c>
    </row>
    <row r="231" spans="1:26" s="24" customFormat="1" hidden="1" outlineLevel="2" x14ac:dyDescent="0.25">
      <c r="A231" s="25"/>
      <c r="B231" s="11" t="str">
        <f>CONCATENATE("          ", "6284", " - ", "TRASH REMOVAL EXPENSE")</f>
        <v xml:space="preserve">          6284 - TRASH REMOVAL EXPENSE</v>
      </c>
      <c r="C231" s="11"/>
      <c r="D231" s="7">
        <v>134.82</v>
      </c>
      <c r="E231" s="2"/>
      <c r="F231" s="6">
        <f t="shared" si="87"/>
        <v>6.2030973866091218E-5</v>
      </c>
      <c r="G231" s="2"/>
      <c r="H231" s="7">
        <v>62.5</v>
      </c>
      <c r="I231" s="2"/>
      <c r="J231" s="6">
        <f t="shared" si="88"/>
        <v>2.5739003812663844E-5</v>
      </c>
      <c r="K231" s="2"/>
      <c r="L231" s="7">
        <f t="shared" si="89"/>
        <v>72.319999999999993</v>
      </c>
      <c r="M231" s="2"/>
      <c r="N231" s="6">
        <f t="shared" si="90"/>
        <v>1.1571199999999999</v>
      </c>
      <c r="O231" s="11"/>
      <c r="P231" s="7">
        <v>943.74</v>
      </c>
      <c r="Q231" s="2"/>
      <c r="R231" s="6">
        <f t="shared" si="91"/>
        <v>1.2274512954390968E-4</v>
      </c>
      <c r="S231" s="2"/>
      <c r="T231" s="7">
        <v>437.5</v>
      </c>
      <c r="U231" s="2"/>
      <c r="V231" s="6">
        <f t="shared" si="92"/>
        <v>5.2921538848968271E-5</v>
      </c>
      <c r="W231" s="2"/>
      <c r="X231" s="7">
        <f t="shared" si="93"/>
        <v>506.24</v>
      </c>
      <c r="Y231" s="2"/>
      <c r="Z231" s="6">
        <f t="shared" si="94"/>
        <v>1.1571199999999999</v>
      </c>
    </row>
    <row r="232" spans="1:26" s="24" customFormat="1" hidden="1" outlineLevel="2" x14ac:dyDescent="0.25">
      <c r="A232" s="25"/>
      <c r="B232" s="11" t="str">
        <f>CONCATENATE("          ", "6285", " - ", "JANITORIAL SERVICES")</f>
        <v xml:space="preserve">          6285 - JANITORIAL SERVICES</v>
      </c>
      <c r="C232" s="11"/>
      <c r="D232" s="7">
        <v>4435.96</v>
      </c>
      <c r="E232" s="2"/>
      <c r="F232" s="6">
        <f t="shared" si="87"/>
        <v>2.040994799221377E-3</v>
      </c>
      <c r="G232" s="2"/>
      <c r="H232" s="7">
        <v>4595</v>
      </c>
      <c r="I232" s="2"/>
      <c r="J232" s="6">
        <f t="shared" si="88"/>
        <v>1.8923315603070457E-3</v>
      </c>
      <c r="K232" s="2"/>
      <c r="L232" s="7">
        <f t="shared" si="89"/>
        <v>-159.03999999999996</v>
      </c>
      <c r="M232" s="2"/>
      <c r="N232" s="6">
        <f t="shared" si="90"/>
        <v>-3.4611534276387371E-2</v>
      </c>
      <c r="O232" s="11"/>
      <c r="P232" s="7">
        <v>28877.94</v>
      </c>
      <c r="Q232" s="2"/>
      <c r="R232" s="6">
        <f t="shared" si="91"/>
        <v>3.7559354125725843E-3</v>
      </c>
      <c r="S232" s="2"/>
      <c r="T232" s="7">
        <v>30155</v>
      </c>
      <c r="U232" s="2"/>
      <c r="V232" s="6">
        <f t="shared" si="92"/>
        <v>3.6476548662643161E-3</v>
      </c>
      <c r="W232" s="2"/>
      <c r="X232" s="7">
        <f t="shared" si="93"/>
        <v>-1277.0600000000013</v>
      </c>
      <c r="Y232" s="2"/>
      <c r="Z232" s="6">
        <f t="shared" si="94"/>
        <v>-4.2349859061515546E-2</v>
      </c>
    </row>
    <row r="233" spans="1:26" s="27" customFormat="1" outlineLevel="1" collapsed="1" x14ac:dyDescent="0.25">
      <c r="A233" s="26"/>
      <c r="B233" s="13" t="str">
        <f>CONCATENATE("     ","Subscriptions &amp; Dues                              ")</f>
        <v xml:space="preserve">     Subscriptions &amp; Dues                              </v>
      </c>
      <c r="C233" s="13"/>
      <c r="D233" s="1">
        <f>SUM(OSRRefD22_19x_0)</f>
        <v>333.1</v>
      </c>
      <c r="E233" s="1"/>
      <c r="F233" s="5">
        <f t="shared" ref="F233:F235" si="95">IF(D$12=0,0,D233/D$12)</f>
        <v>1.5326003111404085E-4</v>
      </c>
      <c r="G233" s="1"/>
      <c r="H233" s="1">
        <f>SUM(OSRRefH22_19x_0)</f>
        <v>2990</v>
      </c>
      <c r="I233" s="1"/>
      <c r="J233" s="5">
        <f t="shared" ref="J233:J235" si="96">IF(H$12=0,0,H233/H$12)</f>
        <v>1.2313539423978383E-3</v>
      </c>
      <c r="K233" s="1"/>
      <c r="L233" s="1">
        <f t="shared" ref="L233:L235" si="97">+D233-H233</f>
        <v>-2656.9</v>
      </c>
      <c r="M233" s="1"/>
      <c r="N233" s="5">
        <f t="shared" ref="N233:N235" si="98">IF(H233=0,0,L233/H233)</f>
        <v>-0.88859531772575251</v>
      </c>
      <c r="O233" s="13"/>
      <c r="P233" s="1">
        <f>SUM(OSRRefP22_19x_0)</f>
        <v>2800.86</v>
      </c>
      <c r="Q233" s="1"/>
      <c r="R233" s="5">
        <f t="shared" ref="R233:R235" si="99">IF(P$12=0,0,P233/P$12)</f>
        <v>3.642866928755323E-4</v>
      </c>
      <c r="S233" s="1"/>
      <c r="T233" s="1">
        <f>SUM(OSRRefT22_19x_0)</f>
        <v>16720</v>
      </c>
      <c r="U233" s="1"/>
      <c r="V233" s="5">
        <f t="shared" ref="V233:V235" si="100">IF(T$12=0,0,T233/T$12)</f>
        <v>2.0225100104108561E-3</v>
      </c>
      <c r="W233" s="1"/>
      <c r="X233" s="1">
        <f t="shared" ref="X233:X235" si="101">+P233-T233</f>
        <v>-13919.14</v>
      </c>
      <c r="Y233" s="1"/>
      <c r="Z233" s="5">
        <f t="shared" ref="Z233:Z235" si="102">IF(T233=0,0,X233/T233)</f>
        <v>-0.83248444976076552</v>
      </c>
    </row>
    <row r="234" spans="1:26" s="24" customFormat="1" hidden="1" outlineLevel="2" x14ac:dyDescent="0.25">
      <c r="A234" s="25"/>
      <c r="B234" s="11" t="str">
        <f>CONCATENATE("          ", "6258", " - ", "MEMBERSHIP DUES")</f>
        <v xml:space="preserve">          6258 - MEMBERSHIP DUES</v>
      </c>
      <c r="C234" s="11"/>
      <c r="D234" s="7">
        <v>258.10000000000002</v>
      </c>
      <c r="E234" s="2"/>
      <c r="F234" s="6">
        <f t="shared" si="95"/>
        <v>1.1875236874972664E-4</v>
      </c>
      <c r="G234" s="2"/>
      <c r="H234" s="7">
        <v>2700</v>
      </c>
      <c r="I234" s="2"/>
      <c r="J234" s="6">
        <f t="shared" si="96"/>
        <v>1.1119249647070779E-3</v>
      </c>
      <c r="K234" s="2"/>
      <c r="L234" s="7">
        <f t="shared" si="97"/>
        <v>-2441.9</v>
      </c>
      <c r="M234" s="2"/>
      <c r="N234" s="6">
        <f t="shared" si="98"/>
        <v>-0.90440740740740744</v>
      </c>
      <c r="O234" s="11"/>
      <c r="P234" s="7">
        <v>1935.5</v>
      </c>
      <c r="Q234" s="2"/>
      <c r="R234" s="6">
        <f t="shared" si="99"/>
        <v>2.5173585757966933E-4</v>
      </c>
      <c r="S234" s="2"/>
      <c r="T234" s="7">
        <v>13840</v>
      </c>
      <c r="U234" s="2"/>
      <c r="V234" s="6">
        <f t="shared" si="100"/>
        <v>1.6741350803879335E-3</v>
      </c>
      <c r="W234" s="2"/>
      <c r="X234" s="7">
        <f t="shared" si="101"/>
        <v>-11904.5</v>
      </c>
      <c r="Y234" s="2"/>
      <c r="Z234" s="6">
        <f t="shared" si="102"/>
        <v>-0.86015173410404622</v>
      </c>
    </row>
    <row r="235" spans="1:26" s="24" customFormat="1" hidden="1" outlineLevel="2" x14ac:dyDescent="0.25">
      <c r="A235" s="25"/>
      <c r="B235" s="11" t="str">
        <f>CONCATENATE("          ", "6275", " - ", "SUBSCRIPTIONS")</f>
        <v xml:space="preserve">          6275 - SUBSCRIPTIONS</v>
      </c>
      <c r="C235" s="11"/>
      <c r="D235" s="7">
        <v>75</v>
      </c>
      <c r="E235" s="2"/>
      <c r="F235" s="6">
        <f t="shared" si="95"/>
        <v>3.4507662364314208E-5</v>
      </c>
      <c r="G235" s="2"/>
      <c r="H235" s="7">
        <v>290</v>
      </c>
      <c r="I235" s="2"/>
      <c r="J235" s="6">
        <f t="shared" si="96"/>
        <v>1.1942897769076023E-4</v>
      </c>
      <c r="K235" s="2"/>
      <c r="L235" s="7">
        <f t="shared" si="97"/>
        <v>-215</v>
      </c>
      <c r="M235" s="2"/>
      <c r="N235" s="6">
        <f t="shared" si="98"/>
        <v>-0.74137931034482762</v>
      </c>
      <c r="O235" s="11"/>
      <c r="P235" s="7">
        <v>865.36</v>
      </c>
      <c r="Q235" s="2"/>
      <c r="R235" s="6">
        <f t="shared" si="99"/>
        <v>1.1255083529586291E-4</v>
      </c>
      <c r="S235" s="2"/>
      <c r="T235" s="7">
        <v>2880</v>
      </c>
      <c r="U235" s="2"/>
      <c r="V235" s="6">
        <f t="shared" si="100"/>
        <v>3.4837493002292259E-4</v>
      </c>
      <c r="W235" s="2"/>
      <c r="X235" s="7">
        <f t="shared" si="101"/>
        <v>-2014.6399999999999</v>
      </c>
      <c r="Y235" s="2"/>
      <c r="Z235" s="6">
        <f t="shared" si="102"/>
        <v>-0.69952777777777775</v>
      </c>
    </row>
    <row r="236" spans="1:26" s="27" customFormat="1" outlineLevel="1" collapsed="1" x14ac:dyDescent="0.25">
      <c r="A236" s="26"/>
      <c r="B236" s="13" t="str">
        <f>CONCATENATE("     ","Supplies                                          ")</f>
        <v xml:space="preserve">     Supplies                                          </v>
      </c>
      <c r="C236" s="13"/>
      <c r="D236" s="1">
        <f>SUM(OSRRefD22_20x_0)</f>
        <v>11105.029999999999</v>
      </c>
      <c r="E236" s="1"/>
      <c r="F236" s="5">
        <f t="shared" ref="F236:F243" si="103">IF(D$12=0,0,D236/D$12)</f>
        <v>5.1094483438077357E-3</v>
      </c>
      <c r="G236" s="1"/>
      <c r="H236" s="1">
        <f>SUM(OSRRefH22_20x_0)</f>
        <v>24995</v>
      </c>
      <c r="I236" s="1"/>
      <c r="J236" s="5">
        <f t="shared" ref="J236:J243" si="104">IF(H$12=0,0,H236/H$12)</f>
        <v>1.0293542404760525E-2</v>
      </c>
      <c r="K236" s="1"/>
      <c r="L236" s="1">
        <f t="shared" ref="L236:L243" si="105">+D236-H236</f>
        <v>-13889.970000000001</v>
      </c>
      <c r="M236" s="1"/>
      <c r="N236" s="5">
        <f t="shared" ref="N236:N243" si="106">IF(H236=0,0,L236/H236)</f>
        <v>-0.55570994198839774</v>
      </c>
      <c r="O236" s="13"/>
      <c r="P236" s="1">
        <f>SUM(OSRRefP22_20x_0)</f>
        <v>61873.34</v>
      </c>
      <c r="Q236" s="1"/>
      <c r="R236" s="5">
        <f t="shared" ref="R236:R243" si="107">IF(P$12=0,0,P236/P$12)</f>
        <v>8.0473977298984537E-3</v>
      </c>
      <c r="S236" s="1"/>
      <c r="T236" s="1">
        <f>SUM(OSRRefT22_20x_0)</f>
        <v>118955</v>
      </c>
      <c r="U236" s="1"/>
      <c r="V236" s="5">
        <f t="shared" ref="V236:V243" si="108">IF(T$12=0,0,T236/T$12)</f>
        <v>1.4389215208637762E-2</v>
      </c>
      <c r="W236" s="1"/>
      <c r="X236" s="1">
        <f t="shared" ref="X236:X243" si="109">+P236-T236</f>
        <v>-57081.66</v>
      </c>
      <c r="Y236" s="1"/>
      <c r="Z236" s="5">
        <f t="shared" ref="Z236:Z243" si="110">IF(T236=0,0,X236/T236)</f>
        <v>-0.47985927451557314</v>
      </c>
    </row>
    <row r="237" spans="1:26" s="24" customFormat="1" hidden="1" outlineLevel="2" x14ac:dyDescent="0.25">
      <c r="A237" s="25"/>
      <c r="B237" s="11" t="str">
        <f>CONCATENATE("          ", "6234", " - ", "EXPENDABLE SUPPLIES &amp; EQUIPMEN")</f>
        <v xml:space="preserve">          6234 - EXPENDABLE SUPPLIES &amp; EQUIPMEN</v>
      </c>
      <c r="C237" s="11"/>
      <c r="D237" s="7">
        <v>1338.2</v>
      </c>
      <c r="E237" s="2"/>
      <c r="F237" s="6">
        <f t="shared" si="103"/>
        <v>6.1570871701233706E-4</v>
      </c>
      <c r="G237" s="2"/>
      <c r="H237" s="7">
        <v>2600</v>
      </c>
      <c r="I237" s="2"/>
      <c r="J237" s="6">
        <f t="shared" si="104"/>
        <v>1.0707425586068159E-3</v>
      </c>
      <c r="K237" s="2"/>
      <c r="L237" s="7">
        <f t="shared" si="105"/>
        <v>-1261.8</v>
      </c>
      <c r="M237" s="2"/>
      <c r="N237" s="6">
        <f t="shared" si="106"/>
        <v>-0.48530769230769227</v>
      </c>
      <c r="O237" s="11"/>
      <c r="P237" s="7">
        <v>3160.95</v>
      </c>
      <c r="Q237" s="2"/>
      <c r="R237" s="6">
        <f t="shared" si="107"/>
        <v>4.1112087781785368E-4</v>
      </c>
      <c r="S237" s="2"/>
      <c r="T237" s="7">
        <v>5850</v>
      </c>
      <c r="U237" s="2"/>
      <c r="V237" s="6">
        <f t="shared" si="108"/>
        <v>7.0763657660906148E-4</v>
      </c>
      <c r="W237" s="2"/>
      <c r="X237" s="7">
        <f t="shared" si="109"/>
        <v>-2689.05</v>
      </c>
      <c r="Y237" s="2"/>
      <c r="Z237" s="6">
        <f t="shared" si="110"/>
        <v>-0.45966666666666672</v>
      </c>
    </row>
    <row r="238" spans="1:26" s="24" customFormat="1" hidden="1" outlineLevel="2" x14ac:dyDescent="0.25">
      <c r="A238" s="25"/>
      <c r="B238" s="11" t="str">
        <f>CONCATENATE("          ", "6237", " - ", "JANITORIAL SUPPLIES")</f>
        <v xml:space="preserve">          6237 - JANITORIAL SUPPLIES</v>
      </c>
      <c r="C238" s="11"/>
      <c r="D238" s="7">
        <v>792.65</v>
      </c>
      <c r="E238" s="2"/>
      <c r="F238" s="6">
        <f t="shared" si="103"/>
        <v>3.6469998097431541E-4</v>
      </c>
      <c r="G238" s="2"/>
      <c r="H238" s="7">
        <v>45</v>
      </c>
      <c r="I238" s="2"/>
      <c r="J238" s="6">
        <f t="shared" si="104"/>
        <v>1.8532082745117966E-5</v>
      </c>
      <c r="K238" s="2"/>
      <c r="L238" s="7">
        <f t="shared" si="105"/>
        <v>747.65</v>
      </c>
      <c r="M238" s="2"/>
      <c r="N238" s="6">
        <f t="shared" si="106"/>
        <v>16.614444444444445</v>
      </c>
      <c r="O238" s="11"/>
      <c r="P238" s="7">
        <v>3782.13</v>
      </c>
      <c r="Q238" s="2"/>
      <c r="R238" s="6">
        <f t="shared" si="107"/>
        <v>4.9191306588881162E-4</v>
      </c>
      <c r="S238" s="2"/>
      <c r="T238" s="7">
        <v>305</v>
      </c>
      <c r="U238" s="2"/>
      <c r="V238" s="6">
        <f t="shared" si="108"/>
        <v>3.6893872797566453E-5</v>
      </c>
      <c r="W238" s="2"/>
      <c r="X238" s="7">
        <f t="shared" si="109"/>
        <v>3477.13</v>
      </c>
      <c r="Y238" s="2"/>
      <c r="Z238" s="6">
        <f t="shared" si="110"/>
        <v>11.400426229508197</v>
      </c>
    </row>
    <row r="239" spans="1:26" s="24" customFormat="1" hidden="1" outlineLevel="2" x14ac:dyDescent="0.25">
      <c r="A239" s="25"/>
      <c r="B239" s="11" t="str">
        <f>CONCATENATE("          ", "6241", " - ", "OFFICE EXPENSE")</f>
        <v xml:space="preserve">          6241 - OFFICE EXPENSE</v>
      </c>
      <c r="C239" s="11"/>
      <c r="D239" s="7">
        <v>4018.69</v>
      </c>
      <c r="E239" s="2"/>
      <c r="F239" s="6">
        <f t="shared" si="103"/>
        <v>1.8490079688912784E-3</v>
      </c>
      <c r="G239" s="2"/>
      <c r="H239" s="7">
        <v>1575</v>
      </c>
      <c r="I239" s="2"/>
      <c r="J239" s="6">
        <f t="shared" si="104"/>
        <v>6.4862289607912882E-4</v>
      </c>
      <c r="K239" s="2"/>
      <c r="L239" s="7">
        <f t="shared" si="105"/>
        <v>2443.69</v>
      </c>
      <c r="M239" s="2"/>
      <c r="N239" s="6">
        <f t="shared" si="106"/>
        <v>1.5515492063492065</v>
      </c>
      <c r="O239" s="11"/>
      <c r="P239" s="7">
        <v>21513.52</v>
      </c>
      <c r="Q239" s="2"/>
      <c r="R239" s="6">
        <f t="shared" si="107"/>
        <v>2.7981009593166461E-3</v>
      </c>
      <c r="S239" s="2"/>
      <c r="T239" s="7">
        <v>10975</v>
      </c>
      <c r="U239" s="2"/>
      <c r="V239" s="6">
        <f t="shared" si="108"/>
        <v>1.3275746031255469E-3</v>
      </c>
      <c r="W239" s="2"/>
      <c r="X239" s="7">
        <f t="shared" si="109"/>
        <v>10538.52</v>
      </c>
      <c r="Y239" s="2"/>
      <c r="Z239" s="6">
        <f t="shared" si="110"/>
        <v>0.96022961275626428</v>
      </c>
    </row>
    <row r="240" spans="1:26" s="24" customFormat="1" hidden="1" outlineLevel="2" x14ac:dyDescent="0.25">
      <c r="A240" s="25"/>
      <c r="B240" s="11" t="str">
        <f>CONCATENATE("          ", "6243", " - ", "PAPER SUPPLIES")</f>
        <v xml:space="preserve">          6243 - PAPER SUPPLIES</v>
      </c>
      <c r="C240" s="11"/>
      <c r="D240" s="7">
        <v>2294.33</v>
      </c>
      <c r="E240" s="2"/>
      <c r="F240" s="6">
        <f t="shared" si="103"/>
        <v>1.0556261998975604E-3</v>
      </c>
      <c r="G240" s="2"/>
      <c r="H240" s="7">
        <v>750</v>
      </c>
      <c r="I240" s="2"/>
      <c r="J240" s="6">
        <f t="shared" si="104"/>
        <v>3.0886804575196614E-4</v>
      </c>
      <c r="K240" s="2"/>
      <c r="L240" s="7">
        <f t="shared" si="105"/>
        <v>1544.33</v>
      </c>
      <c r="M240" s="2"/>
      <c r="N240" s="6">
        <f t="shared" si="106"/>
        <v>2.0591066666666666</v>
      </c>
      <c r="O240" s="11"/>
      <c r="P240" s="7">
        <v>11852.83</v>
      </c>
      <c r="Q240" s="2"/>
      <c r="R240" s="6">
        <f t="shared" si="107"/>
        <v>1.5416080210777744E-3</v>
      </c>
      <c r="S240" s="2"/>
      <c r="T240" s="7">
        <v>2750</v>
      </c>
      <c r="U240" s="2"/>
      <c r="V240" s="6">
        <f t="shared" si="108"/>
        <v>3.3264967276494344E-4</v>
      </c>
      <c r="W240" s="2"/>
      <c r="X240" s="7">
        <f t="shared" si="109"/>
        <v>9102.83</v>
      </c>
      <c r="Y240" s="2"/>
      <c r="Z240" s="6">
        <f t="shared" si="110"/>
        <v>3.31012</v>
      </c>
    </row>
    <row r="241" spans="1:26" s="24" customFormat="1" hidden="1" outlineLevel="2" x14ac:dyDescent="0.25">
      <c r="A241" s="25"/>
      <c r="B241" s="11" t="str">
        <f>CONCATENATE("          ", "6245", " - ", "PRINTING")</f>
        <v xml:space="preserve">          6245 - PRINTING</v>
      </c>
      <c r="C241" s="11"/>
      <c r="D241" s="7">
        <v>926.39</v>
      </c>
      <c r="E241" s="2"/>
      <c r="F241" s="6">
        <f t="shared" si="103"/>
        <v>4.2623404450236056E-4</v>
      </c>
      <c r="G241" s="2"/>
      <c r="H241" s="7">
        <v>500</v>
      </c>
      <c r="I241" s="2"/>
      <c r="J241" s="6">
        <f t="shared" si="104"/>
        <v>2.0591203050131075E-4</v>
      </c>
      <c r="K241" s="2"/>
      <c r="L241" s="7">
        <f t="shared" si="105"/>
        <v>426.39</v>
      </c>
      <c r="M241" s="2"/>
      <c r="N241" s="6">
        <f t="shared" si="106"/>
        <v>0.85277999999999998</v>
      </c>
      <c r="O241" s="11"/>
      <c r="P241" s="7">
        <v>6520.2</v>
      </c>
      <c r="Q241" s="2"/>
      <c r="R241" s="6">
        <f t="shared" si="107"/>
        <v>8.4803313799584608E-4</v>
      </c>
      <c r="S241" s="2"/>
      <c r="T241" s="7">
        <v>1900</v>
      </c>
      <c r="U241" s="2"/>
      <c r="V241" s="6">
        <f t="shared" si="108"/>
        <v>2.2983068300123365E-4</v>
      </c>
      <c r="W241" s="2"/>
      <c r="X241" s="7">
        <f t="shared" si="109"/>
        <v>4620.2</v>
      </c>
      <c r="Y241" s="2"/>
      <c r="Z241" s="6">
        <f t="shared" si="110"/>
        <v>2.4316842105263157</v>
      </c>
    </row>
    <row r="242" spans="1:26" s="24" customFormat="1" hidden="1" outlineLevel="2" x14ac:dyDescent="0.25">
      <c r="A242" s="25"/>
      <c r="B242" s="11" t="str">
        <f>CONCATENATE("          ", "6247", " - ", "STORE SUPPLIES")</f>
        <v xml:space="preserve">          6247 - STORE SUPPLIES</v>
      </c>
      <c r="C242" s="11"/>
      <c r="D242" s="7">
        <v>1734.77</v>
      </c>
      <c r="E242" s="2"/>
      <c r="F242" s="6">
        <f t="shared" si="103"/>
        <v>7.9817143252988482E-4</v>
      </c>
      <c r="G242" s="2"/>
      <c r="H242" s="7">
        <v>18525</v>
      </c>
      <c r="I242" s="2"/>
      <c r="J242" s="6">
        <f t="shared" si="104"/>
        <v>7.6290407300735634E-3</v>
      </c>
      <c r="K242" s="2"/>
      <c r="L242" s="7">
        <f t="shared" si="105"/>
        <v>-16790.23</v>
      </c>
      <c r="M242" s="2"/>
      <c r="N242" s="6">
        <f t="shared" si="106"/>
        <v>-0.90635519568151146</v>
      </c>
      <c r="O242" s="11"/>
      <c r="P242" s="7">
        <v>15043.710000000001</v>
      </c>
      <c r="Q242" s="2"/>
      <c r="R242" s="6">
        <f t="shared" si="107"/>
        <v>1.9566216678015232E-3</v>
      </c>
      <c r="S242" s="2"/>
      <c r="T242" s="7">
        <v>89675</v>
      </c>
      <c r="U242" s="2"/>
      <c r="V242" s="6">
        <f t="shared" si="108"/>
        <v>1.0847403420071382E-2</v>
      </c>
      <c r="W242" s="2"/>
      <c r="X242" s="7">
        <f t="shared" si="109"/>
        <v>-74631.289999999994</v>
      </c>
      <c r="Y242" s="2"/>
      <c r="Z242" s="6">
        <f t="shared" si="110"/>
        <v>-0.83224187343183709</v>
      </c>
    </row>
    <row r="243" spans="1:26" s="24" customFormat="1" hidden="1" outlineLevel="2" x14ac:dyDescent="0.25">
      <c r="A243" s="25"/>
      <c r="B243" s="11" t="str">
        <f>CONCATENATE("          ", "6248", " - ", "UNIFORMS")</f>
        <v xml:space="preserve">          6248 - UNIFORMS</v>
      </c>
      <c r="C243" s="11"/>
      <c r="D243" s="7"/>
      <c r="E243" s="2"/>
      <c r="F243" s="6">
        <f t="shared" si="103"/>
        <v>0</v>
      </c>
      <c r="G243" s="2"/>
      <c r="H243" s="7">
        <v>1000</v>
      </c>
      <c r="I243" s="2"/>
      <c r="J243" s="6">
        <f t="shared" si="104"/>
        <v>4.118240610026215E-4</v>
      </c>
      <c r="K243" s="2"/>
      <c r="L243" s="7">
        <f t="shared" si="105"/>
        <v>-1000</v>
      </c>
      <c r="M243" s="2"/>
      <c r="N243" s="6">
        <f t="shared" si="106"/>
        <v>-1</v>
      </c>
      <c r="O243" s="11"/>
      <c r="P243" s="7"/>
      <c r="Q243" s="2"/>
      <c r="R243" s="6">
        <f t="shared" si="107"/>
        <v>0</v>
      </c>
      <c r="S243" s="2"/>
      <c r="T243" s="7">
        <v>7500</v>
      </c>
      <c r="U243" s="2"/>
      <c r="V243" s="6">
        <f t="shared" si="108"/>
        <v>9.0722638026802748E-4</v>
      </c>
      <c r="W243" s="2"/>
      <c r="X243" s="7">
        <f t="shared" si="109"/>
        <v>-7500</v>
      </c>
      <c r="Y243" s="2"/>
      <c r="Z243" s="6">
        <f t="shared" si="110"/>
        <v>-1</v>
      </c>
    </row>
    <row r="244" spans="1:26" s="27" customFormat="1" outlineLevel="1" collapsed="1" x14ac:dyDescent="0.25">
      <c r="A244" s="26"/>
      <c r="B244" s="13" t="str">
        <f>CONCATENATE("     ","Telephone/Data Lines                              ")</f>
        <v xml:space="preserve">     Telephone/Data Lines                              </v>
      </c>
      <c r="C244" s="13"/>
      <c r="D244" s="1">
        <f>SUM(OSRRefD22_21x_0)</f>
        <v>2592.6799999999998</v>
      </c>
      <c r="E244" s="1"/>
      <c r="F244" s="5">
        <f t="shared" ref="F244:F246" si="111">IF(D$12=0,0,D244/D$12)</f>
        <v>1.1928976807828021E-3</v>
      </c>
      <c r="G244" s="1"/>
      <c r="H244" s="1">
        <f>SUM(OSRRefH22_21x_0)</f>
        <v>2840</v>
      </c>
      <c r="I244" s="1"/>
      <c r="J244" s="5">
        <f t="shared" ref="J244:J246" si="112">IF(H$12=0,0,H244/H$12)</f>
        <v>1.169580333247445E-3</v>
      </c>
      <c r="K244" s="1"/>
      <c r="L244" s="1">
        <f t="shared" ref="L244:L246" si="113">+D244-H244</f>
        <v>-247.32000000000016</v>
      </c>
      <c r="M244" s="1"/>
      <c r="N244" s="5">
        <f t="shared" ref="N244:N246" si="114">IF(H244=0,0,L244/H244)</f>
        <v>-8.7084507042253581E-2</v>
      </c>
      <c r="O244" s="13"/>
      <c r="P244" s="1">
        <f>SUM(OSRRefP22_21x_0)</f>
        <v>18647.939999999999</v>
      </c>
      <c r="Q244" s="1"/>
      <c r="R244" s="5">
        <f t="shared" ref="R244:R246" si="115">IF(P$12=0,0,P244/P$12)</f>
        <v>2.4253966251584704E-3</v>
      </c>
      <c r="S244" s="1"/>
      <c r="T244" s="1">
        <f>SUM(OSRRefT22_21x_0)</f>
        <v>20855</v>
      </c>
      <c r="U244" s="1"/>
      <c r="V244" s="5">
        <f t="shared" ref="V244:V246" si="116">IF(T$12=0,0,T244/T$12)</f>
        <v>2.5226941547319619E-3</v>
      </c>
      <c r="W244" s="1"/>
      <c r="X244" s="1">
        <f t="shared" ref="X244:X246" si="117">+P244-T244</f>
        <v>-2207.0600000000013</v>
      </c>
      <c r="Y244" s="1"/>
      <c r="Z244" s="5">
        <f t="shared" ref="Z244:Z246" si="118">IF(T244=0,0,X244/T244)</f>
        <v>-0.10582881802924965</v>
      </c>
    </row>
    <row r="245" spans="1:26" s="24" customFormat="1" hidden="1" outlineLevel="2" x14ac:dyDescent="0.25">
      <c r="A245" s="25"/>
      <c r="B245" s="11" t="str">
        <f>CONCATENATE("          ", "6303", " - ", "DATA PHONE LINES")</f>
        <v xml:space="preserve">          6303 - DATA PHONE LINES</v>
      </c>
      <c r="C245" s="11"/>
      <c r="D245" s="7">
        <v>295</v>
      </c>
      <c r="E245" s="2"/>
      <c r="F245" s="6">
        <f t="shared" si="111"/>
        <v>1.3573013863296923E-4</v>
      </c>
      <c r="G245" s="2"/>
      <c r="H245" s="7">
        <v>900</v>
      </c>
      <c r="I245" s="2"/>
      <c r="J245" s="6">
        <f t="shared" si="112"/>
        <v>3.7064165490235934E-4</v>
      </c>
      <c r="K245" s="2"/>
      <c r="L245" s="7">
        <f t="shared" si="113"/>
        <v>-605</v>
      </c>
      <c r="M245" s="2"/>
      <c r="N245" s="6">
        <f t="shared" si="114"/>
        <v>-0.67222222222222228</v>
      </c>
      <c r="O245" s="11"/>
      <c r="P245" s="7">
        <v>2065</v>
      </c>
      <c r="Q245" s="2"/>
      <c r="R245" s="6">
        <f t="shared" si="115"/>
        <v>2.6857894389150982E-4</v>
      </c>
      <c r="S245" s="2"/>
      <c r="T245" s="7">
        <v>7375</v>
      </c>
      <c r="U245" s="2"/>
      <c r="V245" s="6">
        <f t="shared" si="116"/>
        <v>8.9210594059689369E-4</v>
      </c>
      <c r="W245" s="2"/>
      <c r="X245" s="7">
        <f t="shared" si="117"/>
        <v>-5310</v>
      </c>
      <c r="Y245" s="2"/>
      <c r="Z245" s="6">
        <f t="shared" si="118"/>
        <v>-0.72</v>
      </c>
    </row>
    <row r="246" spans="1:26" s="24" customFormat="1" hidden="1" outlineLevel="2" x14ac:dyDescent="0.25">
      <c r="A246" s="25"/>
      <c r="B246" s="11" t="str">
        <f>CONCATENATE("          ", "6309", " - ", "TELEPHONE")</f>
        <v xml:space="preserve">          6309 - TELEPHONE</v>
      </c>
      <c r="C246" s="11"/>
      <c r="D246" s="7">
        <v>2297.6799999999998</v>
      </c>
      <c r="E246" s="2"/>
      <c r="F246" s="6">
        <f t="shared" si="111"/>
        <v>1.057167542149833E-3</v>
      </c>
      <c r="G246" s="2"/>
      <c r="H246" s="7">
        <v>1940</v>
      </c>
      <c r="I246" s="2"/>
      <c r="J246" s="6">
        <f t="shared" si="112"/>
        <v>7.9893867834508563E-4</v>
      </c>
      <c r="K246" s="2"/>
      <c r="L246" s="7">
        <f t="shared" si="113"/>
        <v>357.67999999999984</v>
      </c>
      <c r="M246" s="2"/>
      <c r="N246" s="6">
        <f t="shared" si="114"/>
        <v>0.18437113402061847</v>
      </c>
      <c r="O246" s="11"/>
      <c r="P246" s="7">
        <v>16582.939999999999</v>
      </c>
      <c r="Q246" s="2"/>
      <c r="R246" s="6">
        <f t="shared" si="115"/>
        <v>2.1568176812669605E-3</v>
      </c>
      <c r="S246" s="2"/>
      <c r="T246" s="7">
        <v>13480</v>
      </c>
      <c r="U246" s="2"/>
      <c r="V246" s="6">
        <f t="shared" si="116"/>
        <v>1.6305882141350681E-3</v>
      </c>
      <c r="W246" s="2"/>
      <c r="X246" s="7">
        <f t="shared" si="117"/>
        <v>3102.9399999999987</v>
      </c>
      <c r="Y246" s="2"/>
      <c r="Z246" s="6">
        <f t="shared" si="118"/>
        <v>0.23018842729970318</v>
      </c>
    </row>
    <row r="247" spans="1:26" s="27" customFormat="1" outlineLevel="1" collapsed="1" x14ac:dyDescent="0.25">
      <c r="A247" s="26"/>
      <c r="B247" s="13" t="str">
        <f>CONCATENATE("     ","Training                                          ")</f>
        <v xml:space="preserve">     Training                                          </v>
      </c>
      <c r="C247" s="13"/>
      <c r="D247" s="1">
        <f>SUM(OSRRefD22_22x_0)</f>
        <v>2056.09</v>
      </c>
      <c r="E247" s="1"/>
      <c r="F247" s="5">
        <f t="shared" ref="F247:F252" si="119">IF(D$12=0,0,D247/D$12)</f>
        <v>9.4601146014190415E-4</v>
      </c>
      <c r="G247" s="1"/>
      <c r="H247" s="1">
        <f>SUM(OSRRefH22_22x_0)</f>
        <v>3100</v>
      </c>
      <c r="I247" s="1"/>
      <c r="J247" s="5">
        <f t="shared" ref="J247:J252" si="120">IF(H$12=0,0,H247/H$12)</f>
        <v>1.2766545891081265E-3</v>
      </c>
      <c r="K247" s="1"/>
      <c r="L247" s="1">
        <f t="shared" ref="L247:L252" si="121">+D247-H247</f>
        <v>-1043.9099999999999</v>
      </c>
      <c r="M247" s="1"/>
      <c r="N247" s="5">
        <f t="shared" ref="N247:N252" si="122">IF(H247=0,0,L247/H247)</f>
        <v>-0.33674516129032256</v>
      </c>
      <c r="O247" s="13"/>
      <c r="P247" s="1">
        <f>SUM(OSRRefP22_22x_0)</f>
        <v>9619.89</v>
      </c>
      <c r="Q247" s="1"/>
      <c r="R247" s="5">
        <f t="shared" ref="R247:R252" si="123">IF(P$12=0,0,P247/P$12)</f>
        <v>1.2511863905823226E-3</v>
      </c>
      <c r="S247" s="1"/>
      <c r="T247" s="1">
        <f>SUM(OSRRefT22_22x_0)</f>
        <v>16050</v>
      </c>
      <c r="U247" s="1"/>
      <c r="V247" s="5">
        <f t="shared" ref="V247:V252" si="124">IF(T$12=0,0,T247/T$12)</f>
        <v>1.941464453773579E-3</v>
      </c>
      <c r="W247" s="1"/>
      <c r="X247" s="1">
        <f t="shared" ref="X247:X252" si="125">+P247-T247</f>
        <v>-6430.1100000000006</v>
      </c>
      <c r="Y247" s="1"/>
      <c r="Z247" s="5">
        <f t="shared" ref="Z247:Z252" si="126">IF(T247=0,0,X247/T247)</f>
        <v>-0.4006299065420561</v>
      </c>
    </row>
    <row r="248" spans="1:26" s="24" customFormat="1" hidden="1" outlineLevel="2" x14ac:dyDescent="0.25">
      <c r="A248" s="25"/>
      <c r="B248" s="11" t="str">
        <f>CONCATENATE("          ", "6376", " - ", "TRAINING")</f>
        <v xml:space="preserve">          6376 - TRAINING</v>
      </c>
      <c r="C248" s="11"/>
      <c r="D248" s="7">
        <v>2056.09</v>
      </c>
      <c r="E248" s="2"/>
      <c r="F248" s="6">
        <f t="shared" si="119"/>
        <v>9.4601146014190415E-4</v>
      </c>
      <c r="G248" s="2"/>
      <c r="H248" s="7">
        <v>3100</v>
      </c>
      <c r="I248" s="2"/>
      <c r="J248" s="6">
        <f t="shared" si="120"/>
        <v>1.2766545891081265E-3</v>
      </c>
      <c r="K248" s="2"/>
      <c r="L248" s="7">
        <f t="shared" si="121"/>
        <v>-1043.9099999999999</v>
      </c>
      <c r="M248" s="2"/>
      <c r="N248" s="6">
        <f t="shared" si="122"/>
        <v>-0.33674516129032256</v>
      </c>
      <c r="O248" s="11"/>
      <c r="P248" s="7">
        <v>9619.89</v>
      </c>
      <c r="Q248" s="2"/>
      <c r="R248" s="6">
        <f t="shared" si="123"/>
        <v>1.2511863905823226E-3</v>
      </c>
      <c r="S248" s="2"/>
      <c r="T248" s="7">
        <v>16050</v>
      </c>
      <c r="U248" s="2"/>
      <c r="V248" s="6">
        <f t="shared" si="124"/>
        <v>1.941464453773579E-3</v>
      </c>
      <c r="W248" s="2"/>
      <c r="X248" s="7">
        <f t="shared" si="125"/>
        <v>-6430.1100000000006</v>
      </c>
      <c r="Y248" s="2"/>
      <c r="Z248" s="6">
        <f t="shared" si="126"/>
        <v>-0.4006299065420561</v>
      </c>
    </row>
    <row r="249" spans="1:26" s="27" customFormat="1" outlineLevel="1" collapsed="1" x14ac:dyDescent="0.25">
      <c r="A249" s="26"/>
      <c r="B249" s="13" t="str">
        <f>CONCATENATE("     ","Travel                                            ")</f>
        <v xml:space="preserve">     Travel                                            </v>
      </c>
      <c r="C249" s="13"/>
      <c r="D249" s="1">
        <f>SUM(OSRRefD22_23x_0)</f>
        <v>-472.06</v>
      </c>
      <c r="E249" s="1"/>
      <c r="F249" s="5">
        <f t="shared" si="119"/>
        <v>-2.171958279426422E-4</v>
      </c>
      <c r="G249" s="1"/>
      <c r="H249" s="1">
        <f>SUM(OSRRefH22_23x_0)</f>
        <v>100</v>
      </c>
      <c r="I249" s="1"/>
      <c r="J249" s="5">
        <f t="shared" si="120"/>
        <v>4.1182406100262149E-5</v>
      </c>
      <c r="K249" s="1"/>
      <c r="L249" s="1">
        <f t="shared" si="121"/>
        <v>-572.05999999999995</v>
      </c>
      <c r="M249" s="1"/>
      <c r="N249" s="5">
        <f t="shared" si="122"/>
        <v>-5.7205999999999992</v>
      </c>
      <c r="O249" s="13"/>
      <c r="P249" s="1">
        <f>SUM(OSRRefP22_23x_0)</f>
        <v>970.04</v>
      </c>
      <c r="Q249" s="1"/>
      <c r="R249" s="5">
        <f t="shared" si="123"/>
        <v>1.2616577178330274E-4</v>
      </c>
      <c r="S249" s="1"/>
      <c r="T249" s="1">
        <f>SUM(OSRRefT22_23x_0)</f>
        <v>1160</v>
      </c>
      <c r="U249" s="1"/>
      <c r="V249" s="5">
        <f t="shared" si="124"/>
        <v>1.403176801481216E-4</v>
      </c>
      <c r="W249" s="1"/>
      <c r="X249" s="1">
        <f t="shared" si="125"/>
        <v>-189.96000000000004</v>
      </c>
      <c r="Y249" s="1"/>
      <c r="Z249" s="5">
        <f t="shared" si="126"/>
        <v>-0.16375862068965522</v>
      </c>
    </row>
    <row r="250" spans="1:26" s="24" customFormat="1" hidden="1" outlineLevel="2" x14ac:dyDescent="0.25">
      <c r="A250" s="25"/>
      <c r="B250" s="11" t="str">
        <f>CONCATENATE("          ", "6292", " - ", "TRAVEL/CONFERENCE")</f>
        <v xml:space="preserve">          6292 - TRAVEL/CONFERENCE</v>
      </c>
      <c r="C250" s="11"/>
      <c r="D250" s="7"/>
      <c r="E250" s="2"/>
      <c r="F250" s="6">
        <f t="shared" si="119"/>
        <v>0</v>
      </c>
      <c r="G250" s="2"/>
      <c r="H250" s="7"/>
      <c r="I250" s="2"/>
      <c r="J250" s="6">
        <f t="shared" si="120"/>
        <v>0</v>
      </c>
      <c r="K250" s="2"/>
      <c r="L250" s="7">
        <f t="shared" si="121"/>
        <v>0</v>
      </c>
      <c r="M250" s="2"/>
      <c r="N250" s="6">
        <f t="shared" si="122"/>
        <v>0</v>
      </c>
      <c r="O250" s="11"/>
      <c r="P250" s="7">
        <v>365.6</v>
      </c>
      <c r="Q250" s="2"/>
      <c r="R250" s="6">
        <f t="shared" si="123"/>
        <v>4.7550829000840675E-5</v>
      </c>
      <c r="S250" s="2"/>
      <c r="T250" s="7"/>
      <c r="U250" s="2"/>
      <c r="V250" s="6">
        <f t="shared" si="124"/>
        <v>0</v>
      </c>
      <c r="W250" s="2"/>
      <c r="X250" s="7">
        <f t="shared" si="125"/>
        <v>365.6</v>
      </c>
      <c r="Y250" s="2"/>
      <c r="Z250" s="6">
        <f t="shared" si="126"/>
        <v>0</v>
      </c>
    </row>
    <row r="251" spans="1:26" s="24" customFormat="1" hidden="1" outlineLevel="2" x14ac:dyDescent="0.25">
      <c r="A251" s="25"/>
      <c r="B251" s="11" t="str">
        <f>CONCATENATE("          ", "6294", " - ", "TRAVEL OPERATIONAL")</f>
        <v xml:space="preserve">          6294 - TRAVEL OPERATIONAL</v>
      </c>
      <c r="C251" s="11"/>
      <c r="D251" s="7">
        <v>-506.75</v>
      </c>
      <c r="E251" s="2"/>
      <c r="F251" s="6">
        <f t="shared" si="119"/>
        <v>-2.3315677204154968E-4</v>
      </c>
      <c r="G251" s="2"/>
      <c r="H251" s="7">
        <v>100</v>
      </c>
      <c r="I251" s="2"/>
      <c r="J251" s="6">
        <f t="shared" si="120"/>
        <v>4.1182406100262149E-5</v>
      </c>
      <c r="K251" s="2"/>
      <c r="L251" s="7">
        <f t="shared" si="121"/>
        <v>-606.75</v>
      </c>
      <c r="M251" s="2"/>
      <c r="N251" s="6">
        <f t="shared" si="122"/>
        <v>-6.0674999999999999</v>
      </c>
      <c r="O251" s="11"/>
      <c r="P251" s="7">
        <v>312.19</v>
      </c>
      <c r="Q251" s="2"/>
      <c r="R251" s="6">
        <f t="shared" si="123"/>
        <v>4.0604193943578909E-5</v>
      </c>
      <c r="S251" s="2"/>
      <c r="T251" s="7">
        <v>710</v>
      </c>
      <c r="U251" s="2"/>
      <c r="V251" s="6">
        <f t="shared" si="124"/>
        <v>8.5884097332039936E-5</v>
      </c>
      <c r="W251" s="2"/>
      <c r="X251" s="7">
        <f t="shared" si="125"/>
        <v>-397.81</v>
      </c>
      <c r="Y251" s="2"/>
      <c r="Z251" s="6">
        <f t="shared" si="126"/>
        <v>-0.56029577464788738</v>
      </c>
    </row>
    <row r="252" spans="1:26" s="24" customFormat="1" hidden="1" outlineLevel="2" x14ac:dyDescent="0.25">
      <c r="A252" s="25"/>
      <c r="B252" s="11" t="str">
        <f>CONCATENATE("          ", "6298", " - ", "VEHICLE MILEAGE")</f>
        <v xml:space="preserve">          6298 - VEHICLE MILEAGE</v>
      </c>
      <c r="C252" s="11"/>
      <c r="D252" s="7">
        <v>34.69</v>
      </c>
      <c r="E252" s="2"/>
      <c r="F252" s="6">
        <f t="shared" si="119"/>
        <v>1.5960944098907463E-5</v>
      </c>
      <c r="G252" s="2"/>
      <c r="H252" s="7"/>
      <c r="I252" s="2"/>
      <c r="J252" s="6">
        <f t="shared" si="120"/>
        <v>0</v>
      </c>
      <c r="K252" s="2"/>
      <c r="L252" s="7">
        <f t="shared" si="121"/>
        <v>34.69</v>
      </c>
      <c r="M252" s="2"/>
      <c r="N252" s="6">
        <f t="shared" si="122"/>
        <v>0</v>
      </c>
      <c r="O252" s="11"/>
      <c r="P252" s="7">
        <v>292.25</v>
      </c>
      <c r="Q252" s="2"/>
      <c r="R252" s="6">
        <f t="shared" si="123"/>
        <v>3.8010748838883165E-5</v>
      </c>
      <c r="S252" s="2"/>
      <c r="T252" s="7">
        <v>450</v>
      </c>
      <c r="U252" s="2"/>
      <c r="V252" s="6">
        <f t="shared" si="124"/>
        <v>5.4433582816081649E-5</v>
      </c>
      <c r="W252" s="2"/>
      <c r="X252" s="7">
        <f t="shared" si="125"/>
        <v>-157.75</v>
      </c>
      <c r="Y252" s="2"/>
      <c r="Z252" s="6">
        <f t="shared" si="126"/>
        <v>-0.35055555555555556</v>
      </c>
    </row>
    <row r="253" spans="1:26" s="27" customFormat="1" outlineLevel="1" collapsed="1" x14ac:dyDescent="0.25">
      <c r="A253" s="26"/>
      <c r="B253" s="13" t="str">
        <f>CONCATENATE("     ","Utilities                                         ")</f>
        <v xml:space="preserve">     Utilities                                         </v>
      </c>
      <c r="C253" s="13"/>
      <c r="D253" s="1">
        <f>SUM(OSRRefD22_24x_0)</f>
        <v>6298.14</v>
      </c>
      <c r="E253" s="1"/>
      <c r="F253" s="5">
        <f t="shared" ref="F253:F254" si="127">IF(D$12=0,0,D253/D$12)</f>
        <v>2.8977878485757589E-3</v>
      </c>
      <c r="G253" s="1"/>
      <c r="H253" s="1">
        <f>SUM(OSRRefH22_24x_0)</f>
        <v>5150</v>
      </c>
      <c r="I253" s="1"/>
      <c r="J253" s="5">
        <f t="shared" ref="J253:J254" si="128">IF(H$12=0,0,H253/H$12)</f>
        <v>2.1208939141635005E-3</v>
      </c>
      <c r="K253" s="1"/>
      <c r="L253" s="1">
        <f t="shared" ref="L253:L254" si="129">+D253-H253</f>
        <v>1148.1400000000003</v>
      </c>
      <c r="M253" s="1"/>
      <c r="N253" s="5">
        <f t="shared" ref="N253:N254" si="130">IF(H253=0,0,L253/H253)</f>
        <v>0.22293980582524278</v>
      </c>
      <c r="O253" s="13"/>
      <c r="P253" s="1">
        <f>SUM(OSRRefP22_24x_0)</f>
        <v>38332.82</v>
      </c>
      <c r="Q253" s="1"/>
      <c r="R253" s="5">
        <f t="shared" ref="R253:R254" si="131">IF(P$12=0,0,P253/P$12)</f>
        <v>4.9856601995076728E-3</v>
      </c>
      <c r="S253" s="1"/>
      <c r="T253" s="1">
        <f>SUM(OSRRefT22_24x_0)</f>
        <v>35675</v>
      </c>
      <c r="U253" s="1"/>
      <c r="V253" s="5">
        <f t="shared" ref="V253:V254" si="132">IF(T$12=0,0,T253/T$12)</f>
        <v>4.3153734821415844E-3</v>
      </c>
      <c r="W253" s="1"/>
      <c r="X253" s="1">
        <f t="shared" ref="X253:X254" si="133">+P253-T253</f>
        <v>2657.8199999999997</v>
      </c>
      <c r="Y253" s="1"/>
      <c r="Z253" s="5">
        <f t="shared" ref="Z253:Z254" si="134">IF(T253=0,0,X253/T253)</f>
        <v>7.4500911002102307E-2</v>
      </c>
    </row>
    <row r="254" spans="1:26" s="24" customFormat="1" hidden="1" outlineLevel="2" x14ac:dyDescent="0.25">
      <c r="A254" s="25"/>
      <c r="B254" s="11" t="str">
        <f>CONCATENATE("          ", "6274", " - ", "UTILITIES")</f>
        <v xml:space="preserve">          6274 - UTILITIES</v>
      </c>
      <c r="C254" s="11"/>
      <c r="D254" s="7">
        <v>6298.14</v>
      </c>
      <c r="E254" s="2"/>
      <c r="F254" s="6">
        <f t="shared" si="127"/>
        <v>2.8977878485757589E-3</v>
      </c>
      <c r="G254" s="2"/>
      <c r="H254" s="7">
        <v>5150</v>
      </c>
      <c r="I254" s="2"/>
      <c r="J254" s="6">
        <f t="shared" si="128"/>
        <v>2.1208939141635005E-3</v>
      </c>
      <c r="K254" s="2"/>
      <c r="L254" s="7">
        <f t="shared" si="129"/>
        <v>1148.1400000000003</v>
      </c>
      <c r="M254" s="2"/>
      <c r="N254" s="6">
        <f t="shared" si="130"/>
        <v>0.22293980582524278</v>
      </c>
      <c r="O254" s="11"/>
      <c r="P254" s="7">
        <v>38332.82</v>
      </c>
      <c r="Q254" s="2"/>
      <c r="R254" s="6">
        <f t="shared" si="131"/>
        <v>4.9856601995076728E-3</v>
      </c>
      <c r="S254" s="2"/>
      <c r="T254" s="7">
        <v>35675</v>
      </c>
      <c r="U254" s="2"/>
      <c r="V254" s="6">
        <f t="shared" si="132"/>
        <v>4.3153734821415844E-3</v>
      </c>
      <c r="W254" s="2"/>
      <c r="X254" s="7">
        <f t="shared" si="133"/>
        <v>2657.8199999999997</v>
      </c>
      <c r="Y254" s="2"/>
      <c r="Z254" s="6">
        <f t="shared" si="134"/>
        <v>7.4500911002102307E-2</v>
      </c>
    </row>
    <row r="255" spans="1:26" s="53" customFormat="1" x14ac:dyDescent="0.25">
      <c r="A255" s="36"/>
      <c r="B255" s="36"/>
      <c r="C255" s="36"/>
      <c r="D255" s="1"/>
      <c r="E255" s="1"/>
      <c r="F255" s="5"/>
      <c r="G255" s="1"/>
      <c r="H255" s="1"/>
      <c r="I255" s="1"/>
      <c r="J255" s="5"/>
      <c r="K255" s="1"/>
      <c r="L255" s="1"/>
      <c r="M255" s="1"/>
      <c r="N255" s="5"/>
      <c r="O255" s="36"/>
      <c r="P255" s="1"/>
      <c r="Q255" s="1"/>
      <c r="R255" s="5"/>
      <c r="S255" s="1"/>
      <c r="T255" s="1"/>
      <c r="U255" s="1"/>
      <c r="V255" s="5"/>
      <c r="W255" s="1"/>
      <c r="X255" s="1"/>
      <c r="Y255" s="1"/>
      <c r="Z255" s="5"/>
    </row>
    <row r="256" spans="1:26" s="23" customFormat="1" collapsed="1" x14ac:dyDescent="0.25">
      <c r="A256" s="10"/>
      <c r="B256" s="28" t="s">
        <v>0</v>
      </c>
      <c r="C256" s="10"/>
      <c r="D256" s="4">
        <f>SUM(OSRRefD25x_0)</f>
        <v>43280.39</v>
      </c>
      <c r="E256" s="4"/>
      <c r="F256" s="12">
        <f t="shared" ref="F256:F265" si="135">IF(D$12=0,0,D256/D$12)</f>
        <v>1.991340113487788E-2</v>
      </c>
      <c r="G256" s="4"/>
      <c r="H256" s="4">
        <f>SUM(OSRRefH25x_0)</f>
        <v>64375</v>
      </c>
      <c r="I256" s="4"/>
      <c r="J256" s="12">
        <f t="shared" ref="J256:J265" si="136">IF(H$12=0,0,H256/H$12)</f>
        <v>2.6511173927043757E-2</v>
      </c>
      <c r="K256" s="4"/>
      <c r="L256" s="4">
        <f t="shared" ref="L256:L265" si="137">+D256-H256</f>
        <v>-21094.61</v>
      </c>
      <c r="M256" s="4"/>
      <c r="N256" s="12">
        <f t="shared" ref="N256:N265" si="138">IF(H256=0,0,L256/H256)</f>
        <v>-0.32768326213592236</v>
      </c>
      <c r="O256" s="10"/>
      <c r="P256" s="4">
        <f>SUM(OSRRefP25x_0)</f>
        <v>466746.72</v>
      </c>
      <c r="Q256" s="4"/>
      <c r="R256" s="12">
        <f t="shared" ref="R256:R265" si="139">IF(P$12=0,0,P256/P$12)</f>
        <v>6.0706218461223357E-2</v>
      </c>
      <c r="S256" s="4"/>
      <c r="T256" s="4">
        <f>SUM(OSRRefT25x_0)</f>
        <v>508275</v>
      </c>
      <c r="U256" s="4"/>
      <c r="V256" s="12">
        <f t="shared" ref="V256:V265" si="140">IF(T$12=0,0,T256/T$12)</f>
        <v>6.1482731790764224E-2</v>
      </c>
      <c r="W256" s="4"/>
      <c r="X256" s="4">
        <f t="shared" ref="X256:X265" si="141">+P256-T256</f>
        <v>-41528.280000000028</v>
      </c>
      <c r="Y256" s="4"/>
      <c r="Z256" s="12">
        <f t="shared" ref="Z256:Z265" si="142">IF(T256=0,0,X256/T256)</f>
        <v>-8.1704352958536286E-2</v>
      </c>
    </row>
    <row r="257" spans="1:26" s="24" customFormat="1" hidden="1" outlineLevel="1" x14ac:dyDescent="0.25">
      <c r="A257" s="44"/>
      <c r="B257" s="11" t="str">
        <f>CONCATENATE("          ", "4098", " - ", "TAXABLE SALES-GRAD RENTALS")</f>
        <v xml:space="preserve">          4098 - TAXABLE SALES-GRAD RENTALS</v>
      </c>
      <c r="C257" s="11"/>
      <c r="D257" s="2">
        <f>--320</f>
        <v>320</v>
      </c>
      <c r="E257" s="2"/>
      <c r="F257" s="19">
        <f t="shared" si="135"/>
        <v>1.4723269275440729E-4</v>
      </c>
      <c r="G257" s="2"/>
      <c r="H257" s="2"/>
      <c r="I257" s="2"/>
      <c r="J257" s="19">
        <f t="shared" si="136"/>
        <v>0</v>
      </c>
      <c r="K257" s="2"/>
      <c r="L257" s="2">
        <f t="shared" si="137"/>
        <v>320</v>
      </c>
      <c r="M257" s="2"/>
      <c r="N257" s="19">
        <f t="shared" si="138"/>
        <v>0</v>
      </c>
      <c r="O257" s="11"/>
      <c r="P257" s="2">
        <f>--1946.85</f>
        <v>1946.85</v>
      </c>
      <c r="Q257" s="2"/>
      <c r="R257" s="19">
        <f t="shared" si="139"/>
        <v>2.5321206630275344E-4</v>
      </c>
      <c r="S257" s="2"/>
      <c r="T257" s="2"/>
      <c r="U257" s="2"/>
      <c r="V257" s="19">
        <f t="shared" si="140"/>
        <v>0</v>
      </c>
      <c r="W257" s="2"/>
      <c r="X257" s="2">
        <f t="shared" si="141"/>
        <v>1946.85</v>
      </c>
      <c r="Y257" s="2"/>
      <c r="Z257" s="19">
        <f t="shared" si="142"/>
        <v>0</v>
      </c>
    </row>
    <row r="258" spans="1:26" s="24" customFormat="1" hidden="1" outlineLevel="1" x14ac:dyDescent="0.25">
      <c r="A258" s="44"/>
      <c r="B258" s="11" t="str">
        <f>CONCATENATE("          ", "4197", " - ", "NON-TAXABLE SALES-RETURNED CHE")</f>
        <v xml:space="preserve">          4197 - NON-TAXABLE SALES-RETURNED CHE</v>
      </c>
      <c r="C258" s="11"/>
      <c r="D258" s="2">
        <f>0</f>
        <v>0</v>
      </c>
      <c r="E258" s="2"/>
      <c r="F258" s="19">
        <f t="shared" si="135"/>
        <v>0</v>
      </c>
      <c r="G258" s="2"/>
      <c r="H258" s="2"/>
      <c r="I258" s="2"/>
      <c r="J258" s="19">
        <f t="shared" si="136"/>
        <v>0</v>
      </c>
      <c r="K258" s="2"/>
      <c r="L258" s="2">
        <f t="shared" si="137"/>
        <v>0</v>
      </c>
      <c r="M258" s="2"/>
      <c r="N258" s="19">
        <f t="shared" si="138"/>
        <v>0</v>
      </c>
      <c r="O258" s="11"/>
      <c r="P258" s="2">
        <f>--30</f>
        <v>30</v>
      </c>
      <c r="Q258" s="2"/>
      <c r="R258" s="19">
        <f t="shared" si="139"/>
        <v>3.9018732768742345E-6</v>
      </c>
      <c r="S258" s="2"/>
      <c r="T258" s="2"/>
      <c r="U258" s="2"/>
      <c r="V258" s="19">
        <f t="shared" si="140"/>
        <v>0</v>
      </c>
      <c r="W258" s="2"/>
      <c r="X258" s="2">
        <f t="shared" si="141"/>
        <v>30</v>
      </c>
      <c r="Y258" s="2"/>
      <c r="Z258" s="19">
        <f t="shared" si="142"/>
        <v>0</v>
      </c>
    </row>
    <row r="259" spans="1:26" s="24" customFormat="1" hidden="1" outlineLevel="1" x14ac:dyDescent="0.25">
      <c r="A259" s="44"/>
      <c r="B259" s="11" t="str">
        <f>CONCATENATE("          ", "4198", " - ", "NON-TAXABLE SALES-GRAD RENTALS")</f>
        <v xml:space="preserve">          4198 - NON-TAXABLE SALES-GRAD RENTALS</v>
      </c>
      <c r="C259" s="11"/>
      <c r="D259" s="2">
        <f>--3237.1</f>
        <v>3237.1</v>
      </c>
      <c r="E259" s="2"/>
      <c r="F259" s="19">
        <f t="shared" si="135"/>
        <v>1.4893967178602871E-3</v>
      </c>
      <c r="G259" s="2"/>
      <c r="H259" s="2"/>
      <c r="I259" s="2"/>
      <c r="J259" s="19">
        <f t="shared" si="136"/>
        <v>0</v>
      </c>
      <c r="K259" s="2"/>
      <c r="L259" s="2">
        <f t="shared" si="137"/>
        <v>3237.1</v>
      </c>
      <c r="M259" s="2"/>
      <c r="N259" s="19">
        <f t="shared" si="138"/>
        <v>0</v>
      </c>
      <c r="O259" s="11"/>
      <c r="P259" s="2">
        <f>--3732.1</f>
        <v>3732.1</v>
      </c>
      <c r="Q259" s="2"/>
      <c r="R259" s="19">
        <f t="shared" si="139"/>
        <v>4.8540604188741099E-4</v>
      </c>
      <c r="S259" s="2"/>
      <c r="T259" s="2"/>
      <c r="U259" s="2"/>
      <c r="V259" s="19">
        <f t="shared" si="140"/>
        <v>0</v>
      </c>
      <c r="W259" s="2"/>
      <c r="X259" s="2">
        <f t="shared" si="141"/>
        <v>3732.1</v>
      </c>
      <c r="Y259" s="2"/>
      <c r="Z259" s="19">
        <f t="shared" si="142"/>
        <v>0</v>
      </c>
    </row>
    <row r="260" spans="1:26" s="24" customFormat="1" hidden="1" outlineLevel="1" x14ac:dyDescent="0.25">
      <c r="A260" s="44"/>
      <c r="B260" s="11" t="str">
        <f>CONCATENATE("          ", "9150", " - ", "MISC. INCOME")</f>
        <v xml:space="preserve">          9150 - MISC. INCOME</v>
      </c>
      <c r="C260" s="11"/>
      <c r="D260" s="2">
        <f>--40793.32</f>
        <v>40793.32</v>
      </c>
      <c r="E260" s="2"/>
      <c r="F260" s="19">
        <f t="shared" si="135"/>
        <v>1.8769094843725683E-2</v>
      </c>
      <c r="G260" s="2"/>
      <c r="H260" s="2">
        <v>29225</v>
      </c>
      <c r="I260" s="2"/>
      <c r="J260" s="19">
        <f t="shared" si="136"/>
        <v>1.2035558182801612E-2</v>
      </c>
      <c r="K260" s="2"/>
      <c r="L260" s="2">
        <f t="shared" si="137"/>
        <v>11568.32</v>
      </c>
      <c r="M260" s="2"/>
      <c r="N260" s="19">
        <f t="shared" si="138"/>
        <v>0.39583644140290847</v>
      </c>
      <c r="O260" s="11"/>
      <c r="P260" s="2">
        <f>--286352.98</f>
        <v>286352.98</v>
      </c>
      <c r="Q260" s="2"/>
      <c r="R260" s="19">
        <f t="shared" si="139"/>
        <v>3.7243768013843402E-2</v>
      </c>
      <c r="S260" s="2"/>
      <c r="T260" s="2">
        <v>216825</v>
      </c>
      <c r="U260" s="2"/>
      <c r="V260" s="19">
        <f t="shared" si="140"/>
        <v>2.6227914653548675E-2</v>
      </c>
      <c r="W260" s="2"/>
      <c r="X260" s="2">
        <f t="shared" si="141"/>
        <v>69527.979999999981</v>
      </c>
      <c r="Y260" s="2"/>
      <c r="Z260" s="19">
        <f t="shared" si="142"/>
        <v>0.32066403781851716</v>
      </c>
    </row>
    <row r="261" spans="1:26" s="24" customFormat="1" hidden="1" outlineLevel="1" x14ac:dyDescent="0.25">
      <c r="A261" s="44"/>
      <c r="B261" s="11" t="str">
        <f>CONCATENATE("          ", "9151", " - ", "MISC. INCOME")</f>
        <v xml:space="preserve">          9151 - MISC. INCOME</v>
      </c>
      <c r="C261" s="11"/>
      <c r="D261" s="2">
        <f>-1539.13</f>
        <v>-1539.13</v>
      </c>
      <c r="E261" s="2"/>
      <c r="F261" s="19">
        <f t="shared" si="135"/>
        <v>-7.0815704499715916E-4</v>
      </c>
      <c r="G261" s="2"/>
      <c r="H261" s="2">
        <v>12850</v>
      </c>
      <c r="I261" s="2"/>
      <c r="J261" s="19">
        <f t="shared" si="136"/>
        <v>5.2919391838836859E-3</v>
      </c>
      <c r="K261" s="2"/>
      <c r="L261" s="2">
        <f t="shared" si="137"/>
        <v>-14389.130000000001</v>
      </c>
      <c r="M261" s="2"/>
      <c r="N261" s="19">
        <f t="shared" si="138"/>
        <v>-1.1197766536964981</v>
      </c>
      <c r="O261" s="11"/>
      <c r="P261" s="2">
        <f>--85953.38</f>
        <v>85953.38</v>
      </c>
      <c r="Q261" s="2"/>
      <c r="R261" s="19">
        <f t="shared" si="139"/>
        <v>1.1179306549300544E-2</v>
      </c>
      <c r="S261" s="2"/>
      <c r="T261" s="2">
        <v>77700</v>
      </c>
      <c r="U261" s="2"/>
      <c r="V261" s="19">
        <f t="shared" si="140"/>
        <v>9.3988652995767655E-3</v>
      </c>
      <c r="W261" s="2"/>
      <c r="X261" s="2">
        <f t="shared" si="141"/>
        <v>8253.3800000000047</v>
      </c>
      <c r="Y261" s="2"/>
      <c r="Z261" s="19">
        <f t="shared" si="142"/>
        <v>0.10622110682110689</v>
      </c>
    </row>
    <row r="262" spans="1:26" s="24" customFormat="1" hidden="1" outlineLevel="1" x14ac:dyDescent="0.25">
      <c r="A262" s="44"/>
      <c r="B262" s="11" t="str">
        <f>CONCATENATE("          ", "9152", " - ", "MISC. INCOME")</f>
        <v xml:space="preserve">          9152 - MISC. INCOME</v>
      </c>
      <c r="C262" s="11"/>
      <c r="D262" s="2">
        <f>--469.1</f>
        <v>469.1</v>
      </c>
      <c r="E262" s="2"/>
      <c r="F262" s="19">
        <f t="shared" si="135"/>
        <v>2.1583392553466396E-4</v>
      </c>
      <c r="G262" s="2"/>
      <c r="H262" s="2"/>
      <c r="I262" s="2"/>
      <c r="J262" s="19">
        <f t="shared" si="136"/>
        <v>0</v>
      </c>
      <c r="K262" s="2"/>
      <c r="L262" s="2">
        <f t="shared" si="137"/>
        <v>469.1</v>
      </c>
      <c r="M262" s="2"/>
      <c r="N262" s="19">
        <f t="shared" si="138"/>
        <v>0</v>
      </c>
      <c r="O262" s="11"/>
      <c r="P262" s="2">
        <f>--4699.86</f>
        <v>4699.8599999999997</v>
      </c>
      <c r="Q262" s="2"/>
      <c r="R262" s="19">
        <f t="shared" si="139"/>
        <v>6.1127527130167122E-4</v>
      </c>
      <c r="S262" s="2"/>
      <c r="T262" s="2"/>
      <c r="U262" s="2"/>
      <c r="V262" s="19">
        <f t="shared" si="140"/>
        <v>0</v>
      </c>
      <c r="W262" s="2"/>
      <c r="X262" s="2">
        <f t="shared" si="141"/>
        <v>4699.8599999999997</v>
      </c>
      <c r="Y262" s="2"/>
      <c r="Z262" s="19">
        <f t="shared" si="142"/>
        <v>0</v>
      </c>
    </row>
    <row r="263" spans="1:26" s="24" customFormat="1" hidden="1" outlineLevel="1" x14ac:dyDescent="0.25">
      <c r="A263" s="44"/>
      <c r="B263" s="11" t="str">
        <f>CONCATENATE("          ", "9153", " - ", "MISC. INCOME")</f>
        <v xml:space="preserve">          9153 - MISC. INCOME</v>
      </c>
      <c r="C263" s="11"/>
      <c r="D263" s="2">
        <f t="shared" ref="D263:D265" si="143">0</f>
        <v>0</v>
      </c>
      <c r="E263" s="2"/>
      <c r="F263" s="19">
        <f t="shared" si="135"/>
        <v>0</v>
      </c>
      <c r="G263" s="2"/>
      <c r="H263" s="2"/>
      <c r="I263" s="2"/>
      <c r="J263" s="19">
        <f t="shared" si="136"/>
        <v>0</v>
      </c>
      <c r="K263" s="2"/>
      <c r="L263" s="2">
        <f t="shared" si="137"/>
        <v>0</v>
      </c>
      <c r="M263" s="2"/>
      <c r="N263" s="19">
        <f t="shared" si="138"/>
        <v>0</v>
      </c>
      <c r="O263" s="11"/>
      <c r="P263" s="2">
        <f>--450</f>
        <v>450</v>
      </c>
      <c r="Q263" s="2"/>
      <c r="R263" s="19">
        <f t="shared" si="139"/>
        <v>5.8528099153113514E-5</v>
      </c>
      <c r="S263" s="2"/>
      <c r="T263" s="2"/>
      <c r="U263" s="2"/>
      <c r="V263" s="19">
        <f t="shared" si="140"/>
        <v>0</v>
      </c>
      <c r="W263" s="2"/>
      <c r="X263" s="2">
        <f t="shared" si="141"/>
        <v>450</v>
      </c>
      <c r="Y263" s="2"/>
      <c r="Z263" s="19">
        <f t="shared" si="142"/>
        <v>0</v>
      </c>
    </row>
    <row r="264" spans="1:26" s="24" customFormat="1" hidden="1" outlineLevel="1" x14ac:dyDescent="0.25">
      <c r="A264" s="44"/>
      <c r="B264" s="11" t="str">
        <f>CONCATENATE("          ", "9160", " - ", "MISC. INCOME")</f>
        <v xml:space="preserve">          9160 - MISC. INCOME</v>
      </c>
      <c r="C264" s="11"/>
      <c r="D264" s="2">
        <f t="shared" si="143"/>
        <v>0</v>
      </c>
      <c r="E264" s="2"/>
      <c r="F264" s="19">
        <f t="shared" si="135"/>
        <v>0</v>
      </c>
      <c r="G264" s="2"/>
      <c r="H264" s="2">
        <v>22300</v>
      </c>
      <c r="I264" s="2"/>
      <c r="J264" s="19">
        <f t="shared" si="136"/>
        <v>9.1836765603584593E-3</v>
      </c>
      <c r="K264" s="2"/>
      <c r="L264" s="2">
        <f t="shared" si="137"/>
        <v>-22300</v>
      </c>
      <c r="M264" s="2"/>
      <c r="N264" s="19">
        <f t="shared" si="138"/>
        <v>-1</v>
      </c>
      <c r="O264" s="11"/>
      <c r="P264" s="2">
        <f>--22475</f>
        <v>22475</v>
      </c>
      <c r="Q264" s="2"/>
      <c r="R264" s="19">
        <f t="shared" si="139"/>
        <v>2.9231533965916141E-3</v>
      </c>
      <c r="S264" s="2"/>
      <c r="T264" s="2">
        <v>213750</v>
      </c>
      <c r="U264" s="2"/>
      <c r="V264" s="19">
        <f t="shared" si="140"/>
        <v>2.5855951837638783E-2</v>
      </c>
      <c r="W264" s="2"/>
      <c r="X264" s="2">
        <f t="shared" si="141"/>
        <v>-191275</v>
      </c>
      <c r="Y264" s="2"/>
      <c r="Z264" s="19">
        <f t="shared" si="142"/>
        <v>-0.89485380116959068</v>
      </c>
    </row>
    <row r="265" spans="1:26" s="24" customFormat="1" hidden="1" outlineLevel="1" x14ac:dyDescent="0.25">
      <c r="A265" s="44"/>
      <c r="B265" s="11" t="str">
        <f>CONCATENATE("          ", "9163", " - ", "MISC. INCOME")</f>
        <v xml:space="preserve">          9163 - MISC. INCOME</v>
      </c>
      <c r="C265" s="11"/>
      <c r="D265" s="2">
        <f t="shared" si="143"/>
        <v>0</v>
      </c>
      <c r="E265" s="2"/>
      <c r="F265" s="19">
        <f t="shared" si="135"/>
        <v>0</v>
      </c>
      <c r="G265" s="2"/>
      <c r="H265" s="2"/>
      <c r="I265" s="2"/>
      <c r="J265" s="19">
        <f t="shared" si="136"/>
        <v>0</v>
      </c>
      <c r="K265" s="2"/>
      <c r="L265" s="2">
        <f t="shared" si="137"/>
        <v>0</v>
      </c>
      <c r="M265" s="2"/>
      <c r="N265" s="19">
        <f t="shared" si="138"/>
        <v>0</v>
      </c>
      <c r="O265" s="11"/>
      <c r="P265" s="2">
        <f>--61106.55</f>
        <v>61106.55</v>
      </c>
      <c r="Q265" s="2"/>
      <c r="R265" s="19">
        <f t="shared" si="139"/>
        <v>7.9476671495659762E-3</v>
      </c>
      <c r="S265" s="2"/>
      <c r="T265" s="2"/>
      <c r="U265" s="2"/>
      <c r="V265" s="19">
        <f t="shared" si="140"/>
        <v>0</v>
      </c>
      <c r="W265" s="2"/>
      <c r="X265" s="2">
        <f t="shared" si="141"/>
        <v>61106.55</v>
      </c>
      <c r="Y265" s="2"/>
      <c r="Z265" s="19">
        <f t="shared" si="142"/>
        <v>0</v>
      </c>
    </row>
    <row r="266" spans="1:26" x14ac:dyDescent="0.25">
      <c r="A266" s="9"/>
      <c r="B266" s="10"/>
      <c r="C266" s="10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O266" s="10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s="23" customFormat="1" x14ac:dyDescent="0.25">
      <c r="A267" s="10"/>
      <c r="B267" s="29" t="s">
        <v>3</v>
      </c>
      <c r="C267" s="29"/>
      <c r="D267" s="21">
        <f>+D158-D160+D256</f>
        <v>557193.27</v>
      </c>
      <c r="E267" s="14"/>
      <c r="F267" s="20">
        <f>IF(D$12=0,0,D267/D$12)</f>
        <v>0.25636582977104222</v>
      </c>
      <c r="G267" s="14"/>
      <c r="H267" s="21">
        <f>+H158-H160+H256</f>
        <v>441377.37932458421</v>
      </c>
      <c r="I267" s="14"/>
      <c r="J267" s="20">
        <f>IF(H$12=0,0,H267/H$12)</f>
        <v>0.18176982478814477</v>
      </c>
      <c r="K267" s="16"/>
      <c r="L267" s="21">
        <f>+D267-H267</f>
        <v>115815.89067541581</v>
      </c>
      <c r="M267" s="16"/>
      <c r="N267" s="20">
        <f>IF(H267=0,0,L267/H267)</f>
        <v>0.26239652528782187</v>
      </c>
      <c r="O267" s="28"/>
      <c r="P267" s="21">
        <f>+P158-P160+P256</f>
        <v>1035330.569999994</v>
      </c>
      <c r="Q267" s="14"/>
      <c r="R267" s="20">
        <f>IF(P$12=0,0,P267/P$12)</f>
        <v>0.1346576227937982</v>
      </c>
      <c r="S267" s="14"/>
      <c r="T267" s="21">
        <f>+T158-T160+T256</f>
        <v>938258.23191353632</v>
      </c>
      <c r="U267" s="14"/>
      <c r="V267" s="20">
        <f>IF(T$12=0,0,T267/T$12)</f>
        <v>0.11349501593274627</v>
      </c>
      <c r="W267" s="16"/>
      <c r="X267" s="21">
        <f>+P267-T267</f>
        <v>97072.33808645769</v>
      </c>
      <c r="Y267" s="16"/>
      <c r="Z267" s="20">
        <f>IF(T267=0,0,X267/T267)</f>
        <v>0.10346015071829738</v>
      </c>
    </row>
    <row r="268" spans="1:26" x14ac:dyDescent="0.25">
      <c r="A268" s="9"/>
      <c r="B268" s="10"/>
      <c r="C268" s="9"/>
      <c r="D268" s="3"/>
      <c r="E268" s="3"/>
      <c r="F268" s="8"/>
      <c r="G268" s="3"/>
      <c r="H268" s="3"/>
      <c r="I268" s="3"/>
      <c r="J268" s="8"/>
      <c r="K268" s="3"/>
      <c r="L268" s="3"/>
      <c r="M268" s="3"/>
      <c r="N268" s="8"/>
      <c r="P268" s="3"/>
      <c r="Q268" s="3"/>
      <c r="R268" s="8"/>
      <c r="S268" s="3"/>
      <c r="T268" s="3"/>
      <c r="U268" s="3"/>
      <c r="V268" s="8"/>
      <c r="W268" s="3"/>
      <c r="X268" s="3"/>
      <c r="Y268" s="3"/>
      <c r="Z268" s="8"/>
    </row>
    <row r="269" spans="1:26" s="23" customFormat="1" x14ac:dyDescent="0.25">
      <c r="A269" s="52"/>
      <c r="B269" s="10" t="s">
        <v>14</v>
      </c>
      <c r="C269" s="10"/>
      <c r="D269" s="4">
        <v>206131.23</v>
      </c>
      <c r="E269" s="4"/>
      <c r="F269" s="12">
        <f>IF(D$12=0,0,D269/D$12)</f>
        <v>9.4841425167743951E-2</v>
      </c>
      <c r="G269" s="4"/>
      <c r="H269" s="4">
        <v>265746</v>
      </c>
      <c r="I269" s="4"/>
      <c r="J269" s="12">
        <f>IF(H$12=0,0,H269/H$12)</f>
        <v>0.10944059691520265</v>
      </c>
      <c r="K269" s="4"/>
      <c r="L269" s="4">
        <f>+D269-H269</f>
        <v>-59614.76999999999</v>
      </c>
      <c r="M269" s="4"/>
      <c r="N269" s="12">
        <f>IF(H269=0,0,L269/H269)</f>
        <v>-0.22432988643290958</v>
      </c>
      <c r="O269" s="10"/>
      <c r="P269" s="4">
        <v>801813.61</v>
      </c>
      <c r="Q269" s="4"/>
      <c r="R269" s="12">
        <f>IF(P$12=0,0,P269/P$12)</f>
        <v>0.10428583659643531</v>
      </c>
      <c r="S269" s="4"/>
      <c r="T269" s="4">
        <v>1017859</v>
      </c>
      <c r="U269" s="4"/>
      <c r="V269" s="12">
        <f>IF(T$12=0,0,T269/T$12)</f>
        <v>0.12312380482576457</v>
      </c>
      <c r="W269" s="4"/>
      <c r="X269" s="4">
        <f>+P269-T269</f>
        <v>-216045.39</v>
      </c>
      <c r="Y269" s="4"/>
      <c r="Z269" s="12">
        <f>IF(T269=0,0,X269/T269)</f>
        <v>-0.21225473272820697</v>
      </c>
    </row>
    <row r="270" spans="1:26" x14ac:dyDescent="0.25">
      <c r="A270" s="9"/>
      <c r="B270" s="10"/>
      <c r="C270" s="10"/>
      <c r="D270" s="3"/>
      <c r="E270" s="3"/>
      <c r="F270" s="8"/>
      <c r="G270" s="3"/>
      <c r="H270" s="3"/>
      <c r="I270" s="3"/>
      <c r="J270" s="8"/>
      <c r="K270" s="3"/>
      <c r="L270" s="3"/>
      <c r="M270" s="3"/>
      <c r="N270" s="8"/>
      <c r="O270" s="10"/>
      <c r="P270" s="3"/>
      <c r="Q270" s="3"/>
      <c r="R270" s="8"/>
      <c r="S270" s="3"/>
      <c r="T270" s="3"/>
      <c r="U270" s="3"/>
      <c r="V270" s="8"/>
      <c r="W270" s="3"/>
      <c r="X270" s="3"/>
      <c r="Y270" s="3"/>
      <c r="Z270" s="8"/>
    </row>
    <row r="271" spans="1:26" s="23" customFormat="1" ht="15.75" thickBot="1" x14ac:dyDescent="0.3">
      <c r="A271" s="10"/>
      <c r="B271" s="29" t="s">
        <v>4</v>
      </c>
      <c r="C271" s="29"/>
      <c r="D271" s="34">
        <f>+D267-D269</f>
        <v>351062.04000000004</v>
      </c>
      <c r="E271" s="14"/>
      <c r="F271" s="32">
        <f>IF(D$12=0,0,D271/D$12)</f>
        <v>0.16152440460329828</v>
      </c>
      <c r="G271" s="14"/>
      <c r="H271" s="34">
        <f>+H267-H269</f>
        <v>175631.37932458421</v>
      </c>
      <c r="I271" s="14"/>
      <c r="J271" s="32">
        <f>IF(H$12=0,0,H271/H$12)</f>
        <v>7.2329227872942117E-2</v>
      </c>
      <c r="K271" s="16"/>
      <c r="L271" s="34">
        <f>D271-H271</f>
        <v>175430.66067541583</v>
      </c>
      <c r="M271" s="16"/>
      <c r="N271" s="32">
        <f>IF(H271=0,0,L271/H271)</f>
        <v>0.9988571595238831</v>
      </c>
      <c r="O271" s="28"/>
      <c r="P271" s="34">
        <f>+P267-P269</f>
        <v>233516.95999999403</v>
      </c>
      <c r="Q271" s="14"/>
      <c r="R271" s="32">
        <f>IF(P$12=0,0,P271/P$12)</f>
        <v>3.0371786197362874E-2</v>
      </c>
      <c r="S271" s="14"/>
      <c r="T271" s="34">
        <f>+T267-T269</f>
        <v>-79600.768086463679</v>
      </c>
      <c r="U271" s="14"/>
      <c r="V271" s="32">
        <f>IF(T$12=0,0,T271/T$12)</f>
        <v>-9.6287888930182888E-3</v>
      </c>
      <c r="W271" s="16"/>
      <c r="X271" s="34">
        <f>P271-T271</f>
        <v>313117.7280864577</v>
      </c>
      <c r="Y271" s="16"/>
      <c r="Z271" s="32">
        <f>IF(T271=0,0,X271/T271)</f>
        <v>-3.9336018434689475</v>
      </c>
    </row>
    <row r="272" spans="1:26" ht="15.75" thickTop="1" x14ac:dyDescent="0.25">
      <c r="A272" s="9"/>
      <c r="B272" s="9"/>
      <c r="C272" s="9"/>
      <c r="D272" s="3"/>
      <c r="E272" s="3"/>
      <c r="F272" s="8"/>
      <c r="G272" s="3"/>
      <c r="H272" s="3"/>
      <c r="I272" s="3"/>
      <c r="J272" s="8"/>
      <c r="K272" s="3"/>
      <c r="L272" s="3"/>
      <c r="M272" s="3"/>
      <c r="N272" s="8"/>
      <c r="P272" s="3"/>
      <c r="Q272" s="3"/>
      <c r="R272" s="8"/>
      <c r="S272" s="3"/>
      <c r="T272" s="3"/>
      <c r="U272" s="3"/>
      <c r="V272" s="8"/>
      <c r="W272" s="3"/>
      <c r="X272" s="3"/>
      <c r="Y272" s="3"/>
      <c r="Z272" s="8"/>
    </row>
    <row r="273" spans="1:26" x14ac:dyDescent="0.25">
      <c r="A273" s="9"/>
      <c r="B273" s="9"/>
      <c r="C273" s="9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s="23" customFormat="1" ht="15.75" thickBot="1" x14ac:dyDescent="0.3">
      <c r="A274" s="10"/>
      <c r="B274" s="29" t="s">
        <v>5</v>
      </c>
      <c r="C274" s="29"/>
      <c r="D274" s="31">
        <f>SUM(D271:D273)</f>
        <v>351062.04000000004</v>
      </c>
      <c r="E274" s="14"/>
      <c r="F274" s="30">
        <f>IF(D$12=0,0,D274/D$12)</f>
        <v>0.16152440460329828</v>
      </c>
      <c r="G274" s="14"/>
      <c r="H274" s="31">
        <f>SUM(H271:H273)</f>
        <v>175631.37932458421</v>
      </c>
      <c r="I274" s="14"/>
      <c r="J274" s="30">
        <f>IF(H$12=0,0,H274/H$12)</f>
        <v>7.2329227872942117E-2</v>
      </c>
      <c r="K274" s="16"/>
      <c r="L274" s="31">
        <f>+D274-H274</f>
        <v>175430.66067541583</v>
      </c>
      <c r="M274" s="16"/>
      <c r="N274" s="30">
        <f>IF(H274=0,0,L274/H274)</f>
        <v>0.9988571595238831</v>
      </c>
      <c r="O274" s="28"/>
      <c r="P274" s="31">
        <f>SUM(P271:P273)</f>
        <v>233516.95999999403</v>
      </c>
      <c r="Q274" s="14"/>
      <c r="R274" s="30">
        <f>IF(P$12=0,0,P274/P$12)</f>
        <v>3.0371786197362874E-2</v>
      </c>
      <c r="S274" s="14"/>
      <c r="T274" s="31">
        <f>SUM(T271:T273)</f>
        <v>-79600.768086463679</v>
      </c>
      <c r="U274" s="14"/>
      <c r="V274" s="30">
        <f>IF(T$12=0,0,T274/T$12)</f>
        <v>-9.6287888930182888E-3</v>
      </c>
      <c r="W274" s="16"/>
      <c r="X274" s="31">
        <f>+P274-T274</f>
        <v>313117.7280864577</v>
      </c>
      <c r="Y274" s="16"/>
      <c r="Z274" s="30">
        <f>IF(T274=0,0,X274/T274)</f>
        <v>-3.9336018434689475</v>
      </c>
    </row>
    <row r="275" spans="1:26" ht="15.75" thickTop="1" x14ac:dyDescent="0.25">
      <c r="A275" s="9"/>
      <c r="C275" s="9"/>
      <c r="D275" s="18"/>
      <c r="E275" s="18"/>
      <c r="G275" s="18"/>
      <c r="H275" s="18"/>
      <c r="I275" s="18"/>
      <c r="J275" s="43"/>
      <c r="K275" s="18"/>
      <c r="L275" s="18"/>
      <c r="M275" s="18"/>
      <c r="P275" s="18"/>
      <c r="Q275" s="18"/>
      <c r="R275" s="43"/>
      <c r="S275" s="18"/>
      <c r="T275" s="18"/>
      <c r="U275" s="18"/>
      <c r="V275" s="43"/>
      <c r="W275" s="18"/>
      <c r="X275" s="18"/>
    </row>
    <row r="276" spans="1:26" x14ac:dyDescent="0.25">
      <c r="A276" s="9"/>
      <c r="B276" s="63">
        <v>43879.545668553241</v>
      </c>
      <c r="D276" s="18"/>
      <c r="E276" s="18"/>
      <c r="G276" s="18"/>
      <c r="H276" s="18"/>
      <c r="I276" s="18"/>
      <c r="J276" s="43"/>
      <c r="K276" s="18"/>
      <c r="L276" s="18"/>
      <c r="M276" s="18"/>
      <c r="P276" s="18"/>
      <c r="Q276" s="18"/>
      <c r="R276" s="43"/>
      <c r="S276" s="18"/>
      <c r="T276" s="18"/>
      <c r="U276" s="18"/>
      <c r="V276" s="43"/>
      <c r="W276" s="18"/>
      <c r="X276" s="18"/>
    </row>
    <row r="277" spans="1:26" x14ac:dyDescent="0.25">
      <c r="A277" s="9"/>
      <c r="B277" s="57" t="s">
        <v>314</v>
      </c>
      <c r="D277" s="18"/>
      <c r="E277" s="18"/>
      <c r="G277" s="18"/>
      <c r="H277" s="18"/>
      <c r="I277" s="18"/>
      <c r="J277" s="43"/>
      <c r="K277" s="18"/>
      <c r="L277" s="18"/>
      <c r="M277" s="18"/>
      <c r="P277" s="18"/>
      <c r="Q277" s="18"/>
      <c r="R277" s="43"/>
      <c r="S277" s="18"/>
      <c r="T277" s="18"/>
      <c r="U277" s="18"/>
      <c r="V277" s="43"/>
      <c r="W277" s="18"/>
      <c r="X277" s="18"/>
    </row>
    <row r="278" spans="1:26" x14ac:dyDescent="0.25">
      <c r="A278" s="9"/>
      <c r="B278" s="60"/>
      <c r="D278" s="18"/>
      <c r="E278" s="18"/>
      <c r="G278" s="18"/>
      <c r="H278" s="18"/>
      <c r="I278" s="18"/>
      <c r="J278" s="43"/>
      <c r="K278" s="18"/>
      <c r="L278" s="18"/>
      <c r="M278" s="18"/>
      <c r="P278" s="18"/>
      <c r="Q278" s="18"/>
      <c r="R278" s="43"/>
      <c r="S278" s="18"/>
      <c r="T278" s="18"/>
      <c r="U278" s="18"/>
      <c r="V278" s="43"/>
      <c r="W278" s="18"/>
      <c r="X278" s="18"/>
    </row>
    <row r="279" spans="1:26" x14ac:dyDescent="0.25">
      <c r="D279" s="18"/>
      <c r="E279" s="18"/>
      <c r="G279" s="18"/>
      <c r="H279" s="18"/>
      <c r="I279" s="18"/>
      <c r="J279" s="43"/>
      <c r="K279" s="18"/>
      <c r="L279" s="18"/>
      <c r="M279" s="18"/>
      <c r="P279" s="18"/>
      <c r="Q279" s="18"/>
      <c r="R279" s="43"/>
      <c r="S279" s="18"/>
      <c r="T279" s="18"/>
      <c r="U279" s="18"/>
      <c r="V279" s="43"/>
      <c r="W279" s="18"/>
      <c r="X279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297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0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312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2388554.59</v>
      </c>
      <c r="E12" s="4"/>
      <c r="F12" s="12"/>
      <c r="G12" s="4"/>
      <c r="H12" s="4">
        <f>SUM(OSRRefH13x_0)</f>
        <v>2722143.4049499999</v>
      </c>
      <c r="I12" s="4"/>
      <c r="J12" s="12"/>
      <c r="K12" s="4"/>
      <c r="L12" s="4">
        <f t="shared" ref="L12:L121" si="0">+D12-H12</f>
        <v>-333588.81495000003</v>
      </c>
      <c r="M12" s="4"/>
      <c r="N12" s="12">
        <f t="shared" ref="N12:N121" si="1">IF(H12=0,0,L12/H12)</f>
        <v>-0.12254637810168101</v>
      </c>
      <c r="O12" s="10"/>
      <c r="P12" s="4">
        <f>SUM(OSRRefP13x_0)</f>
        <v>9487120.6599999983</v>
      </c>
      <c r="Q12" s="4"/>
      <c r="R12" s="12"/>
      <c r="S12" s="4"/>
      <c r="T12" s="4">
        <f>SUM(OSRRefT13x_0)</f>
        <v>9982854.3742300011</v>
      </c>
      <c r="U12" s="4"/>
      <c r="V12" s="12"/>
      <c r="W12" s="4"/>
      <c r="X12" s="4">
        <f t="shared" ref="X12:X121" si="2">+P12-T12</f>
        <v>-495733.71423000284</v>
      </c>
      <c r="Y12" s="4"/>
      <c r="Z12" s="12">
        <f t="shared" ref="Z12:Z121" si="3">IF(T12=0,0,X12/T12)</f>
        <v>-4.9658514052824683E-2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717840.40495</v>
      </c>
      <c r="I13" s="2"/>
      <c r="J13" s="19"/>
      <c r="K13" s="2"/>
      <c r="L13" s="2">
        <f t="shared" si="0"/>
        <v>-717840.40495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4471935.3742300002</v>
      </c>
      <c r="U13" s="2"/>
      <c r="V13" s="19"/>
      <c r="W13" s="2"/>
      <c r="X13" s="2">
        <f t="shared" si="2"/>
        <v>-4471935.3742300002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--745942.38</f>
        <v>745942.38</v>
      </c>
      <c r="E14" s="2"/>
      <c r="F14" s="19"/>
      <c r="G14" s="2"/>
      <c r="H14" s="2"/>
      <c r="I14" s="2"/>
      <c r="J14" s="19"/>
      <c r="K14" s="2"/>
      <c r="L14" s="2">
        <f t="shared" si="0"/>
        <v>745942.38</v>
      </c>
      <c r="M14" s="2"/>
      <c r="N14" s="19">
        <f t="shared" si="1"/>
        <v>0</v>
      </c>
      <c r="O14" s="11"/>
      <c r="P14" s="2">
        <f>--2285976.76</f>
        <v>2285976.7599999998</v>
      </c>
      <c r="Q14" s="2"/>
      <c r="R14" s="19"/>
      <c r="S14" s="2"/>
      <c r="T14" s="2"/>
      <c r="U14" s="2"/>
      <c r="V14" s="19"/>
      <c r="W14" s="2"/>
      <c r="X14" s="2">
        <f t="shared" si="2"/>
        <v>2285976.7599999998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--512319.44</f>
        <v>512319.44</v>
      </c>
      <c r="E15" s="2"/>
      <c r="F15" s="19"/>
      <c r="G15" s="2"/>
      <c r="H15" s="2"/>
      <c r="I15" s="2"/>
      <c r="J15" s="19"/>
      <c r="K15" s="2"/>
      <c r="L15" s="2">
        <f t="shared" si="0"/>
        <v>512319.44</v>
      </c>
      <c r="M15" s="2"/>
      <c r="N15" s="19">
        <f t="shared" si="1"/>
        <v>0</v>
      </c>
      <c r="O15" s="11"/>
      <c r="P15" s="2">
        <f>--1193414.41</f>
        <v>1193414.4099999999</v>
      </c>
      <c r="Q15" s="2"/>
      <c r="R15" s="19"/>
      <c r="S15" s="2"/>
      <c r="T15" s="2"/>
      <c r="U15" s="2"/>
      <c r="V15" s="19"/>
      <c r="W15" s="2"/>
      <c r="X15" s="2">
        <f t="shared" si="2"/>
        <v>1193414.4099999999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--15841.34</f>
        <v>15841.34</v>
      </c>
      <c r="E16" s="2"/>
      <c r="F16" s="19"/>
      <c r="G16" s="2"/>
      <c r="H16" s="2"/>
      <c r="I16" s="2"/>
      <c r="J16" s="19"/>
      <c r="K16" s="2"/>
      <c r="L16" s="2">
        <f t="shared" si="0"/>
        <v>15841.34</v>
      </c>
      <c r="M16" s="2"/>
      <c r="N16" s="19">
        <f t="shared" si="1"/>
        <v>0</v>
      </c>
      <c r="O16" s="11"/>
      <c r="P16" s="2">
        <f>--32272.01</f>
        <v>32272.01</v>
      </c>
      <c r="Q16" s="2"/>
      <c r="R16" s="19"/>
      <c r="S16" s="2"/>
      <c r="T16" s="2"/>
      <c r="U16" s="2"/>
      <c r="V16" s="19"/>
      <c r="W16" s="2"/>
      <c r="X16" s="2">
        <f t="shared" si="2"/>
        <v>32272.01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--10921.53</f>
        <v>10921.53</v>
      </c>
      <c r="E17" s="2"/>
      <c r="F17" s="19"/>
      <c r="G17" s="2"/>
      <c r="H17" s="2"/>
      <c r="I17" s="2"/>
      <c r="J17" s="19"/>
      <c r="K17" s="2"/>
      <c r="L17" s="2">
        <f t="shared" si="0"/>
        <v>10921.53</v>
      </c>
      <c r="M17" s="2"/>
      <c r="N17" s="19">
        <f t="shared" si="1"/>
        <v>0</v>
      </c>
      <c r="O17" s="11"/>
      <c r="P17" s="2">
        <f>--41201.41</f>
        <v>41201.410000000003</v>
      </c>
      <c r="Q17" s="2"/>
      <c r="R17" s="19"/>
      <c r="S17" s="2"/>
      <c r="T17" s="2"/>
      <c r="U17" s="2"/>
      <c r="V17" s="19"/>
      <c r="W17" s="2"/>
      <c r="X17" s="2">
        <f t="shared" si="2"/>
        <v>41201.410000000003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--13.22</f>
        <v>13.22</v>
      </c>
      <c r="Q18" s="2"/>
      <c r="R18" s="19"/>
      <c r="S18" s="2"/>
      <c r="T18" s="2"/>
      <c r="U18" s="2"/>
      <c r="V18" s="19"/>
      <c r="W18" s="2"/>
      <c r="X18" s="2">
        <f t="shared" si="2"/>
        <v>13.22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--229.57</f>
        <v>229.57</v>
      </c>
      <c r="E19" s="2"/>
      <c r="F19" s="19"/>
      <c r="G19" s="2"/>
      <c r="H19" s="2"/>
      <c r="I19" s="2"/>
      <c r="J19" s="19"/>
      <c r="K19" s="2"/>
      <c r="L19" s="2">
        <f t="shared" si="0"/>
        <v>229.57</v>
      </c>
      <c r="M19" s="2"/>
      <c r="N19" s="19">
        <f t="shared" si="1"/>
        <v>0</v>
      </c>
      <c r="O19" s="11"/>
      <c r="P19" s="2">
        <f>--1509.89</f>
        <v>1509.89</v>
      </c>
      <c r="Q19" s="2"/>
      <c r="R19" s="19"/>
      <c r="S19" s="2"/>
      <c r="T19" s="2"/>
      <c r="U19" s="2"/>
      <c r="V19" s="19"/>
      <c r="W19" s="2"/>
      <c r="X19" s="2">
        <f t="shared" si="2"/>
        <v>1509.89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--107.48</f>
        <v>107.48</v>
      </c>
      <c r="E20" s="2"/>
      <c r="F20" s="19"/>
      <c r="G20" s="2"/>
      <c r="H20" s="2"/>
      <c r="I20" s="2"/>
      <c r="J20" s="19"/>
      <c r="K20" s="2"/>
      <c r="L20" s="2">
        <f t="shared" si="0"/>
        <v>107.48</v>
      </c>
      <c r="M20" s="2"/>
      <c r="N20" s="19">
        <f t="shared" si="1"/>
        <v>0</v>
      </c>
      <c r="O20" s="11"/>
      <c r="P20" s="2">
        <f>--1100.17</f>
        <v>1100.17</v>
      </c>
      <c r="Q20" s="2"/>
      <c r="R20" s="19"/>
      <c r="S20" s="2"/>
      <c r="T20" s="2"/>
      <c r="U20" s="2"/>
      <c r="V20" s="19"/>
      <c r="W20" s="2"/>
      <c r="X20" s="2">
        <f t="shared" si="2"/>
        <v>1100.17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--12.98</f>
        <v>12.98</v>
      </c>
      <c r="E21" s="2"/>
      <c r="F21" s="19"/>
      <c r="G21" s="2"/>
      <c r="H21" s="2"/>
      <c r="I21" s="2"/>
      <c r="J21" s="19"/>
      <c r="K21" s="2"/>
      <c r="L21" s="2">
        <f t="shared" si="0"/>
        <v>12.98</v>
      </c>
      <c r="M21" s="2"/>
      <c r="N21" s="19">
        <f t="shared" si="1"/>
        <v>0</v>
      </c>
      <c r="O21" s="11"/>
      <c r="P21" s="2">
        <f>--255.12</f>
        <v>255.12</v>
      </c>
      <c r="Q21" s="2"/>
      <c r="R21" s="19"/>
      <c r="S21" s="2"/>
      <c r="T21" s="2"/>
      <c r="U21" s="2"/>
      <c r="V21" s="19"/>
      <c r="W21" s="2"/>
      <c r="X21" s="2">
        <f t="shared" si="2"/>
        <v>255.12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--737.51</f>
        <v>737.51</v>
      </c>
      <c r="E22" s="2"/>
      <c r="F22" s="19"/>
      <c r="G22" s="2"/>
      <c r="H22" s="2"/>
      <c r="I22" s="2"/>
      <c r="J22" s="19"/>
      <c r="K22" s="2"/>
      <c r="L22" s="2">
        <f t="shared" si="0"/>
        <v>737.51</v>
      </c>
      <c r="M22" s="2"/>
      <c r="N22" s="19">
        <f t="shared" si="1"/>
        <v>0</v>
      </c>
      <c r="O22" s="11"/>
      <c r="P22" s="2">
        <f>--3627.9</f>
        <v>3627.9</v>
      </c>
      <c r="Q22" s="2"/>
      <c r="R22" s="19"/>
      <c r="S22" s="2"/>
      <c r="T22" s="2"/>
      <c r="U22" s="2"/>
      <c r="V22" s="19"/>
      <c r="W22" s="2"/>
      <c r="X22" s="2">
        <f t="shared" si="2"/>
        <v>3627.9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--33.88</f>
        <v>33.880000000000003</v>
      </c>
      <c r="Q23" s="2"/>
      <c r="R23" s="19"/>
      <c r="S23" s="2"/>
      <c r="T23" s="2"/>
      <c r="U23" s="2"/>
      <c r="V23" s="19"/>
      <c r="W23" s="2"/>
      <c r="X23" s="2">
        <f t="shared" si="2"/>
        <v>33.880000000000003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--5307.35</f>
        <v>5307.35</v>
      </c>
      <c r="E24" s="2"/>
      <c r="F24" s="19"/>
      <c r="G24" s="2"/>
      <c r="H24" s="2"/>
      <c r="I24" s="2"/>
      <c r="J24" s="19"/>
      <c r="K24" s="2"/>
      <c r="L24" s="2">
        <f t="shared" si="0"/>
        <v>5307.35</v>
      </c>
      <c r="M24" s="2"/>
      <c r="N24" s="19">
        <f t="shared" si="1"/>
        <v>0</v>
      </c>
      <c r="O24" s="11"/>
      <c r="P24" s="2">
        <f>--40440.45</f>
        <v>40440.449999999997</v>
      </c>
      <c r="Q24" s="2"/>
      <c r="R24" s="19"/>
      <c r="S24" s="2"/>
      <c r="T24" s="2"/>
      <c r="U24" s="2"/>
      <c r="V24" s="19"/>
      <c r="W24" s="2"/>
      <c r="X24" s="2">
        <f t="shared" si="2"/>
        <v>40440.449999999997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--13761.32</f>
        <v>13761.32</v>
      </c>
      <c r="E25" s="2"/>
      <c r="F25" s="19"/>
      <c r="G25" s="2"/>
      <c r="H25" s="2"/>
      <c r="I25" s="2"/>
      <c r="J25" s="19"/>
      <c r="K25" s="2"/>
      <c r="L25" s="2">
        <f t="shared" si="0"/>
        <v>13761.32</v>
      </c>
      <c r="M25" s="2"/>
      <c r="N25" s="19">
        <f t="shared" si="1"/>
        <v>0</v>
      </c>
      <c r="O25" s="11"/>
      <c r="P25" s="2">
        <f>--63689.49</f>
        <v>63689.49</v>
      </c>
      <c r="Q25" s="2"/>
      <c r="R25" s="19"/>
      <c r="S25" s="2"/>
      <c r="T25" s="2"/>
      <c r="U25" s="2"/>
      <c r="V25" s="19"/>
      <c r="W25" s="2"/>
      <c r="X25" s="2">
        <f t="shared" si="2"/>
        <v>63689.49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--66289.85</f>
        <v>66289.850000000006</v>
      </c>
      <c r="E26" s="2"/>
      <c r="F26" s="19"/>
      <c r="G26" s="2"/>
      <c r="H26" s="2"/>
      <c r="I26" s="2"/>
      <c r="J26" s="19"/>
      <c r="K26" s="2"/>
      <c r="L26" s="2">
        <f t="shared" si="0"/>
        <v>66289.850000000006</v>
      </c>
      <c r="M26" s="2"/>
      <c r="N26" s="19">
        <f t="shared" si="1"/>
        <v>0</v>
      </c>
      <c r="O26" s="11"/>
      <c r="P26" s="2">
        <f>--231647.32</f>
        <v>231647.32</v>
      </c>
      <c r="Q26" s="2"/>
      <c r="R26" s="19"/>
      <c r="S26" s="2"/>
      <c r="T26" s="2"/>
      <c r="U26" s="2"/>
      <c r="V26" s="19"/>
      <c r="W26" s="2"/>
      <c r="X26" s="2">
        <f t="shared" si="2"/>
        <v>231647.32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--43035.21</f>
        <v>43035.21</v>
      </c>
      <c r="E27" s="2"/>
      <c r="F27" s="19"/>
      <c r="G27" s="2"/>
      <c r="H27" s="2"/>
      <c r="I27" s="2"/>
      <c r="J27" s="19"/>
      <c r="K27" s="2"/>
      <c r="L27" s="2">
        <f t="shared" si="0"/>
        <v>43035.21</v>
      </c>
      <c r="M27" s="2"/>
      <c r="N27" s="19">
        <f t="shared" si="1"/>
        <v>0</v>
      </c>
      <c r="O27" s="11"/>
      <c r="P27" s="2">
        <f>--232672.78</f>
        <v>232672.78</v>
      </c>
      <c r="Q27" s="2"/>
      <c r="R27" s="19"/>
      <c r="S27" s="2"/>
      <c r="T27" s="2"/>
      <c r="U27" s="2"/>
      <c r="V27" s="19"/>
      <c r="W27" s="2"/>
      <c r="X27" s="2">
        <f t="shared" si="2"/>
        <v>232672.78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--43.03</f>
        <v>43.03</v>
      </c>
      <c r="E28" s="2"/>
      <c r="F28" s="19"/>
      <c r="G28" s="2"/>
      <c r="H28" s="2"/>
      <c r="I28" s="2"/>
      <c r="J28" s="19"/>
      <c r="K28" s="2"/>
      <c r="L28" s="2">
        <f t="shared" si="0"/>
        <v>43.03</v>
      </c>
      <c r="M28" s="2"/>
      <c r="N28" s="19">
        <f t="shared" si="1"/>
        <v>0</v>
      </c>
      <c r="O28" s="11"/>
      <c r="P28" s="2">
        <f>--349.97</f>
        <v>349.97</v>
      </c>
      <c r="Q28" s="2"/>
      <c r="R28" s="19"/>
      <c r="S28" s="2"/>
      <c r="T28" s="2"/>
      <c r="U28" s="2"/>
      <c r="V28" s="19"/>
      <c r="W28" s="2"/>
      <c r="X28" s="2">
        <f t="shared" si="2"/>
        <v>349.97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--242.25</f>
        <v>242.25</v>
      </c>
      <c r="E29" s="2"/>
      <c r="F29" s="19"/>
      <c r="G29" s="2"/>
      <c r="H29" s="2"/>
      <c r="I29" s="2"/>
      <c r="J29" s="19"/>
      <c r="K29" s="2"/>
      <c r="L29" s="2">
        <f t="shared" si="0"/>
        <v>242.25</v>
      </c>
      <c r="M29" s="2"/>
      <c r="N29" s="19">
        <f t="shared" si="1"/>
        <v>0</v>
      </c>
      <c r="O29" s="11"/>
      <c r="P29" s="2">
        <f>--1108.59</f>
        <v>1108.5899999999999</v>
      </c>
      <c r="Q29" s="2"/>
      <c r="R29" s="19"/>
      <c r="S29" s="2"/>
      <c r="T29" s="2"/>
      <c r="U29" s="2"/>
      <c r="V29" s="19"/>
      <c r="W29" s="2"/>
      <c r="X29" s="2">
        <f t="shared" si="2"/>
        <v>1108.5899999999999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--15.13</f>
        <v>15.13</v>
      </c>
      <c r="E30" s="2"/>
      <c r="F30" s="19"/>
      <c r="G30" s="2"/>
      <c r="H30" s="2"/>
      <c r="I30" s="2"/>
      <c r="J30" s="19"/>
      <c r="K30" s="2"/>
      <c r="L30" s="2">
        <f t="shared" si="0"/>
        <v>15.13</v>
      </c>
      <c r="M30" s="2"/>
      <c r="N30" s="19">
        <f t="shared" si="1"/>
        <v>0</v>
      </c>
      <c r="O30" s="11"/>
      <c r="P30" s="2">
        <f>--146.15</f>
        <v>146.15</v>
      </c>
      <c r="Q30" s="2"/>
      <c r="R30" s="19"/>
      <c r="S30" s="2"/>
      <c r="T30" s="2"/>
      <c r="U30" s="2"/>
      <c r="V30" s="19"/>
      <c r="W30" s="2"/>
      <c r="X30" s="2">
        <f t="shared" si="2"/>
        <v>146.15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--479.73</f>
        <v>479.73</v>
      </c>
      <c r="E31" s="2"/>
      <c r="F31" s="19"/>
      <c r="G31" s="2"/>
      <c r="H31" s="2"/>
      <c r="I31" s="2"/>
      <c r="J31" s="19"/>
      <c r="K31" s="2"/>
      <c r="L31" s="2">
        <f t="shared" si="0"/>
        <v>479.73</v>
      </c>
      <c r="M31" s="2"/>
      <c r="N31" s="19">
        <f t="shared" si="1"/>
        <v>0</v>
      </c>
      <c r="O31" s="11"/>
      <c r="P31" s="2">
        <f>--5751.24</f>
        <v>5751.24</v>
      </c>
      <c r="Q31" s="2"/>
      <c r="R31" s="19"/>
      <c r="S31" s="2"/>
      <c r="T31" s="2"/>
      <c r="U31" s="2"/>
      <c r="V31" s="19"/>
      <c r="W31" s="2"/>
      <c r="X31" s="2">
        <f t="shared" si="2"/>
        <v>5751.24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--171.4</f>
        <v>171.4</v>
      </c>
      <c r="E32" s="2"/>
      <c r="F32" s="19"/>
      <c r="G32" s="2"/>
      <c r="H32" s="2"/>
      <c r="I32" s="2"/>
      <c r="J32" s="19"/>
      <c r="K32" s="2"/>
      <c r="L32" s="2">
        <f t="shared" si="0"/>
        <v>171.4</v>
      </c>
      <c r="M32" s="2"/>
      <c r="N32" s="19">
        <f t="shared" si="1"/>
        <v>0</v>
      </c>
      <c r="O32" s="11"/>
      <c r="P32" s="2">
        <f>--1438.49</f>
        <v>1438.49</v>
      </c>
      <c r="Q32" s="2"/>
      <c r="R32" s="19"/>
      <c r="S32" s="2"/>
      <c r="T32" s="2"/>
      <c r="U32" s="2"/>
      <c r="V32" s="19"/>
      <c r="W32" s="2"/>
      <c r="X32" s="2">
        <f t="shared" si="2"/>
        <v>1438.49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--17.84</f>
        <v>17.84</v>
      </c>
      <c r="E33" s="2"/>
      <c r="F33" s="19"/>
      <c r="G33" s="2"/>
      <c r="H33" s="2"/>
      <c r="I33" s="2"/>
      <c r="J33" s="19"/>
      <c r="K33" s="2"/>
      <c r="L33" s="2">
        <f t="shared" si="0"/>
        <v>17.84</v>
      </c>
      <c r="M33" s="2"/>
      <c r="N33" s="19">
        <f t="shared" si="1"/>
        <v>0</v>
      </c>
      <c r="O33" s="11"/>
      <c r="P33" s="2">
        <f>--414.1</f>
        <v>414.1</v>
      </c>
      <c r="Q33" s="2"/>
      <c r="R33" s="19"/>
      <c r="S33" s="2"/>
      <c r="T33" s="2"/>
      <c r="U33" s="2"/>
      <c r="V33" s="19"/>
      <c r="W33" s="2"/>
      <c r="X33" s="2">
        <f t="shared" si="2"/>
        <v>414.1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--192827.81</f>
        <v>192827.81</v>
      </c>
      <c r="E34" s="2"/>
      <c r="F34" s="19"/>
      <c r="G34" s="2"/>
      <c r="H34" s="2"/>
      <c r="I34" s="2"/>
      <c r="J34" s="19"/>
      <c r="K34" s="2"/>
      <c r="L34" s="2">
        <f t="shared" si="0"/>
        <v>192827.81</v>
      </c>
      <c r="M34" s="2"/>
      <c r="N34" s="19">
        <f t="shared" si="1"/>
        <v>0</v>
      </c>
      <c r="O34" s="11"/>
      <c r="P34" s="2">
        <f>--1484618.99</f>
        <v>1484618.99</v>
      </c>
      <c r="Q34" s="2"/>
      <c r="R34" s="19"/>
      <c r="S34" s="2"/>
      <c r="T34" s="2"/>
      <c r="U34" s="2"/>
      <c r="V34" s="19"/>
      <c r="W34" s="2"/>
      <c r="X34" s="2">
        <f t="shared" si="2"/>
        <v>1484618.99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--104441.67</f>
        <v>104441.67</v>
      </c>
      <c r="E35" s="2"/>
      <c r="F35" s="19"/>
      <c r="G35" s="2"/>
      <c r="H35" s="2"/>
      <c r="I35" s="2"/>
      <c r="J35" s="19"/>
      <c r="K35" s="2"/>
      <c r="L35" s="2">
        <f t="shared" si="0"/>
        <v>104441.67</v>
      </c>
      <c r="M35" s="2"/>
      <c r="N35" s="19">
        <f t="shared" si="1"/>
        <v>0</v>
      </c>
      <c r="O35" s="11"/>
      <c r="P35" s="2">
        <f>--400568.48</f>
        <v>400568.48</v>
      </c>
      <c r="Q35" s="2"/>
      <c r="R35" s="19"/>
      <c r="S35" s="2"/>
      <c r="T35" s="2"/>
      <c r="U35" s="2"/>
      <c r="V35" s="19"/>
      <c r="W35" s="2"/>
      <c r="X35" s="2">
        <f t="shared" si="2"/>
        <v>400568.48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--33043.12</f>
        <v>33043.120000000003</v>
      </c>
      <c r="E36" s="2"/>
      <c r="F36" s="19"/>
      <c r="G36" s="2"/>
      <c r="H36" s="2"/>
      <c r="I36" s="2"/>
      <c r="J36" s="19"/>
      <c r="K36" s="2"/>
      <c r="L36" s="2">
        <f t="shared" si="0"/>
        <v>33043.120000000003</v>
      </c>
      <c r="M36" s="2"/>
      <c r="N36" s="19">
        <f t="shared" si="1"/>
        <v>0</v>
      </c>
      <c r="O36" s="11"/>
      <c r="P36" s="2">
        <f>--232995.22</f>
        <v>232995.22</v>
      </c>
      <c r="Q36" s="2"/>
      <c r="R36" s="19"/>
      <c r="S36" s="2"/>
      <c r="T36" s="2"/>
      <c r="U36" s="2"/>
      <c r="V36" s="19"/>
      <c r="W36" s="2"/>
      <c r="X36" s="2">
        <f t="shared" si="2"/>
        <v>232995.22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--8310.25</f>
        <v>8310.25</v>
      </c>
      <c r="E37" s="2"/>
      <c r="F37" s="19"/>
      <c r="G37" s="2"/>
      <c r="H37" s="2"/>
      <c r="I37" s="2"/>
      <c r="J37" s="19"/>
      <c r="K37" s="2"/>
      <c r="L37" s="2">
        <f t="shared" si="0"/>
        <v>8310.25</v>
      </c>
      <c r="M37" s="2"/>
      <c r="N37" s="19">
        <f t="shared" si="1"/>
        <v>0</v>
      </c>
      <c r="O37" s="11"/>
      <c r="P37" s="2">
        <f>--22630.71</f>
        <v>22630.71</v>
      </c>
      <c r="Q37" s="2"/>
      <c r="R37" s="19"/>
      <c r="S37" s="2"/>
      <c r="T37" s="2"/>
      <c r="U37" s="2"/>
      <c r="V37" s="19"/>
      <c r="W37" s="2"/>
      <c r="X37" s="2">
        <f t="shared" si="2"/>
        <v>22630.71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--6349.96</f>
        <v>6349.96</v>
      </c>
      <c r="E38" s="2"/>
      <c r="F38" s="19"/>
      <c r="G38" s="2"/>
      <c r="H38" s="2"/>
      <c r="I38" s="2"/>
      <c r="J38" s="19"/>
      <c r="K38" s="2"/>
      <c r="L38" s="2">
        <f t="shared" si="0"/>
        <v>6349.96</v>
      </c>
      <c r="M38" s="2"/>
      <c r="N38" s="19">
        <f t="shared" si="1"/>
        <v>0</v>
      </c>
      <c r="O38" s="11"/>
      <c r="P38" s="2">
        <f>--53086.16</f>
        <v>53086.16</v>
      </c>
      <c r="Q38" s="2"/>
      <c r="R38" s="19"/>
      <c r="S38" s="2"/>
      <c r="T38" s="2"/>
      <c r="U38" s="2"/>
      <c r="V38" s="19"/>
      <c r="W38" s="2"/>
      <c r="X38" s="2">
        <f t="shared" si="2"/>
        <v>53086.16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--8732.21</f>
        <v>8732.2099999999991</v>
      </c>
      <c r="E39" s="2"/>
      <c r="F39" s="19"/>
      <c r="G39" s="2"/>
      <c r="H39" s="2"/>
      <c r="I39" s="2"/>
      <c r="J39" s="19"/>
      <c r="K39" s="2"/>
      <c r="L39" s="2">
        <f t="shared" si="0"/>
        <v>8732.2099999999991</v>
      </c>
      <c r="M39" s="2"/>
      <c r="N39" s="19">
        <f t="shared" si="1"/>
        <v>0</v>
      </c>
      <c r="O39" s="11"/>
      <c r="P39" s="2">
        <f>--69738.03</f>
        <v>69738.03</v>
      </c>
      <c r="Q39" s="2"/>
      <c r="R39" s="19"/>
      <c r="S39" s="2"/>
      <c r="T39" s="2"/>
      <c r="U39" s="2"/>
      <c r="V39" s="19"/>
      <c r="W39" s="2"/>
      <c r="X39" s="2">
        <f t="shared" si="2"/>
        <v>69738.03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--183.1</f>
        <v>183.1</v>
      </c>
      <c r="E40" s="2"/>
      <c r="F40" s="19"/>
      <c r="G40" s="2"/>
      <c r="H40" s="2"/>
      <c r="I40" s="2"/>
      <c r="J40" s="19"/>
      <c r="K40" s="2"/>
      <c r="L40" s="2">
        <f t="shared" si="0"/>
        <v>183.1</v>
      </c>
      <c r="M40" s="2"/>
      <c r="N40" s="19">
        <f t="shared" si="1"/>
        <v>0</v>
      </c>
      <c r="O40" s="11"/>
      <c r="P40" s="2">
        <f>--1977.04</f>
        <v>1977.04</v>
      </c>
      <c r="Q40" s="2"/>
      <c r="R40" s="19"/>
      <c r="S40" s="2"/>
      <c r="T40" s="2"/>
      <c r="U40" s="2"/>
      <c r="V40" s="19"/>
      <c r="W40" s="2"/>
      <c r="X40" s="2">
        <f t="shared" si="2"/>
        <v>1977.04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--27620.8</f>
        <v>27620.799999999999</v>
      </c>
      <c r="E41" s="2"/>
      <c r="F41" s="19"/>
      <c r="G41" s="2"/>
      <c r="H41" s="2"/>
      <c r="I41" s="2"/>
      <c r="J41" s="19"/>
      <c r="K41" s="2"/>
      <c r="L41" s="2">
        <f t="shared" si="0"/>
        <v>27620.799999999999</v>
      </c>
      <c r="M41" s="2"/>
      <c r="N41" s="19">
        <f t="shared" si="1"/>
        <v>0</v>
      </c>
      <c r="O41" s="11"/>
      <c r="P41" s="2">
        <f>--274290.28</f>
        <v>274290.28000000003</v>
      </c>
      <c r="Q41" s="2"/>
      <c r="R41" s="19"/>
      <c r="S41" s="2"/>
      <c r="T41" s="2"/>
      <c r="U41" s="2"/>
      <c r="V41" s="19"/>
      <c r="W41" s="2"/>
      <c r="X41" s="2">
        <f t="shared" si="2"/>
        <v>274290.28000000003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--164816.22</f>
        <v>164816.22</v>
      </c>
      <c r="E42" s="2"/>
      <c r="F42" s="19"/>
      <c r="G42" s="2"/>
      <c r="H42" s="2"/>
      <c r="I42" s="2"/>
      <c r="J42" s="19"/>
      <c r="K42" s="2"/>
      <c r="L42" s="2">
        <f t="shared" si="0"/>
        <v>164816.22</v>
      </c>
      <c r="M42" s="2"/>
      <c r="N42" s="19">
        <f t="shared" si="1"/>
        <v>0</v>
      </c>
      <c r="O42" s="11"/>
      <c r="P42" s="2">
        <f>--1507332.48</f>
        <v>1507332.48</v>
      </c>
      <c r="Q42" s="2"/>
      <c r="R42" s="19"/>
      <c r="S42" s="2"/>
      <c r="T42" s="2"/>
      <c r="U42" s="2"/>
      <c r="V42" s="19"/>
      <c r="W42" s="2"/>
      <c r="X42" s="2">
        <f t="shared" si="2"/>
        <v>1507332.48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--14047.94</f>
        <v>14047.94</v>
      </c>
      <c r="E43" s="2"/>
      <c r="F43" s="19"/>
      <c r="G43" s="2"/>
      <c r="H43" s="2"/>
      <c r="I43" s="2"/>
      <c r="J43" s="19"/>
      <c r="K43" s="2"/>
      <c r="L43" s="2">
        <f t="shared" si="0"/>
        <v>14047.94</v>
      </c>
      <c r="M43" s="2"/>
      <c r="N43" s="19">
        <f t="shared" si="1"/>
        <v>0</v>
      </c>
      <c r="O43" s="11"/>
      <c r="P43" s="2">
        <f>--85178.62</f>
        <v>85178.62</v>
      </c>
      <c r="Q43" s="2"/>
      <c r="R43" s="19"/>
      <c r="S43" s="2"/>
      <c r="T43" s="2"/>
      <c r="U43" s="2"/>
      <c r="V43" s="19"/>
      <c r="W43" s="2"/>
      <c r="X43" s="2">
        <f t="shared" si="2"/>
        <v>85178.62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 t="shared" ref="D44:D45" si="4"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--129</f>
        <v>129</v>
      </c>
      <c r="Q44" s="2"/>
      <c r="R44" s="19"/>
      <c r="S44" s="2"/>
      <c r="T44" s="2"/>
      <c r="U44" s="2"/>
      <c r="V44" s="19"/>
      <c r="W44" s="2"/>
      <c r="X44" s="2">
        <f t="shared" si="2"/>
        <v>129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 t="shared" si="4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--4407.94</f>
        <v>4407.9399999999996</v>
      </c>
      <c r="Q45" s="2"/>
      <c r="R45" s="19"/>
      <c r="S45" s="2"/>
      <c r="T45" s="2"/>
      <c r="U45" s="2"/>
      <c r="V45" s="19"/>
      <c r="W45" s="2"/>
      <c r="X45" s="2">
        <f t="shared" si="2"/>
        <v>4407.9399999999996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--7359.63</f>
        <v>7359.63</v>
      </c>
      <c r="E46" s="2"/>
      <c r="F46" s="19"/>
      <c r="G46" s="2"/>
      <c r="H46" s="2"/>
      <c r="I46" s="2"/>
      <c r="J46" s="19"/>
      <c r="K46" s="2"/>
      <c r="L46" s="2">
        <f t="shared" si="0"/>
        <v>7359.63</v>
      </c>
      <c r="M46" s="2"/>
      <c r="N46" s="19">
        <f t="shared" si="1"/>
        <v>0</v>
      </c>
      <c r="O46" s="11"/>
      <c r="P46" s="2">
        <f>--41136.87</f>
        <v>41136.870000000003</v>
      </c>
      <c r="Q46" s="2"/>
      <c r="R46" s="19"/>
      <c r="S46" s="2"/>
      <c r="T46" s="2"/>
      <c r="U46" s="2"/>
      <c r="V46" s="19"/>
      <c r="W46" s="2"/>
      <c r="X46" s="2">
        <f t="shared" si="2"/>
        <v>41136.870000000003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>--118.97</f>
        <v>118.97</v>
      </c>
      <c r="E47" s="2"/>
      <c r="F47" s="19"/>
      <c r="G47" s="2"/>
      <c r="H47" s="2"/>
      <c r="I47" s="2"/>
      <c r="J47" s="19"/>
      <c r="K47" s="2"/>
      <c r="L47" s="2">
        <f t="shared" si="0"/>
        <v>118.97</v>
      </c>
      <c r="M47" s="2"/>
      <c r="N47" s="19">
        <f t="shared" si="1"/>
        <v>0</v>
      </c>
      <c r="O47" s="11"/>
      <c r="P47" s="2">
        <f>--1055.88</f>
        <v>1055.8800000000001</v>
      </c>
      <c r="Q47" s="2"/>
      <c r="R47" s="19"/>
      <c r="S47" s="2"/>
      <c r="T47" s="2"/>
      <c r="U47" s="2"/>
      <c r="V47" s="19"/>
      <c r="W47" s="2"/>
      <c r="X47" s="2">
        <f t="shared" si="2"/>
        <v>1055.8800000000001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>0</f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--7659.37</f>
        <v>7659.37</v>
      </c>
      <c r="Q48" s="2"/>
      <c r="R48" s="19"/>
      <c r="S48" s="2"/>
      <c r="T48" s="2"/>
      <c r="U48" s="2"/>
      <c r="V48" s="19"/>
      <c r="W48" s="2"/>
      <c r="X48" s="2">
        <f t="shared" si="2"/>
        <v>7659.37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>--11.93</f>
        <v>11.93</v>
      </c>
      <c r="E49" s="2"/>
      <c r="F49" s="19"/>
      <c r="G49" s="2"/>
      <c r="H49" s="2"/>
      <c r="I49" s="2"/>
      <c r="J49" s="19"/>
      <c r="K49" s="2"/>
      <c r="L49" s="2">
        <f t="shared" si="0"/>
        <v>11.93</v>
      </c>
      <c r="M49" s="2"/>
      <c r="N49" s="19">
        <f t="shared" si="1"/>
        <v>0</v>
      </c>
      <c r="O49" s="11"/>
      <c r="P49" s="2">
        <f>--309.26</f>
        <v>309.26</v>
      </c>
      <c r="Q49" s="2"/>
      <c r="R49" s="19"/>
      <c r="S49" s="2"/>
      <c r="T49" s="2"/>
      <c r="U49" s="2"/>
      <c r="V49" s="19"/>
      <c r="W49" s="2"/>
      <c r="X49" s="2">
        <f t="shared" si="2"/>
        <v>309.26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--214291.61</f>
        <v>214291.61</v>
      </c>
      <c r="E50" s="2"/>
      <c r="F50" s="19"/>
      <c r="G50" s="2"/>
      <c r="H50" s="2">
        <v>2004303</v>
      </c>
      <c r="I50" s="2"/>
      <c r="J50" s="19"/>
      <c r="K50" s="2"/>
      <c r="L50" s="2">
        <f t="shared" si="0"/>
        <v>-1790011.3900000001</v>
      </c>
      <c r="M50" s="2"/>
      <c r="N50" s="19">
        <f t="shared" si="1"/>
        <v>-0.89308422429143708</v>
      </c>
      <c r="O50" s="11"/>
      <c r="P50" s="2">
        <f>--550220.16</f>
        <v>550220.16</v>
      </c>
      <c r="Q50" s="2"/>
      <c r="R50" s="19"/>
      <c r="S50" s="2"/>
      <c r="T50" s="2">
        <v>5510919</v>
      </c>
      <c r="U50" s="2"/>
      <c r="V50" s="19"/>
      <c r="W50" s="2"/>
      <c r="X50" s="2">
        <f t="shared" si="2"/>
        <v>-4960698.84</v>
      </c>
      <c r="Y50" s="2"/>
      <c r="Z50" s="19">
        <f t="shared" si="3"/>
        <v>-0.90015818414315285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--37117.66</f>
        <v>37117.660000000003</v>
      </c>
      <c r="E51" s="2"/>
      <c r="F51" s="19"/>
      <c r="G51" s="2"/>
      <c r="H51" s="2"/>
      <c r="I51" s="2"/>
      <c r="J51" s="19"/>
      <c r="K51" s="2"/>
      <c r="L51" s="2">
        <f t="shared" si="0"/>
        <v>37117.660000000003</v>
      </c>
      <c r="M51" s="2"/>
      <c r="N51" s="19">
        <f t="shared" si="1"/>
        <v>0</v>
      </c>
      <c r="O51" s="11"/>
      <c r="P51" s="2">
        <f>--132405.23</f>
        <v>132405.23000000001</v>
      </c>
      <c r="Q51" s="2"/>
      <c r="R51" s="19"/>
      <c r="S51" s="2"/>
      <c r="T51" s="2"/>
      <c r="U51" s="2"/>
      <c r="V51" s="19"/>
      <c r="W51" s="2"/>
      <c r="X51" s="2">
        <f t="shared" si="2"/>
        <v>132405.23000000001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--28414.21</f>
        <v>28414.21</v>
      </c>
      <c r="E52" s="2"/>
      <c r="F52" s="19"/>
      <c r="G52" s="2"/>
      <c r="H52" s="2"/>
      <c r="I52" s="2"/>
      <c r="J52" s="19"/>
      <c r="K52" s="2"/>
      <c r="L52" s="2">
        <f t="shared" si="0"/>
        <v>28414.21</v>
      </c>
      <c r="M52" s="2"/>
      <c r="N52" s="19">
        <f t="shared" si="1"/>
        <v>0</v>
      </c>
      <c r="O52" s="11"/>
      <c r="P52" s="2">
        <f>--66616.8</f>
        <v>66616.800000000003</v>
      </c>
      <c r="Q52" s="2"/>
      <c r="R52" s="19"/>
      <c r="S52" s="2"/>
      <c r="T52" s="2"/>
      <c r="U52" s="2"/>
      <c r="V52" s="19"/>
      <c r="W52" s="2"/>
      <c r="X52" s="2">
        <f t="shared" si="2"/>
        <v>66616.800000000003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--334.99</f>
        <v>334.99</v>
      </c>
      <c r="E53" s="2"/>
      <c r="F53" s="19"/>
      <c r="G53" s="2"/>
      <c r="H53" s="2"/>
      <c r="I53" s="2"/>
      <c r="J53" s="19"/>
      <c r="K53" s="2"/>
      <c r="L53" s="2">
        <f t="shared" si="0"/>
        <v>334.99</v>
      </c>
      <c r="M53" s="2"/>
      <c r="N53" s="19">
        <f t="shared" si="1"/>
        <v>0</v>
      </c>
      <c r="O53" s="11"/>
      <c r="P53" s="2">
        <f>--664.97</f>
        <v>664.97</v>
      </c>
      <c r="Q53" s="2"/>
      <c r="R53" s="19"/>
      <c r="S53" s="2"/>
      <c r="T53" s="2"/>
      <c r="U53" s="2"/>
      <c r="V53" s="19"/>
      <c r="W53" s="2"/>
      <c r="X53" s="2">
        <f t="shared" si="2"/>
        <v>664.97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--169179.13</f>
        <v>169179.13</v>
      </c>
      <c r="E54" s="2"/>
      <c r="F54" s="19"/>
      <c r="G54" s="2"/>
      <c r="H54" s="2"/>
      <c r="I54" s="2"/>
      <c r="J54" s="19"/>
      <c r="K54" s="2"/>
      <c r="L54" s="2">
        <f t="shared" si="0"/>
        <v>169179.13</v>
      </c>
      <c r="M54" s="2"/>
      <c r="N54" s="19">
        <f t="shared" si="1"/>
        <v>0</v>
      </c>
      <c r="O54" s="11"/>
      <c r="P54" s="2">
        <f>--502067.96</f>
        <v>502067.96</v>
      </c>
      <c r="Q54" s="2"/>
      <c r="R54" s="19"/>
      <c r="S54" s="2"/>
      <c r="T54" s="2"/>
      <c r="U54" s="2"/>
      <c r="V54" s="19"/>
      <c r="W54" s="2"/>
      <c r="X54" s="2">
        <f t="shared" si="2"/>
        <v>502067.96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--4684.53</f>
        <v>4684.53</v>
      </c>
      <c r="E55" s="2"/>
      <c r="F55" s="19"/>
      <c r="G55" s="2"/>
      <c r="H55" s="2"/>
      <c r="I55" s="2"/>
      <c r="J55" s="19"/>
      <c r="K55" s="2"/>
      <c r="L55" s="2">
        <f t="shared" si="0"/>
        <v>4684.53</v>
      </c>
      <c r="M55" s="2"/>
      <c r="N55" s="19">
        <f t="shared" si="1"/>
        <v>0</v>
      </c>
      <c r="O55" s="11"/>
      <c r="P55" s="2">
        <f>--12708.5</f>
        <v>12708.5</v>
      </c>
      <c r="Q55" s="2"/>
      <c r="R55" s="19"/>
      <c r="S55" s="2"/>
      <c r="T55" s="2"/>
      <c r="U55" s="2"/>
      <c r="V55" s="19"/>
      <c r="W55" s="2"/>
      <c r="X55" s="2">
        <f t="shared" si="2"/>
        <v>12708.5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 t="shared" ref="D56:D57" si="5">0</f>
        <v>0</v>
      </c>
      <c r="E56" s="2"/>
      <c r="F56" s="19"/>
      <c r="G56" s="2"/>
      <c r="H56" s="2"/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--1146.72</f>
        <v>1146.72</v>
      </c>
      <c r="Q56" s="2"/>
      <c r="R56" s="19"/>
      <c r="S56" s="2"/>
      <c r="T56" s="2"/>
      <c r="U56" s="2"/>
      <c r="V56" s="19"/>
      <c r="W56" s="2"/>
      <c r="X56" s="2">
        <f t="shared" si="2"/>
        <v>1146.72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 t="shared" si="5"/>
        <v>0</v>
      </c>
      <c r="E57" s="2"/>
      <c r="F57" s="19"/>
      <c r="G57" s="2"/>
      <c r="H57" s="2"/>
      <c r="I57" s="2"/>
      <c r="J57" s="19"/>
      <c r="K57" s="2"/>
      <c r="L57" s="2">
        <f t="shared" si="0"/>
        <v>0</v>
      </c>
      <c r="M57" s="2"/>
      <c r="N57" s="19">
        <f t="shared" si="1"/>
        <v>0</v>
      </c>
      <c r="O57" s="11"/>
      <c r="P57" s="2">
        <f>--41.91</f>
        <v>41.91</v>
      </c>
      <c r="Q57" s="2"/>
      <c r="R57" s="19"/>
      <c r="S57" s="2"/>
      <c r="T57" s="2"/>
      <c r="U57" s="2"/>
      <c r="V57" s="19"/>
      <c r="W57" s="2"/>
      <c r="X57" s="2">
        <f t="shared" si="2"/>
        <v>41.91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>--98.5</f>
        <v>98.5</v>
      </c>
      <c r="E58" s="2"/>
      <c r="F58" s="19"/>
      <c r="G58" s="2"/>
      <c r="H58" s="2"/>
      <c r="I58" s="2"/>
      <c r="J58" s="19"/>
      <c r="K58" s="2"/>
      <c r="L58" s="2">
        <f t="shared" si="0"/>
        <v>98.5</v>
      </c>
      <c r="M58" s="2"/>
      <c r="N58" s="19">
        <f t="shared" si="1"/>
        <v>0</v>
      </c>
      <c r="O58" s="11"/>
      <c r="P58" s="2">
        <f>--222.68</f>
        <v>222.68</v>
      </c>
      <c r="Q58" s="2"/>
      <c r="R58" s="19"/>
      <c r="S58" s="2"/>
      <c r="T58" s="2"/>
      <c r="U58" s="2"/>
      <c r="V58" s="19"/>
      <c r="W58" s="2"/>
      <c r="X58" s="2">
        <f t="shared" si="2"/>
        <v>222.68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>--1047.53</f>
        <v>1047.53</v>
      </c>
      <c r="E59" s="2"/>
      <c r="F59" s="19"/>
      <c r="G59" s="2"/>
      <c r="H59" s="2"/>
      <c r="I59" s="2"/>
      <c r="J59" s="19"/>
      <c r="K59" s="2"/>
      <c r="L59" s="2">
        <f t="shared" si="0"/>
        <v>1047.53</v>
      </c>
      <c r="M59" s="2"/>
      <c r="N59" s="19">
        <f t="shared" si="1"/>
        <v>0</v>
      </c>
      <c r="O59" s="11"/>
      <c r="P59" s="2">
        <f>--2556.64</f>
        <v>2556.64</v>
      </c>
      <c r="Q59" s="2"/>
      <c r="R59" s="19"/>
      <c r="S59" s="2"/>
      <c r="T59" s="2"/>
      <c r="U59" s="2"/>
      <c r="V59" s="19"/>
      <c r="W59" s="2"/>
      <c r="X59" s="2">
        <f t="shared" si="2"/>
        <v>2556.64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>--1531.2</f>
        <v>1531.2</v>
      </c>
      <c r="E60" s="2"/>
      <c r="F60" s="19"/>
      <c r="G60" s="2"/>
      <c r="H60" s="2"/>
      <c r="I60" s="2"/>
      <c r="J60" s="19"/>
      <c r="K60" s="2"/>
      <c r="L60" s="2">
        <f t="shared" si="0"/>
        <v>1531.2</v>
      </c>
      <c r="M60" s="2"/>
      <c r="N60" s="19">
        <f t="shared" si="1"/>
        <v>0</v>
      </c>
      <c r="O60" s="11"/>
      <c r="P60" s="2">
        <f>--4134.6</f>
        <v>4134.6000000000004</v>
      </c>
      <c r="Q60" s="2"/>
      <c r="R60" s="19"/>
      <c r="S60" s="2"/>
      <c r="T60" s="2"/>
      <c r="U60" s="2"/>
      <c r="V60" s="19"/>
      <c r="W60" s="2"/>
      <c r="X60" s="2">
        <f t="shared" si="2"/>
        <v>4134.6000000000004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>--182.3</f>
        <v>182.3</v>
      </c>
      <c r="E61" s="2"/>
      <c r="F61" s="19"/>
      <c r="G61" s="2"/>
      <c r="H61" s="2"/>
      <c r="I61" s="2"/>
      <c r="J61" s="19"/>
      <c r="K61" s="2"/>
      <c r="L61" s="2">
        <f t="shared" si="0"/>
        <v>182.3</v>
      </c>
      <c r="M61" s="2"/>
      <c r="N61" s="19">
        <f t="shared" si="1"/>
        <v>0</v>
      </c>
      <c r="O61" s="11"/>
      <c r="P61" s="2">
        <f>--531.02</f>
        <v>531.02</v>
      </c>
      <c r="Q61" s="2"/>
      <c r="R61" s="19"/>
      <c r="S61" s="2"/>
      <c r="T61" s="2"/>
      <c r="U61" s="2"/>
      <c r="V61" s="19"/>
      <c r="W61" s="2"/>
      <c r="X61" s="2">
        <f t="shared" si="2"/>
        <v>531.02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--3944.61</f>
        <v>3944.61</v>
      </c>
      <c r="E62" s="2"/>
      <c r="F62" s="19"/>
      <c r="G62" s="2"/>
      <c r="H62" s="2"/>
      <c r="I62" s="2"/>
      <c r="J62" s="19"/>
      <c r="K62" s="2"/>
      <c r="L62" s="2">
        <f t="shared" si="0"/>
        <v>3944.61</v>
      </c>
      <c r="M62" s="2"/>
      <c r="N62" s="19">
        <f t="shared" si="1"/>
        <v>0</v>
      </c>
      <c r="O62" s="11"/>
      <c r="P62" s="2">
        <f>--43030.34</f>
        <v>43030.34</v>
      </c>
      <c r="Q62" s="2"/>
      <c r="R62" s="19"/>
      <c r="S62" s="2"/>
      <c r="T62" s="2"/>
      <c r="U62" s="2"/>
      <c r="V62" s="19"/>
      <c r="W62" s="2"/>
      <c r="X62" s="2">
        <f t="shared" si="2"/>
        <v>43030.34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>--1102.23</f>
        <v>1102.23</v>
      </c>
      <c r="E63" s="2"/>
      <c r="F63" s="19"/>
      <c r="G63" s="2"/>
      <c r="H63" s="2"/>
      <c r="I63" s="2"/>
      <c r="J63" s="19"/>
      <c r="K63" s="2"/>
      <c r="L63" s="2">
        <f t="shared" si="0"/>
        <v>1102.23</v>
      </c>
      <c r="M63" s="2"/>
      <c r="N63" s="19">
        <f t="shared" si="1"/>
        <v>0</v>
      </c>
      <c r="O63" s="11"/>
      <c r="P63" s="2">
        <f>--12547.43</f>
        <v>12547.43</v>
      </c>
      <c r="Q63" s="2"/>
      <c r="R63" s="19"/>
      <c r="S63" s="2"/>
      <c r="T63" s="2"/>
      <c r="U63" s="2"/>
      <c r="V63" s="19"/>
      <c r="W63" s="2"/>
      <c r="X63" s="2">
        <f t="shared" si="2"/>
        <v>12547.43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>--1436.4</f>
        <v>1436.4</v>
      </c>
      <c r="E64" s="2"/>
      <c r="F64" s="19"/>
      <c r="G64" s="2"/>
      <c r="H64" s="2"/>
      <c r="I64" s="2"/>
      <c r="J64" s="19"/>
      <c r="K64" s="2"/>
      <c r="L64" s="2">
        <f t="shared" si="0"/>
        <v>1436.4</v>
      </c>
      <c r="M64" s="2"/>
      <c r="N64" s="19">
        <f t="shared" si="1"/>
        <v>0</v>
      </c>
      <c r="O64" s="11"/>
      <c r="P64" s="2">
        <f>--13558.18</f>
        <v>13558.18</v>
      </c>
      <c r="Q64" s="2"/>
      <c r="R64" s="19"/>
      <c r="S64" s="2"/>
      <c r="T64" s="2"/>
      <c r="U64" s="2"/>
      <c r="V64" s="19"/>
      <c r="W64" s="2"/>
      <c r="X64" s="2">
        <f t="shared" si="2"/>
        <v>13558.18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"4135", " - ", "NON-TAXABLE SALES")</f>
        <v xml:space="preserve">          4135 - NON-TAXABLE SALES</v>
      </c>
      <c r="C65" s="11"/>
      <c r="D65" s="2">
        <f>--21.54</f>
        <v>21.54</v>
      </c>
      <c r="E65" s="2"/>
      <c r="F65" s="19"/>
      <c r="G65" s="2"/>
      <c r="H65" s="2"/>
      <c r="I65" s="2"/>
      <c r="J65" s="19"/>
      <c r="K65" s="2"/>
      <c r="L65" s="2">
        <f t="shared" si="0"/>
        <v>21.54</v>
      </c>
      <c r="M65" s="2"/>
      <c r="N65" s="19">
        <f t="shared" si="1"/>
        <v>0</v>
      </c>
      <c r="O65" s="11"/>
      <c r="P65" s="2">
        <f>--139.86</f>
        <v>139.86000000000001</v>
      </c>
      <c r="Q65" s="2"/>
      <c r="R65" s="19"/>
      <c r="S65" s="2"/>
      <c r="T65" s="2"/>
      <c r="U65" s="2"/>
      <c r="V65" s="19"/>
      <c r="W65" s="2"/>
      <c r="X65" s="2">
        <f t="shared" si="2"/>
        <v>139.86000000000001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"4137", " - ", "NON-TAXABLE SALES-WATER")</f>
        <v xml:space="preserve">          4137 - NON-TAXABLE SALES-WATER</v>
      </c>
      <c r="C66" s="11"/>
      <c r="D66" s="2">
        <f>--635.89</f>
        <v>635.89</v>
      </c>
      <c r="E66" s="2"/>
      <c r="F66" s="19"/>
      <c r="G66" s="2"/>
      <c r="H66" s="2"/>
      <c r="I66" s="2"/>
      <c r="J66" s="19"/>
      <c r="K66" s="2"/>
      <c r="L66" s="2">
        <f t="shared" si="0"/>
        <v>635.89</v>
      </c>
      <c r="M66" s="2"/>
      <c r="N66" s="19">
        <f t="shared" si="1"/>
        <v>0</v>
      </c>
      <c r="O66" s="11"/>
      <c r="P66" s="2">
        <f>--6548.96</f>
        <v>6548.96</v>
      </c>
      <c r="Q66" s="2"/>
      <c r="R66" s="19"/>
      <c r="S66" s="2"/>
      <c r="T66" s="2"/>
      <c r="U66" s="2"/>
      <c r="V66" s="19"/>
      <c r="W66" s="2"/>
      <c r="X66" s="2">
        <f t="shared" si="2"/>
        <v>6548.96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"4140", " - ", "NON-TAXABLE SALES-LOGO CLOTHIN")</f>
        <v xml:space="preserve">          4140 - NON-TAXABLE SALES-LOGO CLOTHIN</v>
      </c>
      <c r="C67" s="11"/>
      <c r="D67" s="2">
        <f>--3758.83</f>
        <v>3758.83</v>
      </c>
      <c r="E67" s="2"/>
      <c r="F67" s="19"/>
      <c r="G67" s="2"/>
      <c r="H67" s="2"/>
      <c r="I67" s="2"/>
      <c r="J67" s="19"/>
      <c r="K67" s="2"/>
      <c r="L67" s="2">
        <f t="shared" si="0"/>
        <v>3758.83</v>
      </c>
      <c r="M67" s="2"/>
      <c r="N67" s="19">
        <f t="shared" si="1"/>
        <v>0</v>
      </c>
      <c r="O67" s="11"/>
      <c r="P67" s="2">
        <f>--42582.67</f>
        <v>42582.67</v>
      </c>
      <c r="Q67" s="2"/>
      <c r="R67" s="19"/>
      <c r="S67" s="2"/>
      <c r="T67" s="2"/>
      <c r="U67" s="2"/>
      <c r="V67" s="19"/>
      <c r="W67" s="2"/>
      <c r="X67" s="2">
        <f t="shared" si="2"/>
        <v>42582.67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"4141", " - ", "NON-TAXABLE SALES-LOGO GIFTS")</f>
        <v xml:space="preserve">          4141 - NON-TAXABLE SALES-LOGO GIFTS</v>
      </c>
      <c r="C68" s="11"/>
      <c r="D68" s="2">
        <f>--1719.12</f>
        <v>1719.12</v>
      </c>
      <c r="E68" s="2"/>
      <c r="F68" s="19"/>
      <c r="G68" s="2"/>
      <c r="H68" s="2"/>
      <c r="I68" s="2"/>
      <c r="J68" s="19"/>
      <c r="K68" s="2"/>
      <c r="L68" s="2">
        <f t="shared" si="0"/>
        <v>1719.12</v>
      </c>
      <c r="M68" s="2"/>
      <c r="N68" s="19">
        <f t="shared" si="1"/>
        <v>0</v>
      </c>
      <c r="O68" s="11"/>
      <c r="P68" s="2">
        <f>--4249</f>
        <v>4249</v>
      </c>
      <c r="Q68" s="2"/>
      <c r="R68" s="19"/>
      <c r="S68" s="2"/>
      <c r="T68" s="2"/>
      <c r="U68" s="2"/>
      <c r="V68" s="19"/>
      <c r="W68" s="2"/>
      <c r="X68" s="2">
        <f t="shared" si="2"/>
        <v>4249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"4142", " - ", "NON-TAXABLE SALES-EVERYDAY GIF")</f>
        <v xml:space="preserve">          4142 - NON-TAXABLE SALES-EVERYDAY GIF</v>
      </c>
      <c r="C69" s="11"/>
      <c r="D69" s="2">
        <f>--1947.91</f>
        <v>1947.91</v>
      </c>
      <c r="E69" s="2"/>
      <c r="F69" s="19"/>
      <c r="G69" s="2"/>
      <c r="H69" s="2"/>
      <c r="I69" s="2"/>
      <c r="J69" s="19"/>
      <c r="K69" s="2"/>
      <c r="L69" s="2">
        <f t="shared" si="0"/>
        <v>1947.91</v>
      </c>
      <c r="M69" s="2"/>
      <c r="N69" s="19">
        <f t="shared" si="1"/>
        <v>0</v>
      </c>
      <c r="O69" s="11"/>
      <c r="P69" s="2">
        <f>--12435.29</f>
        <v>12435.29</v>
      </c>
      <c r="Q69" s="2"/>
      <c r="R69" s="19"/>
      <c r="S69" s="2"/>
      <c r="T69" s="2"/>
      <c r="U69" s="2"/>
      <c r="V69" s="19"/>
      <c r="W69" s="2"/>
      <c r="X69" s="2">
        <f t="shared" si="2"/>
        <v>12435.29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--374.48</f>
        <v>374.48</v>
      </c>
      <c r="E70" s="2"/>
      <c r="F70" s="19"/>
      <c r="G70" s="2"/>
      <c r="H70" s="2"/>
      <c r="I70" s="2"/>
      <c r="J70" s="19"/>
      <c r="K70" s="2"/>
      <c r="L70" s="2">
        <f t="shared" si="0"/>
        <v>374.48</v>
      </c>
      <c r="M70" s="2"/>
      <c r="N70" s="19">
        <f t="shared" si="1"/>
        <v>0</v>
      </c>
      <c r="O70" s="11"/>
      <c r="P70" s="2">
        <f>--967.33</f>
        <v>967.33</v>
      </c>
      <c r="Q70" s="2"/>
      <c r="R70" s="19"/>
      <c r="S70" s="2"/>
      <c r="T70" s="2"/>
      <c r="U70" s="2"/>
      <c r="V70" s="19"/>
      <c r="W70" s="2"/>
      <c r="X70" s="2">
        <f t="shared" si="2"/>
        <v>967.33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0</f>
        <v>0</v>
      </c>
      <c r="E71" s="2"/>
      <c r="F71" s="19"/>
      <c r="G71" s="2"/>
      <c r="H71" s="2"/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--140</f>
        <v>140</v>
      </c>
      <c r="Q71" s="2"/>
      <c r="R71" s="19"/>
      <c r="S71" s="2"/>
      <c r="T71" s="2"/>
      <c r="U71" s="2"/>
      <c r="V71" s="19"/>
      <c r="W71" s="2"/>
      <c r="X71" s="2">
        <f t="shared" si="2"/>
        <v>140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--17086.55</f>
        <v>17086.55</v>
      </c>
      <c r="E72" s="2"/>
      <c r="F72" s="19"/>
      <c r="G72" s="2"/>
      <c r="H72" s="2"/>
      <c r="I72" s="2"/>
      <c r="J72" s="19"/>
      <c r="K72" s="2"/>
      <c r="L72" s="2">
        <f t="shared" si="0"/>
        <v>17086.55</v>
      </c>
      <c r="M72" s="2"/>
      <c r="N72" s="19">
        <f t="shared" si="1"/>
        <v>0</v>
      </c>
      <c r="O72" s="11"/>
      <c r="P72" s="2">
        <f>--163554.5</f>
        <v>163554.5</v>
      </c>
      <c r="Q72" s="2"/>
      <c r="R72" s="19"/>
      <c r="S72" s="2"/>
      <c r="T72" s="2"/>
      <c r="U72" s="2"/>
      <c r="V72" s="19"/>
      <c r="W72" s="2"/>
      <c r="X72" s="2">
        <f t="shared" si="2"/>
        <v>163554.5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--11.5</f>
        <v>11.5</v>
      </c>
      <c r="E73" s="2"/>
      <c r="F73" s="19"/>
      <c r="G73" s="2"/>
      <c r="H73" s="2"/>
      <c r="I73" s="2"/>
      <c r="J73" s="19"/>
      <c r="K73" s="2"/>
      <c r="L73" s="2">
        <f t="shared" si="0"/>
        <v>11.5</v>
      </c>
      <c r="M73" s="2"/>
      <c r="N73" s="19">
        <f t="shared" si="1"/>
        <v>0</v>
      </c>
      <c r="O73" s="11"/>
      <c r="P73" s="2">
        <f>--318.9</f>
        <v>318.89999999999998</v>
      </c>
      <c r="Q73" s="2"/>
      <c r="R73" s="19"/>
      <c r="S73" s="2"/>
      <c r="T73" s="2"/>
      <c r="U73" s="2"/>
      <c r="V73" s="19"/>
      <c r="W73" s="2"/>
      <c r="X73" s="2">
        <f t="shared" si="2"/>
        <v>318.89999999999998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"4181", " - ", "NON-TAXABLE SALES-ELECTRONICS")</f>
        <v xml:space="preserve">          4181 - NON-TAXABLE SALES-ELECTRONICS</v>
      </c>
      <c r="C74" s="11"/>
      <c r="D74" s="2">
        <f>--343.91</f>
        <v>343.91</v>
      </c>
      <c r="E74" s="2"/>
      <c r="F74" s="19"/>
      <c r="G74" s="2"/>
      <c r="H74" s="2"/>
      <c r="I74" s="2"/>
      <c r="J74" s="19"/>
      <c r="K74" s="2"/>
      <c r="L74" s="2">
        <f t="shared" si="0"/>
        <v>343.91</v>
      </c>
      <c r="M74" s="2"/>
      <c r="N74" s="19">
        <f t="shared" si="1"/>
        <v>0</v>
      </c>
      <c r="O74" s="11"/>
      <c r="P74" s="2">
        <f>--1806.42</f>
        <v>1806.42</v>
      </c>
      <c r="Q74" s="2"/>
      <c r="R74" s="19"/>
      <c r="S74" s="2"/>
      <c r="T74" s="2"/>
      <c r="U74" s="2"/>
      <c r="V74" s="19"/>
      <c r="W74" s="2"/>
      <c r="X74" s="2">
        <f t="shared" si="2"/>
        <v>1806.42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"4182", " - ", "NON-TAXABLE SALES-COMPUTER HAR")</f>
        <v xml:space="preserve">          4182 - NON-TAXABLE SALES-COMPUTER HAR</v>
      </c>
      <c r="C75" s="11"/>
      <c r="D75" s="2">
        <f>--16176.97</f>
        <v>16176.97</v>
      </c>
      <c r="E75" s="2"/>
      <c r="F75" s="19"/>
      <c r="G75" s="2"/>
      <c r="H75" s="2"/>
      <c r="I75" s="2"/>
      <c r="J75" s="19"/>
      <c r="K75" s="2"/>
      <c r="L75" s="2">
        <f t="shared" si="0"/>
        <v>16176.97</v>
      </c>
      <c r="M75" s="2"/>
      <c r="N75" s="19">
        <f t="shared" si="1"/>
        <v>0</v>
      </c>
      <c r="O75" s="11"/>
      <c r="P75" s="2">
        <f>--86971.97</f>
        <v>86971.97</v>
      </c>
      <c r="Q75" s="2"/>
      <c r="R75" s="19"/>
      <c r="S75" s="2"/>
      <c r="T75" s="2"/>
      <c r="U75" s="2"/>
      <c r="V75" s="19"/>
      <c r="W75" s="2"/>
      <c r="X75" s="2">
        <f t="shared" si="2"/>
        <v>86971.97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"4183", " - ", "NON-TAXABLE SALES-COMPUTER EQU")</f>
        <v xml:space="preserve">          4183 - NON-TAXABLE SALES-COMPUTER EQU</v>
      </c>
      <c r="C76" s="11"/>
      <c r="D76" s="2">
        <f>--777.81</f>
        <v>777.81</v>
      </c>
      <c r="E76" s="2"/>
      <c r="F76" s="19"/>
      <c r="G76" s="2"/>
      <c r="H76" s="2"/>
      <c r="I76" s="2"/>
      <c r="J76" s="19"/>
      <c r="K76" s="2"/>
      <c r="L76" s="2">
        <f t="shared" si="0"/>
        <v>777.81</v>
      </c>
      <c r="M76" s="2"/>
      <c r="N76" s="19">
        <f t="shared" si="1"/>
        <v>0</v>
      </c>
      <c r="O76" s="11"/>
      <c r="P76" s="2">
        <f>--4349.44</f>
        <v>4349.4399999999996</v>
      </c>
      <c r="Q76" s="2"/>
      <c r="R76" s="19"/>
      <c r="S76" s="2"/>
      <c r="T76" s="2"/>
      <c r="U76" s="2"/>
      <c r="V76" s="19"/>
      <c r="W76" s="2"/>
      <c r="X76" s="2">
        <f t="shared" si="2"/>
        <v>4349.4399999999996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"4184", " - ", "NON-TAXABLE SALES-SOFTWARE LIC")</f>
        <v xml:space="preserve">          4184 - NON-TAXABLE SALES-SOFTWARE LIC</v>
      </c>
      <c r="C77" s="11"/>
      <c r="D77" s="2">
        <f>0</f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--2728</f>
        <v>2728</v>
      </c>
      <c r="Q77" s="2"/>
      <c r="R77" s="19"/>
      <c r="S77" s="2"/>
      <c r="T77" s="2"/>
      <c r="U77" s="2"/>
      <c r="V77" s="19"/>
      <c r="W77" s="2"/>
      <c r="X77" s="2">
        <f t="shared" si="2"/>
        <v>2728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"4185", " - ", "NON-TAXABLE SALES-SOFTWARE")</f>
        <v xml:space="preserve">          4185 - NON-TAXABLE SALES-SOFTWARE</v>
      </c>
      <c r="C78" s="11"/>
      <c r="D78" s="2">
        <f>--1925.98</f>
        <v>1925.98</v>
      </c>
      <c r="E78" s="2"/>
      <c r="F78" s="19"/>
      <c r="G78" s="2"/>
      <c r="H78" s="2"/>
      <c r="I78" s="2"/>
      <c r="J78" s="19"/>
      <c r="K78" s="2"/>
      <c r="L78" s="2">
        <f t="shared" si="0"/>
        <v>1925.98</v>
      </c>
      <c r="M78" s="2"/>
      <c r="N78" s="19">
        <f t="shared" si="1"/>
        <v>0</v>
      </c>
      <c r="O78" s="11"/>
      <c r="P78" s="2">
        <f>--11327.82</f>
        <v>11327.82</v>
      </c>
      <c r="Q78" s="2"/>
      <c r="R78" s="19"/>
      <c r="S78" s="2"/>
      <c r="T78" s="2"/>
      <c r="U78" s="2"/>
      <c r="V78" s="19"/>
      <c r="W78" s="2"/>
      <c r="X78" s="2">
        <f t="shared" si="2"/>
        <v>11327.82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"4186", " - ", "NON-TAXABLE SALES-COMPUTER SUP")</f>
        <v xml:space="preserve">          4186 - NON-TAXABLE SALES-COMPUTER SUP</v>
      </c>
      <c r="C79" s="11"/>
      <c r="D79" s="2">
        <f>--326.92</f>
        <v>326.92</v>
      </c>
      <c r="E79" s="2"/>
      <c r="F79" s="19"/>
      <c r="G79" s="2"/>
      <c r="H79" s="2"/>
      <c r="I79" s="2"/>
      <c r="J79" s="19"/>
      <c r="K79" s="2"/>
      <c r="L79" s="2">
        <f t="shared" si="0"/>
        <v>326.92</v>
      </c>
      <c r="M79" s="2"/>
      <c r="N79" s="19">
        <f t="shared" si="1"/>
        <v>0</v>
      </c>
      <c r="O79" s="11"/>
      <c r="P79" s="2">
        <f>--1949.31</f>
        <v>1949.31</v>
      </c>
      <c r="Q79" s="2"/>
      <c r="R79" s="19"/>
      <c r="S79" s="2"/>
      <c r="T79" s="2"/>
      <c r="U79" s="2"/>
      <c r="V79" s="19"/>
      <c r="W79" s="2"/>
      <c r="X79" s="2">
        <f t="shared" si="2"/>
        <v>1949.31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"4188", " - ", "NON-TAXABLE SALES-MUSIC")</f>
        <v xml:space="preserve">          4188 - NON-TAXABLE SALES-MUSIC</v>
      </c>
      <c r="C80" s="11"/>
      <c r="D80" s="2">
        <f>0</f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--219.96</f>
        <v>219.96</v>
      </c>
      <c r="Q80" s="2"/>
      <c r="R80" s="19"/>
      <c r="S80" s="2"/>
      <c r="T80" s="2"/>
      <c r="U80" s="2"/>
      <c r="V80" s="19"/>
      <c r="W80" s="2"/>
      <c r="X80" s="2">
        <f t="shared" si="2"/>
        <v>219.96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"4201", " - ", "SALES RETURN TAXABLE-NEW TEXT")</f>
        <v xml:space="preserve">          4201 - SALES RETURN TAXABLE-NEW TEXT</v>
      </c>
      <c r="C81" s="11"/>
      <c r="D81" s="2">
        <f>-37895.48</f>
        <v>-37895.480000000003</v>
      </c>
      <c r="E81" s="2"/>
      <c r="F81" s="19"/>
      <c r="G81" s="2"/>
      <c r="H81" s="2"/>
      <c r="I81" s="2"/>
      <c r="J81" s="19"/>
      <c r="K81" s="2"/>
      <c r="L81" s="2">
        <f t="shared" si="0"/>
        <v>-37895.480000000003</v>
      </c>
      <c r="M81" s="2"/>
      <c r="N81" s="19">
        <f t="shared" si="1"/>
        <v>0</v>
      </c>
      <c r="O81" s="11"/>
      <c r="P81" s="2">
        <f>-116625.85</f>
        <v>-116625.85</v>
      </c>
      <c r="Q81" s="2"/>
      <c r="R81" s="19"/>
      <c r="S81" s="2"/>
      <c r="T81" s="2"/>
      <c r="U81" s="2"/>
      <c r="V81" s="19"/>
      <c r="W81" s="2"/>
      <c r="X81" s="2">
        <f t="shared" si="2"/>
        <v>-116625.85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"4202", " - ", "SALES RETURN TAXABLE-USED TEXT")</f>
        <v xml:space="preserve">          4202 - SALES RETURN TAXABLE-USED TEXT</v>
      </c>
      <c r="C82" s="11"/>
      <c r="D82" s="2">
        <f>-16170.8</f>
        <v>-16170.8</v>
      </c>
      <c r="E82" s="2"/>
      <c r="F82" s="19"/>
      <c r="G82" s="2"/>
      <c r="H82" s="2"/>
      <c r="I82" s="2"/>
      <c r="J82" s="19"/>
      <c r="K82" s="2"/>
      <c r="L82" s="2">
        <f t="shared" si="0"/>
        <v>-16170.8</v>
      </c>
      <c r="M82" s="2"/>
      <c r="N82" s="19">
        <f t="shared" si="1"/>
        <v>0</v>
      </c>
      <c r="O82" s="11"/>
      <c r="P82" s="2">
        <f>-43379.15</f>
        <v>-43379.15</v>
      </c>
      <c r="Q82" s="2"/>
      <c r="R82" s="19"/>
      <c r="S82" s="2"/>
      <c r="T82" s="2"/>
      <c r="U82" s="2"/>
      <c r="V82" s="19"/>
      <c r="W82" s="2"/>
      <c r="X82" s="2">
        <f t="shared" si="2"/>
        <v>-43379.15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"4203", " - ", "SALES RETURN TAXABLE-RENTAL TE")</f>
        <v xml:space="preserve">          4203 - SALES RETURN TAXABLE-RENTAL TE</v>
      </c>
      <c r="C83" s="11"/>
      <c r="D83" s="2">
        <f>0</f>
        <v>0</v>
      </c>
      <c r="E83" s="2"/>
      <c r="F83" s="19"/>
      <c r="G83" s="2"/>
      <c r="H83" s="2"/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-144.99</f>
        <v>-144.99</v>
      </c>
      <c r="Q83" s="2"/>
      <c r="R83" s="19"/>
      <c r="S83" s="2"/>
      <c r="T83" s="2"/>
      <c r="U83" s="2"/>
      <c r="V83" s="19"/>
      <c r="W83" s="2"/>
      <c r="X83" s="2">
        <f t="shared" si="2"/>
        <v>-144.99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"4204", " - ", "SALES RETURN TAXABLE-DIGITAL T")</f>
        <v xml:space="preserve">          4204 - SALES RETURN TAXABLE-DIGITAL T</v>
      </c>
      <c r="C84" s="11"/>
      <c r="D84" s="2">
        <f>-4891.98</f>
        <v>-4891.9799999999996</v>
      </c>
      <c r="E84" s="2"/>
      <c r="F84" s="19"/>
      <c r="G84" s="2"/>
      <c r="H84" s="2"/>
      <c r="I84" s="2"/>
      <c r="J84" s="19"/>
      <c r="K84" s="2"/>
      <c r="L84" s="2">
        <f t="shared" si="0"/>
        <v>-4891.9799999999996</v>
      </c>
      <c r="M84" s="2"/>
      <c r="N84" s="19">
        <f t="shared" si="1"/>
        <v>0</v>
      </c>
      <c r="O84" s="11"/>
      <c r="P84" s="2">
        <f>-16261.44</f>
        <v>-16261.44</v>
      </c>
      <c r="Q84" s="2"/>
      <c r="R84" s="19"/>
      <c r="S84" s="2"/>
      <c r="T84" s="2"/>
      <c r="U84" s="2"/>
      <c r="V84" s="19"/>
      <c r="W84" s="2"/>
      <c r="X84" s="2">
        <f t="shared" si="2"/>
        <v>-16261.44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"4213", " - ", "NON-TAXABLE SALES-TRADE BOOKS")</f>
        <v xml:space="preserve">          4213 - NON-TAXABLE SALES-TRADE BOOKS</v>
      </c>
      <c r="C85" s="11"/>
      <c r="D85" s="2">
        <f>-13.95</f>
        <v>-13.95</v>
      </c>
      <c r="E85" s="2"/>
      <c r="F85" s="19"/>
      <c r="G85" s="2"/>
      <c r="H85" s="2"/>
      <c r="I85" s="2"/>
      <c r="J85" s="19"/>
      <c r="K85" s="2"/>
      <c r="L85" s="2">
        <f t="shared" si="0"/>
        <v>-13.95</v>
      </c>
      <c r="M85" s="2"/>
      <c r="N85" s="19">
        <f t="shared" si="1"/>
        <v>0</v>
      </c>
      <c r="O85" s="11"/>
      <c r="P85" s="2">
        <f>-116.66</f>
        <v>-116.66</v>
      </c>
      <c r="Q85" s="2"/>
      <c r="R85" s="19"/>
      <c r="S85" s="2"/>
      <c r="T85" s="2"/>
      <c r="U85" s="2"/>
      <c r="V85" s="19"/>
      <c r="W85" s="2"/>
      <c r="X85" s="2">
        <f t="shared" si="2"/>
        <v>-116.66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"4214", " - ", "SALES RETURN TAXABLE-REMAINDER")</f>
        <v xml:space="preserve">          4214 - SALES RETURN TAXABLE-REMAINDER</v>
      </c>
      <c r="C86" s="11"/>
      <c r="D86" s="2">
        <f t="shared" ref="D86:D87" si="6">0</f>
        <v>0</v>
      </c>
      <c r="E86" s="2"/>
      <c r="F86" s="19"/>
      <c r="G86" s="2"/>
      <c r="H86" s="2"/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-11.94</f>
        <v>-11.94</v>
      </c>
      <c r="Q86" s="2"/>
      <c r="R86" s="19"/>
      <c r="S86" s="2"/>
      <c r="T86" s="2"/>
      <c r="U86" s="2"/>
      <c r="V86" s="19"/>
      <c r="W86" s="2"/>
      <c r="X86" s="2">
        <f t="shared" si="2"/>
        <v>-11.94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"4217", " - ", "NON-TAXABLE SALES-DORM/HOUSEWA")</f>
        <v xml:space="preserve">          4217 - NON-TAXABLE SALES-DORM/HOUSEWA</v>
      </c>
      <c r="C87" s="11"/>
      <c r="D87" s="2">
        <f t="shared" si="6"/>
        <v>0</v>
      </c>
      <c r="E87" s="2"/>
      <c r="F87" s="19"/>
      <c r="G87" s="2"/>
      <c r="H87" s="2"/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-2.98</f>
        <v>-2.98</v>
      </c>
      <c r="Q87" s="2"/>
      <c r="R87" s="19"/>
      <c r="S87" s="2"/>
      <c r="T87" s="2"/>
      <c r="U87" s="2"/>
      <c r="V87" s="19"/>
      <c r="W87" s="2"/>
      <c r="X87" s="2">
        <f t="shared" si="2"/>
        <v>-2.98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"4218", " - ", "SALES RETURN TAXABLE-STUDY GUI")</f>
        <v xml:space="preserve">          4218 - SALES RETURN TAXABLE-STUDY GUI</v>
      </c>
      <c r="C88" s="11"/>
      <c r="D88" s="2">
        <f>-6.5</f>
        <v>-6.5</v>
      </c>
      <c r="E88" s="2"/>
      <c r="F88" s="19"/>
      <c r="G88" s="2"/>
      <c r="H88" s="2"/>
      <c r="I88" s="2"/>
      <c r="J88" s="19"/>
      <c r="K88" s="2"/>
      <c r="L88" s="2">
        <f t="shared" si="0"/>
        <v>-6.5</v>
      </c>
      <c r="M88" s="2"/>
      <c r="N88" s="19">
        <f t="shared" si="1"/>
        <v>0</v>
      </c>
      <c r="O88" s="11"/>
      <c r="P88" s="2">
        <f>-39.25</f>
        <v>-39.25</v>
      </c>
      <c r="Q88" s="2"/>
      <c r="R88" s="19"/>
      <c r="S88" s="2"/>
      <c r="T88" s="2"/>
      <c r="U88" s="2"/>
      <c r="V88" s="19"/>
      <c r="W88" s="2"/>
      <c r="X88" s="2">
        <f t="shared" si="2"/>
        <v>-39.25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"4225", " - ", "SALES RETURN TAXABLE-TEST FORM")</f>
        <v xml:space="preserve">          4225 - SALES RETURN TAXABLE-TEST FORM</v>
      </c>
      <c r="C89" s="11"/>
      <c r="D89" s="2">
        <f>-14.74</f>
        <v>-14.74</v>
      </c>
      <c r="E89" s="2"/>
      <c r="F89" s="19"/>
      <c r="G89" s="2"/>
      <c r="H89" s="2"/>
      <c r="I89" s="2"/>
      <c r="J89" s="19"/>
      <c r="K89" s="2"/>
      <c r="L89" s="2">
        <f t="shared" si="0"/>
        <v>-14.74</v>
      </c>
      <c r="M89" s="2"/>
      <c r="N89" s="19">
        <f t="shared" si="1"/>
        <v>0</v>
      </c>
      <c r="O89" s="11"/>
      <c r="P89" s="2">
        <f>-95.71</f>
        <v>-95.71</v>
      </c>
      <c r="Q89" s="2"/>
      <c r="R89" s="19"/>
      <c r="S89" s="2"/>
      <c r="T89" s="2"/>
      <c r="U89" s="2"/>
      <c r="V89" s="19"/>
      <c r="W89" s="2"/>
      <c r="X89" s="2">
        <f t="shared" si="2"/>
        <v>-95.71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"4226", " - ", "SALES RETURN TAXABLE-WRITING I")</f>
        <v xml:space="preserve">          4226 - SALES RETURN TAXABLE-WRITING I</v>
      </c>
      <c r="C90" s="11"/>
      <c r="D90" s="2">
        <f>-149.55</f>
        <v>-149.55000000000001</v>
      </c>
      <c r="E90" s="2"/>
      <c r="F90" s="19"/>
      <c r="G90" s="2"/>
      <c r="H90" s="2"/>
      <c r="I90" s="2"/>
      <c r="J90" s="19"/>
      <c r="K90" s="2"/>
      <c r="L90" s="2">
        <f t="shared" si="0"/>
        <v>-149.55000000000001</v>
      </c>
      <c r="M90" s="2"/>
      <c r="N90" s="19">
        <f t="shared" si="1"/>
        <v>0</v>
      </c>
      <c r="O90" s="11"/>
      <c r="P90" s="2">
        <f>-680.91</f>
        <v>-680.91</v>
      </c>
      <c r="Q90" s="2"/>
      <c r="R90" s="19"/>
      <c r="S90" s="2"/>
      <c r="T90" s="2"/>
      <c r="U90" s="2"/>
      <c r="V90" s="19"/>
      <c r="W90" s="2"/>
      <c r="X90" s="2">
        <f t="shared" si="2"/>
        <v>-680.91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"4227", " - ", "SALES RETURN TAXABLE-SCHOOL SU")</f>
        <v xml:space="preserve">          4227 - SALES RETURN TAXABLE-SCHOOL SU</v>
      </c>
      <c r="C91" s="11"/>
      <c r="D91" s="2">
        <f>-962.28</f>
        <v>-962.28</v>
      </c>
      <c r="E91" s="2"/>
      <c r="F91" s="19"/>
      <c r="G91" s="2"/>
      <c r="H91" s="2"/>
      <c r="I91" s="2"/>
      <c r="J91" s="19"/>
      <c r="K91" s="2"/>
      <c r="L91" s="2">
        <f t="shared" si="0"/>
        <v>-962.28</v>
      </c>
      <c r="M91" s="2"/>
      <c r="N91" s="19">
        <f t="shared" si="1"/>
        <v>0</v>
      </c>
      <c r="O91" s="11"/>
      <c r="P91" s="2">
        <f>-6910.86</f>
        <v>-6910.86</v>
      </c>
      <c r="Q91" s="2"/>
      <c r="R91" s="19"/>
      <c r="S91" s="2"/>
      <c r="T91" s="2"/>
      <c r="U91" s="2"/>
      <c r="V91" s="19"/>
      <c r="W91" s="2"/>
      <c r="X91" s="2">
        <f t="shared" si="2"/>
        <v>-6910.86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"4228", " - ", "SALES RETURN TAXABLE-ART/TECH")</f>
        <v xml:space="preserve">          4228 - SALES RETURN TAXABLE-ART/TECH</v>
      </c>
      <c r="C92" s="11"/>
      <c r="D92" s="2">
        <f>-766.07</f>
        <v>-766.07</v>
      </c>
      <c r="E92" s="2"/>
      <c r="F92" s="19"/>
      <c r="G92" s="2"/>
      <c r="H92" s="2"/>
      <c r="I92" s="2"/>
      <c r="J92" s="19"/>
      <c r="K92" s="2"/>
      <c r="L92" s="2">
        <f t="shared" si="0"/>
        <v>-766.07</v>
      </c>
      <c r="M92" s="2"/>
      <c r="N92" s="19">
        <f t="shared" si="1"/>
        <v>0</v>
      </c>
      <c r="O92" s="11"/>
      <c r="P92" s="2">
        <f>-3914.69</f>
        <v>-3914.69</v>
      </c>
      <c r="Q92" s="2"/>
      <c r="R92" s="19"/>
      <c r="S92" s="2"/>
      <c r="T92" s="2"/>
      <c r="U92" s="2"/>
      <c r="V92" s="19"/>
      <c r="W92" s="2"/>
      <c r="X92" s="2">
        <f t="shared" si="2"/>
        <v>-3914.69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"4233", " - ", "SALES RETURN TAXABLE-CANDY")</f>
        <v xml:space="preserve">          4233 - SALES RETURN TAXABLE-CANDY</v>
      </c>
      <c r="C93" s="11"/>
      <c r="D93" s="2">
        <f>0</f>
        <v>0</v>
      </c>
      <c r="E93" s="2"/>
      <c r="F93" s="19"/>
      <c r="G93" s="2"/>
      <c r="H93" s="2"/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-1.29</f>
        <v>-1.29</v>
      </c>
      <c r="Q93" s="2"/>
      <c r="R93" s="19"/>
      <c r="S93" s="2"/>
      <c r="T93" s="2"/>
      <c r="U93" s="2"/>
      <c r="V93" s="19"/>
      <c r="W93" s="2"/>
      <c r="X93" s="2">
        <f t="shared" si="2"/>
        <v>-1.29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"4240", " - ", "SALES RETURN TAXABLE-LOGO CLOT")</f>
        <v xml:space="preserve">          4240 - SALES RETURN TAXABLE-LOGO CLOT</v>
      </c>
      <c r="C94" s="11"/>
      <c r="D94" s="2">
        <f>-12286.81</f>
        <v>-12286.81</v>
      </c>
      <c r="E94" s="2"/>
      <c r="F94" s="19"/>
      <c r="G94" s="2"/>
      <c r="H94" s="2"/>
      <c r="I94" s="2"/>
      <c r="J94" s="19"/>
      <c r="K94" s="2"/>
      <c r="L94" s="2">
        <f t="shared" si="0"/>
        <v>-12286.81</v>
      </c>
      <c r="M94" s="2"/>
      <c r="N94" s="19">
        <f t="shared" si="1"/>
        <v>0</v>
      </c>
      <c r="O94" s="11"/>
      <c r="P94" s="2">
        <f>-61608.75</f>
        <v>-61608.75</v>
      </c>
      <c r="Q94" s="2"/>
      <c r="R94" s="19"/>
      <c r="S94" s="2"/>
      <c r="T94" s="2"/>
      <c r="U94" s="2"/>
      <c r="V94" s="19"/>
      <c r="W94" s="2"/>
      <c r="X94" s="2">
        <f t="shared" si="2"/>
        <v>-61608.75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"4241", " - ", "SALES RETURN TAXABLE-LOGO GIFT")</f>
        <v xml:space="preserve">          4241 - SALES RETURN TAXABLE-LOGO GIFT</v>
      </c>
      <c r="C95" s="11"/>
      <c r="D95" s="2">
        <f>-805.34</f>
        <v>-805.34</v>
      </c>
      <c r="E95" s="2"/>
      <c r="F95" s="19"/>
      <c r="G95" s="2"/>
      <c r="H95" s="2"/>
      <c r="I95" s="2"/>
      <c r="J95" s="19"/>
      <c r="K95" s="2"/>
      <c r="L95" s="2">
        <f t="shared" si="0"/>
        <v>-805.34</v>
      </c>
      <c r="M95" s="2"/>
      <c r="N95" s="19">
        <f t="shared" si="1"/>
        <v>0</v>
      </c>
      <c r="O95" s="11"/>
      <c r="P95" s="2">
        <f>-4954.21</f>
        <v>-4954.21</v>
      </c>
      <c r="Q95" s="2"/>
      <c r="R95" s="19"/>
      <c r="S95" s="2"/>
      <c r="T95" s="2"/>
      <c r="U95" s="2"/>
      <c r="V95" s="19"/>
      <c r="W95" s="2"/>
      <c r="X95" s="2">
        <f t="shared" si="2"/>
        <v>-4954.21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"4242", " - ", "SALES RETURN TAXABLE-EVERYDAY")</f>
        <v xml:space="preserve">          4242 - SALES RETURN TAXABLE-EVERYDAY</v>
      </c>
      <c r="C96" s="11"/>
      <c r="D96" s="2">
        <f>-754.91</f>
        <v>-754.91</v>
      </c>
      <c r="E96" s="2"/>
      <c r="F96" s="19"/>
      <c r="G96" s="2"/>
      <c r="H96" s="2"/>
      <c r="I96" s="2"/>
      <c r="J96" s="19"/>
      <c r="K96" s="2"/>
      <c r="L96" s="2">
        <f t="shared" si="0"/>
        <v>-754.91</v>
      </c>
      <c r="M96" s="2"/>
      <c r="N96" s="19">
        <f t="shared" si="1"/>
        <v>0</v>
      </c>
      <c r="O96" s="11"/>
      <c r="P96" s="2">
        <f>-3544.33</f>
        <v>-3544.33</v>
      </c>
      <c r="Q96" s="2"/>
      <c r="R96" s="19"/>
      <c r="S96" s="2"/>
      <c r="T96" s="2"/>
      <c r="U96" s="2"/>
      <c r="V96" s="19"/>
      <c r="W96" s="2"/>
      <c r="X96" s="2">
        <f t="shared" si="2"/>
        <v>-3544.33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"4243", " - ", "SALES RETURN TAXABLE-CARDS")</f>
        <v xml:space="preserve">          4243 - SALES RETURN TAXABLE-CARDS</v>
      </c>
      <c r="C97" s="11"/>
      <c r="D97" s="2">
        <f>-344.74</f>
        <v>-344.74</v>
      </c>
      <c r="E97" s="2"/>
      <c r="F97" s="19"/>
      <c r="G97" s="2"/>
      <c r="H97" s="2"/>
      <c r="I97" s="2"/>
      <c r="J97" s="19"/>
      <c r="K97" s="2"/>
      <c r="L97" s="2">
        <f t="shared" si="0"/>
        <v>-344.74</v>
      </c>
      <c r="M97" s="2"/>
      <c r="N97" s="19">
        <f t="shared" si="1"/>
        <v>0</v>
      </c>
      <c r="O97" s="11"/>
      <c r="P97" s="2">
        <f>-1224.21</f>
        <v>-1224.21</v>
      </c>
      <c r="Q97" s="2"/>
      <c r="R97" s="19"/>
      <c r="S97" s="2"/>
      <c r="T97" s="2"/>
      <c r="U97" s="2"/>
      <c r="V97" s="19"/>
      <c r="W97" s="2"/>
      <c r="X97" s="2">
        <f t="shared" si="2"/>
        <v>-1224.21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"4244", " - ", "SALES RETURN TAXABLE-ACCESSORI")</f>
        <v xml:space="preserve">          4244 - SALES RETURN TAXABLE-ACCESSORI</v>
      </c>
      <c r="C98" s="11"/>
      <c r="D98" s="2">
        <f>-370.28</f>
        <v>-370.28</v>
      </c>
      <c r="E98" s="2"/>
      <c r="F98" s="19"/>
      <c r="G98" s="2"/>
      <c r="H98" s="2"/>
      <c r="I98" s="2"/>
      <c r="J98" s="19"/>
      <c r="K98" s="2"/>
      <c r="L98" s="2">
        <f t="shared" si="0"/>
        <v>-370.28</v>
      </c>
      <c r="M98" s="2"/>
      <c r="N98" s="19">
        <f t="shared" si="1"/>
        <v>0</v>
      </c>
      <c r="O98" s="11"/>
      <c r="P98" s="2">
        <f>-2102.05</f>
        <v>-2102.0500000000002</v>
      </c>
      <c r="Q98" s="2"/>
      <c r="R98" s="19"/>
      <c r="S98" s="2"/>
      <c r="T98" s="2"/>
      <c r="U98" s="2"/>
      <c r="V98" s="19"/>
      <c r="W98" s="2"/>
      <c r="X98" s="2">
        <f t="shared" si="2"/>
        <v>-2102.0500000000002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"4245", " - ", "SALES RETURN TAXABLE-SPECIAL O")</f>
        <v xml:space="preserve">          4245 - SALES RETURN TAXABLE-SPECIAL O</v>
      </c>
      <c r="C99" s="11"/>
      <c r="D99" s="2">
        <f>-1623.09</f>
        <v>-1623.09</v>
      </c>
      <c r="E99" s="2"/>
      <c r="F99" s="19"/>
      <c r="G99" s="2"/>
      <c r="H99" s="2"/>
      <c r="I99" s="2"/>
      <c r="J99" s="19"/>
      <c r="K99" s="2"/>
      <c r="L99" s="2">
        <f t="shared" si="0"/>
        <v>-1623.09</v>
      </c>
      <c r="M99" s="2"/>
      <c r="N99" s="19">
        <f t="shared" si="1"/>
        <v>0</v>
      </c>
      <c r="O99" s="11"/>
      <c r="P99" s="2">
        <f>-1715.05</f>
        <v>-1715.05</v>
      </c>
      <c r="Q99" s="2"/>
      <c r="R99" s="19"/>
      <c r="S99" s="2"/>
      <c r="T99" s="2"/>
      <c r="U99" s="2"/>
      <c r="V99" s="19"/>
      <c r="W99" s="2"/>
      <c r="X99" s="2">
        <f t="shared" si="2"/>
        <v>-1715.05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"4281", " - ", "SALES RETURN TAXABLE-ELECTRONI")</f>
        <v xml:space="preserve">          4281 - SALES RETURN TAXABLE-ELECTRONI</v>
      </c>
      <c r="C100" s="11"/>
      <c r="D100" s="2">
        <f>-642.85</f>
        <v>-642.85</v>
      </c>
      <c r="E100" s="2"/>
      <c r="F100" s="19"/>
      <c r="G100" s="2"/>
      <c r="H100" s="2"/>
      <c r="I100" s="2"/>
      <c r="J100" s="19"/>
      <c r="K100" s="2"/>
      <c r="L100" s="2">
        <f t="shared" si="0"/>
        <v>-642.85</v>
      </c>
      <c r="M100" s="2"/>
      <c r="N100" s="19">
        <f t="shared" si="1"/>
        <v>0</v>
      </c>
      <c r="O100" s="11"/>
      <c r="P100" s="2">
        <f>-6504.81</f>
        <v>-6504.81</v>
      </c>
      <c r="Q100" s="2"/>
      <c r="R100" s="19"/>
      <c r="S100" s="2"/>
      <c r="T100" s="2"/>
      <c r="U100" s="2"/>
      <c r="V100" s="19"/>
      <c r="W100" s="2"/>
      <c r="X100" s="2">
        <f t="shared" si="2"/>
        <v>-6504.81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"4282", " - ", "SALES RETURN TAXABLE-COMPUTER")</f>
        <v xml:space="preserve">          4282 - SALES RETURN TAXABLE-COMPUTER</v>
      </c>
      <c r="C101" s="11"/>
      <c r="D101" s="2">
        <f>-15229.61</f>
        <v>-15229.61</v>
      </c>
      <c r="E101" s="2"/>
      <c r="F101" s="19"/>
      <c r="G101" s="2"/>
      <c r="H101" s="2"/>
      <c r="I101" s="2"/>
      <c r="J101" s="19"/>
      <c r="K101" s="2"/>
      <c r="L101" s="2">
        <f t="shared" si="0"/>
        <v>-15229.61</v>
      </c>
      <c r="M101" s="2"/>
      <c r="N101" s="19">
        <f t="shared" si="1"/>
        <v>0</v>
      </c>
      <c r="O101" s="11"/>
      <c r="P101" s="2">
        <f>-202883.19</f>
        <v>-202883.19</v>
      </c>
      <c r="Q101" s="2"/>
      <c r="R101" s="19"/>
      <c r="S101" s="2"/>
      <c r="T101" s="2"/>
      <c r="U101" s="2"/>
      <c r="V101" s="19"/>
      <c r="W101" s="2"/>
      <c r="X101" s="2">
        <f t="shared" si="2"/>
        <v>-202883.19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"4283", " - ", "SALES RETURN TAXABLE-COMPUTER")</f>
        <v xml:space="preserve">          4283 - SALES RETURN TAXABLE-COMPUTER</v>
      </c>
      <c r="C102" s="11"/>
      <c r="D102" s="2">
        <f>-1632.57</f>
        <v>-1632.57</v>
      </c>
      <c r="E102" s="2"/>
      <c r="F102" s="19"/>
      <c r="G102" s="2"/>
      <c r="H102" s="2"/>
      <c r="I102" s="2"/>
      <c r="J102" s="19"/>
      <c r="K102" s="2"/>
      <c r="L102" s="2">
        <f t="shared" si="0"/>
        <v>-1632.57</v>
      </c>
      <c r="M102" s="2"/>
      <c r="N102" s="19">
        <f t="shared" si="1"/>
        <v>0</v>
      </c>
      <c r="O102" s="11"/>
      <c r="P102" s="2">
        <f>-4914.72</f>
        <v>-4914.72</v>
      </c>
      <c r="Q102" s="2"/>
      <c r="R102" s="19"/>
      <c r="S102" s="2"/>
      <c r="T102" s="2"/>
      <c r="U102" s="2"/>
      <c r="V102" s="19"/>
      <c r="W102" s="2"/>
      <c r="X102" s="2">
        <f t="shared" si="2"/>
        <v>-4914.72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"4284", " - ", "SALES RETURN TAXABLE-SOFTWARE")</f>
        <v xml:space="preserve">          4284 - SALES RETURN TAXABLE-SOFTWARE</v>
      </c>
      <c r="C103" s="11"/>
      <c r="D103" s="2">
        <f t="shared" ref="D103:D104" si="7">0</f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-129</f>
        <v>-129</v>
      </c>
      <c r="Q103" s="2"/>
      <c r="R103" s="19"/>
      <c r="S103" s="2"/>
      <c r="T103" s="2"/>
      <c r="U103" s="2"/>
      <c r="V103" s="19"/>
      <c r="W103" s="2"/>
      <c r="X103" s="2">
        <f t="shared" si="2"/>
        <v>-129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"4285", " - ", "SALES RETURN TAXABLE-SOFTWARE")</f>
        <v xml:space="preserve">          4285 - SALES RETURN TAXABLE-SOFTWARE</v>
      </c>
      <c r="C104" s="11"/>
      <c r="D104" s="2">
        <f t="shared" si="7"/>
        <v>0</v>
      </c>
      <c r="E104" s="2"/>
      <c r="F104" s="19"/>
      <c r="G104" s="2"/>
      <c r="H104" s="2"/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-655.98</f>
        <v>-655.98</v>
      </c>
      <c r="Q104" s="2"/>
      <c r="R104" s="19"/>
      <c r="S104" s="2"/>
      <c r="T104" s="2"/>
      <c r="U104" s="2"/>
      <c r="V104" s="19"/>
      <c r="W104" s="2"/>
      <c r="X104" s="2">
        <f t="shared" si="2"/>
        <v>-655.98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"4286", " - ", "SALES RETURN TAXABLE-COMPUTER")</f>
        <v xml:space="preserve">          4286 - SALES RETURN TAXABLE-COMPUTER</v>
      </c>
      <c r="C105" s="11"/>
      <c r="D105" s="2">
        <f>-304.12</f>
        <v>-304.12</v>
      </c>
      <c r="E105" s="2"/>
      <c r="F105" s="19"/>
      <c r="G105" s="2"/>
      <c r="H105" s="2"/>
      <c r="I105" s="2"/>
      <c r="J105" s="19"/>
      <c r="K105" s="2"/>
      <c r="L105" s="2">
        <f t="shared" si="0"/>
        <v>-304.12</v>
      </c>
      <c r="M105" s="2"/>
      <c r="N105" s="19">
        <f t="shared" si="1"/>
        <v>0</v>
      </c>
      <c r="O105" s="11"/>
      <c r="P105" s="2">
        <f>-3292.01</f>
        <v>-3292.01</v>
      </c>
      <c r="Q105" s="2"/>
      <c r="R105" s="19"/>
      <c r="S105" s="2"/>
      <c r="T105" s="2"/>
      <c r="U105" s="2"/>
      <c r="V105" s="19"/>
      <c r="W105" s="2"/>
      <c r="X105" s="2">
        <f t="shared" si="2"/>
        <v>-3292.01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"4288", " - ", "TAXABLE SALES RETURN-MUSIC")</f>
        <v xml:space="preserve">          4288 - TAXABLE SALES RETURN-MUSIC</v>
      </c>
      <c r="C106" s="11"/>
      <c r="D106" s="2">
        <f t="shared" ref="D106:D108" si="8">0</f>
        <v>0</v>
      </c>
      <c r="E106" s="2"/>
      <c r="F106" s="19"/>
      <c r="G106" s="2"/>
      <c r="H106" s="2"/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-3.99</f>
        <v>-3.99</v>
      </c>
      <c r="Q106" s="2"/>
      <c r="R106" s="19"/>
      <c r="S106" s="2"/>
      <c r="T106" s="2"/>
      <c r="U106" s="2"/>
      <c r="V106" s="19"/>
      <c r="W106" s="2"/>
      <c r="X106" s="2">
        <f t="shared" si="2"/>
        <v>-3.99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"4292", " - ", "SALES RETURN TAXABLE-GRAD MERC")</f>
        <v xml:space="preserve">          4292 - SALES RETURN TAXABLE-GRAD MERC</v>
      </c>
      <c r="C107" s="11"/>
      <c r="D107" s="2">
        <f t="shared" si="8"/>
        <v>0</v>
      </c>
      <c r="E107" s="2"/>
      <c r="F107" s="19"/>
      <c r="G107" s="2"/>
      <c r="H107" s="2"/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-419.05</f>
        <v>-419.05</v>
      </c>
      <c r="Q107" s="2"/>
      <c r="R107" s="19"/>
      <c r="S107" s="2"/>
      <c r="T107" s="2"/>
      <c r="U107" s="2"/>
      <c r="V107" s="19"/>
      <c r="W107" s="2"/>
      <c r="X107" s="2">
        <f t="shared" si="2"/>
        <v>-419.05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"4295", " - ", "SALES RETURN TAXABLE-CUSTOMER")</f>
        <v xml:space="preserve">          4295 - SALES RETURN TAXABLE-CUSTOMER</v>
      </c>
      <c r="C108" s="11"/>
      <c r="D108" s="2">
        <f t="shared" si="8"/>
        <v>0</v>
      </c>
      <c r="E108" s="2"/>
      <c r="F108" s="19"/>
      <c r="G108" s="2"/>
      <c r="H108" s="2"/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--0.99</f>
        <v>0.99</v>
      </c>
      <c r="Q108" s="2"/>
      <c r="R108" s="19"/>
      <c r="S108" s="2"/>
      <c r="T108" s="2"/>
      <c r="U108" s="2"/>
      <c r="V108" s="19"/>
      <c r="W108" s="2"/>
      <c r="X108" s="2">
        <f t="shared" si="2"/>
        <v>0.99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"4301", " - ", "SALES RETURN NON TAXABLE-NEW T")</f>
        <v xml:space="preserve">          4301 - SALES RETURN NON TAXABLE-NEW T</v>
      </c>
      <c r="C109" s="11"/>
      <c r="D109" s="2">
        <f>-2910.64</f>
        <v>-2910.64</v>
      </c>
      <c r="E109" s="2"/>
      <c r="F109" s="19"/>
      <c r="G109" s="2"/>
      <c r="H109" s="2"/>
      <c r="I109" s="2"/>
      <c r="J109" s="19"/>
      <c r="K109" s="2"/>
      <c r="L109" s="2">
        <f t="shared" si="0"/>
        <v>-2910.64</v>
      </c>
      <c r="M109" s="2"/>
      <c r="N109" s="19">
        <f t="shared" si="1"/>
        <v>0</v>
      </c>
      <c r="O109" s="11"/>
      <c r="P109" s="2">
        <f>-15221.62</f>
        <v>-15221.62</v>
      </c>
      <c r="Q109" s="2"/>
      <c r="R109" s="19"/>
      <c r="S109" s="2"/>
      <c r="T109" s="2"/>
      <c r="U109" s="2"/>
      <c r="V109" s="19"/>
      <c r="W109" s="2"/>
      <c r="X109" s="2">
        <f t="shared" si="2"/>
        <v>-15221.62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"4302", " - ", "SALES RETURN NON TAXABLE-TEXT")</f>
        <v xml:space="preserve">          4302 - SALES RETURN NON TAXABLE-TEXT</v>
      </c>
      <c r="C110" s="11"/>
      <c r="D110" s="2">
        <f>-614.47</f>
        <v>-614.47</v>
      </c>
      <c r="E110" s="2"/>
      <c r="F110" s="19"/>
      <c r="G110" s="2"/>
      <c r="H110" s="2"/>
      <c r="I110" s="2"/>
      <c r="J110" s="19"/>
      <c r="K110" s="2"/>
      <c r="L110" s="2">
        <f t="shared" si="0"/>
        <v>-614.47</v>
      </c>
      <c r="M110" s="2"/>
      <c r="N110" s="19">
        <f t="shared" si="1"/>
        <v>0</v>
      </c>
      <c r="O110" s="11"/>
      <c r="P110" s="2">
        <f>-1312.37</f>
        <v>-1312.37</v>
      </c>
      <c r="Q110" s="2"/>
      <c r="R110" s="19"/>
      <c r="S110" s="2"/>
      <c r="T110" s="2"/>
      <c r="U110" s="2"/>
      <c r="V110" s="19"/>
      <c r="W110" s="2"/>
      <c r="X110" s="2">
        <f t="shared" si="2"/>
        <v>-1312.37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"4303", " - ", "SALES RETURN NON-TAXABLE-RENTA")</f>
        <v xml:space="preserve">          4303 - SALES RETURN NON-TAXABLE-RENTA</v>
      </c>
      <c r="C111" s="11"/>
      <c r="D111" s="2">
        <f>0</f>
        <v>0</v>
      </c>
      <c r="E111" s="2"/>
      <c r="F111" s="19"/>
      <c r="G111" s="2"/>
      <c r="H111" s="2"/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-184.99</f>
        <v>-184.99</v>
      </c>
      <c r="Q111" s="2"/>
      <c r="R111" s="19"/>
      <c r="S111" s="2"/>
      <c r="T111" s="2"/>
      <c r="U111" s="2"/>
      <c r="V111" s="19"/>
      <c r="W111" s="2"/>
      <c r="X111" s="2">
        <f t="shared" si="2"/>
        <v>-184.99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"4304", " - ", "SALES RETURN NON TAXABLE-DIGIT")</f>
        <v xml:space="preserve">          4304 - SALES RETURN NON TAXABLE-DIGIT</v>
      </c>
      <c r="C112" s="11"/>
      <c r="D112" s="2">
        <f>-4312.43</f>
        <v>-4312.43</v>
      </c>
      <c r="E112" s="2"/>
      <c r="F112" s="19"/>
      <c r="G112" s="2"/>
      <c r="H112" s="2"/>
      <c r="I112" s="2"/>
      <c r="J112" s="19"/>
      <c r="K112" s="2"/>
      <c r="L112" s="2">
        <f t="shared" si="0"/>
        <v>-4312.43</v>
      </c>
      <c r="M112" s="2"/>
      <c r="N112" s="19">
        <f t="shared" si="1"/>
        <v>0</v>
      </c>
      <c r="O112" s="11"/>
      <c r="P112" s="2">
        <f>-17742.75</f>
        <v>-17742.75</v>
      </c>
      <c r="Q112" s="2"/>
      <c r="R112" s="19"/>
      <c r="S112" s="2"/>
      <c r="T112" s="2"/>
      <c r="U112" s="2"/>
      <c r="V112" s="19"/>
      <c r="W112" s="2"/>
      <c r="X112" s="2">
        <f t="shared" si="2"/>
        <v>-17742.75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"4311", " - ", "SALES RETURN NON TAXABLE-NO VA")</f>
        <v xml:space="preserve">          4311 - SALES RETURN NON TAXABLE-NO VA</v>
      </c>
      <c r="C113" s="11"/>
      <c r="D113" s="2">
        <f>-237.35</f>
        <v>-237.35</v>
      </c>
      <c r="E113" s="2"/>
      <c r="F113" s="19"/>
      <c r="G113" s="2"/>
      <c r="H113" s="2"/>
      <c r="I113" s="2"/>
      <c r="J113" s="19"/>
      <c r="K113" s="2"/>
      <c r="L113" s="2">
        <f t="shared" si="0"/>
        <v>-237.35</v>
      </c>
      <c r="M113" s="2"/>
      <c r="N113" s="19">
        <f t="shared" si="1"/>
        <v>0</v>
      </c>
      <c r="O113" s="11"/>
      <c r="P113" s="2">
        <f>-625.31</f>
        <v>-625.30999999999995</v>
      </c>
      <c r="Q113" s="2"/>
      <c r="R113" s="19"/>
      <c r="S113" s="2"/>
      <c r="T113" s="2"/>
      <c r="U113" s="2"/>
      <c r="V113" s="19"/>
      <c r="W113" s="2"/>
      <c r="X113" s="2">
        <f t="shared" si="2"/>
        <v>-625.30999999999995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"4327", " - ", "SALES RETURN NON TAXABLE-SCHOO")</f>
        <v xml:space="preserve">          4327 - SALES RETURN NON TAXABLE-SCHOO</v>
      </c>
      <c r="C114" s="11"/>
      <c r="D114" s="2">
        <f>0</f>
        <v>0</v>
      </c>
      <c r="E114" s="2"/>
      <c r="F114" s="19"/>
      <c r="G114" s="2"/>
      <c r="H114" s="2"/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-21.87</f>
        <v>-21.87</v>
      </c>
      <c r="Q114" s="2"/>
      <c r="R114" s="19"/>
      <c r="S114" s="2"/>
      <c r="T114" s="2"/>
      <c r="U114" s="2"/>
      <c r="V114" s="19"/>
      <c r="W114" s="2"/>
      <c r="X114" s="2">
        <f t="shared" si="2"/>
        <v>-21.87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"4340", " - ", "SALES RETURN NON TAXABLE-LOGO")</f>
        <v xml:space="preserve">          4340 - SALES RETURN NON TAXABLE-LOGO</v>
      </c>
      <c r="C115" s="11"/>
      <c r="D115" s="2">
        <f>-216.75</f>
        <v>-216.75</v>
      </c>
      <c r="E115" s="2"/>
      <c r="F115" s="19"/>
      <c r="G115" s="2"/>
      <c r="H115" s="2"/>
      <c r="I115" s="2"/>
      <c r="J115" s="19"/>
      <c r="K115" s="2"/>
      <c r="L115" s="2">
        <f t="shared" si="0"/>
        <v>-216.75</v>
      </c>
      <c r="M115" s="2"/>
      <c r="N115" s="19">
        <f t="shared" si="1"/>
        <v>0</v>
      </c>
      <c r="O115" s="11"/>
      <c r="P115" s="2">
        <f>-931.65</f>
        <v>-931.65</v>
      </c>
      <c r="Q115" s="2"/>
      <c r="R115" s="19"/>
      <c r="S115" s="2"/>
      <c r="T115" s="2"/>
      <c r="U115" s="2"/>
      <c r="V115" s="19"/>
      <c r="W115" s="2"/>
      <c r="X115" s="2">
        <f t="shared" si="2"/>
        <v>-931.65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"4341", " - ", "SALES RETURN NON TAXABLE-LOGO")</f>
        <v xml:space="preserve">          4341 - SALES RETURN NON TAXABLE-LOGO</v>
      </c>
      <c r="C116" s="11"/>
      <c r="D116" s="2">
        <f>-9.95</f>
        <v>-9.9499999999999993</v>
      </c>
      <c r="E116" s="2"/>
      <c r="F116" s="19"/>
      <c r="G116" s="2"/>
      <c r="H116" s="2"/>
      <c r="I116" s="2"/>
      <c r="J116" s="19"/>
      <c r="K116" s="2"/>
      <c r="L116" s="2">
        <f t="shared" si="0"/>
        <v>-9.9499999999999993</v>
      </c>
      <c r="M116" s="2"/>
      <c r="N116" s="19">
        <f t="shared" si="1"/>
        <v>0</v>
      </c>
      <c r="O116" s="11"/>
      <c r="P116" s="2">
        <f>-30.8</f>
        <v>-30.8</v>
      </c>
      <c r="Q116" s="2"/>
      <c r="R116" s="19"/>
      <c r="S116" s="2"/>
      <c r="T116" s="2"/>
      <c r="U116" s="2"/>
      <c r="V116" s="19"/>
      <c r="W116" s="2"/>
      <c r="X116" s="2">
        <f t="shared" si="2"/>
        <v>-30.8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"4342", " - ", "SALES RETURN NON TAXABLE-EVERY")</f>
        <v xml:space="preserve">          4342 - SALES RETURN NON TAXABLE-EVERY</v>
      </c>
      <c r="C117" s="11"/>
      <c r="D117" s="2">
        <f>-39.42</f>
        <v>-39.42</v>
      </c>
      <c r="E117" s="2"/>
      <c r="F117" s="19"/>
      <c r="G117" s="2"/>
      <c r="H117" s="2"/>
      <c r="I117" s="2"/>
      <c r="J117" s="19"/>
      <c r="K117" s="2"/>
      <c r="L117" s="2">
        <f t="shared" si="0"/>
        <v>-39.42</v>
      </c>
      <c r="M117" s="2"/>
      <c r="N117" s="19">
        <f t="shared" si="1"/>
        <v>0</v>
      </c>
      <c r="O117" s="11"/>
      <c r="P117" s="2">
        <f>-149.22</f>
        <v>-149.22</v>
      </c>
      <c r="Q117" s="2"/>
      <c r="R117" s="19"/>
      <c r="S117" s="2"/>
      <c r="T117" s="2"/>
      <c r="U117" s="2"/>
      <c r="V117" s="19"/>
      <c r="W117" s="2"/>
      <c r="X117" s="2">
        <f t="shared" si="2"/>
        <v>-149.22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"4346", " - ", "SALES RETURN NON TAXABLE-COIN-")</f>
        <v xml:space="preserve">          4346 - SALES RETURN NON TAXABLE-COIN-</v>
      </c>
      <c r="C118" s="11"/>
      <c r="D118" s="2">
        <f t="shared" ref="D118:D120" si="9">0</f>
        <v>0</v>
      </c>
      <c r="E118" s="2"/>
      <c r="F118" s="19"/>
      <c r="G118" s="2"/>
      <c r="H118" s="2"/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-8.15</f>
        <v>-8.15</v>
      </c>
      <c r="Q118" s="2"/>
      <c r="R118" s="19"/>
      <c r="S118" s="2"/>
      <c r="T118" s="2"/>
      <c r="U118" s="2"/>
      <c r="V118" s="19"/>
      <c r="W118" s="2"/>
      <c r="X118" s="2">
        <f t="shared" si="2"/>
        <v>-8.15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"4381", " - ", "SALES RETURN NON TAXABLE-ELECT")</f>
        <v xml:space="preserve">          4381 - SALES RETURN NON TAXABLE-ELECT</v>
      </c>
      <c r="C119" s="11"/>
      <c r="D119" s="2">
        <f t="shared" si="9"/>
        <v>0</v>
      </c>
      <c r="E119" s="2"/>
      <c r="F119" s="19"/>
      <c r="G119" s="2"/>
      <c r="H119" s="2"/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-1279.84</f>
        <v>-1279.8399999999999</v>
      </c>
      <c r="Q119" s="2"/>
      <c r="R119" s="19"/>
      <c r="S119" s="2"/>
      <c r="T119" s="2"/>
      <c r="U119" s="2"/>
      <c r="V119" s="19"/>
      <c r="W119" s="2"/>
      <c r="X119" s="2">
        <f t="shared" si="2"/>
        <v>-1279.8399999999999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"4383", " - ", "SALES RETURN NON TAXABLE-COMPU")</f>
        <v xml:space="preserve">          4383 - SALES RETURN NON TAXABLE-COMPU</v>
      </c>
      <c r="C120" s="11"/>
      <c r="D120" s="2">
        <f t="shared" si="9"/>
        <v>0</v>
      </c>
      <c r="E120" s="2"/>
      <c r="F120" s="19"/>
      <c r="G120" s="2"/>
      <c r="H120" s="2"/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-49.98</f>
        <v>-49.98</v>
      </c>
      <c r="Q120" s="2"/>
      <c r="R120" s="19"/>
      <c r="S120" s="2"/>
      <c r="T120" s="2"/>
      <c r="U120" s="2"/>
      <c r="V120" s="19"/>
      <c r="W120" s="2"/>
      <c r="X120" s="2">
        <f t="shared" si="2"/>
        <v>-49.98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"4386", " - ", "SALES RETURN NON TAXABLE-COMPU")</f>
        <v xml:space="preserve">          4386 - SALES RETURN NON TAXABLE-COMPU</v>
      </c>
      <c r="C121" s="11"/>
      <c r="D121" s="2">
        <f>-49.99</f>
        <v>-49.99</v>
      </c>
      <c r="E121" s="2"/>
      <c r="F121" s="19"/>
      <c r="G121" s="2"/>
      <c r="H121" s="2"/>
      <c r="I121" s="2"/>
      <c r="J121" s="19"/>
      <c r="K121" s="2"/>
      <c r="L121" s="2">
        <f t="shared" si="0"/>
        <v>-49.99</v>
      </c>
      <c r="M121" s="2"/>
      <c r="N121" s="19">
        <f t="shared" si="1"/>
        <v>0</v>
      </c>
      <c r="O121" s="11"/>
      <c r="P121" s="2">
        <f>-104.96</f>
        <v>-104.96</v>
      </c>
      <c r="Q121" s="2"/>
      <c r="R121" s="19"/>
      <c r="S121" s="2"/>
      <c r="T121" s="2"/>
      <c r="U121" s="2"/>
      <c r="V121" s="19"/>
      <c r="W121" s="2"/>
      <c r="X121" s="2">
        <f t="shared" si="2"/>
        <v>-104.96</v>
      </c>
      <c r="Y121" s="2"/>
      <c r="Z121" s="19">
        <f t="shared" si="3"/>
        <v>0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collapsed="1" x14ac:dyDescent="0.25">
      <c r="A123" s="10"/>
      <c r="B123" s="28" t="s">
        <v>8</v>
      </c>
      <c r="C123" s="10"/>
      <c r="D123" s="4">
        <f>SUM(OSRRefD16x_0)</f>
        <v>1370784.8599999996</v>
      </c>
      <c r="E123" s="4"/>
      <c r="F123" s="12">
        <f t="shared" ref="F123:F181" si="10">IF(D$12=0,0,D123/D$12)</f>
        <v>0.57389722878387295</v>
      </c>
      <c r="G123" s="4"/>
      <c r="H123" s="4">
        <f>SUM(OSRRefH16x_0)</f>
        <v>1817554.5755899998</v>
      </c>
      <c r="I123" s="4"/>
      <c r="J123" s="12">
        <f t="shared" ref="J123:J181" si="11">IF(H$12=0,0,H123/H$12)</f>
        <v>0.66769244128906735</v>
      </c>
      <c r="K123" s="4"/>
      <c r="L123" s="4">
        <f t="shared" ref="L123:L181" si="12">+D123-H123</f>
        <v>-446769.71559000015</v>
      </c>
      <c r="M123" s="4"/>
      <c r="N123" s="12">
        <f t="shared" ref="N123:N181" si="13">IF(H123=0,0,L123/H123)</f>
        <v>-0.24580814330979492</v>
      </c>
      <c r="O123" s="10"/>
      <c r="P123" s="4">
        <f>SUM(OSRRefP16x_0)</f>
        <v>5998258.6700000027</v>
      </c>
      <c r="Q123" s="4"/>
      <c r="R123" s="12">
        <f t="shared" ref="R123:R181" si="14">IF(P$12=0,0,P123/P$12)</f>
        <v>0.63225280724952893</v>
      </c>
      <c r="S123" s="4"/>
      <c r="T123" s="4">
        <f>SUM(OSRRefT16x_0)</f>
        <v>6274253.3834500005</v>
      </c>
      <c r="U123" s="4"/>
      <c r="V123" s="12">
        <f t="shared" ref="V123:V181" si="15">IF(T$12=0,0,T123/T$12)</f>
        <v>0.62850294597570422</v>
      </c>
      <c r="W123" s="4"/>
      <c r="X123" s="4">
        <f t="shared" ref="X123:X181" si="16">+P123-T123</f>
        <v>-275994.71344999783</v>
      </c>
      <c r="Y123" s="4"/>
      <c r="Z123" s="12">
        <f t="shared" ref="Z123:Z181" si="17">IF(T123=0,0,X123/T123)</f>
        <v>-4.3988455132846042E-2</v>
      </c>
    </row>
    <row r="124" spans="1:26" s="24" customFormat="1" hidden="1" outlineLevel="1" x14ac:dyDescent="0.25">
      <c r="A124" s="44"/>
      <c r="B124" s="11" t="str">
        <f>CONCATENATE("          ", "5000", " - ", "PURCHASES @ COST")</f>
        <v xml:space="preserve">          5000 - PURCHASES @ COST</v>
      </c>
      <c r="C124" s="11"/>
      <c r="D124" s="2"/>
      <c r="E124" s="2"/>
      <c r="F124" s="19">
        <f t="shared" si="10"/>
        <v>0</v>
      </c>
      <c r="G124" s="2"/>
      <c r="H124" s="2">
        <v>1817554.5755899998</v>
      </c>
      <c r="I124" s="2"/>
      <c r="J124" s="19">
        <f t="shared" si="11"/>
        <v>0.66769244128906735</v>
      </c>
      <c r="K124" s="2"/>
      <c r="L124" s="2">
        <f t="shared" si="12"/>
        <v>-1817554.5755899998</v>
      </c>
      <c r="M124" s="2"/>
      <c r="N124" s="19">
        <f t="shared" si="13"/>
        <v>-1</v>
      </c>
      <c r="O124" s="11"/>
      <c r="P124" s="2"/>
      <c r="Q124" s="2"/>
      <c r="R124" s="19">
        <f t="shared" si="14"/>
        <v>0</v>
      </c>
      <c r="S124" s="2"/>
      <c r="T124" s="2">
        <v>6274253.3834500005</v>
      </c>
      <c r="U124" s="2"/>
      <c r="V124" s="19">
        <f t="shared" si="15"/>
        <v>0.62850294597570422</v>
      </c>
      <c r="W124" s="2"/>
      <c r="X124" s="2">
        <f t="shared" si="16"/>
        <v>-6274253.3834500005</v>
      </c>
      <c r="Y124" s="2"/>
      <c r="Z124" s="19">
        <f t="shared" si="17"/>
        <v>-1</v>
      </c>
    </row>
    <row r="125" spans="1:26" s="24" customFormat="1" hidden="1" outlineLevel="1" x14ac:dyDescent="0.25">
      <c r="A125" s="44"/>
      <c r="B125" s="11" t="str">
        <f>CONCATENATE("          ", "5001", " - ", "PURCHASES @ COST-NEW TEXT")</f>
        <v xml:space="preserve">          5001 - PURCHASES @ COST-NEW TEXT</v>
      </c>
      <c r="C125" s="11"/>
      <c r="D125" s="2">
        <v>890224.90999999992</v>
      </c>
      <c r="E125" s="2"/>
      <c r="F125" s="19">
        <f t="shared" si="10"/>
        <v>0.37270444382014312</v>
      </c>
      <c r="G125" s="2"/>
      <c r="H125" s="2"/>
      <c r="I125" s="2"/>
      <c r="J125" s="19">
        <f t="shared" si="11"/>
        <v>0</v>
      </c>
      <c r="K125" s="2"/>
      <c r="L125" s="2">
        <f t="shared" si="12"/>
        <v>890224.90999999992</v>
      </c>
      <c r="M125" s="2"/>
      <c r="N125" s="19">
        <f t="shared" si="13"/>
        <v>0</v>
      </c>
      <c r="O125" s="11"/>
      <c r="P125" s="2">
        <v>2627294.66</v>
      </c>
      <c r="Q125" s="2"/>
      <c r="R125" s="19">
        <f t="shared" si="14"/>
        <v>0.27693277593456905</v>
      </c>
      <c r="S125" s="2"/>
      <c r="T125" s="2"/>
      <c r="U125" s="2"/>
      <c r="V125" s="19">
        <f t="shared" si="15"/>
        <v>0</v>
      </c>
      <c r="W125" s="2"/>
      <c r="X125" s="2">
        <f t="shared" si="16"/>
        <v>2627294.66</v>
      </c>
      <c r="Y125" s="2"/>
      <c r="Z125" s="19">
        <f t="shared" si="17"/>
        <v>0</v>
      </c>
    </row>
    <row r="126" spans="1:26" s="24" customFormat="1" hidden="1" outlineLevel="1" x14ac:dyDescent="0.25">
      <c r="A126" s="44"/>
      <c r="B126" s="11" t="str">
        <f>CONCATENATE("          ", "5002", " - ", "PURCHASES @ COST-USED TEXT")</f>
        <v xml:space="preserve">          5002 - PURCHASES @ COST-USED TEXT</v>
      </c>
      <c r="C126" s="11"/>
      <c r="D126" s="2">
        <v>260084.68000000002</v>
      </c>
      <c r="E126" s="2"/>
      <c r="F126" s="19">
        <f t="shared" si="10"/>
        <v>0.10888789441483941</v>
      </c>
      <c r="G126" s="2"/>
      <c r="H126" s="2"/>
      <c r="I126" s="2"/>
      <c r="J126" s="19">
        <f t="shared" si="11"/>
        <v>0</v>
      </c>
      <c r="K126" s="2"/>
      <c r="L126" s="2">
        <f t="shared" si="12"/>
        <v>260084.68000000002</v>
      </c>
      <c r="M126" s="2"/>
      <c r="N126" s="19">
        <f t="shared" si="13"/>
        <v>0</v>
      </c>
      <c r="O126" s="11"/>
      <c r="P126" s="2">
        <v>512607.53</v>
      </c>
      <c r="Q126" s="2"/>
      <c r="R126" s="19">
        <f t="shared" si="14"/>
        <v>5.4031939549507121E-2</v>
      </c>
      <c r="S126" s="2"/>
      <c r="T126" s="2"/>
      <c r="U126" s="2"/>
      <c r="V126" s="19">
        <f t="shared" si="15"/>
        <v>0</v>
      </c>
      <c r="W126" s="2"/>
      <c r="X126" s="2">
        <f t="shared" si="16"/>
        <v>512607.53</v>
      </c>
      <c r="Y126" s="2"/>
      <c r="Z126" s="19">
        <f t="shared" si="17"/>
        <v>0</v>
      </c>
    </row>
    <row r="127" spans="1:26" s="24" customFormat="1" hidden="1" outlineLevel="1" x14ac:dyDescent="0.25">
      <c r="A127" s="44"/>
      <c r="B127" s="11" t="str">
        <f>CONCATENATE("          ", "5003", " - ", "PURCHASES @ COST-RENTAL TEXT")</f>
        <v xml:space="preserve">          5003 - PURCHASES @ COST-RENTAL TEXT</v>
      </c>
      <c r="C127" s="11"/>
      <c r="D127" s="2"/>
      <c r="E127" s="2"/>
      <c r="F127" s="19">
        <f t="shared" si="10"/>
        <v>0</v>
      </c>
      <c r="G127" s="2"/>
      <c r="H127" s="2"/>
      <c r="I127" s="2"/>
      <c r="J127" s="19">
        <f t="shared" si="11"/>
        <v>0</v>
      </c>
      <c r="K127" s="2"/>
      <c r="L127" s="2">
        <f t="shared" si="12"/>
        <v>0</v>
      </c>
      <c r="M127" s="2"/>
      <c r="N127" s="19">
        <f t="shared" si="13"/>
        <v>0</v>
      </c>
      <c r="O127" s="11"/>
      <c r="P127" s="2">
        <v>-78.400000000000006</v>
      </c>
      <c r="Q127" s="2"/>
      <c r="R127" s="19">
        <f t="shared" si="14"/>
        <v>-8.263835025367962E-6</v>
      </c>
      <c r="S127" s="2"/>
      <c r="T127" s="2"/>
      <c r="U127" s="2"/>
      <c r="V127" s="19">
        <f t="shared" si="15"/>
        <v>0</v>
      </c>
      <c r="W127" s="2"/>
      <c r="X127" s="2">
        <f t="shared" si="16"/>
        <v>-78.400000000000006</v>
      </c>
      <c r="Y127" s="2"/>
      <c r="Z127" s="19">
        <f t="shared" si="17"/>
        <v>0</v>
      </c>
    </row>
    <row r="128" spans="1:26" s="24" customFormat="1" hidden="1" outlineLevel="1" x14ac:dyDescent="0.25">
      <c r="A128" s="44"/>
      <c r="B128" s="11" t="str">
        <f>CONCATENATE("          ", "5004", " - ", "PURCHASES @ COST-DIGITAL TEXT")</f>
        <v xml:space="preserve">          5004 - PURCHASES @ COST-DIGITAL TEXT</v>
      </c>
      <c r="C128" s="11"/>
      <c r="D128" s="2">
        <v>119541.49999999999</v>
      </c>
      <c r="E128" s="2"/>
      <c r="F128" s="19">
        <f t="shared" si="10"/>
        <v>5.0047631525976549E-2</v>
      </c>
      <c r="G128" s="2"/>
      <c r="H128" s="2"/>
      <c r="I128" s="2"/>
      <c r="J128" s="19">
        <f t="shared" si="11"/>
        <v>0</v>
      </c>
      <c r="K128" s="2"/>
      <c r="L128" s="2">
        <f t="shared" si="12"/>
        <v>119541.49999999999</v>
      </c>
      <c r="M128" s="2"/>
      <c r="N128" s="19">
        <f t="shared" si="13"/>
        <v>0</v>
      </c>
      <c r="O128" s="11"/>
      <c r="P128" s="2">
        <v>473893.77</v>
      </c>
      <c r="Q128" s="2"/>
      <c r="R128" s="19">
        <f t="shared" si="14"/>
        <v>4.9951274678949865E-2</v>
      </c>
      <c r="S128" s="2"/>
      <c r="T128" s="2"/>
      <c r="U128" s="2"/>
      <c r="V128" s="19">
        <f t="shared" si="15"/>
        <v>0</v>
      </c>
      <c r="W128" s="2"/>
      <c r="X128" s="2">
        <f t="shared" si="16"/>
        <v>473893.77</v>
      </c>
      <c r="Y128" s="2"/>
      <c r="Z128" s="19">
        <f t="shared" si="17"/>
        <v>0</v>
      </c>
    </row>
    <row r="129" spans="1:26" s="24" customFormat="1" hidden="1" outlineLevel="1" x14ac:dyDescent="0.25">
      <c r="A129" s="44"/>
      <c r="B129" s="11" t="str">
        <f>CONCATENATE("          ", "5011", " - ", "PURCHASES @ COST-NO VALUE TEXT")</f>
        <v xml:space="preserve">          5011 - PURCHASES @ COST-NO VALUE TEXT</v>
      </c>
      <c r="C129" s="11"/>
      <c r="D129" s="2">
        <v>573</v>
      </c>
      <c r="E129" s="2"/>
      <c r="F129" s="19">
        <f t="shared" si="10"/>
        <v>2.3989403566447272E-4</v>
      </c>
      <c r="G129" s="2"/>
      <c r="H129" s="2"/>
      <c r="I129" s="2"/>
      <c r="J129" s="19">
        <f t="shared" si="11"/>
        <v>0</v>
      </c>
      <c r="K129" s="2"/>
      <c r="L129" s="2">
        <f t="shared" si="12"/>
        <v>573</v>
      </c>
      <c r="M129" s="2"/>
      <c r="N129" s="19">
        <f t="shared" si="13"/>
        <v>0</v>
      </c>
      <c r="O129" s="11"/>
      <c r="P129" s="2">
        <v>5475</v>
      </c>
      <c r="Q129" s="2"/>
      <c r="R129" s="19">
        <f t="shared" si="14"/>
        <v>5.7709817300879583E-4</v>
      </c>
      <c r="S129" s="2"/>
      <c r="T129" s="2"/>
      <c r="U129" s="2"/>
      <c r="V129" s="19">
        <f t="shared" si="15"/>
        <v>0</v>
      </c>
      <c r="W129" s="2"/>
      <c r="X129" s="2">
        <f t="shared" si="16"/>
        <v>5475</v>
      </c>
      <c r="Y129" s="2"/>
      <c r="Z129" s="19">
        <f t="shared" si="17"/>
        <v>0</v>
      </c>
    </row>
    <row r="130" spans="1:26" s="24" customFormat="1" hidden="1" outlineLevel="1" x14ac:dyDescent="0.25">
      <c r="A130" s="44"/>
      <c r="B130" s="11" t="str">
        <f>CONCATENATE("          ", "5013", " - ", "PURCHASES @ COST-TRADE BOOKS")</f>
        <v xml:space="preserve">          5013 - PURCHASES @ COST-TRADE BOOKS</v>
      </c>
      <c r="C130" s="11"/>
      <c r="D130" s="2">
        <v>-276.85000000000002</v>
      </c>
      <c r="E130" s="2"/>
      <c r="F130" s="19">
        <f t="shared" si="10"/>
        <v>-1.1590691758064447E-4</v>
      </c>
      <c r="G130" s="2"/>
      <c r="H130" s="2"/>
      <c r="I130" s="2"/>
      <c r="J130" s="19">
        <f t="shared" si="11"/>
        <v>0</v>
      </c>
      <c r="K130" s="2"/>
      <c r="L130" s="2">
        <f t="shared" si="12"/>
        <v>-276.85000000000002</v>
      </c>
      <c r="M130" s="2"/>
      <c r="N130" s="19">
        <f t="shared" si="13"/>
        <v>0</v>
      </c>
      <c r="O130" s="11"/>
      <c r="P130" s="2">
        <v>458.46</v>
      </c>
      <c r="Q130" s="2"/>
      <c r="R130" s="19">
        <f t="shared" si="14"/>
        <v>4.8324461807783109E-5</v>
      </c>
      <c r="S130" s="2"/>
      <c r="T130" s="2"/>
      <c r="U130" s="2"/>
      <c r="V130" s="19">
        <f t="shared" si="15"/>
        <v>0</v>
      </c>
      <c r="W130" s="2"/>
      <c r="X130" s="2">
        <f t="shared" si="16"/>
        <v>458.46</v>
      </c>
      <c r="Y130" s="2"/>
      <c r="Z130" s="19">
        <f t="shared" si="17"/>
        <v>0</v>
      </c>
    </row>
    <row r="131" spans="1:26" s="24" customFormat="1" hidden="1" outlineLevel="1" x14ac:dyDescent="0.25">
      <c r="A131" s="44"/>
      <c r="B131" s="11" t="str">
        <f>CONCATENATE("          ", "5014", " - ", "PURCHASES @ COST-REMAINDERS")</f>
        <v xml:space="preserve">          5014 - PURCHASES @ COST-REMAINDERS</v>
      </c>
      <c r="C131" s="11"/>
      <c r="D131" s="2">
        <v>69.599999999999994</v>
      </c>
      <c r="E131" s="2"/>
      <c r="F131" s="19">
        <f t="shared" si="10"/>
        <v>2.9138961400082548E-5</v>
      </c>
      <c r="G131" s="2"/>
      <c r="H131" s="2"/>
      <c r="I131" s="2"/>
      <c r="J131" s="19">
        <f t="shared" si="11"/>
        <v>0</v>
      </c>
      <c r="K131" s="2"/>
      <c r="L131" s="2">
        <f t="shared" si="12"/>
        <v>69.599999999999994</v>
      </c>
      <c r="M131" s="2"/>
      <c r="N131" s="19">
        <f t="shared" si="13"/>
        <v>0</v>
      </c>
      <c r="O131" s="11"/>
      <c r="P131" s="2">
        <v>583.39</v>
      </c>
      <c r="Q131" s="2"/>
      <c r="R131" s="19">
        <f t="shared" si="14"/>
        <v>6.149284075828336E-5</v>
      </c>
      <c r="S131" s="2"/>
      <c r="T131" s="2"/>
      <c r="U131" s="2"/>
      <c r="V131" s="19">
        <f t="shared" si="15"/>
        <v>0</v>
      </c>
      <c r="W131" s="2"/>
      <c r="X131" s="2">
        <f t="shared" si="16"/>
        <v>583.39</v>
      </c>
      <c r="Y131" s="2"/>
      <c r="Z131" s="19">
        <f t="shared" si="17"/>
        <v>0</v>
      </c>
    </row>
    <row r="132" spans="1:26" s="24" customFormat="1" hidden="1" outlineLevel="1" x14ac:dyDescent="0.25">
      <c r="A132" s="44"/>
      <c r="B132" s="11" t="str">
        <f>CONCATENATE("          ", "5017", " - ", "PURCHASES @ COST-DORM/HOUSEWAR")</f>
        <v xml:space="preserve">          5017 - PURCHASES @ COST-DORM/HOUSEWAR</v>
      </c>
      <c r="C132" s="11"/>
      <c r="D132" s="2"/>
      <c r="E132" s="2"/>
      <c r="F132" s="19">
        <f t="shared" si="10"/>
        <v>0</v>
      </c>
      <c r="G132" s="2"/>
      <c r="H132" s="2"/>
      <c r="I132" s="2"/>
      <c r="J132" s="19">
        <f t="shared" si="11"/>
        <v>0</v>
      </c>
      <c r="K132" s="2"/>
      <c r="L132" s="2">
        <f t="shared" si="12"/>
        <v>0</v>
      </c>
      <c r="M132" s="2"/>
      <c r="N132" s="19">
        <f t="shared" si="13"/>
        <v>0</v>
      </c>
      <c r="O132" s="11"/>
      <c r="P132" s="2">
        <v>0</v>
      </c>
      <c r="Q132" s="2"/>
      <c r="R132" s="19">
        <f t="shared" si="14"/>
        <v>0</v>
      </c>
      <c r="S132" s="2"/>
      <c r="T132" s="2"/>
      <c r="U132" s="2"/>
      <c r="V132" s="19">
        <f t="shared" si="15"/>
        <v>0</v>
      </c>
      <c r="W132" s="2"/>
      <c r="X132" s="2">
        <f t="shared" si="16"/>
        <v>0</v>
      </c>
      <c r="Y132" s="2"/>
      <c r="Z132" s="19">
        <f t="shared" si="17"/>
        <v>0</v>
      </c>
    </row>
    <row r="133" spans="1:26" s="24" customFormat="1" hidden="1" outlineLevel="1" x14ac:dyDescent="0.25">
      <c r="A133" s="44"/>
      <c r="B133" s="11" t="str">
        <f>CONCATENATE("          ", "5018", " - ", "PURCHASES @ COST-STUDY GUIDES")</f>
        <v xml:space="preserve">          5018 - PURCHASES @ COST-STUDY GUIDES</v>
      </c>
      <c r="C133" s="11"/>
      <c r="D133" s="2">
        <v>1032.75</v>
      </c>
      <c r="E133" s="2"/>
      <c r="F133" s="19">
        <f t="shared" si="10"/>
        <v>4.3237445956803528E-4</v>
      </c>
      <c r="G133" s="2"/>
      <c r="H133" s="2"/>
      <c r="I133" s="2"/>
      <c r="J133" s="19">
        <f t="shared" si="11"/>
        <v>0</v>
      </c>
      <c r="K133" s="2"/>
      <c r="L133" s="2">
        <f t="shared" si="12"/>
        <v>1032.75</v>
      </c>
      <c r="M133" s="2"/>
      <c r="N133" s="19">
        <f t="shared" si="13"/>
        <v>0</v>
      </c>
      <c r="O133" s="11"/>
      <c r="P133" s="2">
        <v>2031.15</v>
      </c>
      <c r="Q133" s="2"/>
      <c r="R133" s="19">
        <f t="shared" si="14"/>
        <v>2.1409551673183847E-4</v>
      </c>
      <c r="S133" s="2"/>
      <c r="T133" s="2"/>
      <c r="U133" s="2"/>
      <c r="V133" s="19">
        <f t="shared" si="15"/>
        <v>0</v>
      </c>
      <c r="W133" s="2"/>
      <c r="X133" s="2">
        <f t="shared" si="16"/>
        <v>2031.15</v>
      </c>
      <c r="Y133" s="2"/>
      <c r="Z133" s="19">
        <f t="shared" si="17"/>
        <v>0</v>
      </c>
    </row>
    <row r="134" spans="1:26" s="24" customFormat="1" hidden="1" outlineLevel="1" x14ac:dyDescent="0.25">
      <c r="A134" s="44"/>
      <c r="B134" s="11" t="str">
        <f>CONCATENATE("          ", "5025", " - ", "PURCHASES @ COST-TEST FORMS")</f>
        <v xml:space="preserve">          5025 - PURCHASES @ COST-TEST FORMS</v>
      </c>
      <c r="C134" s="11"/>
      <c r="D134" s="2">
        <v>880</v>
      </c>
      <c r="E134" s="2"/>
      <c r="F134" s="19">
        <f t="shared" si="10"/>
        <v>3.684236498861012E-4</v>
      </c>
      <c r="G134" s="2"/>
      <c r="H134" s="2"/>
      <c r="I134" s="2"/>
      <c r="J134" s="19">
        <f t="shared" si="11"/>
        <v>0</v>
      </c>
      <c r="K134" s="2"/>
      <c r="L134" s="2">
        <f t="shared" si="12"/>
        <v>880</v>
      </c>
      <c r="M134" s="2"/>
      <c r="N134" s="19">
        <f t="shared" si="13"/>
        <v>0</v>
      </c>
      <c r="O134" s="11"/>
      <c r="P134" s="2">
        <v>22978.390000000003</v>
      </c>
      <c r="Q134" s="2"/>
      <c r="R134" s="19">
        <f t="shared" si="14"/>
        <v>2.4220615319970017E-3</v>
      </c>
      <c r="S134" s="2"/>
      <c r="T134" s="2"/>
      <c r="U134" s="2"/>
      <c r="V134" s="19">
        <f t="shared" si="15"/>
        <v>0</v>
      </c>
      <c r="W134" s="2"/>
      <c r="X134" s="2">
        <f t="shared" si="16"/>
        <v>22978.390000000003</v>
      </c>
      <c r="Y134" s="2"/>
      <c r="Z134" s="19">
        <f t="shared" si="17"/>
        <v>0</v>
      </c>
    </row>
    <row r="135" spans="1:26" s="24" customFormat="1" hidden="1" outlineLevel="1" x14ac:dyDescent="0.25">
      <c r="A135" s="44"/>
      <c r="B135" s="11" t="str">
        <f>CONCATENATE("          ", "5026", " - ", "PURCHASES @ COST-WRITING INSTR")</f>
        <v xml:space="preserve">          5026 - PURCHASES @ COST-WRITING INSTR</v>
      </c>
      <c r="C135" s="11"/>
      <c r="D135" s="2">
        <v>9201.3799999999992</v>
      </c>
      <c r="E135" s="2"/>
      <c r="F135" s="19">
        <f t="shared" si="10"/>
        <v>3.8522795495329249E-3</v>
      </c>
      <c r="G135" s="2"/>
      <c r="H135" s="2"/>
      <c r="I135" s="2"/>
      <c r="J135" s="19">
        <f t="shared" si="11"/>
        <v>0</v>
      </c>
      <c r="K135" s="2"/>
      <c r="L135" s="2">
        <f t="shared" si="12"/>
        <v>9201.3799999999992</v>
      </c>
      <c r="M135" s="2"/>
      <c r="N135" s="19">
        <f t="shared" si="13"/>
        <v>0</v>
      </c>
      <c r="O135" s="11"/>
      <c r="P135" s="2">
        <v>43496.15</v>
      </c>
      <c r="Q135" s="2"/>
      <c r="R135" s="19">
        <f t="shared" si="14"/>
        <v>4.5847577530441158E-3</v>
      </c>
      <c r="S135" s="2"/>
      <c r="T135" s="2"/>
      <c r="U135" s="2"/>
      <c r="V135" s="19">
        <f t="shared" si="15"/>
        <v>0</v>
      </c>
      <c r="W135" s="2"/>
      <c r="X135" s="2">
        <f t="shared" si="16"/>
        <v>43496.15</v>
      </c>
      <c r="Y135" s="2"/>
      <c r="Z135" s="19">
        <f t="shared" si="17"/>
        <v>0</v>
      </c>
    </row>
    <row r="136" spans="1:26" s="24" customFormat="1" hidden="1" outlineLevel="1" x14ac:dyDescent="0.25">
      <c r="A136" s="44"/>
      <c r="B136" s="11" t="str">
        <f>CONCATENATE("          ", "5027", " - ", "PURCHASES @ COST-SCHOOL SUPPLI")</f>
        <v xml:space="preserve">          5027 - PURCHASES @ COST-SCHOOL SUPPLI</v>
      </c>
      <c r="C136" s="11"/>
      <c r="D136" s="2">
        <v>42814.02</v>
      </c>
      <c r="E136" s="2"/>
      <c r="F136" s="19">
        <f t="shared" si="10"/>
        <v>1.7924656266700607E-2</v>
      </c>
      <c r="G136" s="2"/>
      <c r="H136" s="2"/>
      <c r="I136" s="2"/>
      <c r="J136" s="19">
        <f t="shared" si="11"/>
        <v>0</v>
      </c>
      <c r="K136" s="2"/>
      <c r="L136" s="2">
        <f t="shared" si="12"/>
        <v>42814.02</v>
      </c>
      <c r="M136" s="2"/>
      <c r="N136" s="19">
        <f t="shared" si="13"/>
        <v>0</v>
      </c>
      <c r="O136" s="11"/>
      <c r="P136" s="2">
        <v>120814.02</v>
      </c>
      <c r="Q136" s="2"/>
      <c r="R136" s="19">
        <f t="shared" si="14"/>
        <v>1.2734529719789611E-2</v>
      </c>
      <c r="S136" s="2"/>
      <c r="T136" s="2"/>
      <c r="U136" s="2"/>
      <c r="V136" s="19">
        <f t="shared" si="15"/>
        <v>0</v>
      </c>
      <c r="W136" s="2"/>
      <c r="X136" s="2">
        <f t="shared" si="16"/>
        <v>120814.02</v>
      </c>
      <c r="Y136" s="2"/>
      <c r="Z136" s="19">
        <f t="shared" si="17"/>
        <v>0</v>
      </c>
    </row>
    <row r="137" spans="1:26" s="24" customFormat="1" hidden="1" outlineLevel="1" x14ac:dyDescent="0.25">
      <c r="A137" s="44"/>
      <c r="B137" s="11" t="str">
        <f>CONCATENATE("          ", "5028", " - ", "PURCHASES @ COST-ART/TECH")</f>
        <v xml:space="preserve">          5028 - PURCHASES @ COST-ART/TECH</v>
      </c>
      <c r="C137" s="11"/>
      <c r="D137" s="2">
        <v>32126.68</v>
      </c>
      <c r="E137" s="2"/>
      <c r="F137" s="19">
        <f t="shared" si="10"/>
        <v>1.345025989127592E-2</v>
      </c>
      <c r="G137" s="2"/>
      <c r="H137" s="2"/>
      <c r="I137" s="2"/>
      <c r="J137" s="19">
        <f t="shared" si="11"/>
        <v>0</v>
      </c>
      <c r="K137" s="2"/>
      <c r="L137" s="2">
        <f t="shared" si="12"/>
        <v>32126.68</v>
      </c>
      <c r="M137" s="2"/>
      <c r="N137" s="19">
        <f t="shared" si="13"/>
        <v>0</v>
      </c>
      <c r="O137" s="11"/>
      <c r="P137" s="2">
        <v>135127.5</v>
      </c>
      <c r="Q137" s="2"/>
      <c r="R137" s="19">
        <f t="shared" si="14"/>
        <v>1.4243257237122567E-2</v>
      </c>
      <c r="S137" s="2"/>
      <c r="T137" s="2"/>
      <c r="U137" s="2"/>
      <c r="V137" s="19">
        <f t="shared" si="15"/>
        <v>0</v>
      </c>
      <c r="W137" s="2"/>
      <c r="X137" s="2">
        <f t="shared" si="16"/>
        <v>135127.5</v>
      </c>
      <c r="Y137" s="2"/>
      <c r="Z137" s="19">
        <f t="shared" si="17"/>
        <v>0</v>
      </c>
    </row>
    <row r="138" spans="1:26" s="24" customFormat="1" hidden="1" outlineLevel="1" x14ac:dyDescent="0.25">
      <c r="A138" s="44"/>
      <c r="B138" s="11" t="str">
        <f>CONCATENATE("          ", "5031", " - ", "PURCHASES @ COST-FOOD")</f>
        <v xml:space="preserve">          5031 - PURCHASES @ COST-FOOD</v>
      </c>
      <c r="C138" s="11"/>
      <c r="D138" s="2">
        <v>2390.66</v>
      </c>
      <c r="E138" s="2"/>
      <c r="F138" s="19">
        <f t="shared" si="10"/>
        <v>1.000881457768985E-3</v>
      </c>
      <c r="G138" s="2"/>
      <c r="H138" s="2"/>
      <c r="I138" s="2"/>
      <c r="J138" s="19">
        <f t="shared" si="11"/>
        <v>0</v>
      </c>
      <c r="K138" s="2"/>
      <c r="L138" s="2">
        <f t="shared" si="12"/>
        <v>2390.66</v>
      </c>
      <c r="M138" s="2"/>
      <c r="N138" s="19">
        <f t="shared" si="13"/>
        <v>0</v>
      </c>
      <c r="O138" s="11"/>
      <c r="P138" s="2">
        <v>24900.390000000003</v>
      </c>
      <c r="Q138" s="2"/>
      <c r="R138" s="19">
        <f t="shared" si="14"/>
        <v>2.6246519773893136E-3</v>
      </c>
      <c r="S138" s="2"/>
      <c r="T138" s="2"/>
      <c r="U138" s="2"/>
      <c r="V138" s="19">
        <f t="shared" si="15"/>
        <v>0</v>
      </c>
      <c r="W138" s="2"/>
      <c r="X138" s="2">
        <f t="shared" si="16"/>
        <v>24900.390000000003</v>
      </c>
      <c r="Y138" s="2"/>
      <c r="Z138" s="19">
        <f t="shared" si="17"/>
        <v>0</v>
      </c>
    </row>
    <row r="139" spans="1:26" s="24" customFormat="1" hidden="1" outlineLevel="1" x14ac:dyDescent="0.25">
      <c r="A139" s="44"/>
      <c r="B139" s="11" t="str">
        <f>CONCATENATE("          ", "5032", " - ", "PURCHASES @ COST-JUICE")</f>
        <v xml:space="preserve">          5032 - PURCHASES @ COST-JUICE</v>
      </c>
      <c r="C139" s="11"/>
      <c r="D139" s="2">
        <v>371.03</v>
      </c>
      <c r="E139" s="2"/>
      <c r="F139" s="19">
        <f t="shared" si="10"/>
        <v>1.5533662138322743E-4</v>
      </c>
      <c r="G139" s="2"/>
      <c r="H139" s="2"/>
      <c r="I139" s="2"/>
      <c r="J139" s="19">
        <f t="shared" si="11"/>
        <v>0</v>
      </c>
      <c r="K139" s="2"/>
      <c r="L139" s="2">
        <f t="shared" si="12"/>
        <v>371.03</v>
      </c>
      <c r="M139" s="2"/>
      <c r="N139" s="19">
        <f t="shared" si="13"/>
        <v>0</v>
      </c>
      <c r="O139" s="11"/>
      <c r="P139" s="2">
        <v>5392.51</v>
      </c>
      <c r="Q139" s="2"/>
      <c r="R139" s="19">
        <f t="shared" si="14"/>
        <v>5.6840322720212993E-4</v>
      </c>
      <c r="S139" s="2"/>
      <c r="T139" s="2"/>
      <c r="U139" s="2"/>
      <c r="V139" s="19">
        <f t="shared" si="15"/>
        <v>0</v>
      </c>
      <c r="W139" s="2"/>
      <c r="X139" s="2">
        <f t="shared" si="16"/>
        <v>5392.51</v>
      </c>
      <c r="Y139" s="2"/>
      <c r="Z139" s="19">
        <f t="shared" si="17"/>
        <v>0</v>
      </c>
    </row>
    <row r="140" spans="1:26" s="24" customFormat="1" hidden="1" outlineLevel="1" x14ac:dyDescent="0.25">
      <c r="A140" s="44"/>
      <c r="B140" s="11" t="str">
        <f>CONCATENATE("          ", "5033", " - ", "PURCHASES @ COST-CANDY")</f>
        <v xml:space="preserve">          5033 - PURCHASES @ COST-CANDY</v>
      </c>
      <c r="C140" s="11"/>
      <c r="D140" s="2">
        <v>805.69</v>
      </c>
      <c r="E140" s="2"/>
      <c r="F140" s="19">
        <f t="shared" si="10"/>
        <v>3.3731278463265105E-4</v>
      </c>
      <c r="G140" s="2"/>
      <c r="H140" s="2"/>
      <c r="I140" s="2"/>
      <c r="J140" s="19">
        <f t="shared" si="11"/>
        <v>0</v>
      </c>
      <c r="K140" s="2"/>
      <c r="L140" s="2">
        <f t="shared" si="12"/>
        <v>805.69</v>
      </c>
      <c r="M140" s="2"/>
      <c r="N140" s="19">
        <f t="shared" si="13"/>
        <v>0</v>
      </c>
      <c r="O140" s="11"/>
      <c r="P140" s="2">
        <v>7003.62</v>
      </c>
      <c r="Q140" s="2"/>
      <c r="R140" s="19">
        <f t="shared" si="14"/>
        <v>7.3822398291285157E-4</v>
      </c>
      <c r="S140" s="2"/>
      <c r="T140" s="2"/>
      <c r="U140" s="2"/>
      <c r="V140" s="19">
        <f t="shared" si="15"/>
        <v>0</v>
      </c>
      <c r="W140" s="2"/>
      <c r="X140" s="2">
        <f t="shared" si="16"/>
        <v>7003.62</v>
      </c>
      <c r="Y140" s="2"/>
      <c r="Z140" s="19">
        <f t="shared" si="17"/>
        <v>0</v>
      </c>
    </row>
    <row r="141" spans="1:26" s="24" customFormat="1" hidden="1" outlineLevel="1" x14ac:dyDescent="0.25">
      <c r="A141" s="44"/>
      <c r="B141" s="11" t="str">
        <f>CONCATENATE("          ", "5034", " - ", "PURCHASES @ COST-SODA")</f>
        <v xml:space="preserve">          5034 - PURCHASES @ COST-SODA</v>
      </c>
      <c r="C141" s="11"/>
      <c r="D141" s="2"/>
      <c r="E141" s="2"/>
      <c r="F141" s="19">
        <f t="shared" si="10"/>
        <v>0</v>
      </c>
      <c r="G141" s="2"/>
      <c r="H141" s="2"/>
      <c r="I141" s="2"/>
      <c r="J141" s="19">
        <f t="shared" si="11"/>
        <v>0</v>
      </c>
      <c r="K141" s="2"/>
      <c r="L141" s="2">
        <f t="shared" si="12"/>
        <v>0</v>
      </c>
      <c r="M141" s="2"/>
      <c r="N141" s="19">
        <f t="shared" si="13"/>
        <v>0</v>
      </c>
      <c r="O141" s="11"/>
      <c r="P141" s="2">
        <v>2124.16</v>
      </c>
      <c r="Q141" s="2"/>
      <c r="R141" s="19">
        <f t="shared" si="14"/>
        <v>2.2389933427915316E-4</v>
      </c>
      <c r="S141" s="2"/>
      <c r="T141" s="2"/>
      <c r="U141" s="2"/>
      <c r="V141" s="19">
        <f t="shared" si="15"/>
        <v>0</v>
      </c>
      <c r="W141" s="2"/>
      <c r="X141" s="2">
        <f t="shared" si="16"/>
        <v>2124.16</v>
      </c>
      <c r="Y141" s="2"/>
      <c r="Z141" s="19">
        <f t="shared" si="17"/>
        <v>0</v>
      </c>
    </row>
    <row r="142" spans="1:26" s="24" customFormat="1" hidden="1" outlineLevel="1" x14ac:dyDescent="0.25">
      <c r="A142" s="44"/>
      <c r="B142" s="11" t="str">
        <f>CONCATENATE("          ", "5035", " - ", "PURCHASES @ COST-HEALTH &amp; BEAU")</f>
        <v xml:space="preserve">          5035 - PURCHASES @ COST-HEALTH &amp; BEAU</v>
      </c>
      <c r="C142" s="11"/>
      <c r="D142" s="2">
        <v>32.82</v>
      </c>
      <c r="E142" s="2"/>
      <c r="F142" s="19">
        <f t="shared" si="10"/>
        <v>1.3740527487797549E-5</v>
      </c>
      <c r="G142" s="2"/>
      <c r="H142" s="2"/>
      <c r="I142" s="2"/>
      <c r="J142" s="19">
        <f t="shared" si="11"/>
        <v>0</v>
      </c>
      <c r="K142" s="2"/>
      <c r="L142" s="2">
        <f t="shared" si="12"/>
        <v>32.82</v>
      </c>
      <c r="M142" s="2"/>
      <c r="N142" s="19">
        <f t="shared" si="13"/>
        <v>0</v>
      </c>
      <c r="O142" s="11"/>
      <c r="P142" s="2">
        <v>857.2</v>
      </c>
      <c r="Q142" s="2"/>
      <c r="R142" s="19">
        <f t="shared" si="14"/>
        <v>9.035407377226298E-5</v>
      </c>
      <c r="S142" s="2"/>
      <c r="T142" s="2"/>
      <c r="U142" s="2"/>
      <c r="V142" s="19">
        <f t="shared" si="15"/>
        <v>0</v>
      </c>
      <c r="W142" s="2"/>
      <c r="X142" s="2">
        <f t="shared" si="16"/>
        <v>857.2</v>
      </c>
      <c r="Y142" s="2"/>
      <c r="Z142" s="19">
        <f t="shared" si="17"/>
        <v>0</v>
      </c>
    </row>
    <row r="143" spans="1:26" s="24" customFormat="1" hidden="1" outlineLevel="1" x14ac:dyDescent="0.25">
      <c r="A143" s="44"/>
      <c r="B143" s="11" t="str">
        <f>CONCATENATE("          ", "5037", " - ", "PURCHASES @ COST-WATER")</f>
        <v xml:space="preserve">          5037 - PURCHASES @ COST-WATER</v>
      </c>
      <c r="C143" s="11"/>
      <c r="D143" s="2"/>
      <c r="E143" s="2"/>
      <c r="F143" s="19">
        <f t="shared" si="10"/>
        <v>0</v>
      </c>
      <c r="G143" s="2"/>
      <c r="H143" s="2"/>
      <c r="I143" s="2"/>
      <c r="J143" s="19">
        <f t="shared" si="11"/>
        <v>0</v>
      </c>
      <c r="K143" s="2"/>
      <c r="L143" s="2">
        <f t="shared" si="12"/>
        <v>0</v>
      </c>
      <c r="M143" s="2"/>
      <c r="N143" s="19">
        <f t="shared" si="13"/>
        <v>0</v>
      </c>
      <c r="O143" s="11"/>
      <c r="P143" s="2">
        <v>3759.27</v>
      </c>
      <c r="Q143" s="2"/>
      <c r="R143" s="19">
        <f t="shared" si="14"/>
        <v>3.9624983540580377E-4</v>
      </c>
      <c r="S143" s="2"/>
      <c r="T143" s="2"/>
      <c r="U143" s="2"/>
      <c r="V143" s="19">
        <f t="shared" si="15"/>
        <v>0</v>
      </c>
      <c r="W143" s="2"/>
      <c r="X143" s="2">
        <f t="shared" si="16"/>
        <v>3759.27</v>
      </c>
      <c r="Y143" s="2"/>
      <c r="Z143" s="19">
        <f t="shared" si="17"/>
        <v>0</v>
      </c>
    </row>
    <row r="144" spans="1:26" s="24" customFormat="1" hidden="1" outlineLevel="1" x14ac:dyDescent="0.25">
      <c r="A144" s="44"/>
      <c r="B144" s="11" t="str">
        <f>CONCATENATE("          ", "5040", " - ", "PURCHASES @ COST-LOGO CLOTHING")</f>
        <v xml:space="preserve">          5040 - PURCHASES @ COST-LOGO CLOTHING</v>
      </c>
      <c r="C144" s="11"/>
      <c r="D144" s="2">
        <v>94500.17</v>
      </c>
      <c r="E144" s="2"/>
      <c r="F144" s="19">
        <f t="shared" si="10"/>
        <v>3.9563747211655731E-2</v>
      </c>
      <c r="G144" s="2"/>
      <c r="H144" s="2"/>
      <c r="I144" s="2"/>
      <c r="J144" s="19">
        <f t="shared" si="11"/>
        <v>0</v>
      </c>
      <c r="K144" s="2"/>
      <c r="L144" s="2">
        <f t="shared" si="12"/>
        <v>94500.17</v>
      </c>
      <c r="M144" s="2"/>
      <c r="N144" s="19">
        <f t="shared" si="13"/>
        <v>0</v>
      </c>
      <c r="O144" s="11"/>
      <c r="P144" s="2">
        <v>810739.01</v>
      </c>
      <c r="Q144" s="2"/>
      <c r="R144" s="19">
        <f t="shared" si="14"/>
        <v>8.5456803919262067E-2</v>
      </c>
      <c r="S144" s="2"/>
      <c r="T144" s="2"/>
      <c r="U144" s="2"/>
      <c r="V144" s="19">
        <f t="shared" si="15"/>
        <v>0</v>
      </c>
      <c r="W144" s="2"/>
      <c r="X144" s="2">
        <f t="shared" si="16"/>
        <v>810739.01</v>
      </c>
      <c r="Y144" s="2"/>
      <c r="Z144" s="19">
        <f t="shared" si="17"/>
        <v>0</v>
      </c>
    </row>
    <row r="145" spans="1:26" s="24" customFormat="1" hidden="1" outlineLevel="1" x14ac:dyDescent="0.25">
      <c r="A145" s="44"/>
      <c r="B145" s="11" t="str">
        <f>CONCATENATE("          ", "5041", " - ", "PURCHASES @ COST-LOGO GIFTS")</f>
        <v xml:space="preserve">          5041 - PURCHASES @ COST-LOGO GIFTS</v>
      </c>
      <c r="C145" s="11"/>
      <c r="D145" s="2">
        <v>14612.2</v>
      </c>
      <c r="E145" s="2"/>
      <c r="F145" s="19">
        <f t="shared" si="10"/>
        <v>6.1175909737110094E-3</v>
      </c>
      <c r="G145" s="2"/>
      <c r="H145" s="2"/>
      <c r="I145" s="2"/>
      <c r="J145" s="19">
        <f t="shared" si="11"/>
        <v>0</v>
      </c>
      <c r="K145" s="2"/>
      <c r="L145" s="2">
        <f t="shared" si="12"/>
        <v>14612.2</v>
      </c>
      <c r="M145" s="2"/>
      <c r="N145" s="19">
        <f t="shared" si="13"/>
        <v>0</v>
      </c>
      <c r="O145" s="11"/>
      <c r="P145" s="2">
        <v>124015.87000000001</v>
      </c>
      <c r="Q145" s="2"/>
      <c r="R145" s="19">
        <f t="shared" si="14"/>
        <v>1.3072024109789285E-2</v>
      </c>
      <c r="S145" s="2"/>
      <c r="T145" s="2"/>
      <c r="U145" s="2"/>
      <c r="V145" s="19">
        <f t="shared" si="15"/>
        <v>0</v>
      </c>
      <c r="W145" s="2"/>
      <c r="X145" s="2">
        <f t="shared" si="16"/>
        <v>124015.87000000001</v>
      </c>
      <c r="Y145" s="2"/>
      <c r="Z145" s="19">
        <f t="shared" si="17"/>
        <v>0</v>
      </c>
    </row>
    <row r="146" spans="1:26" s="24" customFormat="1" hidden="1" outlineLevel="1" x14ac:dyDescent="0.25">
      <c r="A146" s="44"/>
      <c r="B146" s="11" t="str">
        <f>CONCATENATE("          ", "5042", " - ", "PURCHASES @ COST-EVERYDAY GIFT")</f>
        <v xml:space="preserve">          5042 - PURCHASES @ COST-EVERYDAY GIFT</v>
      </c>
      <c r="C146" s="11"/>
      <c r="D146" s="2">
        <v>2972.86</v>
      </c>
      <c r="E146" s="2"/>
      <c r="F146" s="19">
        <f t="shared" si="10"/>
        <v>1.2446271952277215E-3</v>
      </c>
      <c r="G146" s="2"/>
      <c r="H146" s="2"/>
      <c r="I146" s="2"/>
      <c r="J146" s="19">
        <f t="shared" si="11"/>
        <v>0</v>
      </c>
      <c r="K146" s="2"/>
      <c r="L146" s="2">
        <f t="shared" si="12"/>
        <v>2972.86</v>
      </c>
      <c r="M146" s="2"/>
      <c r="N146" s="19">
        <f t="shared" si="13"/>
        <v>0</v>
      </c>
      <c r="O146" s="11"/>
      <c r="P146" s="2">
        <v>91360.97</v>
      </c>
      <c r="Q146" s="2"/>
      <c r="R146" s="19">
        <f t="shared" si="14"/>
        <v>9.6299997938468322E-3</v>
      </c>
      <c r="S146" s="2"/>
      <c r="T146" s="2"/>
      <c r="U146" s="2"/>
      <c r="V146" s="19">
        <f t="shared" si="15"/>
        <v>0</v>
      </c>
      <c r="W146" s="2"/>
      <c r="X146" s="2">
        <f t="shared" si="16"/>
        <v>91360.97</v>
      </c>
      <c r="Y146" s="2"/>
      <c r="Z146" s="19">
        <f t="shared" si="17"/>
        <v>0</v>
      </c>
    </row>
    <row r="147" spans="1:26" s="24" customFormat="1" hidden="1" outlineLevel="1" x14ac:dyDescent="0.25">
      <c r="A147" s="44"/>
      <c r="B147" s="11" t="str">
        <f>CONCATENATE("          ", "5043", " - ", "PURCHASES @ COST-CARDS")</f>
        <v xml:space="preserve">          5043 - PURCHASES @ COST-CARDS</v>
      </c>
      <c r="C147" s="11"/>
      <c r="D147" s="2">
        <v>3909.52</v>
      </c>
      <c r="E147" s="2"/>
      <c r="F147" s="19">
        <f t="shared" si="10"/>
        <v>1.6367723042076255E-3</v>
      </c>
      <c r="G147" s="2"/>
      <c r="H147" s="2"/>
      <c r="I147" s="2"/>
      <c r="J147" s="19">
        <f t="shared" si="11"/>
        <v>0</v>
      </c>
      <c r="K147" s="2"/>
      <c r="L147" s="2">
        <f t="shared" si="12"/>
        <v>3909.52</v>
      </c>
      <c r="M147" s="2"/>
      <c r="N147" s="19">
        <f t="shared" si="13"/>
        <v>0</v>
      </c>
      <c r="O147" s="11"/>
      <c r="P147" s="2">
        <v>10694.41</v>
      </c>
      <c r="Q147" s="2"/>
      <c r="R147" s="19">
        <f t="shared" si="14"/>
        <v>1.1272556113985381E-3</v>
      </c>
      <c r="S147" s="2"/>
      <c r="T147" s="2"/>
      <c r="U147" s="2"/>
      <c r="V147" s="19">
        <f t="shared" si="15"/>
        <v>0</v>
      </c>
      <c r="W147" s="2"/>
      <c r="X147" s="2">
        <f t="shared" si="16"/>
        <v>10694.41</v>
      </c>
      <c r="Y147" s="2"/>
      <c r="Z147" s="19">
        <f t="shared" si="17"/>
        <v>0</v>
      </c>
    </row>
    <row r="148" spans="1:26" s="24" customFormat="1" hidden="1" outlineLevel="1" x14ac:dyDescent="0.25">
      <c r="A148" s="44"/>
      <c r="B148" s="11" t="str">
        <f>CONCATENATE("          ", "5044", " - ", "PURCHASES @ COST-ACCESSORIES")</f>
        <v xml:space="preserve">          5044 - PURCHASES @ COST-ACCESSORIES</v>
      </c>
      <c r="C148" s="11"/>
      <c r="D148" s="2">
        <v>3179.63</v>
      </c>
      <c r="E148" s="2"/>
      <c r="F148" s="19">
        <f t="shared" si="10"/>
        <v>1.3311941930538001E-3</v>
      </c>
      <c r="G148" s="2"/>
      <c r="H148" s="2"/>
      <c r="I148" s="2"/>
      <c r="J148" s="19">
        <f t="shared" si="11"/>
        <v>0</v>
      </c>
      <c r="K148" s="2"/>
      <c r="L148" s="2">
        <f t="shared" si="12"/>
        <v>3179.63</v>
      </c>
      <c r="M148" s="2"/>
      <c r="N148" s="19">
        <f t="shared" si="13"/>
        <v>0</v>
      </c>
      <c r="O148" s="11"/>
      <c r="P148" s="2">
        <v>20867.21</v>
      </c>
      <c r="Q148" s="2"/>
      <c r="R148" s="19">
        <f t="shared" si="14"/>
        <v>2.1995303683636299E-3</v>
      </c>
      <c r="S148" s="2"/>
      <c r="T148" s="2"/>
      <c r="U148" s="2"/>
      <c r="V148" s="19">
        <f t="shared" si="15"/>
        <v>0</v>
      </c>
      <c r="W148" s="2"/>
      <c r="X148" s="2">
        <f t="shared" si="16"/>
        <v>20867.21</v>
      </c>
      <c r="Y148" s="2"/>
      <c r="Z148" s="19">
        <f t="shared" si="17"/>
        <v>0</v>
      </c>
    </row>
    <row r="149" spans="1:26" s="24" customFormat="1" hidden="1" outlineLevel="1" x14ac:dyDescent="0.25">
      <c r="A149" s="44"/>
      <c r="B149" s="11" t="str">
        <f>CONCATENATE("          ", "5045", " - ", "PURCHASES @ COST-SPECIAL ORDER")</f>
        <v xml:space="preserve">          5045 - PURCHASES @ COST-SPECIAL ORDER</v>
      </c>
      <c r="C149" s="11"/>
      <c r="D149" s="2">
        <v>6835.65</v>
      </c>
      <c r="E149" s="2"/>
      <c r="F149" s="19">
        <f t="shared" si="10"/>
        <v>2.861835366299918E-3</v>
      </c>
      <c r="G149" s="2"/>
      <c r="H149" s="2"/>
      <c r="I149" s="2"/>
      <c r="J149" s="19">
        <f t="shared" si="11"/>
        <v>0</v>
      </c>
      <c r="K149" s="2"/>
      <c r="L149" s="2">
        <f t="shared" si="12"/>
        <v>6835.65</v>
      </c>
      <c r="M149" s="2"/>
      <c r="N149" s="19">
        <f t="shared" si="13"/>
        <v>0</v>
      </c>
      <c r="O149" s="11"/>
      <c r="P149" s="2">
        <v>48016.23</v>
      </c>
      <c r="Q149" s="2"/>
      <c r="R149" s="19">
        <f t="shared" si="14"/>
        <v>5.0612015721954581E-3</v>
      </c>
      <c r="S149" s="2"/>
      <c r="T149" s="2"/>
      <c r="U149" s="2"/>
      <c r="V149" s="19">
        <f t="shared" si="15"/>
        <v>0</v>
      </c>
      <c r="W149" s="2"/>
      <c r="X149" s="2">
        <f t="shared" si="16"/>
        <v>48016.23</v>
      </c>
      <c r="Y149" s="2"/>
      <c r="Z149" s="19">
        <f t="shared" si="17"/>
        <v>0</v>
      </c>
    </row>
    <row r="150" spans="1:26" s="24" customFormat="1" hidden="1" outlineLevel="1" x14ac:dyDescent="0.25">
      <c r="A150" s="44"/>
      <c r="B150" s="11" t="str">
        <f>CONCATENATE("          ", "5081", " - ", "PURCHASES @ COST-ELECTRONICS")</f>
        <v xml:space="preserve">          5081 - PURCHASES @ COST-ELECTRONICS</v>
      </c>
      <c r="C150" s="11"/>
      <c r="D150" s="2">
        <v>32465.820000000003</v>
      </c>
      <c r="E150" s="2"/>
      <c r="F150" s="19">
        <f t="shared" si="10"/>
        <v>1.3592245341983163E-2</v>
      </c>
      <c r="G150" s="2"/>
      <c r="H150" s="2"/>
      <c r="I150" s="2"/>
      <c r="J150" s="19">
        <f t="shared" si="11"/>
        <v>0</v>
      </c>
      <c r="K150" s="2"/>
      <c r="L150" s="2">
        <f t="shared" si="12"/>
        <v>32465.820000000003</v>
      </c>
      <c r="M150" s="2"/>
      <c r="N150" s="19">
        <f t="shared" si="13"/>
        <v>0</v>
      </c>
      <c r="O150" s="11"/>
      <c r="P150" s="2">
        <v>221646.8</v>
      </c>
      <c r="Q150" s="2"/>
      <c r="R150" s="19">
        <f t="shared" si="14"/>
        <v>2.3362915677305196E-2</v>
      </c>
      <c r="S150" s="2"/>
      <c r="T150" s="2"/>
      <c r="U150" s="2"/>
      <c r="V150" s="19">
        <f t="shared" si="15"/>
        <v>0</v>
      </c>
      <c r="W150" s="2"/>
      <c r="X150" s="2">
        <f t="shared" si="16"/>
        <v>221646.8</v>
      </c>
      <c r="Y150" s="2"/>
      <c r="Z150" s="19">
        <f t="shared" si="17"/>
        <v>0</v>
      </c>
    </row>
    <row r="151" spans="1:26" s="24" customFormat="1" hidden="1" outlineLevel="1" x14ac:dyDescent="0.25">
      <c r="A151" s="44"/>
      <c r="B151" s="11" t="str">
        <f>CONCATENATE("          ", "5082", " - ", "PURCHASES @ COST-COMPUTER HARD")</f>
        <v xml:space="preserve">          5082 - PURCHASES @ COST-COMPUTER HARD</v>
      </c>
      <c r="C151" s="11"/>
      <c r="D151" s="2">
        <v>159135.18</v>
      </c>
      <c r="E151" s="2"/>
      <c r="F151" s="19">
        <f t="shared" si="10"/>
        <v>6.6624049819183739E-2</v>
      </c>
      <c r="G151" s="2"/>
      <c r="H151" s="2"/>
      <c r="I151" s="2"/>
      <c r="J151" s="19">
        <f t="shared" si="11"/>
        <v>0</v>
      </c>
      <c r="K151" s="2"/>
      <c r="L151" s="2">
        <f t="shared" si="12"/>
        <v>159135.18</v>
      </c>
      <c r="M151" s="2"/>
      <c r="N151" s="19">
        <f t="shared" si="13"/>
        <v>0</v>
      </c>
      <c r="O151" s="11"/>
      <c r="P151" s="2">
        <v>1167662.76</v>
      </c>
      <c r="Q151" s="2"/>
      <c r="R151" s="19">
        <f t="shared" si="14"/>
        <v>0.12307872976920695</v>
      </c>
      <c r="S151" s="2"/>
      <c r="T151" s="2"/>
      <c r="U151" s="2"/>
      <c r="V151" s="19">
        <f t="shared" si="15"/>
        <v>0</v>
      </c>
      <c r="W151" s="2"/>
      <c r="X151" s="2">
        <f t="shared" si="16"/>
        <v>1167662.76</v>
      </c>
      <c r="Y151" s="2"/>
      <c r="Z151" s="19">
        <f t="shared" si="17"/>
        <v>0</v>
      </c>
    </row>
    <row r="152" spans="1:26" s="24" customFormat="1" hidden="1" outlineLevel="1" x14ac:dyDescent="0.25">
      <c r="A152" s="44"/>
      <c r="B152" s="11" t="str">
        <f>CONCATENATE("          ", "5083", " - ", "PURCHASES @ COST-COMPUTER EQUI")</f>
        <v xml:space="preserve">          5083 - PURCHASES @ COST-COMPUTER EQUI</v>
      </c>
      <c r="C152" s="11"/>
      <c r="D152" s="2">
        <v>10530</v>
      </c>
      <c r="E152" s="2"/>
      <c r="F152" s="19">
        <f t="shared" si="10"/>
        <v>4.408523901478007E-3</v>
      </c>
      <c r="G152" s="2"/>
      <c r="H152" s="2"/>
      <c r="I152" s="2"/>
      <c r="J152" s="19">
        <f t="shared" si="11"/>
        <v>0</v>
      </c>
      <c r="K152" s="2"/>
      <c r="L152" s="2">
        <f t="shared" si="12"/>
        <v>10530</v>
      </c>
      <c r="M152" s="2"/>
      <c r="N152" s="19">
        <f t="shared" si="13"/>
        <v>0</v>
      </c>
      <c r="O152" s="11"/>
      <c r="P152" s="2">
        <v>65360.780000000006</v>
      </c>
      <c r="Q152" s="2"/>
      <c r="R152" s="19">
        <f t="shared" si="14"/>
        <v>6.8894222327725739E-3</v>
      </c>
      <c r="S152" s="2"/>
      <c r="T152" s="2"/>
      <c r="U152" s="2"/>
      <c r="V152" s="19">
        <f t="shared" si="15"/>
        <v>0</v>
      </c>
      <c r="W152" s="2"/>
      <c r="X152" s="2">
        <f t="shared" si="16"/>
        <v>65360.780000000006</v>
      </c>
      <c r="Y152" s="2"/>
      <c r="Z152" s="19">
        <f t="shared" si="17"/>
        <v>0</v>
      </c>
    </row>
    <row r="153" spans="1:26" s="24" customFormat="1" hidden="1" outlineLevel="1" x14ac:dyDescent="0.25">
      <c r="A153" s="44"/>
      <c r="B153" s="11" t="str">
        <f>CONCATENATE("          ", "5084", " - ", "PURCHASES @ COST-SOFTWARE LICE")</f>
        <v xml:space="preserve">          5084 - PURCHASES @ COST-SOFTWARE LICE</v>
      </c>
      <c r="C153" s="11"/>
      <c r="D153" s="2"/>
      <c r="E153" s="2"/>
      <c r="F153" s="19">
        <f t="shared" si="10"/>
        <v>0</v>
      </c>
      <c r="G153" s="2"/>
      <c r="H153" s="2"/>
      <c r="I153" s="2"/>
      <c r="J153" s="19">
        <f t="shared" si="11"/>
        <v>0</v>
      </c>
      <c r="K153" s="2"/>
      <c r="L153" s="2">
        <f t="shared" si="12"/>
        <v>0</v>
      </c>
      <c r="M153" s="2"/>
      <c r="N153" s="19">
        <f t="shared" si="13"/>
        <v>0</v>
      </c>
      <c r="O153" s="11"/>
      <c r="P153" s="2">
        <v>2728</v>
      </c>
      <c r="Q153" s="2"/>
      <c r="R153" s="19">
        <f t="shared" si="14"/>
        <v>2.8754772894392603E-4</v>
      </c>
      <c r="S153" s="2"/>
      <c r="T153" s="2"/>
      <c r="U153" s="2"/>
      <c r="V153" s="19">
        <f t="shared" si="15"/>
        <v>0</v>
      </c>
      <c r="W153" s="2"/>
      <c r="X153" s="2">
        <f t="shared" si="16"/>
        <v>2728</v>
      </c>
      <c r="Y153" s="2"/>
      <c r="Z153" s="19">
        <f t="shared" si="17"/>
        <v>0</v>
      </c>
    </row>
    <row r="154" spans="1:26" s="24" customFormat="1" hidden="1" outlineLevel="1" x14ac:dyDescent="0.25">
      <c r="A154" s="44"/>
      <c r="B154" s="11" t="str">
        <f>CONCATENATE("          ", "5085", " - ", "PURCHASES @ COST-SOFTWARE")</f>
        <v xml:space="preserve">          5085 - PURCHASES @ COST-SOFTWARE</v>
      </c>
      <c r="C154" s="11"/>
      <c r="D154" s="2"/>
      <c r="E154" s="2"/>
      <c r="F154" s="19">
        <f t="shared" si="10"/>
        <v>0</v>
      </c>
      <c r="G154" s="2"/>
      <c r="H154" s="2"/>
      <c r="I154" s="2"/>
      <c r="J154" s="19">
        <f t="shared" si="11"/>
        <v>0</v>
      </c>
      <c r="K154" s="2"/>
      <c r="L154" s="2">
        <f t="shared" si="12"/>
        <v>0</v>
      </c>
      <c r="M154" s="2"/>
      <c r="N154" s="19">
        <f t="shared" si="13"/>
        <v>0</v>
      </c>
      <c r="O154" s="11"/>
      <c r="P154" s="2">
        <v>7860.66</v>
      </c>
      <c r="Q154" s="2"/>
      <c r="R154" s="19">
        <f t="shared" si="14"/>
        <v>8.2856119171567503E-4</v>
      </c>
      <c r="S154" s="2"/>
      <c r="T154" s="2"/>
      <c r="U154" s="2"/>
      <c r="V154" s="19">
        <f t="shared" si="15"/>
        <v>0</v>
      </c>
      <c r="W154" s="2"/>
      <c r="X154" s="2">
        <f t="shared" si="16"/>
        <v>7860.66</v>
      </c>
      <c r="Y154" s="2"/>
      <c r="Z154" s="19">
        <f t="shared" si="17"/>
        <v>0</v>
      </c>
    </row>
    <row r="155" spans="1:26" s="24" customFormat="1" hidden="1" outlineLevel="1" x14ac:dyDescent="0.25">
      <c r="A155" s="44"/>
      <c r="B155" s="11" t="str">
        <f>CONCATENATE("          ", "5086", " - ", "PURCHASES @ COST-COMPUTER SUPP")</f>
        <v xml:space="preserve">          5086 - PURCHASES @ COST-COMPUTER SUPP</v>
      </c>
      <c r="C155" s="11"/>
      <c r="D155" s="2">
        <v>4364.12</v>
      </c>
      <c r="E155" s="2"/>
      <c r="F155" s="19">
        <f t="shared" si="10"/>
        <v>1.8270966124328773E-3</v>
      </c>
      <c r="G155" s="2"/>
      <c r="H155" s="2"/>
      <c r="I155" s="2"/>
      <c r="J155" s="19">
        <f t="shared" si="11"/>
        <v>0</v>
      </c>
      <c r="K155" s="2"/>
      <c r="L155" s="2">
        <f t="shared" si="12"/>
        <v>4364.12</v>
      </c>
      <c r="M155" s="2"/>
      <c r="N155" s="19">
        <f t="shared" si="13"/>
        <v>0</v>
      </c>
      <c r="O155" s="11"/>
      <c r="P155" s="2">
        <v>25347.759999999998</v>
      </c>
      <c r="Q155" s="2"/>
      <c r="R155" s="19">
        <f t="shared" si="14"/>
        <v>2.6718074860028187E-3</v>
      </c>
      <c r="S155" s="2"/>
      <c r="T155" s="2"/>
      <c r="U155" s="2"/>
      <c r="V155" s="19">
        <f t="shared" si="15"/>
        <v>0</v>
      </c>
      <c r="W155" s="2"/>
      <c r="X155" s="2">
        <f t="shared" si="16"/>
        <v>25347.759999999998</v>
      </c>
      <c r="Y155" s="2"/>
      <c r="Z155" s="19">
        <f t="shared" si="17"/>
        <v>0</v>
      </c>
    </row>
    <row r="156" spans="1:26" s="24" customFormat="1" hidden="1" outlineLevel="1" x14ac:dyDescent="0.25">
      <c r="A156" s="44"/>
      <c r="B156" s="11" t="str">
        <f>CONCATENATE("          ", "5088", " - ", "PURCHASES @ COST-MUSIC")</f>
        <v xml:space="preserve">          5088 - PURCHASES @ COST-MUSIC</v>
      </c>
      <c r="C156" s="11"/>
      <c r="D156" s="2"/>
      <c r="E156" s="2"/>
      <c r="F156" s="19">
        <f t="shared" si="10"/>
        <v>0</v>
      </c>
      <c r="G156" s="2"/>
      <c r="H156" s="2"/>
      <c r="I156" s="2"/>
      <c r="J156" s="19">
        <f t="shared" si="11"/>
        <v>0</v>
      </c>
      <c r="K156" s="2"/>
      <c r="L156" s="2">
        <f t="shared" si="12"/>
        <v>0</v>
      </c>
      <c r="M156" s="2"/>
      <c r="N156" s="19">
        <f t="shared" si="13"/>
        <v>0</v>
      </c>
      <c r="O156" s="11"/>
      <c r="P156" s="2">
        <v>88.75</v>
      </c>
      <c r="Q156" s="2"/>
      <c r="R156" s="19">
        <f t="shared" si="14"/>
        <v>9.3547877359873294E-6</v>
      </c>
      <c r="S156" s="2"/>
      <c r="T156" s="2"/>
      <c r="U156" s="2"/>
      <c r="V156" s="19">
        <f t="shared" si="15"/>
        <v>0</v>
      </c>
      <c r="W156" s="2"/>
      <c r="X156" s="2">
        <f t="shared" si="16"/>
        <v>88.75</v>
      </c>
      <c r="Y156" s="2"/>
      <c r="Z156" s="19">
        <f t="shared" si="17"/>
        <v>0</v>
      </c>
    </row>
    <row r="157" spans="1:26" s="24" customFormat="1" hidden="1" outlineLevel="1" x14ac:dyDescent="0.25">
      <c r="A157" s="44"/>
      <c r="B157" s="11" t="str">
        <f>CONCATENATE("          ", "5092", " - ", "PURCHASES @ COST-GRAD MERCH")</f>
        <v xml:space="preserve">          5092 - PURCHASES @ COST-GRAD MERCH</v>
      </c>
      <c r="C157" s="11"/>
      <c r="D157" s="2">
        <v>122.72</v>
      </c>
      <c r="E157" s="2"/>
      <c r="F157" s="19">
        <f t="shared" si="10"/>
        <v>5.1378352629570843E-5</v>
      </c>
      <c r="G157" s="2"/>
      <c r="H157" s="2"/>
      <c r="I157" s="2"/>
      <c r="J157" s="19">
        <f t="shared" si="11"/>
        <v>0</v>
      </c>
      <c r="K157" s="2"/>
      <c r="L157" s="2">
        <f t="shared" si="12"/>
        <v>122.72</v>
      </c>
      <c r="M157" s="2"/>
      <c r="N157" s="19">
        <f t="shared" si="13"/>
        <v>0</v>
      </c>
      <c r="O157" s="11"/>
      <c r="P157" s="2">
        <v>2046.86</v>
      </c>
      <c r="Q157" s="2"/>
      <c r="R157" s="19">
        <f t="shared" si="14"/>
        <v>2.1575144591868195E-4</v>
      </c>
      <c r="S157" s="2"/>
      <c r="T157" s="2"/>
      <c r="U157" s="2"/>
      <c r="V157" s="19">
        <f t="shared" si="15"/>
        <v>0</v>
      </c>
      <c r="W157" s="2"/>
      <c r="X157" s="2">
        <f t="shared" si="16"/>
        <v>2046.86</v>
      </c>
      <c r="Y157" s="2"/>
      <c r="Z157" s="19">
        <f t="shared" si="17"/>
        <v>0</v>
      </c>
    </row>
    <row r="158" spans="1:26" s="24" customFormat="1" hidden="1" outlineLevel="1" x14ac:dyDescent="0.25">
      <c r="A158" s="44"/>
      <c r="B158" s="11" t="str">
        <f>CONCATENATE("          ", "5095", " - ", "PURCHASES @ COST-CUSTOMER SERV")</f>
        <v xml:space="preserve">          5095 - PURCHASES @ COST-CUSTOMER SERV</v>
      </c>
      <c r="C158" s="11"/>
      <c r="D158" s="2"/>
      <c r="E158" s="2"/>
      <c r="F158" s="19">
        <f t="shared" si="10"/>
        <v>0</v>
      </c>
      <c r="G158" s="2"/>
      <c r="H158" s="2"/>
      <c r="I158" s="2"/>
      <c r="J158" s="19">
        <f t="shared" si="11"/>
        <v>0</v>
      </c>
      <c r="K158" s="2"/>
      <c r="L158" s="2">
        <f t="shared" si="12"/>
        <v>0</v>
      </c>
      <c r="M158" s="2"/>
      <c r="N158" s="19">
        <f t="shared" si="13"/>
        <v>0</v>
      </c>
      <c r="O158" s="11"/>
      <c r="P158" s="2">
        <v>0</v>
      </c>
      <c r="Q158" s="2"/>
      <c r="R158" s="19">
        <f t="shared" si="14"/>
        <v>0</v>
      </c>
      <c r="S158" s="2"/>
      <c r="T158" s="2"/>
      <c r="U158" s="2"/>
      <c r="V158" s="19">
        <f t="shared" si="15"/>
        <v>0</v>
      </c>
      <c r="W158" s="2"/>
      <c r="X158" s="2">
        <f t="shared" si="16"/>
        <v>0</v>
      </c>
      <c r="Y158" s="2"/>
      <c r="Z158" s="19">
        <f t="shared" si="17"/>
        <v>0</v>
      </c>
    </row>
    <row r="159" spans="1:26" s="24" customFormat="1" hidden="1" outlineLevel="1" x14ac:dyDescent="0.25">
      <c r="A159" s="44"/>
      <c r="B159" s="11" t="str">
        <f>CONCATENATE("          ", "5200", " - ", "PURCHASES OFFSET")</f>
        <v xml:space="preserve">          5200 - PURCHASES OFFSET</v>
      </c>
      <c r="C159" s="11"/>
      <c r="D159" s="2">
        <v>-1245332</v>
      </c>
      <c r="E159" s="2"/>
      <c r="F159" s="19">
        <f t="shared" si="10"/>
        <v>-0.52137472813631613</v>
      </c>
      <c r="G159" s="2"/>
      <c r="H159" s="2"/>
      <c r="I159" s="2"/>
      <c r="J159" s="19">
        <f t="shared" si="11"/>
        <v>0</v>
      </c>
      <c r="K159" s="2"/>
      <c r="L159" s="2">
        <f t="shared" si="12"/>
        <v>-1245332</v>
      </c>
      <c r="M159" s="2"/>
      <c r="N159" s="19">
        <f t="shared" si="13"/>
        <v>0</v>
      </c>
      <c r="O159" s="11"/>
      <c r="P159" s="2">
        <v>-5513495</v>
      </c>
      <c r="Q159" s="2"/>
      <c r="R159" s="19">
        <f t="shared" si="14"/>
        <v>-0.58115577924988682</v>
      </c>
      <c r="S159" s="2"/>
      <c r="T159" s="2"/>
      <c r="U159" s="2"/>
      <c r="V159" s="19">
        <f t="shared" si="15"/>
        <v>0</v>
      </c>
      <c r="W159" s="2"/>
      <c r="X159" s="2">
        <f t="shared" si="16"/>
        <v>-5513495</v>
      </c>
      <c r="Y159" s="2"/>
      <c r="Z159" s="19">
        <f t="shared" si="17"/>
        <v>0</v>
      </c>
    </row>
    <row r="160" spans="1:26" s="24" customFormat="1" hidden="1" outlineLevel="1" x14ac:dyDescent="0.25">
      <c r="A160" s="44"/>
      <c r="B160" s="11" t="str">
        <f>CONCATENATE("          ", "5300", " - ", "COG$ OFFSET")</f>
        <v xml:space="preserve">          5300 - COG$ OFFSET</v>
      </c>
      <c r="C160" s="11"/>
      <c r="D160" s="2">
        <v>914062</v>
      </c>
      <c r="E160" s="2"/>
      <c r="F160" s="19">
        <f t="shared" si="10"/>
        <v>0.38268415711612436</v>
      </c>
      <c r="G160" s="2"/>
      <c r="H160" s="2"/>
      <c r="I160" s="2"/>
      <c r="J160" s="19">
        <f t="shared" si="11"/>
        <v>0</v>
      </c>
      <c r="K160" s="2"/>
      <c r="L160" s="2">
        <f t="shared" si="12"/>
        <v>914062</v>
      </c>
      <c r="M160" s="2"/>
      <c r="N160" s="19">
        <f t="shared" si="13"/>
        <v>0</v>
      </c>
      <c r="O160" s="11"/>
      <c r="P160" s="2">
        <v>4834197.4700000007</v>
      </c>
      <c r="Q160" s="2"/>
      <c r="R160" s="19">
        <f t="shared" si="14"/>
        <v>0.50955370372616315</v>
      </c>
      <c r="S160" s="2"/>
      <c r="T160" s="2"/>
      <c r="U160" s="2"/>
      <c r="V160" s="19">
        <f t="shared" si="15"/>
        <v>0</v>
      </c>
      <c r="W160" s="2"/>
      <c r="X160" s="2">
        <f t="shared" si="16"/>
        <v>4834197.4700000007</v>
      </c>
      <c r="Y160" s="2"/>
      <c r="Z160" s="19">
        <f t="shared" si="17"/>
        <v>0</v>
      </c>
    </row>
    <row r="161" spans="1:26" s="24" customFormat="1" hidden="1" outlineLevel="1" x14ac:dyDescent="0.25">
      <c r="A161" s="44"/>
      <c r="B161" s="11" t="str">
        <f>CONCATENATE("          ", "5500", " - ", "FREIGHT-IN")</f>
        <v xml:space="preserve">          5500 - FREIGHT-IN</v>
      </c>
      <c r="C161" s="11"/>
      <c r="D161" s="2">
        <v>7.3</v>
      </c>
      <c r="E161" s="2"/>
      <c r="F161" s="19">
        <f t="shared" si="10"/>
        <v>3.0562416411006125E-6</v>
      </c>
      <c r="G161" s="2"/>
      <c r="H161" s="2"/>
      <c r="I161" s="2"/>
      <c r="J161" s="19">
        <f t="shared" si="11"/>
        <v>0</v>
      </c>
      <c r="K161" s="2"/>
      <c r="L161" s="2">
        <f t="shared" si="12"/>
        <v>7.3</v>
      </c>
      <c r="M161" s="2"/>
      <c r="N161" s="19">
        <f t="shared" si="13"/>
        <v>0</v>
      </c>
      <c r="O161" s="11"/>
      <c r="P161" s="2">
        <v>122.53</v>
      </c>
      <c r="Q161" s="2"/>
      <c r="R161" s="19">
        <f t="shared" si="14"/>
        <v>1.2915404408907352E-5</v>
      </c>
      <c r="S161" s="2"/>
      <c r="T161" s="2"/>
      <c r="U161" s="2"/>
      <c r="V161" s="19">
        <f t="shared" si="15"/>
        <v>0</v>
      </c>
      <c r="W161" s="2"/>
      <c r="X161" s="2">
        <f t="shared" si="16"/>
        <v>122.53</v>
      </c>
      <c r="Y161" s="2"/>
      <c r="Z161" s="19">
        <f t="shared" si="17"/>
        <v>0</v>
      </c>
    </row>
    <row r="162" spans="1:26" s="24" customFormat="1" hidden="1" outlineLevel="1" x14ac:dyDescent="0.25">
      <c r="A162" s="44"/>
      <c r="B162" s="11" t="str">
        <f>CONCATENATE("          ", "5501", " - ", "FREIGHT-IN-NEW TEXT")</f>
        <v xml:space="preserve">          5501 - FREIGHT-IN-NEW TEXT</v>
      </c>
      <c r="C162" s="11"/>
      <c r="D162" s="2">
        <v>3407.43</v>
      </c>
      <c r="E162" s="2"/>
      <c r="F162" s="19">
        <f t="shared" si="10"/>
        <v>1.4265656787856794E-3</v>
      </c>
      <c r="G162" s="2"/>
      <c r="H162" s="2"/>
      <c r="I162" s="2"/>
      <c r="J162" s="19">
        <f t="shared" si="11"/>
        <v>0</v>
      </c>
      <c r="K162" s="2"/>
      <c r="L162" s="2">
        <f t="shared" si="12"/>
        <v>3407.43</v>
      </c>
      <c r="M162" s="2"/>
      <c r="N162" s="19">
        <f t="shared" si="13"/>
        <v>0</v>
      </c>
      <c r="O162" s="11"/>
      <c r="P162" s="2">
        <v>42077.369999999995</v>
      </c>
      <c r="Q162" s="2"/>
      <c r="R162" s="19">
        <f t="shared" si="14"/>
        <v>4.4352097446602942E-3</v>
      </c>
      <c r="S162" s="2"/>
      <c r="T162" s="2"/>
      <c r="U162" s="2"/>
      <c r="V162" s="19">
        <f t="shared" si="15"/>
        <v>0</v>
      </c>
      <c r="W162" s="2"/>
      <c r="X162" s="2">
        <f t="shared" si="16"/>
        <v>42077.369999999995</v>
      </c>
      <c r="Y162" s="2"/>
      <c r="Z162" s="19">
        <f t="shared" si="17"/>
        <v>0</v>
      </c>
    </row>
    <row r="163" spans="1:26" s="24" customFormat="1" hidden="1" outlineLevel="1" x14ac:dyDescent="0.25">
      <c r="A163" s="44"/>
      <c r="B163" s="11" t="str">
        <f>CONCATENATE("          ", "5502", " - ", "FREIGHT-IN-USED TEXT")</f>
        <v xml:space="preserve">          5502 - FREIGHT-IN-USED TEXT</v>
      </c>
      <c r="C163" s="11"/>
      <c r="D163" s="2">
        <v>4124.8100000000004</v>
      </c>
      <c r="E163" s="2"/>
      <c r="F163" s="19">
        <f t="shared" si="10"/>
        <v>1.7269063128257833E-3</v>
      </c>
      <c r="G163" s="2"/>
      <c r="H163" s="2"/>
      <c r="I163" s="2"/>
      <c r="J163" s="19">
        <f t="shared" si="11"/>
        <v>0</v>
      </c>
      <c r="K163" s="2"/>
      <c r="L163" s="2">
        <f t="shared" si="12"/>
        <v>4124.8100000000004</v>
      </c>
      <c r="M163" s="2"/>
      <c r="N163" s="19">
        <f t="shared" si="13"/>
        <v>0</v>
      </c>
      <c r="O163" s="11"/>
      <c r="P163" s="2">
        <v>11778.23</v>
      </c>
      <c r="Q163" s="2"/>
      <c r="R163" s="19">
        <f t="shared" si="14"/>
        <v>1.2414968062607102E-3</v>
      </c>
      <c r="S163" s="2"/>
      <c r="T163" s="2"/>
      <c r="U163" s="2"/>
      <c r="V163" s="19">
        <f t="shared" si="15"/>
        <v>0</v>
      </c>
      <c r="W163" s="2"/>
      <c r="X163" s="2">
        <f t="shared" si="16"/>
        <v>11778.23</v>
      </c>
      <c r="Y163" s="2"/>
      <c r="Z163" s="19">
        <f t="shared" si="17"/>
        <v>0</v>
      </c>
    </row>
    <row r="164" spans="1:26" s="24" customFormat="1" hidden="1" outlineLevel="1" x14ac:dyDescent="0.25">
      <c r="A164" s="44"/>
      <c r="B164" s="11" t="str">
        <f>CONCATENATE("          ", "5504", " - ", "FREIGHT-IN-DIGITAL TEXT")</f>
        <v xml:space="preserve">          5504 - FREIGHT-IN-DIGITAL TEXT</v>
      </c>
      <c r="C164" s="11"/>
      <c r="D164" s="2"/>
      <c r="E164" s="2"/>
      <c r="F164" s="19">
        <f t="shared" si="10"/>
        <v>0</v>
      </c>
      <c r="G164" s="2"/>
      <c r="H164" s="2"/>
      <c r="I164" s="2"/>
      <c r="J164" s="19">
        <f t="shared" si="11"/>
        <v>0</v>
      </c>
      <c r="K164" s="2"/>
      <c r="L164" s="2">
        <f t="shared" si="12"/>
        <v>0</v>
      </c>
      <c r="M164" s="2"/>
      <c r="N164" s="19">
        <f t="shared" si="13"/>
        <v>0</v>
      </c>
      <c r="O164" s="11"/>
      <c r="P164" s="2">
        <v>105.97</v>
      </c>
      <c r="Q164" s="2"/>
      <c r="R164" s="19">
        <f t="shared" si="14"/>
        <v>1.1169880071916363E-5</v>
      </c>
      <c r="S164" s="2"/>
      <c r="T164" s="2"/>
      <c r="U164" s="2"/>
      <c r="V164" s="19">
        <f t="shared" si="15"/>
        <v>0</v>
      </c>
      <c r="W164" s="2"/>
      <c r="X164" s="2">
        <f t="shared" si="16"/>
        <v>105.97</v>
      </c>
      <c r="Y164" s="2"/>
      <c r="Z164" s="19">
        <f t="shared" si="17"/>
        <v>0</v>
      </c>
    </row>
    <row r="165" spans="1:26" s="24" customFormat="1" hidden="1" outlineLevel="1" x14ac:dyDescent="0.25">
      <c r="A165" s="44"/>
      <c r="B165" s="11" t="str">
        <f>CONCATENATE("          ", "5513", " - ", "FREIGHT-IN-TRADE BOOKS")</f>
        <v xml:space="preserve">          5513 - FREIGHT-IN-TRADE BOOKS</v>
      </c>
      <c r="C165" s="11"/>
      <c r="D165" s="2"/>
      <c r="E165" s="2"/>
      <c r="F165" s="19">
        <f t="shared" si="10"/>
        <v>0</v>
      </c>
      <c r="G165" s="2"/>
      <c r="H165" s="2"/>
      <c r="I165" s="2"/>
      <c r="J165" s="19">
        <f t="shared" si="11"/>
        <v>0</v>
      </c>
      <c r="K165" s="2"/>
      <c r="L165" s="2">
        <f t="shared" si="12"/>
        <v>0</v>
      </c>
      <c r="M165" s="2"/>
      <c r="N165" s="19">
        <f t="shared" si="13"/>
        <v>0</v>
      </c>
      <c r="O165" s="11"/>
      <c r="P165" s="2">
        <v>21.41</v>
      </c>
      <c r="Q165" s="2"/>
      <c r="R165" s="19">
        <f t="shared" si="14"/>
        <v>2.2567437231266334E-6</v>
      </c>
      <c r="S165" s="2"/>
      <c r="T165" s="2"/>
      <c r="U165" s="2"/>
      <c r="V165" s="19">
        <f t="shared" si="15"/>
        <v>0</v>
      </c>
      <c r="W165" s="2"/>
      <c r="X165" s="2">
        <f t="shared" si="16"/>
        <v>21.41</v>
      </c>
      <c r="Y165" s="2"/>
      <c r="Z165" s="19">
        <f t="shared" si="17"/>
        <v>0</v>
      </c>
    </row>
    <row r="166" spans="1:26" s="24" customFormat="1" hidden="1" outlineLevel="1" x14ac:dyDescent="0.25">
      <c r="A166" s="44"/>
      <c r="B166" s="11" t="str">
        <f>CONCATENATE("          ", "5518", " - ", "FREIGHT-IN-STUDY GUIDES")</f>
        <v xml:space="preserve">          5518 - FREIGHT-IN-STUDY GUIDES</v>
      </c>
      <c r="C166" s="11"/>
      <c r="D166" s="2"/>
      <c r="E166" s="2"/>
      <c r="F166" s="19">
        <f t="shared" si="10"/>
        <v>0</v>
      </c>
      <c r="G166" s="2"/>
      <c r="H166" s="2"/>
      <c r="I166" s="2"/>
      <c r="J166" s="19">
        <f t="shared" si="11"/>
        <v>0</v>
      </c>
      <c r="K166" s="2"/>
      <c r="L166" s="2">
        <f t="shared" si="12"/>
        <v>0</v>
      </c>
      <c r="M166" s="2"/>
      <c r="N166" s="19">
        <f t="shared" si="13"/>
        <v>0</v>
      </c>
      <c r="O166" s="11"/>
      <c r="P166" s="2">
        <v>21.13</v>
      </c>
      <c r="Q166" s="2"/>
      <c r="R166" s="19">
        <f t="shared" si="14"/>
        <v>2.2272300266074619E-6</v>
      </c>
      <c r="S166" s="2"/>
      <c r="T166" s="2"/>
      <c r="U166" s="2"/>
      <c r="V166" s="19">
        <f t="shared" si="15"/>
        <v>0</v>
      </c>
      <c r="W166" s="2"/>
      <c r="X166" s="2">
        <f t="shared" si="16"/>
        <v>21.13</v>
      </c>
      <c r="Y166" s="2"/>
      <c r="Z166" s="19">
        <f t="shared" si="17"/>
        <v>0</v>
      </c>
    </row>
    <row r="167" spans="1:26" s="24" customFormat="1" hidden="1" outlineLevel="1" x14ac:dyDescent="0.25">
      <c r="A167" s="44"/>
      <c r="B167" s="11" t="str">
        <f>CONCATENATE("          ", "5525", " - ", "FREIGHT-IN-TEST FORMS")</f>
        <v xml:space="preserve">          5525 - FREIGHT-IN-TEST FORMS</v>
      </c>
      <c r="C167" s="11"/>
      <c r="D167" s="2"/>
      <c r="E167" s="2"/>
      <c r="F167" s="19">
        <f t="shared" si="10"/>
        <v>0</v>
      </c>
      <c r="G167" s="2"/>
      <c r="H167" s="2"/>
      <c r="I167" s="2"/>
      <c r="J167" s="19">
        <f t="shared" si="11"/>
        <v>0</v>
      </c>
      <c r="K167" s="2"/>
      <c r="L167" s="2">
        <f t="shared" si="12"/>
        <v>0</v>
      </c>
      <c r="M167" s="2"/>
      <c r="N167" s="19">
        <f t="shared" si="13"/>
        <v>0</v>
      </c>
      <c r="O167" s="11"/>
      <c r="P167" s="2">
        <v>622.41</v>
      </c>
      <c r="Q167" s="2"/>
      <c r="R167" s="19">
        <f t="shared" si="14"/>
        <v>6.560578518034787E-5</v>
      </c>
      <c r="S167" s="2"/>
      <c r="T167" s="2"/>
      <c r="U167" s="2"/>
      <c r="V167" s="19">
        <f t="shared" si="15"/>
        <v>0</v>
      </c>
      <c r="W167" s="2"/>
      <c r="X167" s="2">
        <f t="shared" si="16"/>
        <v>622.41</v>
      </c>
      <c r="Y167" s="2"/>
      <c r="Z167" s="19">
        <f t="shared" si="17"/>
        <v>0</v>
      </c>
    </row>
    <row r="168" spans="1:26" s="24" customFormat="1" hidden="1" outlineLevel="1" x14ac:dyDescent="0.25">
      <c r="A168" s="44"/>
      <c r="B168" s="11" t="str">
        <f>CONCATENATE("          ", "5526", " - ", "FREIGHT-IN-WRITING INSTRUMENTS")</f>
        <v xml:space="preserve">          5526 - FREIGHT-IN-WRITING INSTRUMENTS</v>
      </c>
      <c r="C168" s="11"/>
      <c r="D168" s="2"/>
      <c r="E168" s="2"/>
      <c r="F168" s="19">
        <f t="shared" si="10"/>
        <v>0</v>
      </c>
      <c r="G168" s="2"/>
      <c r="H168" s="2"/>
      <c r="I168" s="2"/>
      <c r="J168" s="19">
        <f t="shared" si="11"/>
        <v>0</v>
      </c>
      <c r="K168" s="2"/>
      <c r="L168" s="2">
        <f t="shared" si="12"/>
        <v>0</v>
      </c>
      <c r="M168" s="2"/>
      <c r="N168" s="19">
        <f t="shared" si="13"/>
        <v>0</v>
      </c>
      <c r="O168" s="11"/>
      <c r="P168" s="2">
        <v>260.35000000000002</v>
      </c>
      <c r="Q168" s="2"/>
      <c r="R168" s="19">
        <f t="shared" si="14"/>
        <v>2.7442467459879452E-5</v>
      </c>
      <c r="S168" s="2"/>
      <c r="T168" s="2"/>
      <c r="U168" s="2"/>
      <c r="V168" s="19">
        <f t="shared" si="15"/>
        <v>0</v>
      </c>
      <c r="W168" s="2"/>
      <c r="X168" s="2">
        <f t="shared" si="16"/>
        <v>260.35000000000002</v>
      </c>
      <c r="Y168" s="2"/>
      <c r="Z168" s="19">
        <f t="shared" si="17"/>
        <v>0</v>
      </c>
    </row>
    <row r="169" spans="1:26" s="24" customFormat="1" hidden="1" outlineLevel="1" x14ac:dyDescent="0.25">
      <c r="A169" s="44"/>
      <c r="B169" s="11" t="str">
        <f>CONCATENATE("          ", "5527", " - ", "FREIGHT-IN-SCHOOL SUPPLIES")</f>
        <v xml:space="preserve">          5527 - FREIGHT-IN-SCHOOL SUPPLIES</v>
      </c>
      <c r="C169" s="11"/>
      <c r="D169" s="2">
        <v>321.92</v>
      </c>
      <c r="E169" s="2"/>
      <c r="F169" s="19">
        <f t="shared" si="10"/>
        <v>1.3477606974015194E-4</v>
      </c>
      <c r="G169" s="2"/>
      <c r="H169" s="2"/>
      <c r="I169" s="2"/>
      <c r="J169" s="19">
        <f t="shared" si="11"/>
        <v>0</v>
      </c>
      <c r="K169" s="2"/>
      <c r="L169" s="2">
        <f t="shared" si="12"/>
        <v>321.92</v>
      </c>
      <c r="M169" s="2"/>
      <c r="N169" s="19">
        <f t="shared" si="13"/>
        <v>0</v>
      </c>
      <c r="O169" s="11"/>
      <c r="P169" s="2">
        <v>1219.8399999999999</v>
      </c>
      <c r="Q169" s="2"/>
      <c r="R169" s="19">
        <f t="shared" si="14"/>
        <v>1.2857852700694968E-4</v>
      </c>
      <c r="S169" s="2"/>
      <c r="T169" s="2"/>
      <c r="U169" s="2"/>
      <c r="V169" s="19">
        <f t="shared" si="15"/>
        <v>0</v>
      </c>
      <c r="W169" s="2"/>
      <c r="X169" s="2">
        <f t="shared" si="16"/>
        <v>1219.8399999999999</v>
      </c>
      <c r="Y169" s="2"/>
      <c r="Z169" s="19">
        <f t="shared" si="17"/>
        <v>0</v>
      </c>
    </row>
    <row r="170" spans="1:26" s="24" customFormat="1" hidden="1" outlineLevel="1" x14ac:dyDescent="0.25">
      <c r="A170" s="44"/>
      <c r="B170" s="11" t="str">
        <f>CONCATENATE("          ", "5528", " - ", "FREIGHT-IN-ART/TECH")</f>
        <v xml:space="preserve">          5528 - FREIGHT-IN-ART/TECH</v>
      </c>
      <c r="C170" s="11"/>
      <c r="D170" s="2">
        <v>220.82</v>
      </c>
      <c r="E170" s="2"/>
      <c r="F170" s="19">
        <f t="shared" si="10"/>
        <v>9.244921632710099E-5</v>
      </c>
      <c r="G170" s="2"/>
      <c r="H170" s="2"/>
      <c r="I170" s="2"/>
      <c r="J170" s="19">
        <f t="shared" si="11"/>
        <v>0</v>
      </c>
      <c r="K170" s="2"/>
      <c r="L170" s="2">
        <f t="shared" si="12"/>
        <v>220.82</v>
      </c>
      <c r="M170" s="2"/>
      <c r="N170" s="19">
        <f t="shared" si="13"/>
        <v>0</v>
      </c>
      <c r="O170" s="11"/>
      <c r="P170" s="2">
        <v>1331.46</v>
      </c>
      <c r="Q170" s="2"/>
      <c r="R170" s="19">
        <f t="shared" si="14"/>
        <v>1.4034395131219931E-4</v>
      </c>
      <c r="S170" s="2"/>
      <c r="T170" s="2"/>
      <c r="U170" s="2"/>
      <c r="V170" s="19">
        <f t="shared" si="15"/>
        <v>0</v>
      </c>
      <c r="W170" s="2"/>
      <c r="X170" s="2">
        <f t="shared" si="16"/>
        <v>1331.46</v>
      </c>
      <c r="Y170" s="2"/>
      <c r="Z170" s="19">
        <f t="shared" si="17"/>
        <v>0</v>
      </c>
    </row>
    <row r="171" spans="1:26" s="24" customFormat="1" hidden="1" outlineLevel="1" x14ac:dyDescent="0.25">
      <c r="A171" s="44"/>
      <c r="B171" s="11" t="str">
        <f>CONCATENATE("          ", "5540", " - ", "FREIGHT-IN-LOGO CLOTHING")</f>
        <v xml:space="preserve">          5540 - FREIGHT-IN-LOGO CLOTHING</v>
      </c>
      <c r="C171" s="11"/>
      <c r="D171" s="2">
        <v>1400.5</v>
      </c>
      <c r="E171" s="2"/>
      <c r="F171" s="19">
        <f t="shared" si="10"/>
        <v>5.8633786552895995E-4</v>
      </c>
      <c r="G171" s="2"/>
      <c r="H171" s="2"/>
      <c r="I171" s="2"/>
      <c r="J171" s="19">
        <f t="shared" si="11"/>
        <v>0</v>
      </c>
      <c r="K171" s="2"/>
      <c r="L171" s="2">
        <f t="shared" si="12"/>
        <v>1400.5</v>
      </c>
      <c r="M171" s="2"/>
      <c r="N171" s="19">
        <f t="shared" si="13"/>
        <v>0</v>
      </c>
      <c r="O171" s="11"/>
      <c r="P171" s="2">
        <v>25677.89</v>
      </c>
      <c r="Q171" s="2"/>
      <c r="R171" s="19">
        <f t="shared" si="14"/>
        <v>2.7066051882595117E-3</v>
      </c>
      <c r="S171" s="2"/>
      <c r="T171" s="2"/>
      <c r="U171" s="2"/>
      <c r="V171" s="19">
        <f t="shared" si="15"/>
        <v>0</v>
      </c>
      <c r="W171" s="2"/>
      <c r="X171" s="2">
        <f t="shared" si="16"/>
        <v>25677.89</v>
      </c>
      <c r="Y171" s="2"/>
      <c r="Z171" s="19">
        <f t="shared" si="17"/>
        <v>0</v>
      </c>
    </row>
    <row r="172" spans="1:26" s="24" customFormat="1" hidden="1" outlineLevel="1" x14ac:dyDescent="0.25">
      <c r="A172" s="44"/>
      <c r="B172" s="11" t="str">
        <f>CONCATENATE("          ", "5541", " - ", "FREIGHT-IN-LOGO GIFTS")</f>
        <v xml:space="preserve">          5541 - FREIGHT-IN-LOGO GIFTS</v>
      </c>
      <c r="C172" s="11"/>
      <c r="D172" s="2">
        <v>24.8</v>
      </c>
      <c r="E172" s="2"/>
      <c r="F172" s="19">
        <f t="shared" si="10"/>
        <v>1.0382848314971944E-5</v>
      </c>
      <c r="G172" s="2"/>
      <c r="H172" s="2"/>
      <c r="I172" s="2"/>
      <c r="J172" s="19">
        <f t="shared" si="11"/>
        <v>0</v>
      </c>
      <c r="K172" s="2"/>
      <c r="L172" s="2">
        <f t="shared" si="12"/>
        <v>24.8</v>
      </c>
      <c r="M172" s="2"/>
      <c r="N172" s="19">
        <f t="shared" si="13"/>
        <v>0</v>
      </c>
      <c r="O172" s="11"/>
      <c r="P172" s="2">
        <v>3587.57</v>
      </c>
      <c r="Q172" s="2"/>
      <c r="R172" s="19">
        <f t="shared" si="14"/>
        <v>3.7815161507601201E-4</v>
      </c>
      <c r="S172" s="2"/>
      <c r="T172" s="2"/>
      <c r="U172" s="2"/>
      <c r="V172" s="19">
        <f t="shared" si="15"/>
        <v>0</v>
      </c>
      <c r="W172" s="2"/>
      <c r="X172" s="2">
        <f t="shared" si="16"/>
        <v>3587.57</v>
      </c>
      <c r="Y172" s="2"/>
      <c r="Z172" s="19">
        <f t="shared" si="17"/>
        <v>0</v>
      </c>
    </row>
    <row r="173" spans="1:26" s="24" customFormat="1" hidden="1" outlineLevel="1" x14ac:dyDescent="0.25">
      <c r="A173" s="44"/>
      <c r="B173" s="11" t="str">
        <f>CONCATENATE("          ", "5542", " - ", "FREIGHT-IN-EVERYDAY GIFTS")</f>
        <v xml:space="preserve">          5542 - FREIGHT-IN-EVERYDAY GIFTS</v>
      </c>
      <c r="C173" s="11"/>
      <c r="D173" s="2"/>
      <c r="E173" s="2"/>
      <c r="F173" s="19">
        <f t="shared" si="10"/>
        <v>0</v>
      </c>
      <c r="G173" s="2"/>
      <c r="H173" s="2"/>
      <c r="I173" s="2"/>
      <c r="J173" s="19">
        <f t="shared" si="11"/>
        <v>0</v>
      </c>
      <c r="K173" s="2"/>
      <c r="L173" s="2">
        <f t="shared" si="12"/>
        <v>0</v>
      </c>
      <c r="M173" s="2"/>
      <c r="N173" s="19">
        <f t="shared" si="13"/>
        <v>0</v>
      </c>
      <c r="O173" s="11"/>
      <c r="P173" s="2">
        <v>1708.33</v>
      </c>
      <c r="Q173" s="2"/>
      <c r="R173" s="19">
        <f t="shared" si="14"/>
        <v>1.800683327664139E-4</v>
      </c>
      <c r="S173" s="2"/>
      <c r="T173" s="2"/>
      <c r="U173" s="2"/>
      <c r="V173" s="19">
        <f t="shared" si="15"/>
        <v>0</v>
      </c>
      <c r="W173" s="2"/>
      <c r="X173" s="2">
        <f t="shared" si="16"/>
        <v>1708.33</v>
      </c>
      <c r="Y173" s="2"/>
      <c r="Z173" s="19">
        <f t="shared" si="17"/>
        <v>0</v>
      </c>
    </row>
    <row r="174" spans="1:26" s="24" customFormat="1" hidden="1" outlineLevel="1" x14ac:dyDescent="0.25">
      <c r="A174" s="44"/>
      <c r="B174" s="11" t="str">
        <f>CONCATENATE("          ", "5543", " - ", "FREIGHT-IN-CARDS")</f>
        <v xml:space="preserve">          5543 - FREIGHT-IN-CARDS</v>
      </c>
      <c r="C174" s="11"/>
      <c r="D174" s="2"/>
      <c r="E174" s="2"/>
      <c r="F174" s="19">
        <f t="shared" si="10"/>
        <v>0</v>
      </c>
      <c r="G174" s="2"/>
      <c r="H174" s="2"/>
      <c r="I174" s="2"/>
      <c r="J174" s="19">
        <f t="shared" si="11"/>
        <v>0</v>
      </c>
      <c r="K174" s="2"/>
      <c r="L174" s="2">
        <f t="shared" si="12"/>
        <v>0</v>
      </c>
      <c r="M174" s="2"/>
      <c r="N174" s="19">
        <f t="shared" si="13"/>
        <v>0</v>
      </c>
      <c r="O174" s="11"/>
      <c r="P174" s="2">
        <v>121.35</v>
      </c>
      <c r="Q174" s="2"/>
      <c r="R174" s="19">
        <f t="shared" si="14"/>
        <v>1.2791025259290843E-5</v>
      </c>
      <c r="S174" s="2"/>
      <c r="T174" s="2"/>
      <c r="U174" s="2"/>
      <c r="V174" s="19">
        <f t="shared" si="15"/>
        <v>0</v>
      </c>
      <c r="W174" s="2"/>
      <c r="X174" s="2">
        <f t="shared" si="16"/>
        <v>121.35</v>
      </c>
      <c r="Y174" s="2"/>
      <c r="Z174" s="19">
        <f t="shared" si="17"/>
        <v>0</v>
      </c>
    </row>
    <row r="175" spans="1:26" s="24" customFormat="1" hidden="1" outlineLevel="1" x14ac:dyDescent="0.25">
      <c r="A175" s="44"/>
      <c r="B175" s="11" t="str">
        <f>CONCATENATE("          ", "5544", " - ", "FREIGHT-IN-ACCESSORIES")</f>
        <v xml:space="preserve">          5544 - FREIGHT-IN-ACCESSORIES</v>
      </c>
      <c r="C175" s="11"/>
      <c r="D175" s="2"/>
      <c r="E175" s="2"/>
      <c r="F175" s="19">
        <f t="shared" si="10"/>
        <v>0</v>
      </c>
      <c r="G175" s="2"/>
      <c r="H175" s="2"/>
      <c r="I175" s="2"/>
      <c r="J175" s="19">
        <f t="shared" si="11"/>
        <v>0</v>
      </c>
      <c r="K175" s="2"/>
      <c r="L175" s="2">
        <f t="shared" si="12"/>
        <v>0</v>
      </c>
      <c r="M175" s="2"/>
      <c r="N175" s="19">
        <f t="shared" si="13"/>
        <v>0</v>
      </c>
      <c r="O175" s="11"/>
      <c r="P175" s="2">
        <v>442.31</v>
      </c>
      <c r="Q175" s="2"/>
      <c r="R175" s="19">
        <f t="shared" si="14"/>
        <v>4.6622153954980907E-5</v>
      </c>
      <c r="S175" s="2"/>
      <c r="T175" s="2"/>
      <c r="U175" s="2"/>
      <c r="V175" s="19">
        <f t="shared" si="15"/>
        <v>0</v>
      </c>
      <c r="W175" s="2"/>
      <c r="X175" s="2">
        <f t="shared" si="16"/>
        <v>442.31</v>
      </c>
      <c r="Y175" s="2"/>
      <c r="Z175" s="19">
        <f t="shared" si="17"/>
        <v>0</v>
      </c>
    </row>
    <row r="176" spans="1:26" s="24" customFormat="1" hidden="1" outlineLevel="1" x14ac:dyDescent="0.25">
      <c r="A176" s="44"/>
      <c r="B176" s="11" t="str">
        <f>CONCATENATE("          ", "5545", " - ", "FREIGHT-IN-SPECIAL ORDERS")</f>
        <v xml:space="preserve">          5545 - FREIGHT-IN-SPECIAL ORDERS</v>
      </c>
      <c r="C176" s="11"/>
      <c r="D176" s="2">
        <v>14.23</v>
      </c>
      <c r="E176" s="2"/>
      <c r="F176" s="19">
        <f t="shared" si="10"/>
        <v>5.9575778839536598E-6</v>
      </c>
      <c r="G176" s="2"/>
      <c r="H176" s="2"/>
      <c r="I176" s="2"/>
      <c r="J176" s="19">
        <f t="shared" si="11"/>
        <v>0</v>
      </c>
      <c r="K176" s="2"/>
      <c r="L176" s="2">
        <f t="shared" si="12"/>
        <v>14.23</v>
      </c>
      <c r="M176" s="2"/>
      <c r="N176" s="19">
        <f t="shared" si="13"/>
        <v>0</v>
      </c>
      <c r="O176" s="11"/>
      <c r="P176" s="2">
        <v>841.9</v>
      </c>
      <c r="Q176" s="2"/>
      <c r="R176" s="19">
        <f t="shared" si="14"/>
        <v>8.874136106960825E-5</v>
      </c>
      <c r="S176" s="2"/>
      <c r="T176" s="2"/>
      <c r="U176" s="2"/>
      <c r="V176" s="19">
        <f t="shared" si="15"/>
        <v>0</v>
      </c>
      <c r="W176" s="2"/>
      <c r="X176" s="2">
        <f t="shared" si="16"/>
        <v>841.9</v>
      </c>
      <c r="Y176" s="2"/>
      <c r="Z176" s="19">
        <f t="shared" si="17"/>
        <v>0</v>
      </c>
    </row>
    <row r="177" spans="1:26" s="24" customFormat="1" hidden="1" outlineLevel="1" x14ac:dyDescent="0.25">
      <c r="A177" s="44"/>
      <c r="B177" s="11" t="str">
        <f>CONCATENATE("          ", "5581", " - ", "FREIGHT-IN-ELECTRONICS")</f>
        <v xml:space="preserve">          5581 - FREIGHT-IN-ELECTRONICS</v>
      </c>
      <c r="C177" s="11"/>
      <c r="D177" s="2"/>
      <c r="E177" s="2"/>
      <c r="F177" s="19">
        <f t="shared" si="10"/>
        <v>0</v>
      </c>
      <c r="G177" s="2"/>
      <c r="H177" s="2"/>
      <c r="I177" s="2"/>
      <c r="J177" s="19">
        <f t="shared" si="11"/>
        <v>0</v>
      </c>
      <c r="K177" s="2"/>
      <c r="L177" s="2">
        <f t="shared" si="12"/>
        <v>0</v>
      </c>
      <c r="M177" s="2"/>
      <c r="N177" s="19">
        <f t="shared" si="13"/>
        <v>0</v>
      </c>
      <c r="O177" s="11"/>
      <c r="P177" s="2">
        <v>105.75</v>
      </c>
      <c r="Q177" s="2"/>
      <c r="R177" s="19">
        <f t="shared" si="14"/>
        <v>1.1146690738937015E-5</v>
      </c>
      <c r="S177" s="2"/>
      <c r="T177" s="2"/>
      <c r="U177" s="2"/>
      <c r="V177" s="19">
        <f t="shared" si="15"/>
        <v>0</v>
      </c>
      <c r="W177" s="2"/>
      <c r="X177" s="2">
        <f t="shared" si="16"/>
        <v>105.75</v>
      </c>
      <c r="Y177" s="2"/>
      <c r="Z177" s="19">
        <f t="shared" si="17"/>
        <v>0</v>
      </c>
    </row>
    <row r="178" spans="1:26" s="24" customFormat="1" hidden="1" outlineLevel="1" x14ac:dyDescent="0.25">
      <c r="A178" s="44"/>
      <c r="B178" s="11" t="str">
        <f>CONCATENATE("          ", "5582", " - ", "FREIGHT-IN-COMPUTER HARDWARE")</f>
        <v xml:space="preserve">          5582 - FREIGHT-IN-COMPUTER HARDWARE</v>
      </c>
      <c r="C178" s="11"/>
      <c r="D178" s="2"/>
      <c r="E178" s="2"/>
      <c r="F178" s="19">
        <f t="shared" si="10"/>
        <v>0</v>
      </c>
      <c r="G178" s="2"/>
      <c r="H178" s="2"/>
      <c r="I178" s="2"/>
      <c r="J178" s="19">
        <f t="shared" si="11"/>
        <v>0</v>
      </c>
      <c r="K178" s="2"/>
      <c r="L178" s="2">
        <f t="shared" si="12"/>
        <v>0</v>
      </c>
      <c r="M178" s="2"/>
      <c r="N178" s="19">
        <f t="shared" si="13"/>
        <v>0</v>
      </c>
      <c r="O178" s="11"/>
      <c r="P178" s="2">
        <v>4.84</v>
      </c>
      <c r="Q178" s="2"/>
      <c r="R178" s="19">
        <f t="shared" si="14"/>
        <v>5.1016532554567515E-7</v>
      </c>
      <c r="S178" s="2"/>
      <c r="T178" s="2"/>
      <c r="U178" s="2"/>
      <c r="V178" s="19">
        <f t="shared" si="15"/>
        <v>0</v>
      </c>
      <c r="W178" s="2"/>
      <c r="X178" s="2">
        <f t="shared" si="16"/>
        <v>4.84</v>
      </c>
      <c r="Y178" s="2"/>
      <c r="Z178" s="19">
        <f t="shared" si="17"/>
        <v>0</v>
      </c>
    </row>
    <row r="179" spans="1:26" s="24" customFormat="1" hidden="1" outlineLevel="1" x14ac:dyDescent="0.25">
      <c r="A179" s="44"/>
      <c r="B179" s="11" t="str">
        <f>CONCATENATE("          ", "5583", " - ", "FREIGHT-IN-COMPUTER EQUIPMENT")</f>
        <v xml:space="preserve">          5583 - FREIGHT-IN-COMPUTER EQUIPMENT</v>
      </c>
      <c r="C179" s="11"/>
      <c r="D179" s="2"/>
      <c r="E179" s="2"/>
      <c r="F179" s="19">
        <f t="shared" si="10"/>
        <v>0</v>
      </c>
      <c r="G179" s="2"/>
      <c r="H179" s="2"/>
      <c r="I179" s="2"/>
      <c r="J179" s="19">
        <f t="shared" si="11"/>
        <v>0</v>
      </c>
      <c r="K179" s="2"/>
      <c r="L179" s="2">
        <f t="shared" si="12"/>
        <v>0</v>
      </c>
      <c r="M179" s="2"/>
      <c r="N179" s="19">
        <f t="shared" si="13"/>
        <v>0</v>
      </c>
      <c r="O179" s="11"/>
      <c r="P179" s="2">
        <v>49.12</v>
      </c>
      <c r="Q179" s="2"/>
      <c r="R179" s="19">
        <f t="shared" si="14"/>
        <v>5.177545617934621E-6</v>
      </c>
      <c r="S179" s="2"/>
      <c r="T179" s="2"/>
      <c r="U179" s="2"/>
      <c r="V179" s="19">
        <f t="shared" si="15"/>
        <v>0</v>
      </c>
      <c r="W179" s="2"/>
      <c r="X179" s="2">
        <f t="shared" si="16"/>
        <v>49.12</v>
      </c>
      <c r="Y179" s="2"/>
      <c r="Z179" s="19">
        <f t="shared" si="17"/>
        <v>0</v>
      </c>
    </row>
    <row r="180" spans="1:26" s="24" customFormat="1" hidden="1" outlineLevel="1" x14ac:dyDescent="0.25">
      <c r="A180" s="44"/>
      <c r="B180" s="11" t="str">
        <f>CONCATENATE("          ", "5586", " - ", "FREIGHT-IN-COMPUTER SUPPLIES")</f>
        <v xml:space="preserve">          5586 - FREIGHT-IN-COMPUTER SUPPLIES</v>
      </c>
      <c r="C180" s="11"/>
      <c r="D180" s="2">
        <v>33.31</v>
      </c>
      <c r="E180" s="2"/>
      <c r="F180" s="19">
        <f t="shared" si="10"/>
        <v>1.3945672474665947E-5</v>
      </c>
      <c r="G180" s="2"/>
      <c r="H180" s="2"/>
      <c r="I180" s="2"/>
      <c r="J180" s="19">
        <f t="shared" si="11"/>
        <v>0</v>
      </c>
      <c r="K180" s="2"/>
      <c r="L180" s="2">
        <f t="shared" si="12"/>
        <v>33.31</v>
      </c>
      <c r="M180" s="2"/>
      <c r="N180" s="19">
        <f t="shared" si="13"/>
        <v>0</v>
      </c>
      <c r="O180" s="11"/>
      <c r="P180" s="2">
        <v>195.82</v>
      </c>
      <c r="Q180" s="2"/>
      <c r="R180" s="19">
        <f t="shared" si="14"/>
        <v>2.0640614472800437E-5</v>
      </c>
      <c r="S180" s="2"/>
      <c r="T180" s="2"/>
      <c r="U180" s="2"/>
      <c r="V180" s="19">
        <f t="shared" si="15"/>
        <v>0</v>
      </c>
      <c r="W180" s="2"/>
      <c r="X180" s="2">
        <f t="shared" si="16"/>
        <v>195.82</v>
      </c>
      <c r="Y180" s="2"/>
      <c r="Z180" s="19">
        <f t="shared" si="17"/>
        <v>0</v>
      </c>
    </row>
    <row r="181" spans="1:26" s="24" customFormat="1" hidden="1" outlineLevel="1" x14ac:dyDescent="0.25">
      <c r="A181" s="44"/>
      <c r="B181" s="11" t="str">
        <f>CONCATENATE("          ", "5592", " - ", "FREIGHT-IN-GRAD MERCH")</f>
        <v xml:space="preserve">          5592 - FREIGHT-IN-GRAD MERCH</v>
      </c>
      <c r="C181" s="11"/>
      <c r="D181" s="2"/>
      <c r="E181" s="2"/>
      <c r="F181" s="19">
        <f t="shared" si="10"/>
        <v>0</v>
      </c>
      <c r="G181" s="2"/>
      <c r="H181" s="2"/>
      <c r="I181" s="2"/>
      <c r="J181" s="19">
        <f t="shared" si="11"/>
        <v>0</v>
      </c>
      <c r="K181" s="2"/>
      <c r="L181" s="2">
        <f t="shared" si="12"/>
        <v>0</v>
      </c>
      <c r="M181" s="2"/>
      <c r="N181" s="19">
        <f t="shared" si="13"/>
        <v>0</v>
      </c>
      <c r="O181" s="11"/>
      <c r="P181" s="2">
        <v>105.78</v>
      </c>
      <c r="Q181" s="2"/>
      <c r="R181" s="19">
        <f t="shared" si="14"/>
        <v>1.1149852920706926E-5</v>
      </c>
      <c r="S181" s="2"/>
      <c r="T181" s="2"/>
      <c r="U181" s="2"/>
      <c r="V181" s="19">
        <f t="shared" si="15"/>
        <v>0</v>
      </c>
      <c r="W181" s="2"/>
      <c r="X181" s="2">
        <f t="shared" si="16"/>
        <v>105.78</v>
      </c>
      <c r="Y181" s="2"/>
      <c r="Z181" s="19">
        <f t="shared" si="17"/>
        <v>0</v>
      </c>
    </row>
    <row r="182" spans="1:26" x14ac:dyDescent="0.25">
      <c r="A182" s="9"/>
      <c r="B182" s="10"/>
      <c r="C182" s="10"/>
      <c r="D182" s="3"/>
      <c r="E182" s="3"/>
      <c r="F182" s="8"/>
      <c r="G182" s="3"/>
      <c r="H182" s="3"/>
      <c r="I182" s="3"/>
      <c r="J182" s="8"/>
      <c r="K182" s="3"/>
      <c r="L182" s="3"/>
      <c r="M182" s="3"/>
      <c r="N182" s="8"/>
      <c r="O182" s="10"/>
      <c r="P182" s="3"/>
      <c r="Q182" s="3"/>
      <c r="R182" s="8"/>
      <c r="S182" s="3"/>
      <c r="T182" s="3"/>
      <c r="U182" s="3"/>
      <c r="V182" s="8"/>
      <c r="W182" s="3"/>
      <c r="X182" s="3"/>
      <c r="Y182" s="3"/>
      <c r="Z182" s="8"/>
    </row>
    <row r="183" spans="1:26" s="23" customFormat="1" x14ac:dyDescent="0.25">
      <c r="A183" s="10"/>
      <c r="B183" s="29" t="s">
        <v>6</v>
      </c>
      <c r="C183" s="29"/>
      <c r="D183" s="21">
        <f>D12-D123</f>
        <v>1017769.7300000002</v>
      </c>
      <c r="E183" s="14"/>
      <c r="F183" s="20">
        <f>IF(D$12=0,0,D183/D$12)</f>
        <v>0.42610277121612711</v>
      </c>
      <c r="G183" s="14"/>
      <c r="H183" s="21">
        <f>H12-H123</f>
        <v>904588.82936000009</v>
      </c>
      <c r="I183" s="14"/>
      <c r="J183" s="20">
        <f>IF(H$12=0,0,H183/H$12)</f>
        <v>0.33230755871093259</v>
      </c>
      <c r="K183" s="16"/>
      <c r="L183" s="21">
        <f>+D183-H183</f>
        <v>113180.90064000012</v>
      </c>
      <c r="M183" s="16"/>
      <c r="N183" s="20">
        <f>IF(H183=0,0,L183/H183)</f>
        <v>0.12511861407804031</v>
      </c>
      <c r="O183" s="28"/>
      <c r="P183" s="21">
        <f>P12-P123</f>
        <v>3488861.9899999956</v>
      </c>
      <c r="Q183" s="14"/>
      <c r="R183" s="20">
        <f>IF(P$12=0,0,P183/P$12)</f>
        <v>0.36774719275047107</v>
      </c>
      <c r="S183" s="14"/>
      <c r="T183" s="21">
        <f>T12-T123</f>
        <v>3708600.9907800006</v>
      </c>
      <c r="U183" s="14"/>
      <c r="V183" s="20">
        <f>IF(T$12=0,0,T183/T$12)</f>
        <v>0.37149705402429584</v>
      </c>
      <c r="W183" s="16"/>
      <c r="X183" s="21">
        <f>+P183-T183</f>
        <v>-219739.00078000501</v>
      </c>
      <c r="Y183" s="16"/>
      <c r="Z183" s="20">
        <f>IF(T183=0,0,X183/T183)</f>
        <v>-5.925118429464396E-2</v>
      </c>
    </row>
    <row r="184" spans="1:26" x14ac:dyDescent="0.25">
      <c r="A184" s="9"/>
      <c r="B184" s="10"/>
      <c r="C184" s="9"/>
      <c r="D184" s="1"/>
      <c r="E184" s="1"/>
      <c r="F184" s="5"/>
      <c r="G184" s="1"/>
      <c r="H184" s="1"/>
      <c r="I184" s="1"/>
      <c r="J184" s="5"/>
      <c r="K184" s="1"/>
      <c r="L184" s="1"/>
      <c r="M184" s="1"/>
      <c r="N184" s="5"/>
      <c r="O184" s="36"/>
      <c r="P184" s="1"/>
      <c r="Q184" s="1"/>
      <c r="R184" s="5"/>
      <c r="S184" s="1"/>
      <c r="T184" s="1"/>
      <c r="U184" s="1"/>
      <c r="V184" s="5"/>
      <c r="W184" s="1"/>
      <c r="X184" s="1"/>
      <c r="Y184" s="1"/>
      <c r="Z184" s="5"/>
    </row>
    <row r="185" spans="1:26" s="23" customFormat="1" x14ac:dyDescent="0.25">
      <c r="A185" s="10"/>
      <c r="B185" s="28" t="s">
        <v>9</v>
      </c>
      <c r="C185" s="10"/>
      <c r="D185" s="22">
        <f>SUM(OSRRefD22x_0)</f>
        <v>487627.04000000015</v>
      </c>
      <c r="E185" s="22"/>
      <c r="F185" s="35">
        <f t="shared" ref="F185:F196" si="18">IF(D$12=0,0,D185/D$12)</f>
        <v>0.20415151574994991</v>
      </c>
      <c r="G185" s="22"/>
      <c r="H185" s="22">
        <f>SUM(OSRRefH22x_0)</f>
        <v>480653.71619861177</v>
      </c>
      <c r="I185" s="22"/>
      <c r="J185" s="35">
        <f t="shared" ref="J185:J196" si="19">IF(H$12=0,0,H185/H$12)</f>
        <v>0.1765717835895719</v>
      </c>
      <c r="K185" s="4"/>
      <c r="L185" s="22">
        <f t="shared" ref="L185:L196" si="20">+D185-H185</f>
        <v>6973.323801388382</v>
      </c>
      <c r="M185" s="4"/>
      <c r="N185" s="35">
        <f t="shared" ref="N185:N196" si="21">IF(H185=0,0,L185/H185)</f>
        <v>1.4507999348343585E-2</v>
      </c>
      <c r="O185" s="10"/>
      <c r="P185" s="22">
        <f>SUM(OSRRefP22x_0)</f>
        <v>2856147.3600000008</v>
      </c>
      <c r="Q185" s="22"/>
      <c r="R185" s="35">
        <f t="shared" ref="R185:R196" si="22">IF(P$12=0,0,P185/P$12)</f>
        <v>0.30105523713240107</v>
      </c>
      <c r="S185" s="22"/>
      <c r="T185" s="22">
        <f>SUM(OSRRefT22x_0)</f>
        <v>3018119.7975368192</v>
      </c>
      <c r="U185" s="22"/>
      <c r="V185" s="35">
        <f t="shared" ref="V185:V196" si="23">IF(T$12=0,0,T185/T$12)</f>
        <v>0.30233034404747722</v>
      </c>
      <c r="W185" s="4"/>
      <c r="X185" s="22">
        <f t="shared" ref="X185:X196" si="24">+P185-T185</f>
        <v>-161972.43753681844</v>
      </c>
      <c r="Y185" s="4"/>
      <c r="Z185" s="35">
        <f t="shared" ref="Z185:Z196" si="25">IF(T185=0,0,X185/T185)</f>
        <v>-5.3666669450632525E-2</v>
      </c>
    </row>
    <row r="186" spans="1:26" s="27" customFormat="1" outlineLevel="1" collapsed="1" x14ac:dyDescent="0.25">
      <c r="A186" s="26"/>
      <c r="B186" s="13" t="str">
        <f>CONCATENATE("     ","*Benefits                                         ")</f>
        <v xml:space="preserve">     *Benefits                                         </v>
      </c>
      <c r="C186" s="13"/>
      <c r="D186" s="1">
        <f>SUM(OSRRefD22_0x_0)</f>
        <v>51322.009999999995</v>
      </c>
      <c r="E186" s="1"/>
      <c r="F186" s="5">
        <f t="shared" si="18"/>
        <v>2.148663891328521E-2</v>
      </c>
      <c r="G186" s="1"/>
      <c r="H186" s="1">
        <f>SUM(OSRRefH22_0x_0)</f>
        <v>56316.700774285724</v>
      </c>
      <c r="I186" s="1"/>
      <c r="J186" s="5">
        <f t="shared" si="19"/>
        <v>2.0688366627517975E-2</v>
      </c>
      <c r="K186" s="1"/>
      <c r="L186" s="1">
        <f t="shared" si="20"/>
        <v>-4994.6907742857293</v>
      </c>
      <c r="M186" s="1"/>
      <c r="N186" s="5">
        <f t="shared" si="21"/>
        <v>-8.8689335589884399E-2</v>
      </c>
      <c r="O186" s="13"/>
      <c r="P186" s="1">
        <f>SUM(OSRRefP22_0x_0)</f>
        <v>371289.59000000008</v>
      </c>
      <c r="Q186" s="1"/>
      <c r="R186" s="5">
        <f t="shared" si="22"/>
        <v>3.9136172428526926E-2</v>
      </c>
      <c r="S186" s="1"/>
      <c r="T186" s="1">
        <f>SUM(OSRRefT22_0x_0)</f>
        <v>366403.75695107336</v>
      </c>
      <c r="U186" s="1"/>
      <c r="V186" s="5">
        <f t="shared" si="23"/>
        <v>3.6703305809700833E-2</v>
      </c>
      <c r="W186" s="1"/>
      <c r="X186" s="1">
        <f t="shared" si="24"/>
        <v>4885.8330489267246</v>
      </c>
      <c r="Y186" s="1"/>
      <c r="Z186" s="5">
        <f t="shared" si="25"/>
        <v>1.3334560457520472E-2</v>
      </c>
    </row>
    <row r="187" spans="1:26" s="24" customFormat="1" hidden="1" outlineLevel="2" x14ac:dyDescent="0.25">
      <c r="A187" s="25"/>
      <c r="B187" s="11" t="str">
        <f>CONCATENATE("          ", "6111", " - ", "F.I.C.A.")</f>
        <v xml:space="preserve">          6111 - F.I.C.A.</v>
      </c>
      <c r="C187" s="11"/>
      <c r="D187" s="7">
        <v>7647.92</v>
      </c>
      <c r="E187" s="2"/>
      <c r="F187" s="6">
        <f t="shared" si="18"/>
        <v>3.2019029550419448E-3</v>
      </c>
      <c r="G187" s="2"/>
      <c r="H187" s="7">
        <v>9911.9546787576346</v>
      </c>
      <c r="I187" s="2"/>
      <c r="J187" s="6">
        <f t="shared" si="19"/>
        <v>3.6412316341356368E-3</v>
      </c>
      <c r="K187" s="2"/>
      <c r="L187" s="7">
        <f t="shared" si="20"/>
        <v>-2264.0346787576345</v>
      </c>
      <c r="M187" s="2"/>
      <c r="N187" s="6">
        <f t="shared" si="21"/>
        <v>-0.22841455112882023</v>
      </c>
      <c r="O187" s="11"/>
      <c r="P187" s="7">
        <v>72435.86</v>
      </c>
      <c r="Q187" s="2"/>
      <c r="R187" s="6">
        <f t="shared" si="22"/>
        <v>7.6351785326613537E-3</v>
      </c>
      <c r="S187" s="2"/>
      <c r="T187" s="7">
        <v>70025.091010625853</v>
      </c>
      <c r="U187" s="2"/>
      <c r="V187" s="6">
        <f t="shared" si="23"/>
        <v>7.0145359619179096E-3</v>
      </c>
      <c r="W187" s="2"/>
      <c r="X187" s="7">
        <f t="shared" si="24"/>
        <v>2410.7689893741481</v>
      </c>
      <c r="Y187" s="2"/>
      <c r="Z187" s="6">
        <f t="shared" si="25"/>
        <v>3.4427216795881489E-2</v>
      </c>
    </row>
    <row r="188" spans="1:26" s="24" customFormat="1" hidden="1" outlineLevel="2" x14ac:dyDescent="0.25">
      <c r="A188" s="25"/>
      <c r="B188" s="11" t="str">
        <f>CONCATENATE("          ", "6112", " - ", "COMPENSATION INSURANCE")</f>
        <v xml:space="preserve">          6112 - COMPENSATION INSURANCE</v>
      </c>
      <c r="C188" s="11"/>
      <c r="D188" s="7">
        <v>3704.39</v>
      </c>
      <c r="E188" s="2"/>
      <c r="F188" s="6">
        <f t="shared" si="18"/>
        <v>1.5508919140926982E-3</v>
      </c>
      <c r="G188" s="2"/>
      <c r="H188" s="7">
        <v>4868.1234491673031</v>
      </c>
      <c r="I188" s="2"/>
      <c r="J188" s="6">
        <f t="shared" si="19"/>
        <v>1.7883420250068421E-3</v>
      </c>
      <c r="K188" s="2"/>
      <c r="L188" s="7">
        <f t="shared" si="20"/>
        <v>-1163.7334491673032</v>
      </c>
      <c r="M188" s="2"/>
      <c r="N188" s="6">
        <f t="shared" si="21"/>
        <v>-0.2390517539908239</v>
      </c>
      <c r="O188" s="11"/>
      <c r="P188" s="7">
        <v>18114.8</v>
      </c>
      <c r="Q188" s="2"/>
      <c r="R188" s="6">
        <f t="shared" si="22"/>
        <v>1.9094096775195862E-3</v>
      </c>
      <c r="S188" s="2"/>
      <c r="T188" s="7">
        <v>26537.650281917293</v>
      </c>
      <c r="U188" s="2"/>
      <c r="V188" s="6">
        <f t="shared" si="23"/>
        <v>2.6583228891350224E-3</v>
      </c>
      <c r="W188" s="2"/>
      <c r="X188" s="7">
        <f t="shared" si="24"/>
        <v>-8422.8502819172936</v>
      </c>
      <c r="Y188" s="2"/>
      <c r="Z188" s="6">
        <f t="shared" si="25"/>
        <v>-0.31739246664414028</v>
      </c>
    </row>
    <row r="189" spans="1:26" s="24" customFormat="1" hidden="1" outlineLevel="2" x14ac:dyDescent="0.25">
      <c r="A189" s="25"/>
      <c r="B189" s="11" t="str">
        <f>CONCATENATE("          ", "6113", " - ", "GROUP INSURANCE")</f>
        <v xml:space="preserve">          6113 - GROUP INSURANCE</v>
      </c>
      <c r="C189" s="11"/>
      <c r="D189" s="7">
        <v>18811.96</v>
      </c>
      <c r="E189" s="2"/>
      <c r="F189" s="6">
        <f t="shared" si="18"/>
        <v>7.875876096262887E-3</v>
      </c>
      <c r="G189" s="2"/>
      <c r="H189" s="7">
        <v>20168.711538461539</v>
      </c>
      <c r="I189" s="2"/>
      <c r="J189" s="6">
        <f t="shared" si="19"/>
        <v>7.4091289613127474E-3</v>
      </c>
      <c r="K189" s="2"/>
      <c r="L189" s="7">
        <f t="shared" si="20"/>
        <v>-1356.7515384615399</v>
      </c>
      <c r="M189" s="2"/>
      <c r="N189" s="6">
        <f t="shared" si="21"/>
        <v>-6.7270114695935218E-2</v>
      </c>
      <c r="O189" s="11"/>
      <c r="P189" s="7">
        <v>136166.71</v>
      </c>
      <c r="Q189" s="2"/>
      <c r="R189" s="6">
        <f t="shared" si="22"/>
        <v>1.4352796267692881E-2</v>
      </c>
      <c r="S189" s="2"/>
      <c r="T189" s="7">
        <v>139294.21153846156</v>
      </c>
      <c r="U189" s="2"/>
      <c r="V189" s="6">
        <f t="shared" si="23"/>
        <v>1.3953345037070684E-2</v>
      </c>
      <c r="W189" s="2"/>
      <c r="X189" s="7">
        <f t="shared" si="24"/>
        <v>-3127.501538461569</v>
      </c>
      <c r="Y189" s="2"/>
      <c r="Z189" s="6">
        <f t="shared" si="25"/>
        <v>-2.2452487464620963E-2</v>
      </c>
    </row>
    <row r="190" spans="1:26" s="24" customFormat="1" hidden="1" outlineLevel="2" x14ac:dyDescent="0.25">
      <c r="A190" s="25"/>
      <c r="B190" s="11" t="str">
        <f>CONCATENATE("          ", "6114", " - ", "STATE UNEMPLOYMENT INSURANCE")</f>
        <v xml:space="preserve">          6114 - STATE UNEMPLOYMENT INSURANCE</v>
      </c>
      <c r="C190" s="11"/>
      <c r="D190" s="7">
        <v>583.25</v>
      </c>
      <c r="E190" s="2"/>
      <c r="F190" s="6">
        <f t="shared" si="18"/>
        <v>2.4418533385916878E-4</v>
      </c>
      <c r="G190" s="2"/>
      <c r="H190" s="7">
        <v>687.13127694349794</v>
      </c>
      <c r="I190" s="2"/>
      <c r="J190" s="6">
        <f t="shared" si="19"/>
        <v>2.5242287959333982E-4</v>
      </c>
      <c r="K190" s="2"/>
      <c r="L190" s="7">
        <f t="shared" si="20"/>
        <v>-103.88127694349794</v>
      </c>
      <c r="M190" s="2"/>
      <c r="N190" s="6">
        <f t="shared" si="21"/>
        <v>-0.15118112132165393</v>
      </c>
      <c r="O190" s="11"/>
      <c r="P190" s="7">
        <v>3700.32</v>
      </c>
      <c r="Q190" s="2"/>
      <c r="R190" s="6">
        <f t="shared" si="22"/>
        <v>3.9003614822792827E-4</v>
      </c>
      <c r="S190" s="2"/>
      <c r="T190" s="7">
        <v>3759.1404882657698</v>
      </c>
      <c r="U190" s="2"/>
      <c r="V190" s="6">
        <f t="shared" si="23"/>
        <v>3.7655968396871662E-4</v>
      </c>
      <c r="W190" s="2"/>
      <c r="X190" s="7">
        <f t="shared" si="24"/>
        <v>-58.820488265769654</v>
      </c>
      <c r="Y190" s="2"/>
      <c r="Z190" s="6">
        <f t="shared" si="25"/>
        <v>-1.5647323756422235E-2</v>
      </c>
    </row>
    <row r="191" spans="1:26" s="24" customFormat="1" hidden="1" outlineLevel="2" x14ac:dyDescent="0.25">
      <c r="A191" s="25"/>
      <c r="B191" s="11" t="str">
        <f>CONCATENATE("          ", "6115", " - ", "P.E.R.S.")</f>
        <v xml:space="preserve">          6115 - P.E.R.S.</v>
      </c>
      <c r="C191" s="11"/>
      <c r="D191" s="7">
        <v>9305.31</v>
      </c>
      <c r="E191" s="2"/>
      <c r="F191" s="6">
        <f t="shared" si="18"/>
        <v>3.8957912199109506E-3</v>
      </c>
      <c r="G191" s="2"/>
      <c r="H191" s="7">
        <v>7952.472050673071</v>
      </c>
      <c r="I191" s="2"/>
      <c r="J191" s="6">
        <f t="shared" si="19"/>
        <v>2.9214008476600231E-3</v>
      </c>
      <c r="K191" s="2"/>
      <c r="L191" s="7">
        <f t="shared" si="20"/>
        <v>1352.8379493269285</v>
      </c>
      <c r="M191" s="2"/>
      <c r="N191" s="6">
        <f t="shared" si="21"/>
        <v>0.17011539816885352</v>
      </c>
      <c r="O191" s="11"/>
      <c r="P191" s="7">
        <v>52358.270000000004</v>
      </c>
      <c r="Q191" s="2"/>
      <c r="R191" s="6">
        <f t="shared" si="22"/>
        <v>5.5188788966029668E-3</v>
      </c>
      <c r="S191" s="2"/>
      <c r="T191" s="7">
        <v>48918.945914173033</v>
      </c>
      <c r="U191" s="2"/>
      <c r="V191" s="6">
        <f t="shared" si="23"/>
        <v>4.9002964563375452E-3</v>
      </c>
      <c r="W191" s="2"/>
      <c r="X191" s="7">
        <f t="shared" si="24"/>
        <v>3439.324085826971</v>
      </c>
      <c r="Y191" s="2"/>
      <c r="Z191" s="6">
        <f t="shared" si="25"/>
        <v>7.0306586161140355E-2</v>
      </c>
    </row>
    <row r="192" spans="1:26" s="24" customFormat="1" hidden="1" outlineLevel="2" x14ac:dyDescent="0.25">
      <c r="A192" s="25"/>
      <c r="B192" s="11" t="str">
        <f>CONCATENATE("          ", "6116", " - ", "EDUCATIONAL BENEFITS")</f>
        <v xml:space="preserve">          6116 - EDUCATIONAL BENEFITS</v>
      </c>
      <c r="C192" s="11"/>
      <c r="D192" s="7"/>
      <c r="E192" s="2"/>
      <c r="F192" s="6">
        <f t="shared" si="18"/>
        <v>0</v>
      </c>
      <c r="G192" s="2"/>
      <c r="H192" s="7">
        <v>0</v>
      </c>
      <c r="I192" s="2"/>
      <c r="J192" s="6">
        <f t="shared" si="19"/>
        <v>0</v>
      </c>
      <c r="K192" s="2"/>
      <c r="L192" s="7">
        <f t="shared" si="20"/>
        <v>0</v>
      </c>
      <c r="M192" s="2"/>
      <c r="N192" s="6">
        <f t="shared" si="21"/>
        <v>0</v>
      </c>
      <c r="O192" s="11"/>
      <c r="P192" s="7"/>
      <c r="Q192" s="2"/>
      <c r="R192" s="6">
        <f t="shared" si="22"/>
        <v>0</v>
      </c>
      <c r="S192" s="2"/>
      <c r="T192" s="7">
        <v>0</v>
      </c>
      <c r="U192" s="2"/>
      <c r="V192" s="6">
        <f t="shared" si="23"/>
        <v>0</v>
      </c>
      <c r="W192" s="2"/>
      <c r="X192" s="7">
        <f t="shared" si="24"/>
        <v>0</v>
      </c>
      <c r="Y192" s="2"/>
      <c r="Z192" s="6">
        <f t="shared" si="25"/>
        <v>0</v>
      </c>
    </row>
    <row r="193" spans="1:26" s="24" customFormat="1" hidden="1" outlineLevel="2" x14ac:dyDescent="0.25">
      <c r="A193" s="25"/>
      <c r="B193" s="11" t="str">
        <f>CONCATENATE("          ", "6117", " - ", "RETIREMENT STAFF HOURLY")</f>
        <v xml:space="preserve">          6117 - RETIREMENT STAFF HOURLY</v>
      </c>
      <c r="C193" s="11"/>
      <c r="D193" s="7">
        <v>376.62</v>
      </c>
      <c r="E193" s="2"/>
      <c r="F193" s="6">
        <f t="shared" si="18"/>
        <v>1.5767694888648118E-4</v>
      </c>
      <c r="G193" s="2"/>
      <c r="H193" s="7"/>
      <c r="I193" s="2"/>
      <c r="J193" s="6">
        <f t="shared" si="19"/>
        <v>0</v>
      </c>
      <c r="K193" s="2"/>
      <c r="L193" s="7">
        <f t="shared" si="20"/>
        <v>376.62</v>
      </c>
      <c r="M193" s="2"/>
      <c r="N193" s="6">
        <f t="shared" si="21"/>
        <v>0</v>
      </c>
      <c r="O193" s="11"/>
      <c r="P193" s="7">
        <v>2147.59</v>
      </c>
      <c r="Q193" s="2"/>
      <c r="R193" s="6">
        <f t="shared" si="22"/>
        <v>2.2636899824145387E-4</v>
      </c>
      <c r="S193" s="2"/>
      <c r="T193" s="7"/>
      <c r="U193" s="2"/>
      <c r="V193" s="6">
        <f t="shared" si="23"/>
        <v>0</v>
      </c>
      <c r="W193" s="2"/>
      <c r="X193" s="7">
        <f t="shared" si="24"/>
        <v>2147.59</v>
      </c>
      <c r="Y193" s="2"/>
      <c r="Z193" s="6">
        <f t="shared" si="25"/>
        <v>0</v>
      </c>
    </row>
    <row r="194" spans="1:26" s="24" customFormat="1" hidden="1" outlineLevel="2" x14ac:dyDescent="0.25">
      <c r="A194" s="25"/>
      <c r="B194" s="11" t="str">
        <f>CONCATENATE("          ", "6118", " - ", "VACATION")</f>
        <v xml:space="preserve">          6118 - VACATION</v>
      </c>
      <c r="C194" s="11"/>
      <c r="D194" s="7">
        <v>4385.49</v>
      </c>
      <c r="E194" s="2"/>
      <c r="F194" s="6">
        <f t="shared" si="18"/>
        <v>1.8360434458397704E-3</v>
      </c>
      <c r="G194" s="2"/>
      <c r="H194" s="7">
        <v>5739.1526909807671</v>
      </c>
      <c r="I194" s="2"/>
      <c r="J194" s="6">
        <f t="shared" si="19"/>
        <v>2.1083212150192297E-3</v>
      </c>
      <c r="K194" s="2"/>
      <c r="L194" s="7">
        <f t="shared" si="20"/>
        <v>-1353.6626909807674</v>
      </c>
      <c r="M194" s="2"/>
      <c r="N194" s="6">
        <f t="shared" si="21"/>
        <v>-0.23586455420642227</v>
      </c>
      <c r="O194" s="11"/>
      <c r="P194" s="7">
        <v>39557.879999999997</v>
      </c>
      <c r="Q194" s="2"/>
      <c r="R194" s="6">
        <f t="shared" si="22"/>
        <v>4.1696402330778414E-3</v>
      </c>
      <c r="S194" s="2"/>
      <c r="T194" s="7">
        <v>35298.202684080752</v>
      </c>
      <c r="U194" s="2"/>
      <c r="V194" s="6">
        <f t="shared" si="23"/>
        <v>3.5358827606661726E-3</v>
      </c>
      <c r="W194" s="2"/>
      <c r="X194" s="7">
        <f t="shared" si="24"/>
        <v>4259.6773159192453</v>
      </c>
      <c r="Y194" s="2"/>
      <c r="Z194" s="6">
        <f t="shared" si="25"/>
        <v>0.12067688981343888</v>
      </c>
    </row>
    <row r="195" spans="1:26" s="24" customFormat="1" hidden="1" outlineLevel="2" x14ac:dyDescent="0.25">
      <c r="A195" s="25"/>
      <c r="B195" s="11" t="str">
        <f>CONCATENATE("          ", "6119", " - ", "SICK LEAVE")</f>
        <v xml:space="preserve">          6119 - SICK LEAVE</v>
      </c>
      <c r="C195" s="11"/>
      <c r="D195" s="7">
        <v>3553.89</v>
      </c>
      <c r="E195" s="2"/>
      <c r="F195" s="6">
        <f t="shared" si="18"/>
        <v>1.4878830966974048E-3</v>
      </c>
      <c r="G195" s="2"/>
      <c r="H195" s="7">
        <v>5439.1550893019075</v>
      </c>
      <c r="I195" s="2"/>
      <c r="J195" s="6">
        <f t="shared" si="19"/>
        <v>1.9981148235655916E-3</v>
      </c>
      <c r="K195" s="2"/>
      <c r="L195" s="7">
        <f t="shared" si="20"/>
        <v>-1885.2650893019077</v>
      </c>
      <c r="M195" s="2"/>
      <c r="N195" s="6">
        <f t="shared" si="21"/>
        <v>-0.34660991612649039</v>
      </c>
      <c r="O195" s="11"/>
      <c r="P195" s="7">
        <v>31371.260000000002</v>
      </c>
      <c r="Q195" s="2"/>
      <c r="R195" s="6">
        <f t="shared" si="22"/>
        <v>3.3067208823714914E-3</v>
      </c>
      <c r="S195" s="2"/>
      <c r="T195" s="7">
        <v>31720.515033549091</v>
      </c>
      <c r="U195" s="2"/>
      <c r="V195" s="6">
        <f t="shared" si="23"/>
        <v>3.1774995251291306E-3</v>
      </c>
      <c r="W195" s="2"/>
      <c r="X195" s="7">
        <f t="shared" si="24"/>
        <v>-349.25503354908869</v>
      </c>
      <c r="Y195" s="2"/>
      <c r="Z195" s="6">
        <f t="shared" si="25"/>
        <v>-1.101038344363893E-2</v>
      </c>
    </row>
    <row r="196" spans="1:26" s="24" customFormat="1" hidden="1" outlineLevel="2" x14ac:dyDescent="0.25">
      <c r="A196" s="25"/>
      <c r="B196" s="11" t="str">
        <f>CONCATENATE("          ", "6156", " - ", "EMPLOYEE MEALS")</f>
        <v xml:space="preserve">          6156 - EMPLOYEE MEALS</v>
      </c>
      <c r="C196" s="11"/>
      <c r="D196" s="7">
        <v>2953.18</v>
      </c>
      <c r="E196" s="2"/>
      <c r="F196" s="6">
        <f t="shared" si="18"/>
        <v>1.2363879026939049E-3</v>
      </c>
      <c r="G196" s="2"/>
      <c r="H196" s="7">
        <v>1550</v>
      </c>
      <c r="I196" s="2"/>
      <c r="J196" s="6">
        <f t="shared" si="19"/>
        <v>5.6940424122456194E-4</v>
      </c>
      <c r="K196" s="2"/>
      <c r="L196" s="7">
        <f t="shared" si="20"/>
        <v>1403.1799999999998</v>
      </c>
      <c r="M196" s="2"/>
      <c r="N196" s="6">
        <f t="shared" si="21"/>
        <v>0.90527741935483863</v>
      </c>
      <c r="O196" s="11"/>
      <c r="P196" s="7">
        <v>15436.9</v>
      </c>
      <c r="Q196" s="2"/>
      <c r="R196" s="6">
        <f t="shared" si="22"/>
        <v>1.6271427921314117E-3</v>
      </c>
      <c r="S196" s="2"/>
      <c r="T196" s="7">
        <v>10850</v>
      </c>
      <c r="U196" s="2"/>
      <c r="V196" s="6">
        <f t="shared" si="23"/>
        <v>1.0868634954756499E-3</v>
      </c>
      <c r="W196" s="2"/>
      <c r="X196" s="7">
        <f t="shared" si="24"/>
        <v>4586.8999999999996</v>
      </c>
      <c r="Y196" s="2"/>
      <c r="Z196" s="6">
        <f t="shared" si="25"/>
        <v>0.42275576036866358</v>
      </c>
    </row>
    <row r="197" spans="1:26" s="27" customFormat="1" outlineLevel="1" collapsed="1" x14ac:dyDescent="0.25">
      <c r="A197" s="26"/>
      <c r="B197" s="13" t="str">
        <f>CONCATENATE("     ","*Payroll                                          ")</f>
        <v xml:space="preserve">     *Payroll                                          </v>
      </c>
      <c r="C197" s="13"/>
      <c r="D197" s="1">
        <f>SUM(OSRRefD22_1x_0)</f>
        <v>279314.69</v>
      </c>
      <c r="E197" s="1"/>
      <c r="F197" s="5">
        <f t="shared" ref="F197:F207" si="26">IF(D$12=0,0,D197/D$12)</f>
        <v>0.11693879267796012</v>
      </c>
      <c r="G197" s="1"/>
      <c r="H197" s="1">
        <f>SUM(OSRRefH22_1x_0)</f>
        <v>254833.51542432612</v>
      </c>
      <c r="I197" s="1"/>
      <c r="J197" s="5">
        <f t="shared" ref="J197:J207" si="27">IF(H$12=0,0,H197/H$12)</f>
        <v>9.3615022250823299E-2</v>
      </c>
      <c r="K197" s="1"/>
      <c r="L197" s="1">
        <f t="shared" ref="L197:L207" si="28">+D197-H197</f>
        <v>24481.174575673882</v>
      </c>
      <c r="M197" s="1"/>
      <c r="N197" s="5">
        <f t="shared" ref="N197:N207" si="29">IF(H197=0,0,L197/H197)</f>
        <v>9.6067326681539542E-2</v>
      </c>
      <c r="O197" s="13"/>
      <c r="P197" s="1">
        <f>SUM(OSRRefP22_1x_0)</f>
        <v>1371374.3399999999</v>
      </c>
      <c r="Q197" s="1"/>
      <c r="R197" s="5">
        <f t="shared" ref="R197:R207" si="30">IF(P$12=0,0,P197/P$12)</f>
        <v>0.14455116458906722</v>
      </c>
      <c r="S197" s="1"/>
      <c r="T197" s="1">
        <f>SUM(OSRRefT22_1x_0)</f>
        <v>1387589.5405857461</v>
      </c>
      <c r="U197" s="1"/>
      <c r="V197" s="5">
        <f t="shared" ref="V197:V207" si="31">IF(T$12=0,0,T197/T$12)</f>
        <v>0.1389972735821636</v>
      </c>
      <c r="W197" s="1"/>
      <c r="X197" s="1">
        <f t="shared" ref="X197:X207" si="32">+P197-T197</f>
        <v>-16215.200585746206</v>
      </c>
      <c r="Y197" s="1"/>
      <c r="Z197" s="5">
        <f t="shared" ref="Z197:Z207" si="33">IF(T197=0,0,X197/T197)</f>
        <v>-1.1685876919266234E-2</v>
      </c>
    </row>
    <row r="198" spans="1:26" s="24" customFormat="1" hidden="1" outlineLevel="2" x14ac:dyDescent="0.25">
      <c r="A198" s="25"/>
      <c r="B198" s="11" t="str">
        <f>CONCATENATE("          ", "6001", " - ", "ADMINISTRATIVE SALARIES")</f>
        <v xml:space="preserve">          6001 - ADMINISTRATIVE SALARIES</v>
      </c>
      <c r="C198" s="11"/>
      <c r="D198" s="7">
        <v>12324.43</v>
      </c>
      <c r="E198" s="2"/>
      <c r="F198" s="6">
        <f t="shared" si="26"/>
        <v>5.1597857765520033E-3</v>
      </c>
      <c r="G198" s="2"/>
      <c r="H198" s="7">
        <v>34564.902865769225</v>
      </c>
      <c r="I198" s="2"/>
      <c r="J198" s="6">
        <f t="shared" si="27"/>
        <v>1.2697678896312264E-2</v>
      </c>
      <c r="K198" s="2"/>
      <c r="L198" s="7">
        <f t="shared" si="28"/>
        <v>-22240.472865769225</v>
      </c>
      <c r="M198" s="2"/>
      <c r="N198" s="6">
        <f t="shared" si="29"/>
        <v>-0.64344091901946887</v>
      </c>
      <c r="O198" s="11"/>
      <c r="P198" s="7">
        <v>79306.540000000008</v>
      </c>
      <c r="Q198" s="2"/>
      <c r="R198" s="6">
        <f t="shared" si="30"/>
        <v>8.35938983409114E-3</v>
      </c>
      <c r="S198" s="2"/>
      <c r="T198" s="7">
        <v>214302.3977677692</v>
      </c>
      <c r="U198" s="2"/>
      <c r="V198" s="6">
        <f t="shared" si="31"/>
        <v>2.1467046371123569E-2</v>
      </c>
      <c r="W198" s="2"/>
      <c r="X198" s="7">
        <f t="shared" si="32"/>
        <v>-134995.85776776919</v>
      </c>
      <c r="Y198" s="2"/>
      <c r="Z198" s="6">
        <f t="shared" si="33"/>
        <v>-0.629931625469066</v>
      </c>
    </row>
    <row r="199" spans="1:26" s="24" customFormat="1" hidden="1" outlineLevel="2" x14ac:dyDescent="0.25">
      <c r="A199" s="25"/>
      <c r="B199" s="11" t="str">
        <f>CONCATENATE("          ", "6002", " - ", "STAFF SALARIES")</f>
        <v xml:space="preserve">          6002 - STAFF SALARIES</v>
      </c>
      <c r="C199" s="11"/>
      <c r="D199" s="7">
        <v>71840.429999999993</v>
      </c>
      <c r="E199" s="2"/>
      <c r="F199" s="6">
        <f t="shared" si="26"/>
        <v>3.0076947079530635E-2</v>
      </c>
      <c r="G199" s="2"/>
      <c r="H199" s="7">
        <v>49686.883182057689</v>
      </c>
      <c r="I199" s="2"/>
      <c r="J199" s="6">
        <f t="shared" si="27"/>
        <v>1.8252852914253551E-2</v>
      </c>
      <c r="K199" s="2"/>
      <c r="L199" s="7">
        <f t="shared" si="28"/>
        <v>22153.546817942304</v>
      </c>
      <c r="M199" s="2"/>
      <c r="N199" s="6">
        <f t="shared" si="29"/>
        <v>0.44586308094169447</v>
      </c>
      <c r="O199" s="11"/>
      <c r="P199" s="7">
        <v>440101.89</v>
      </c>
      <c r="Q199" s="2"/>
      <c r="R199" s="6">
        <f t="shared" si="30"/>
        <v>4.6389405782048955E-2</v>
      </c>
      <c r="S199" s="2"/>
      <c r="T199" s="7">
        <v>304045.10772875778</v>
      </c>
      <c r="U199" s="2"/>
      <c r="V199" s="6">
        <f t="shared" si="31"/>
        <v>3.0456730743626561E-2</v>
      </c>
      <c r="W199" s="2"/>
      <c r="X199" s="7">
        <f t="shared" si="32"/>
        <v>136056.78227124223</v>
      </c>
      <c r="Y199" s="2"/>
      <c r="Z199" s="6">
        <f t="shared" si="33"/>
        <v>0.44748880614326508</v>
      </c>
    </row>
    <row r="200" spans="1:26" s="24" customFormat="1" hidden="1" outlineLevel="2" x14ac:dyDescent="0.25">
      <c r="A200" s="25"/>
      <c r="B200" s="11" t="str">
        <f>CONCATENATE("          ", "6003", " - ", "STAFF HOURLY-9 MONTH")</f>
        <v xml:space="preserve">          6003 - STAFF HOURLY-9 MONTH</v>
      </c>
      <c r="C200" s="11"/>
      <c r="D200" s="7"/>
      <c r="E200" s="2"/>
      <c r="F200" s="6">
        <f t="shared" si="26"/>
        <v>0</v>
      </c>
      <c r="G200" s="2"/>
      <c r="H200" s="7">
        <v>0</v>
      </c>
      <c r="I200" s="2"/>
      <c r="J200" s="6">
        <f t="shared" si="27"/>
        <v>0</v>
      </c>
      <c r="K200" s="2"/>
      <c r="L200" s="7">
        <f t="shared" si="28"/>
        <v>0</v>
      </c>
      <c r="M200" s="2"/>
      <c r="N200" s="6">
        <f t="shared" si="29"/>
        <v>0</v>
      </c>
      <c r="O200" s="11"/>
      <c r="P200" s="7"/>
      <c r="Q200" s="2"/>
      <c r="R200" s="6">
        <f t="shared" si="30"/>
        <v>0</v>
      </c>
      <c r="S200" s="2"/>
      <c r="T200" s="7">
        <v>0</v>
      </c>
      <c r="U200" s="2"/>
      <c r="V200" s="6">
        <f t="shared" si="31"/>
        <v>0</v>
      </c>
      <c r="W200" s="2"/>
      <c r="X200" s="7">
        <f t="shared" si="32"/>
        <v>0</v>
      </c>
      <c r="Y200" s="2"/>
      <c r="Z200" s="6">
        <f t="shared" si="33"/>
        <v>0</v>
      </c>
    </row>
    <row r="201" spans="1:26" s="24" customFormat="1" hidden="1" outlineLevel="2" x14ac:dyDescent="0.25">
      <c r="A201" s="25"/>
      <c r="B201" s="11" t="str">
        <f>CONCATENATE("          ", "6004", " - ", "STAFF HOURLY")</f>
        <v xml:space="preserve">          6004 - STAFF HOURLY</v>
      </c>
      <c r="C201" s="11"/>
      <c r="D201" s="7">
        <v>4901.03</v>
      </c>
      <c r="E201" s="2"/>
      <c r="F201" s="6">
        <f t="shared" si="26"/>
        <v>2.0518810918196346E-3</v>
      </c>
      <c r="G201" s="2"/>
      <c r="H201" s="7">
        <v>27470.02954</v>
      </c>
      <c r="I201" s="2"/>
      <c r="J201" s="6">
        <f t="shared" si="27"/>
        <v>1.0091323436541936E-2</v>
      </c>
      <c r="K201" s="2"/>
      <c r="L201" s="7">
        <f t="shared" si="28"/>
        <v>-22568.999540000001</v>
      </c>
      <c r="M201" s="2"/>
      <c r="N201" s="6">
        <f t="shared" si="29"/>
        <v>-0.8215862857787084</v>
      </c>
      <c r="O201" s="11"/>
      <c r="P201" s="7">
        <v>20845.27</v>
      </c>
      <c r="Q201" s="2"/>
      <c r="R201" s="6">
        <f t="shared" si="30"/>
        <v>2.1972177594292348E-3</v>
      </c>
      <c r="S201" s="2"/>
      <c r="T201" s="7">
        <v>175062.65814799999</v>
      </c>
      <c r="U201" s="2"/>
      <c r="V201" s="6">
        <f t="shared" si="31"/>
        <v>1.753633295502249E-2</v>
      </c>
      <c r="W201" s="2"/>
      <c r="X201" s="7">
        <f t="shared" si="32"/>
        <v>-154217.388148</v>
      </c>
      <c r="Y201" s="2"/>
      <c r="Z201" s="6">
        <f t="shared" si="33"/>
        <v>-0.88092680517636635</v>
      </c>
    </row>
    <row r="202" spans="1:26" s="24" customFormat="1" hidden="1" outlineLevel="2" x14ac:dyDescent="0.25">
      <c r="A202" s="25"/>
      <c r="B202" s="11" t="str">
        <f>CONCATENATE("          ", "6005", " - ", "TEMPORARY WAGES-HOURLY")</f>
        <v xml:space="preserve">          6005 - TEMPORARY WAGES-HOURLY</v>
      </c>
      <c r="C202" s="11"/>
      <c r="D202" s="7">
        <v>23134.2</v>
      </c>
      <c r="E202" s="2"/>
      <c r="F202" s="6">
        <f t="shared" si="26"/>
        <v>9.6854390922670938E-3</v>
      </c>
      <c r="G202" s="2"/>
      <c r="H202" s="7">
        <v>4606.8</v>
      </c>
      <c r="I202" s="2"/>
      <c r="J202" s="6">
        <f t="shared" si="27"/>
        <v>1.6923428764343948E-3</v>
      </c>
      <c r="K202" s="2"/>
      <c r="L202" s="7">
        <f t="shared" si="28"/>
        <v>18527.400000000001</v>
      </c>
      <c r="M202" s="2"/>
      <c r="N202" s="6">
        <f t="shared" si="29"/>
        <v>4.0217504558478776</v>
      </c>
      <c r="O202" s="11"/>
      <c r="P202" s="7">
        <v>150998.21</v>
      </c>
      <c r="Q202" s="2"/>
      <c r="R202" s="6">
        <f t="shared" si="30"/>
        <v>1.5916126231707486E-2</v>
      </c>
      <c r="S202" s="2"/>
      <c r="T202" s="7">
        <v>24430</v>
      </c>
      <c r="U202" s="2"/>
      <c r="V202" s="6">
        <f t="shared" si="31"/>
        <v>2.4471958704580759E-3</v>
      </c>
      <c r="W202" s="2"/>
      <c r="X202" s="7">
        <f t="shared" si="32"/>
        <v>126568.20999999999</v>
      </c>
      <c r="Y202" s="2"/>
      <c r="Z202" s="6">
        <f t="shared" si="33"/>
        <v>5.1808518215309043</v>
      </c>
    </row>
    <row r="203" spans="1:26" s="24" customFormat="1" hidden="1" outlineLevel="2" x14ac:dyDescent="0.25">
      <c r="A203" s="25"/>
      <c r="B203" s="11" t="str">
        <f>CONCATENATE("          ", "6006", " - ", "TEMPORARY PART TIME")</f>
        <v xml:space="preserve">          6006 - TEMPORARY PART TIME</v>
      </c>
      <c r="C203" s="11"/>
      <c r="D203" s="7">
        <v>1311.18</v>
      </c>
      <c r="E203" s="2"/>
      <c r="F203" s="6">
        <f t="shared" si="26"/>
        <v>5.489428650655207E-4</v>
      </c>
      <c r="G203" s="2"/>
      <c r="H203" s="7">
        <v>0</v>
      </c>
      <c r="I203" s="2"/>
      <c r="J203" s="6">
        <f t="shared" si="27"/>
        <v>0</v>
      </c>
      <c r="K203" s="2"/>
      <c r="L203" s="7">
        <f t="shared" si="28"/>
        <v>1311.18</v>
      </c>
      <c r="M203" s="2"/>
      <c r="N203" s="6">
        <f t="shared" si="29"/>
        <v>0</v>
      </c>
      <c r="O203" s="11"/>
      <c r="P203" s="7">
        <v>30061.09</v>
      </c>
      <c r="Q203" s="2"/>
      <c r="R203" s="6">
        <f t="shared" si="30"/>
        <v>3.1686210260553392E-3</v>
      </c>
      <c r="S203" s="2"/>
      <c r="T203" s="7">
        <v>0</v>
      </c>
      <c r="U203" s="2"/>
      <c r="V203" s="6">
        <f t="shared" si="31"/>
        <v>0</v>
      </c>
      <c r="W203" s="2"/>
      <c r="X203" s="7">
        <f t="shared" si="32"/>
        <v>30061.09</v>
      </c>
      <c r="Y203" s="2"/>
      <c r="Z203" s="6">
        <f t="shared" si="33"/>
        <v>0</v>
      </c>
    </row>
    <row r="204" spans="1:26" s="24" customFormat="1" hidden="1" outlineLevel="2" x14ac:dyDescent="0.25">
      <c r="A204" s="25"/>
      <c r="B204" s="11" t="str">
        <f>CONCATENATE("          ", "6007", " - ", "STUDENT HOURLY")</f>
        <v xml:space="preserve">          6007 - STUDENT HOURLY</v>
      </c>
      <c r="C204" s="11"/>
      <c r="D204" s="7">
        <v>161244.03</v>
      </c>
      <c r="E204" s="2"/>
      <c r="F204" s="6">
        <f t="shared" si="26"/>
        <v>6.7506947789709087E-2</v>
      </c>
      <c r="G204" s="2"/>
      <c r="H204" s="7">
        <v>8347.6834139999992</v>
      </c>
      <c r="I204" s="2"/>
      <c r="J204" s="6">
        <f t="shared" si="27"/>
        <v>3.0665847356977612E-3</v>
      </c>
      <c r="K204" s="2"/>
      <c r="L204" s="7">
        <f t="shared" si="28"/>
        <v>152896.346586</v>
      </c>
      <c r="M204" s="2"/>
      <c r="N204" s="6">
        <f t="shared" si="29"/>
        <v>18.316021224472376</v>
      </c>
      <c r="O204" s="11"/>
      <c r="P204" s="7">
        <v>639058.69999999995</v>
      </c>
      <c r="Q204" s="2"/>
      <c r="R204" s="6">
        <f t="shared" si="30"/>
        <v>6.7360659034771897E-2</v>
      </c>
      <c r="S204" s="2"/>
      <c r="T204" s="7">
        <v>163409.11977719999</v>
      </c>
      <c r="U204" s="2"/>
      <c r="V204" s="6">
        <f t="shared" si="31"/>
        <v>1.6368977614160989E-2</v>
      </c>
      <c r="W204" s="2"/>
      <c r="X204" s="7">
        <f t="shared" si="32"/>
        <v>475649.58022279997</v>
      </c>
      <c r="Y204" s="2"/>
      <c r="Z204" s="6">
        <f t="shared" si="33"/>
        <v>2.9107896846352515</v>
      </c>
    </row>
    <row r="205" spans="1:26" s="24" customFormat="1" hidden="1" outlineLevel="2" x14ac:dyDescent="0.25">
      <c r="A205" s="25"/>
      <c r="B205" s="11" t="str">
        <f>CONCATENATE("          ", "6008", " - ", "STUDENT HOURLY-FICA EXEMPT")</f>
        <v xml:space="preserve">          6008 - STUDENT HOURLY-FICA EXEMPT</v>
      </c>
      <c r="C205" s="11"/>
      <c r="D205" s="7">
        <v>4559.3900000000003</v>
      </c>
      <c r="E205" s="2"/>
      <c r="F205" s="6">
        <f t="shared" si="26"/>
        <v>1.9088489830161263E-3</v>
      </c>
      <c r="G205" s="2"/>
      <c r="H205" s="7">
        <v>130157.21642249919</v>
      </c>
      <c r="I205" s="2"/>
      <c r="J205" s="6">
        <f t="shared" si="27"/>
        <v>4.7814239391583378E-2</v>
      </c>
      <c r="K205" s="2"/>
      <c r="L205" s="7">
        <f t="shared" si="28"/>
        <v>-125597.82642249919</v>
      </c>
      <c r="M205" s="2"/>
      <c r="N205" s="6">
        <f t="shared" si="29"/>
        <v>-0.9649701328491852</v>
      </c>
      <c r="O205" s="11"/>
      <c r="P205" s="7">
        <v>11002.64</v>
      </c>
      <c r="Q205" s="2"/>
      <c r="R205" s="6">
        <f t="shared" si="30"/>
        <v>1.1597449209631958E-3</v>
      </c>
      <c r="S205" s="2"/>
      <c r="T205" s="7">
        <v>506340.25716401916</v>
      </c>
      <c r="U205" s="2"/>
      <c r="V205" s="6">
        <f t="shared" si="31"/>
        <v>5.0720990027771917E-2</v>
      </c>
      <c r="W205" s="2"/>
      <c r="X205" s="7">
        <f t="shared" si="32"/>
        <v>-495337.61716401915</v>
      </c>
      <c r="Y205" s="2"/>
      <c r="Z205" s="6">
        <f t="shared" si="33"/>
        <v>-0.97827026422582886</v>
      </c>
    </row>
    <row r="206" spans="1:26" s="24" customFormat="1" hidden="1" outlineLevel="2" x14ac:dyDescent="0.25">
      <c r="A206" s="25"/>
      <c r="B206" s="11" t="str">
        <f>CONCATENATE("          ", "6009", " - ", "TEMPORARY-SEASONAL")</f>
        <v xml:space="preserve">          6009 - TEMPORARY-SEASONAL</v>
      </c>
      <c r="C206" s="11"/>
      <c r="D206" s="7"/>
      <c r="E206" s="2"/>
      <c r="F206" s="6">
        <f t="shared" si="26"/>
        <v>0</v>
      </c>
      <c r="G206" s="2"/>
      <c r="H206" s="7">
        <v>0</v>
      </c>
      <c r="I206" s="2"/>
      <c r="J206" s="6">
        <f t="shared" si="27"/>
        <v>0</v>
      </c>
      <c r="K206" s="2"/>
      <c r="L206" s="7">
        <f t="shared" si="28"/>
        <v>0</v>
      </c>
      <c r="M206" s="2"/>
      <c r="N206" s="6">
        <f t="shared" si="29"/>
        <v>0</v>
      </c>
      <c r="O206" s="11"/>
      <c r="P206" s="7"/>
      <c r="Q206" s="2"/>
      <c r="R206" s="6">
        <f t="shared" si="30"/>
        <v>0</v>
      </c>
      <c r="S206" s="2"/>
      <c r="T206" s="7">
        <v>0</v>
      </c>
      <c r="U206" s="2"/>
      <c r="V206" s="6">
        <f t="shared" si="31"/>
        <v>0</v>
      </c>
      <c r="W206" s="2"/>
      <c r="X206" s="7">
        <f t="shared" si="32"/>
        <v>0</v>
      </c>
      <c r="Y206" s="2"/>
      <c r="Z206" s="6">
        <f t="shared" si="33"/>
        <v>0</v>
      </c>
    </row>
    <row r="207" spans="1:26" s="24" customFormat="1" hidden="1" outlineLevel="2" x14ac:dyDescent="0.25">
      <c r="A207" s="25"/>
      <c r="B207" s="11" t="str">
        <f>CONCATENATE("          ", "6010", " - ", "GRATUITY")</f>
        <v xml:space="preserve">          6010 - GRATUITY</v>
      </c>
      <c r="C207" s="11"/>
      <c r="D207" s="7"/>
      <c r="E207" s="2"/>
      <c r="F207" s="6">
        <f t="shared" si="26"/>
        <v>0</v>
      </c>
      <c r="G207" s="2"/>
      <c r="H207" s="7">
        <v>0</v>
      </c>
      <c r="I207" s="2"/>
      <c r="J207" s="6">
        <f t="shared" si="27"/>
        <v>0</v>
      </c>
      <c r="K207" s="2"/>
      <c r="L207" s="7">
        <f t="shared" si="28"/>
        <v>0</v>
      </c>
      <c r="M207" s="2"/>
      <c r="N207" s="6">
        <f t="shared" si="29"/>
        <v>0</v>
      </c>
      <c r="O207" s="11"/>
      <c r="P207" s="7"/>
      <c r="Q207" s="2"/>
      <c r="R207" s="6">
        <f t="shared" si="30"/>
        <v>0</v>
      </c>
      <c r="S207" s="2"/>
      <c r="T207" s="7">
        <v>0</v>
      </c>
      <c r="U207" s="2"/>
      <c r="V207" s="6">
        <f t="shared" si="31"/>
        <v>0</v>
      </c>
      <c r="W207" s="2"/>
      <c r="X207" s="7">
        <f t="shared" si="32"/>
        <v>0</v>
      </c>
      <c r="Y207" s="2"/>
      <c r="Z207" s="6">
        <f t="shared" si="33"/>
        <v>0</v>
      </c>
    </row>
    <row r="208" spans="1:26" s="27" customFormat="1" outlineLevel="1" collapsed="1" x14ac:dyDescent="0.25">
      <c r="A208" s="26"/>
      <c r="B208" s="13" t="str">
        <f>CONCATENATE("     ","Advertising/Promo                                 ")</f>
        <v xml:space="preserve">     Advertising/Promo                                 </v>
      </c>
      <c r="C208" s="13"/>
      <c r="D208" s="1">
        <f>SUM(OSRRefD22_2x_0)</f>
        <v>3193.95</v>
      </c>
      <c r="E208" s="1"/>
      <c r="F208" s="5">
        <f t="shared" ref="F208:F212" si="34">IF(D$12=0,0,D208/D$12)</f>
        <v>1.3371894506292192E-3</v>
      </c>
      <c r="G208" s="1"/>
      <c r="H208" s="1">
        <f>SUM(OSRRefH22_2x_0)</f>
        <v>8820</v>
      </c>
      <c r="I208" s="1"/>
      <c r="J208" s="5">
        <f t="shared" ref="J208:J212" si="35">IF(H$12=0,0,H208/H$12)</f>
        <v>3.2400938113552489E-3</v>
      </c>
      <c r="K208" s="1"/>
      <c r="L208" s="1">
        <f t="shared" ref="L208:L212" si="36">+D208-H208</f>
        <v>-5626.05</v>
      </c>
      <c r="M208" s="1"/>
      <c r="N208" s="5">
        <f t="shared" ref="N208:N212" si="37">IF(H208=0,0,L208/H208)</f>
        <v>-0.637874149659864</v>
      </c>
      <c r="O208" s="13"/>
      <c r="P208" s="1">
        <f>SUM(OSRRefP22_2x_0)</f>
        <v>42003.859999999993</v>
      </c>
      <c r="Q208" s="1"/>
      <c r="R208" s="5">
        <f t="shared" ref="R208:R212" si="38">IF(P$12=0,0,P208/P$12)</f>
        <v>4.4274613452634217E-3</v>
      </c>
      <c r="S208" s="1"/>
      <c r="T208" s="1">
        <f>SUM(OSRRefT22_2x_0)</f>
        <v>49140</v>
      </c>
      <c r="U208" s="1"/>
      <c r="V208" s="5">
        <f t="shared" ref="V208:V212" si="39">IF(T$12=0,0,T208/T$12)</f>
        <v>4.9224398311219757E-3</v>
      </c>
      <c r="W208" s="1"/>
      <c r="X208" s="1">
        <f t="shared" ref="X208:X212" si="40">+P208-T208</f>
        <v>-7136.1400000000067</v>
      </c>
      <c r="Y208" s="1"/>
      <c r="Z208" s="5">
        <f t="shared" ref="Z208:Z212" si="41">IF(T208=0,0,X208/T208)</f>
        <v>-0.14522059422059436</v>
      </c>
    </row>
    <row r="209" spans="1:26" s="24" customFormat="1" hidden="1" outlineLevel="2" x14ac:dyDescent="0.25">
      <c r="A209" s="25"/>
      <c r="B209" s="11" t="str">
        <f>CONCATENATE("          ", "6362", " - ", "ADVERTISING EXPENSE")</f>
        <v xml:space="preserve">          6362 - ADVERTISING EXPENSE</v>
      </c>
      <c r="C209" s="11"/>
      <c r="D209" s="7">
        <v>3193.95</v>
      </c>
      <c r="E209" s="2"/>
      <c r="F209" s="6">
        <f t="shared" si="34"/>
        <v>1.3371894506292192E-3</v>
      </c>
      <c r="G209" s="2"/>
      <c r="H209" s="7">
        <v>8820</v>
      </c>
      <c r="I209" s="2"/>
      <c r="J209" s="6">
        <f t="shared" si="35"/>
        <v>3.2400938113552489E-3</v>
      </c>
      <c r="K209" s="2"/>
      <c r="L209" s="7">
        <f t="shared" si="36"/>
        <v>-5626.05</v>
      </c>
      <c r="M209" s="2"/>
      <c r="N209" s="6">
        <f t="shared" si="37"/>
        <v>-0.637874149659864</v>
      </c>
      <c r="O209" s="11"/>
      <c r="P209" s="7">
        <v>42003.859999999993</v>
      </c>
      <c r="Q209" s="2"/>
      <c r="R209" s="6">
        <f t="shared" si="38"/>
        <v>4.4274613452634217E-3</v>
      </c>
      <c r="S209" s="2"/>
      <c r="T209" s="7">
        <v>49140</v>
      </c>
      <c r="U209" s="2"/>
      <c r="V209" s="6">
        <f t="shared" si="39"/>
        <v>4.9224398311219757E-3</v>
      </c>
      <c r="W209" s="2"/>
      <c r="X209" s="7">
        <f t="shared" si="40"/>
        <v>-7136.1400000000067</v>
      </c>
      <c r="Y209" s="2"/>
      <c r="Z209" s="6">
        <f t="shared" si="41"/>
        <v>-0.14522059422059436</v>
      </c>
    </row>
    <row r="210" spans="1:26" s="27" customFormat="1" outlineLevel="1" collapsed="1" x14ac:dyDescent="0.25">
      <c r="A210" s="26"/>
      <c r="B210" s="13" t="str">
        <f>CONCATENATE("     ","Bad Debts/Over/Short                              ")</f>
        <v xml:space="preserve">     Bad Debts/Over/Short                              </v>
      </c>
      <c r="C210" s="13"/>
      <c r="D210" s="1">
        <f>SUM(OSRRefD22_3x_0)</f>
        <v>-95</v>
      </c>
      <c r="E210" s="1"/>
      <c r="F210" s="5">
        <f t="shared" si="34"/>
        <v>-3.9773007658158653E-5</v>
      </c>
      <c r="G210" s="1"/>
      <c r="H210" s="1">
        <f>SUM(OSRRefH22_3x_0)</f>
        <v>135</v>
      </c>
      <c r="I210" s="1"/>
      <c r="J210" s="5">
        <f t="shared" si="35"/>
        <v>4.9593272622784425E-5</v>
      </c>
      <c r="K210" s="1"/>
      <c r="L210" s="1">
        <f t="shared" si="36"/>
        <v>-230</v>
      </c>
      <c r="M210" s="1"/>
      <c r="N210" s="5">
        <f t="shared" si="37"/>
        <v>-1.7037037037037037</v>
      </c>
      <c r="O210" s="13"/>
      <c r="P210" s="1">
        <f>SUM(OSRRefP22_3x_0)</f>
        <v>55.019999999999996</v>
      </c>
      <c r="Q210" s="1"/>
      <c r="R210" s="5">
        <f t="shared" si="38"/>
        <v>5.7994413660171586E-6</v>
      </c>
      <c r="S210" s="1"/>
      <c r="T210" s="1">
        <f>SUM(OSRRefT22_3x_0)</f>
        <v>945</v>
      </c>
      <c r="U210" s="1"/>
      <c r="V210" s="5">
        <f t="shared" si="39"/>
        <v>9.4662304444653375E-5</v>
      </c>
      <c r="W210" s="1"/>
      <c r="X210" s="1">
        <f t="shared" si="40"/>
        <v>-889.98</v>
      </c>
      <c r="Y210" s="1"/>
      <c r="Z210" s="5">
        <f t="shared" si="41"/>
        <v>-0.94177777777777782</v>
      </c>
    </row>
    <row r="211" spans="1:26" s="24" customFormat="1" hidden="1" outlineLevel="2" x14ac:dyDescent="0.25">
      <c r="A211" s="25"/>
      <c r="B211" s="11" t="str">
        <f>CONCATENATE("          ", "6272", " - ", "CASH (OVER/SHORT)")</f>
        <v xml:space="preserve">          6272 - CASH (OVER/SHORT)</v>
      </c>
      <c r="C211" s="11"/>
      <c r="D211" s="7">
        <v>-95</v>
      </c>
      <c r="E211" s="2"/>
      <c r="F211" s="6">
        <f t="shared" si="34"/>
        <v>-3.9773007658158653E-5</v>
      </c>
      <c r="G211" s="2"/>
      <c r="H211" s="7">
        <v>125</v>
      </c>
      <c r="I211" s="2"/>
      <c r="J211" s="6">
        <f t="shared" si="35"/>
        <v>4.5919696872948539E-5</v>
      </c>
      <c r="K211" s="2"/>
      <c r="L211" s="7">
        <f t="shared" si="36"/>
        <v>-220</v>
      </c>
      <c r="M211" s="2"/>
      <c r="N211" s="6">
        <f t="shared" si="37"/>
        <v>-1.76</v>
      </c>
      <c r="O211" s="11"/>
      <c r="P211" s="7">
        <v>10.220000000000001</v>
      </c>
      <c r="Q211" s="2"/>
      <c r="R211" s="6">
        <f t="shared" si="38"/>
        <v>1.0772499229497523E-6</v>
      </c>
      <c r="S211" s="2"/>
      <c r="T211" s="7">
        <v>875</v>
      </c>
      <c r="U211" s="2"/>
      <c r="V211" s="6">
        <f t="shared" si="39"/>
        <v>8.7650281893197562E-5</v>
      </c>
      <c r="W211" s="2"/>
      <c r="X211" s="7">
        <f t="shared" si="40"/>
        <v>-864.78</v>
      </c>
      <c r="Y211" s="2"/>
      <c r="Z211" s="6">
        <f t="shared" si="41"/>
        <v>-0.98831999999999998</v>
      </c>
    </row>
    <row r="212" spans="1:26" s="24" customFormat="1" hidden="1" outlineLevel="2" x14ac:dyDescent="0.25">
      <c r="A212" s="25"/>
      <c r="B212" s="11" t="str">
        <f>CONCATENATE("          ", "6342", " - ", "BAD DEBT")</f>
        <v xml:space="preserve">          6342 - BAD DEBT</v>
      </c>
      <c r="C212" s="11"/>
      <c r="D212" s="7"/>
      <c r="E212" s="2"/>
      <c r="F212" s="6">
        <f t="shared" si="34"/>
        <v>0</v>
      </c>
      <c r="G212" s="2"/>
      <c r="H212" s="7">
        <v>10</v>
      </c>
      <c r="I212" s="2"/>
      <c r="J212" s="6">
        <f t="shared" si="35"/>
        <v>3.6735757498358833E-6</v>
      </c>
      <c r="K212" s="2"/>
      <c r="L212" s="7">
        <f t="shared" si="36"/>
        <v>-10</v>
      </c>
      <c r="M212" s="2"/>
      <c r="N212" s="6">
        <f t="shared" si="37"/>
        <v>-1</v>
      </c>
      <c r="O212" s="11"/>
      <c r="P212" s="7">
        <v>44.8</v>
      </c>
      <c r="Q212" s="2"/>
      <c r="R212" s="6">
        <f t="shared" si="38"/>
        <v>4.7221914430674067E-6</v>
      </c>
      <c r="S212" s="2"/>
      <c r="T212" s="7">
        <v>70</v>
      </c>
      <c r="U212" s="2"/>
      <c r="V212" s="6">
        <f t="shared" si="39"/>
        <v>7.0120225514558055E-6</v>
      </c>
      <c r="W212" s="2"/>
      <c r="X212" s="7">
        <f t="shared" si="40"/>
        <v>-25.200000000000003</v>
      </c>
      <c r="Y212" s="2"/>
      <c r="Z212" s="6">
        <f t="shared" si="41"/>
        <v>-0.36000000000000004</v>
      </c>
    </row>
    <row r="213" spans="1:26" s="27" customFormat="1" outlineLevel="1" collapsed="1" x14ac:dyDescent="0.25">
      <c r="A213" s="26"/>
      <c r="B213" s="13" t="str">
        <f>CONCATENATE("     ","Bank/card Fees                                    ")</f>
        <v xml:space="preserve">     Bank/card Fees                                    </v>
      </c>
      <c r="C213" s="13"/>
      <c r="D213" s="1">
        <f>SUM(OSRRefD22_4x_0)</f>
        <v>25656.59</v>
      </c>
      <c r="E213" s="1"/>
      <c r="F213" s="5">
        <f t="shared" ref="F213:F219" si="42">IF(D$12=0,0,D213/D$12)</f>
        <v>1.0741471058444597E-2</v>
      </c>
      <c r="G213" s="1"/>
      <c r="H213" s="1">
        <f>SUM(OSRRefH22_4x_0)</f>
        <v>14490</v>
      </c>
      <c r="I213" s="1"/>
      <c r="J213" s="5">
        <f t="shared" ref="J213:J219" si="43">IF(H$12=0,0,H213/H$12)</f>
        <v>5.3230112615121946E-3</v>
      </c>
      <c r="K213" s="1"/>
      <c r="L213" s="1">
        <f t="shared" ref="L213:L219" si="44">+D213-H213</f>
        <v>11166.59</v>
      </c>
      <c r="M213" s="1"/>
      <c r="N213" s="5">
        <f t="shared" ref="N213:N219" si="45">IF(H213=0,0,L213/H213)</f>
        <v>0.7706411318150449</v>
      </c>
      <c r="O213" s="13"/>
      <c r="P213" s="1">
        <f>SUM(OSRRefP22_4x_0)</f>
        <v>117324.77</v>
      </c>
      <c r="Q213" s="1"/>
      <c r="R213" s="5">
        <f t="shared" ref="R213:R219" si="46">IF(P$12=0,0,P213/P$12)</f>
        <v>1.2366741628434187E-2</v>
      </c>
      <c r="S213" s="1"/>
      <c r="T213" s="1">
        <f>SUM(OSRRefT22_4x_0)</f>
        <v>127385</v>
      </c>
      <c r="U213" s="1"/>
      <c r="V213" s="5">
        <f t="shared" ref="V213:V219" si="47">IF(T$12=0,0,T213/T$12)</f>
        <v>1.276037846738854E-2</v>
      </c>
      <c r="W213" s="1"/>
      <c r="X213" s="1">
        <f t="shared" ref="X213:X219" si="48">+P213-T213</f>
        <v>-10060.229999999996</v>
      </c>
      <c r="Y213" s="1"/>
      <c r="Z213" s="5">
        <f t="shared" ref="Z213:Z219" si="49">IF(T213=0,0,X213/T213)</f>
        <v>-7.8974997056168283E-2</v>
      </c>
    </row>
    <row r="214" spans="1:26" s="24" customFormat="1" hidden="1" outlineLevel="2" x14ac:dyDescent="0.25">
      <c r="A214" s="25"/>
      <c r="B214" s="11" t="str">
        <f>CONCATENATE("          ", "6381", " - ", "BANK/CREDIT CARD FEES")</f>
        <v xml:space="preserve">          6381 - BANK/CREDIT CARD FEES</v>
      </c>
      <c r="C214" s="11"/>
      <c r="D214" s="7">
        <v>25656.59</v>
      </c>
      <c r="E214" s="2"/>
      <c r="F214" s="6">
        <f t="shared" si="42"/>
        <v>1.0741471058444597E-2</v>
      </c>
      <c r="G214" s="2"/>
      <c r="H214" s="7">
        <v>14490</v>
      </c>
      <c r="I214" s="2"/>
      <c r="J214" s="6">
        <f t="shared" si="43"/>
        <v>5.3230112615121946E-3</v>
      </c>
      <c r="K214" s="2"/>
      <c r="L214" s="7">
        <f t="shared" si="44"/>
        <v>11166.59</v>
      </c>
      <c r="M214" s="2"/>
      <c r="N214" s="6">
        <f t="shared" si="45"/>
        <v>0.7706411318150449</v>
      </c>
      <c r="O214" s="11"/>
      <c r="P214" s="7">
        <v>117324.77</v>
      </c>
      <c r="Q214" s="2"/>
      <c r="R214" s="6">
        <f t="shared" si="46"/>
        <v>1.2366741628434187E-2</v>
      </c>
      <c r="S214" s="2"/>
      <c r="T214" s="7">
        <v>127385</v>
      </c>
      <c r="U214" s="2"/>
      <c r="V214" s="6">
        <f t="shared" si="47"/>
        <v>1.276037846738854E-2</v>
      </c>
      <c r="W214" s="2"/>
      <c r="X214" s="7">
        <f t="shared" si="48"/>
        <v>-10060.229999999996</v>
      </c>
      <c r="Y214" s="2"/>
      <c r="Z214" s="6">
        <f t="shared" si="49"/>
        <v>-7.8974997056168283E-2</v>
      </c>
    </row>
    <row r="215" spans="1:26" s="27" customFormat="1" outlineLevel="1" collapsed="1" x14ac:dyDescent="0.25">
      <c r="A215" s="26"/>
      <c r="B215" s="13" t="str">
        <f>CONCATENATE("     ","Depreciation                                      ")</f>
        <v xml:space="preserve">     Depreciation                                      </v>
      </c>
      <c r="C215" s="13"/>
      <c r="D215" s="1">
        <f>SUM(OSRRefD22_5x_0)</f>
        <v>30057.75</v>
      </c>
      <c r="E215" s="1"/>
      <c r="F215" s="5">
        <f t="shared" si="42"/>
        <v>1.2584074957231772E-2</v>
      </c>
      <c r="G215" s="1"/>
      <c r="H215" s="1">
        <f>SUM(OSRRefH22_5x_0)</f>
        <v>31271</v>
      </c>
      <c r="I215" s="1"/>
      <c r="J215" s="5">
        <f t="shared" si="43"/>
        <v>1.148763872731179E-2</v>
      </c>
      <c r="K215" s="1"/>
      <c r="L215" s="1">
        <f t="shared" si="44"/>
        <v>-1213.25</v>
      </c>
      <c r="M215" s="1"/>
      <c r="N215" s="5">
        <f t="shared" si="45"/>
        <v>-3.8797927792523425E-2</v>
      </c>
      <c r="O215" s="13"/>
      <c r="P215" s="1">
        <f>SUM(OSRRefP22_5x_0)</f>
        <v>209554.84999999998</v>
      </c>
      <c r="Q215" s="1"/>
      <c r="R215" s="5">
        <f t="shared" si="46"/>
        <v>2.2088350882215935E-2</v>
      </c>
      <c r="S215" s="1"/>
      <c r="T215" s="1">
        <f>SUM(OSRRefT22_5x_0)</f>
        <v>213314</v>
      </c>
      <c r="U215" s="1"/>
      <c r="V215" s="5">
        <f t="shared" si="47"/>
        <v>2.1368036836303481E-2</v>
      </c>
      <c r="W215" s="1"/>
      <c r="X215" s="1">
        <f t="shared" si="48"/>
        <v>-3759.1500000000233</v>
      </c>
      <c r="Y215" s="1"/>
      <c r="Z215" s="5">
        <f t="shared" si="49"/>
        <v>-1.7622612674273716E-2</v>
      </c>
    </row>
    <row r="216" spans="1:26" s="24" customFormat="1" hidden="1" outlineLevel="2" x14ac:dyDescent="0.25">
      <c r="A216" s="25"/>
      <c r="B216" s="11" t="str">
        <f>CONCATENATE("          ", "6321", " - ", "BUILDING DEPRECIATION")</f>
        <v xml:space="preserve">          6321 - BUILDING DEPRECIATION</v>
      </c>
      <c r="C216" s="11"/>
      <c r="D216" s="7">
        <v>16396.52</v>
      </c>
      <c r="E216" s="2"/>
      <c r="F216" s="6">
        <f t="shared" si="42"/>
        <v>6.8646201634437005E-3</v>
      </c>
      <c r="G216" s="2"/>
      <c r="H216" s="7">
        <v>16397</v>
      </c>
      <c r="I216" s="2"/>
      <c r="J216" s="6">
        <f t="shared" si="43"/>
        <v>6.0235621570058975E-3</v>
      </c>
      <c r="K216" s="2"/>
      <c r="L216" s="7">
        <f t="shared" si="44"/>
        <v>-0.47999999999956344</v>
      </c>
      <c r="M216" s="2"/>
      <c r="N216" s="6">
        <f t="shared" si="45"/>
        <v>-2.927364761844017E-5</v>
      </c>
      <c r="O216" s="11"/>
      <c r="P216" s="7">
        <v>114775.64</v>
      </c>
      <c r="Q216" s="2"/>
      <c r="R216" s="6">
        <f t="shared" si="46"/>
        <v>1.2098047881263061E-2</v>
      </c>
      <c r="S216" s="2"/>
      <c r="T216" s="7">
        <v>114947</v>
      </c>
      <c r="U216" s="2"/>
      <c r="V216" s="6">
        <f t="shared" si="47"/>
        <v>1.1514442231745577E-2</v>
      </c>
      <c r="W216" s="2"/>
      <c r="X216" s="7">
        <f t="shared" si="48"/>
        <v>-171.36000000000058</v>
      </c>
      <c r="Y216" s="2"/>
      <c r="Z216" s="6">
        <f t="shared" si="49"/>
        <v>-1.4907740088910592E-3</v>
      </c>
    </row>
    <row r="217" spans="1:26" s="24" customFormat="1" hidden="1" outlineLevel="2" x14ac:dyDescent="0.25">
      <c r="A217" s="25"/>
      <c r="B217" s="11" t="str">
        <f>CONCATENATE("          ", "6322", " - ", "EQUIPMENT DEPRECIATION EXPENSE")</f>
        <v xml:space="preserve">          6322 - EQUIPMENT DEPRECIATION EXPENSE</v>
      </c>
      <c r="C217" s="11"/>
      <c r="D217" s="7">
        <v>13661.23</v>
      </c>
      <c r="E217" s="2"/>
      <c r="F217" s="6">
        <f t="shared" si="42"/>
        <v>5.7194547937880705E-3</v>
      </c>
      <c r="G217" s="2"/>
      <c r="H217" s="7">
        <v>13049</v>
      </c>
      <c r="I217" s="2"/>
      <c r="J217" s="6">
        <f t="shared" si="43"/>
        <v>4.7936489959608444E-3</v>
      </c>
      <c r="K217" s="2"/>
      <c r="L217" s="7">
        <f t="shared" si="44"/>
        <v>612.22999999999956</v>
      </c>
      <c r="M217" s="2"/>
      <c r="N217" s="6">
        <f t="shared" si="45"/>
        <v>4.6917771476741477E-2</v>
      </c>
      <c r="O217" s="11"/>
      <c r="P217" s="7">
        <v>94779.209999999992</v>
      </c>
      <c r="Q217" s="2"/>
      <c r="R217" s="6">
        <f t="shared" si="46"/>
        <v>9.9903030009528739E-3</v>
      </c>
      <c r="S217" s="2"/>
      <c r="T217" s="7">
        <v>91343</v>
      </c>
      <c r="U217" s="2"/>
      <c r="V217" s="6">
        <f t="shared" si="47"/>
        <v>9.1499882273946807E-3</v>
      </c>
      <c r="W217" s="2"/>
      <c r="X217" s="7">
        <f t="shared" si="48"/>
        <v>3436.2099999999919</v>
      </c>
      <c r="Y217" s="2"/>
      <c r="Z217" s="6">
        <f t="shared" si="49"/>
        <v>3.7618755679143356E-2</v>
      </c>
    </row>
    <row r="218" spans="1:26" s="24" customFormat="1" hidden="1" outlineLevel="2" x14ac:dyDescent="0.25">
      <c r="A218" s="25"/>
      <c r="B218" s="11" t="str">
        <f>CONCATENATE("          ", "6324", " - ", "FURNITURE + FIXT DEPRECIATION")</f>
        <v xml:space="preserve">          6324 - FURNITURE + FIXT DEPRECIATION</v>
      </c>
      <c r="C218" s="11"/>
      <c r="D218" s="7"/>
      <c r="E218" s="2"/>
      <c r="F218" s="6">
        <f t="shared" si="42"/>
        <v>0</v>
      </c>
      <c r="G218" s="2"/>
      <c r="H218" s="7">
        <v>1492</v>
      </c>
      <c r="I218" s="2"/>
      <c r="J218" s="6">
        <f t="shared" si="43"/>
        <v>5.480975018755138E-4</v>
      </c>
      <c r="K218" s="2"/>
      <c r="L218" s="7">
        <f t="shared" si="44"/>
        <v>-1492</v>
      </c>
      <c r="M218" s="2"/>
      <c r="N218" s="6">
        <f t="shared" si="45"/>
        <v>-1</v>
      </c>
      <c r="O218" s="11"/>
      <c r="P218" s="7"/>
      <c r="Q218" s="2"/>
      <c r="R218" s="6">
        <f t="shared" si="46"/>
        <v>0</v>
      </c>
      <c r="S218" s="2"/>
      <c r="T218" s="7">
        <v>5692</v>
      </c>
      <c r="U218" s="2"/>
      <c r="V218" s="6">
        <f t="shared" si="47"/>
        <v>5.7017760518409202E-4</v>
      </c>
      <c r="W218" s="2"/>
      <c r="X218" s="7">
        <f t="shared" si="48"/>
        <v>-5692</v>
      </c>
      <c r="Y218" s="2"/>
      <c r="Z218" s="6">
        <f t="shared" si="49"/>
        <v>-1</v>
      </c>
    </row>
    <row r="219" spans="1:26" s="24" customFormat="1" hidden="1" outlineLevel="2" x14ac:dyDescent="0.25">
      <c r="A219" s="25"/>
      <c r="B219" s="11" t="str">
        <f>CONCATENATE("          ", "6326", " - ", "VEHICLES DEPRECIATION EXPENSE")</f>
        <v xml:space="preserve">          6326 - VEHICLES DEPRECIATION EXPENSE</v>
      </c>
      <c r="C219" s="11"/>
      <c r="D219" s="7"/>
      <c r="E219" s="2"/>
      <c r="F219" s="6">
        <f t="shared" si="42"/>
        <v>0</v>
      </c>
      <c r="G219" s="2"/>
      <c r="H219" s="7">
        <v>333</v>
      </c>
      <c r="I219" s="2"/>
      <c r="J219" s="6">
        <f t="shared" si="43"/>
        <v>1.2233007246953491E-4</v>
      </c>
      <c r="K219" s="2"/>
      <c r="L219" s="7">
        <f t="shared" si="44"/>
        <v>-333</v>
      </c>
      <c r="M219" s="2"/>
      <c r="N219" s="6">
        <f t="shared" si="45"/>
        <v>-1</v>
      </c>
      <c r="O219" s="11"/>
      <c r="P219" s="7"/>
      <c r="Q219" s="2"/>
      <c r="R219" s="6">
        <f t="shared" si="46"/>
        <v>0</v>
      </c>
      <c r="S219" s="2"/>
      <c r="T219" s="7">
        <v>1332</v>
      </c>
      <c r="U219" s="2"/>
      <c r="V219" s="6">
        <f t="shared" si="47"/>
        <v>1.3342877197913047E-4</v>
      </c>
      <c r="W219" s="2"/>
      <c r="X219" s="7">
        <f t="shared" si="48"/>
        <v>-1332</v>
      </c>
      <c r="Y219" s="2"/>
      <c r="Z219" s="6">
        <f t="shared" si="49"/>
        <v>-1</v>
      </c>
    </row>
    <row r="220" spans="1:26" s="27" customFormat="1" outlineLevel="1" collapsed="1" x14ac:dyDescent="0.25">
      <c r="A220" s="26"/>
      <c r="B220" s="13" t="str">
        <f>CONCATENATE("     ","Discounts and Markdowns                           ")</f>
        <v xml:space="preserve">     Discounts and Markdowns                           </v>
      </c>
      <c r="C220" s="13"/>
      <c r="D220" s="1">
        <f>SUM(OSRRefD22_6x_0)</f>
        <v>38396.86</v>
      </c>
      <c r="E220" s="1"/>
      <c r="F220" s="5">
        <f t="shared" ref="F220:F222" si="50">IF(D$12=0,0,D220/D$12)</f>
        <v>1.6075353756097324E-2</v>
      </c>
      <c r="G220" s="1"/>
      <c r="H220" s="1">
        <f>SUM(OSRRefH22_6x_0)</f>
        <v>39925</v>
      </c>
      <c r="I220" s="1"/>
      <c r="J220" s="5">
        <f t="shared" ref="J220:J222" si="51">IF(H$12=0,0,H220/H$12)</f>
        <v>1.4666751181219764E-2</v>
      </c>
      <c r="K220" s="1"/>
      <c r="L220" s="1">
        <f t="shared" ref="L220:L222" si="52">+D220-H220</f>
        <v>-1528.1399999999994</v>
      </c>
      <c r="M220" s="1"/>
      <c r="N220" s="5">
        <f t="shared" ref="N220:N222" si="53">IF(H220=0,0,L220/H220)</f>
        <v>-3.8275266123982452E-2</v>
      </c>
      <c r="O220" s="13"/>
      <c r="P220" s="1">
        <f>SUM(OSRRefP22_6x_0)</f>
        <v>275371.86</v>
      </c>
      <c r="Q220" s="1"/>
      <c r="R220" s="5">
        <f t="shared" ref="R220:R222" si="54">IF(P$12=0,0,P220/P$12)</f>
        <v>2.9025862521284727E-2</v>
      </c>
      <c r="S220" s="1"/>
      <c r="T220" s="1">
        <f>SUM(OSRRefT22_6x_0)</f>
        <v>246975</v>
      </c>
      <c r="U220" s="1"/>
      <c r="V220" s="5">
        <f t="shared" ref="V220:V222" si="55">IF(T$12=0,0,T220/T$12)</f>
        <v>2.4739918137797107E-2</v>
      </c>
      <c r="W220" s="1"/>
      <c r="X220" s="1">
        <f t="shared" ref="X220:X222" si="56">+P220-T220</f>
        <v>28396.859999999986</v>
      </c>
      <c r="Y220" s="1"/>
      <c r="Z220" s="5">
        <f t="shared" ref="Z220:Z222" si="57">IF(T220=0,0,X220/T220)</f>
        <v>0.1149786820528393</v>
      </c>
    </row>
    <row r="221" spans="1:26" s="24" customFormat="1" hidden="1" outlineLevel="2" x14ac:dyDescent="0.25">
      <c r="A221" s="25"/>
      <c r="B221" s="11" t="str">
        <f>CONCATENATE("          ", "6382", " - ", "DISCOUNTS/MARK DOWNS")</f>
        <v xml:space="preserve">          6382 - DISCOUNTS/MARK DOWNS</v>
      </c>
      <c r="C221" s="11"/>
      <c r="D221" s="7">
        <v>38817.360000000001</v>
      </c>
      <c r="E221" s="2"/>
      <c r="F221" s="6">
        <f t="shared" si="50"/>
        <v>1.6251401647889491E-2</v>
      </c>
      <c r="G221" s="2"/>
      <c r="H221" s="7">
        <v>39925</v>
      </c>
      <c r="I221" s="2"/>
      <c r="J221" s="6">
        <f t="shared" si="51"/>
        <v>1.4666751181219764E-2</v>
      </c>
      <c r="K221" s="2"/>
      <c r="L221" s="7">
        <f t="shared" si="52"/>
        <v>-1107.6399999999994</v>
      </c>
      <c r="M221" s="2"/>
      <c r="N221" s="6">
        <f t="shared" si="53"/>
        <v>-2.7743018159048199E-2</v>
      </c>
      <c r="O221" s="11"/>
      <c r="P221" s="7">
        <v>278278.86</v>
      </c>
      <c r="Q221" s="2"/>
      <c r="R221" s="6">
        <f t="shared" si="54"/>
        <v>2.9332277934789125E-2</v>
      </c>
      <c r="S221" s="2"/>
      <c r="T221" s="7">
        <v>246975</v>
      </c>
      <c r="U221" s="2"/>
      <c r="V221" s="6">
        <f t="shared" si="55"/>
        <v>2.4739918137797107E-2</v>
      </c>
      <c r="W221" s="2"/>
      <c r="X221" s="7">
        <f t="shared" si="56"/>
        <v>31303.859999999986</v>
      </c>
      <c r="Y221" s="2"/>
      <c r="Z221" s="6">
        <f t="shared" si="57"/>
        <v>0.12674910416034005</v>
      </c>
    </row>
    <row r="222" spans="1:26" s="24" customFormat="1" hidden="1" outlineLevel="2" x14ac:dyDescent="0.25">
      <c r="A222" s="25"/>
      <c r="B222" s="11" t="str">
        <f>CONCATENATE("          ", "9175", " - ", "EARNED DISCOUNTS")</f>
        <v xml:space="preserve">          9175 - EARNED DISCOUNTS</v>
      </c>
      <c r="C222" s="11"/>
      <c r="D222" s="7">
        <v>-420.5</v>
      </c>
      <c r="E222" s="2"/>
      <c r="F222" s="6">
        <f t="shared" si="50"/>
        <v>-1.7604789179216543E-4</v>
      </c>
      <c r="G222" s="2"/>
      <c r="H222" s="7"/>
      <c r="I222" s="2"/>
      <c r="J222" s="6">
        <f t="shared" si="51"/>
        <v>0</v>
      </c>
      <c r="K222" s="2"/>
      <c r="L222" s="7">
        <f t="shared" si="52"/>
        <v>-420.5</v>
      </c>
      <c r="M222" s="2"/>
      <c r="N222" s="6">
        <f t="shared" si="53"/>
        <v>0</v>
      </c>
      <c r="O222" s="11"/>
      <c r="P222" s="7">
        <v>-2907</v>
      </c>
      <c r="Q222" s="2"/>
      <c r="R222" s="6">
        <f t="shared" si="54"/>
        <v>-3.0641541350439624E-4</v>
      </c>
      <c r="S222" s="2"/>
      <c r="T222" s="7"/>
      <c r="U222" s="2"/>
      <c r="V222" s="6">
        <f t="shared" si="55"/>
        <v>0</v>
      </c>
      <c r="W222" s="2"/>
      <c r="X222" s="7">
        <f t="shared" si="56"/>
        <v>-2907</v>
      </c>
      <c r="Y222" s="2"/>
      <c r="Z222" s="6">
        <f t="shared" si="57"/>
        <v>0</v>
      </c>
    </row>
    <row r="223" spans="1:26" s="27" customFormat="1" outlineLevel="1" collapsed="1" x14ac:dyDescent="0.25">
      <c r="A223" s="26"/>
      <c r="B223" s="13" t="str">
        <f>CONCATENATE("     ","Donations                                         ")</f>
        <v xml:space="preserve">     Donations                                         </v>
      </c>
      <c r="C223" s="13"/>
      <c r="D223" s="1">
        <f>SUM(OSRRefD22_7x_0)</f>
        <v>0</v>
      </c>
      <c r="E223" s="1"/>
      <c r="F223" s="5">
        <f t="shared" ref="F223:F225" si="58">IF(D$12=0,0,D223/D$12)</f>
        <v>0</v>
      </c>
      <c r="G223" s="1"/>
      <c r="H223" s="1">
        <f>SUM(OSRRefH22_7x_0)</f>
        <v>1025</v>
      </c>
      <c r="I223" s="1"/>
      <c r="J223" s="5">
        <f t="shared" ref="J223:J225" si="59">IF(H$12=0,0,H223/H$12)</f>
        <v>3.7654151435817805E-4</v>
      </c>
      <c r="K223" s="1"/>
      <c r="L223" s="1">
        <f t="shared" ref="L223:L225" si="60">+D223-H223</f>
        <v>-1025</v>
      </c>
      <c r="M223" s="1"/>
      <c r="N223" s="5">
        <f t="shared" ref="N223:N225" si="61">IF(H223=0,0,L223/H223)</f>
        <v>-1</v>
      </c>
      <c r="O223" s="13"/>
      <c r="P223" s="1">
        <f>SUM(OSRRefP22_7x_0)</f>
        <v>9798.2199999999993</v>
      </c>
      <c r="Q223" s="1"/>
      <c r="R223" s="5">
        <f t="shared" ref="R223:R225" si="62">IF(P$12=0,0,P223/P$12)</f>
        <v>1.0327917553859805E-3</v>
      </c>
      <c r="S223" s="1"/>
      <c r="T223" s="1">
        <f>SUM(OSRRefT22_7x_0)</f>
        <v>7250</v>
      </c>
      <c r="U223" s="1"/>
      <c r="V223" s="5">
        <f t="shared" ref="V223:V225" si="63">IF(T$12=0,0,T223/T$12)</f>
        <v>7.2624519282935127E-4</v>
      </c>
      <c r="W223" s="1"/>
      <c r="X223" s="1">
        <f t="shared" ref="X223:X225" si="64">+P223-T223</f>
        <v>2548.2199999999993</v>
      </c>
      <c r="Y223" s="1"/>
      <c r="Z223" s="5">
        <f t="shared" ref="Z223:Z225" si="65">IF(T223=0,0,X223/T223)</f>
        <v>0.35147862068965507</v>
      </c>
    </row>
    <row r="224" spans="1:26" s="24" customFormat="1" hidden="1" outlineLevel="2" x14ac:dyDescent="0.25">
      <c r="A224" s="25"/>
      <c r="B224" s="11" t="str">
        <f>CONCATENATE("          ", "6395", " - ", "DONATION-OFF CAMPUS")</f>
        <v xml:space="preserve">          6395 - DONATION-OFF CAMPUS</v>
      </c>
      <c r="C224" s="11"/>
      <c r="D224" s="7"/>
      <c r="E224" s="2"/>
      <c r="F224" s="6">
        <f t="shared" si="58"/>
        <v>0</v>
      </c>
      <c r="G224" s="2"/>
      <c r="H224" s="7">
        <v>1025</v>
      </c>
      <c r="I224" s="2"/>
      <c r="J224" s="6">
        <f t="shared" si="59"/>
        <v>3.7654151435817805E-4</v>
      </c>
      <c r="K224" s="2"/>
      <c r="L224" s="7">
        <f t="shared" si="60"/>
        <v>-1025</v>
      </c>
      <c r="M224" s="2"/>
      <c r="N224" s="6">
        <f t="shared" si="61"/>
        <v>-1</v>
      </c>
      <c r="O224" s="11"/>
      <c r="P224" s="7"/>
      <c r="Q224" s="2"/>
      <c r="R224" s="6">
        <f t="shared" si="62"/>
        <v>0</v>
      </c>
      <c r="S224" s="2"/>
      <c r="T224" s="7">
        <v>7250</v>
      </c>
      <c r="U224" s="2"/>
      <c r="V224" s="6">
        <f t="shared" si="63"/>
        <v>7.2624519282935127E-4</v>
      </c>
      <c r="W224" s="2"/>
      <c r="X224" s="7">
        <f t="shared" si="64"/>
        <v>-7250</v>
      </c>
      <c r="Y224" s="2"/>
      <c r="Z224" s="6">
        <f t="shared" si="65"/>
        <v>-1</v>
      </c>
    </row>
    <row r="225" spans="1:26" s="24" customFormat="1" hidden="1" outlineLevel="2" x14ac:dyDescent="0.25">
      <c r="A225" s="25"/>
      <c r="B225" s="11" t="str">
        <f>CONCATENATE("          ", "6399", " - ", "DONATION-ON CAMPUS")</f>
        <v xml:space="preserve">          6399 - DONATION-ON CAMPUS</v>
      </c>
      <c r="C225" s="11"/>
      <c r="D225" s="7"/>
      <c r="E225" s="2"/>
      <c r="F225" s="6">
        <f t="shared" si="58"/>
        <v>0</v>
      </c>
      <c r="G225" s="2"/>
      <c r="H225" s="7"/>
      <c r="I225" s="2"/>
      <c r="J225" s="6">
        <f t="shared" si="59"/>
        <v>0</v>
      </c>
      <c r="K225" s="2"/>
      <c r="L225" s="7">
        <f t="shared" si="60"/>
        <v>0</v>
      </c>
      <c r="M225" s="2"/>
      <c r="N225" s="6">
        <f t="shared" si="61"/>
        <v>0</v>
      </c>
      <c r="O225" s="11"/>
      <c r="P225" s="7">
        <v>9798.2199999999993</v>
      </c>
      <c r="Q225" s="2"/>
      <c r="R225" s="6">
        <f t="shared" si="62"/>
        <v>1.0327917553859805E-3</v>
      </c>
      <c r="S225" s="2"/>
      <c r="T225" s="7"/>
      <c r="U225" s="2"/>
      <c r="V225" s="6">
        <f t="shared" si="63"/>
        <v>0</v>
      </c>
      <c r="W225" s="2"/>
      <c r="X225" s="7">
        <f t="shared" si="64"/>
        <v>9798.2199999999993</v>
      </c>
      <c r="Y225" s="2"/>
      <c r="Z225" s="6">
        <f t="shared" si="65"/>
        <v>0</v>
      </c>
    </row>
    <row r="226" spans="1:26" s="27" customFormat="1" outlineLevel="1" collapsed="1" x14ac:dyDescent="0.25">
      <c r="A226" s="26"/>
      <c r="B226" s="13" t="str">
        <f>CONCATENATE("     ","Employees' Appreciation                           ")</f>
        <v xml:space="preserve">     Employees' Appreciation                           </v>
      </c>
      <c r="C226" s="13"/>
      <c r="D226" s="1">
        <f>SUM(OSRRefD22_8x_0)</f>
        <v>0</v>
      </c>
      <c r="E226" s="1"/>
      <c r="F226" s="5">
        <f t="shared" ref="F226:F232" si="66">IF(D$12=0,0,D226/D$12)</f>
        <v>0</v>
      </c>
      <c r="G226" s="1"/>
      <c r="H226" s="1">
        <f>SUM(OSRRefH22_8x_0)</f>
        <v>840</v>
      </c>
      <c r="I226" s="1"/>
      <c r="J226" s="5">
        <f t="shared" ref="J226:J232" si="67">IF(H$12=0,0,H226/H$12)</f>
        <v>3.085803629862142E-4</v>
      </c>
      <c r="K226" s="1"/>
      <c r="L226" s="1">
        <f t="shared" ref="L226:L232" si="68">+D226-H226</f>
        <v>-840</v>
      </c>
      <c r="M226" s="1"/>
      <c r="N226" s="5">
        <f t="shared" ref="N226:N232" si="69">IF(H226=0,0,L226/H226)</f>
        <v>-1</v>
      </c>
      <c r="O226" s="13"/>
      <c r="P226" s="1">
        <f>SUM(OSRRefP22_8x_0)</f>
        <v>1194.04</v>
      </c>
      <c r="Q226" s="1"/>
      <c r="R226" s="5">
        <f t="shared" ref="R226:R232" si="70">IF(P$12=0,0,P226/P$12)</f>
        <v>1.2585905068482602E-4</v>
      </c>
      <c r="S226" s="1"/>
      <c r="T226" s="1">
        <f>SUM(OSRRefT22_8x_0)</f>
        <v>5355</v>
      </c>
      <c r="U226" s="1"/>
      <c r="V226" s="5">
        <f t="shared" ref="V226:V232" si="71">IF(T$12=0,0,T226/T$12)</f>
        <v>5.3641972518636907E-4</v>
      </c>
      <c r="W226" s="1"/>
      <c r="X226" s="1">
        <f t="shared" ref="X226:X232" si="72">+P226-T226</f>
        <v>-4160.96</v>
      </c>
      <c r="Y226" s="1"/>
      <c r="Z226" s="5">
        <f t="shared" ref="Z226:Z232" si="73">IF(T226=0,0,X226/T226)</f>
        <v>-0.77702334267040152</v>
      </c>
    </row>
    <row r="227" spans="1:26" s="24" customFormat="1" hidden="1" outlineLevel="2" x14ac:dyDescent="0.25">
      <c r="A227" s="25"/>
      <c r="B227" s="11" t="str">
        <f>CONCATENATE("          ", "6277", " - ", "EMPLOYEE APPRECIATION")</f>
        <v xml:space="preserve">          6277 - EMPLOYEE APPRECIATION</v>
      </c>
      <c r="C227" s="11"/>
      <c r="D227" s="7"/>
      <c r="E227" s="2"/>
      <c r="F227" s="6">
        <f t="shared" si="66"/>
        <v>0</v>
      </c>
      <c r="G227" s="2"/>
      <c r="H227" s="7">
        <v>840</v>
      </c>
      <c r="I227" s="2"/>
      <c r="J227" s="6">
        <f t="shared" si="67"/>
        <v>3.085803629862142E-4</v>
      </c>
      <c r="K227" s="2"/>
      <c r="L227" s="7">
        <f t="shared" si="68"/>
        <v>-840</v>
      </c>
      <c r="M227" s="2"/>
      <c r="N227" s="6">
        <f t="shared" si="69"/>
        <v>-1</v>
      </c>
      <c r="O227" s="11"/>
      <c r="P227" s="7">
        <v>1194.04</v>
      </c>
      <c r="Q227" s="2"/>
      <c r="R227" s="6">
        <f t="shared" si="70"/>
        <v>1.2585905068482602E-4</v>
      </c>
      <c r="S227" s="2"/>
      <c r="T227" s="7">
        <v>5355</v>
      </c>
      <c r="U227" s="2"/>
      <c r="V227" s="6">
        <f t="shared" si="71"/>
        <v>5.3641972518636907E-4</v>
      </c>
      <c r="W227" s="2"/>
      <c r="X227" s="7">
        <f t="shared" si="72"/>
        <v>-4160.96</v>
      </c>
      <c r="Y227" s="2"/>
      <c r="Z227" s="6">
        <f t="shared" si="73"/>
        <v>-0.77702334267040152</v>
      </c>
    </row>
    <row r="228" spans="1:26" s="27" customFormat="1" outlineLevel="1" collapsed="1" x14ac:dyDescent="0.25">
      <c r="A228" s="26"/>
      <c r="B228" s="13" t="str">
        <f>CONCATENATE("     ","Equipment Rental                                  ")</f>
        <v xml:space="preserve">     Equipment Rental                                  </v>
      </c>
      <c r="C228" s="13"/>
      <c r="D228" s="1">
        <f>SUM(OSRRefD22_9x_0)</f>
        <v>1388.16</v>
      </c>
      <c r="E228" s="1"/>
      <c r="F228" s="5">
        <f t="shared" si="66"/>
        <v>5.8117156116578442E-4</v>
      </c>
      <c r="G228" s="1"/>
      <c r="H228" s="1">
        <f>SUM(OSRRefH22_9x_0)</f>
        <v>3225</v>
      </c>
      <c r="I228" s="1"/>
      <c r="J228" s="5">
        <f t="shared" si="67"/>
        <v>1.1847281793220723E-3</v>
      </c>
      <c r="K228" s="1"/>
      <c r="L228" s="1">
        <f t="shared" si="68"/>
        <v>-1836.84</v>
      </c>
      <c r="M228" s="1"/>
      <c r="N228" s="5">
        <f t="shared" si="69"/>
        <v>-0.56956279069767435</v>
      </c>
      <c r="O228" s="13"/>
      <c r="P228" s="1">
        <f>SUM(OSRRefP22_9x_0)</f>
        <v>12478.3</v>
      </c>
      <c r="Q228" s="1"/>
      <c r="R228" s="5">
        <f t="shared" si="70"/>
        <v>1.3152884259827683E-3</v>
      </c>
      <c r="S228" s="1"/>
      <c r="T228" s="1">
        <f>SUM(OSRRefT22_9x_0)</f>
        <v>22575</v>
      </c>
      <c r="U228" s="1"/>
      <c r="V228" s="5">
        <f t="shared" si="71"/>
        <v>2.2613772728444972E-3</v>
      </c>
      <c r="W228" s="1"/>
      <c r="X228" s="1">
        <f t="shared" si="72"/>
        <v>-10096.700000000001</v>
      </c>
      <c r="Y228" s="1"/>
      <c r="Z228" s="5">
        <f t="shared" si="73"/>
        <v>-0.44725138427464012</v>
      </c>
    </row>
    <row r="229" spans="1:26" s="24" customFormat="1" hidden="1" outlineLevel="2" x14ac:dyDescent="0.25">
      <c r="A229" s="25"/>
      <c r="B229" s="11" t="str">
        <f>CONCATENATE("          ", "6351", " - ", "EQUIPMENT RENTAL")</f>
        <v xml:space="preserve">          6351 - EQUIPMENT RENTAL</v>
      </c>
      <c r="C229" s="11"/>
      <c r="D229" s="7">
        <v>1388.16</v>
      </c>
      <c r="E229" s="2"/>
      <c r="F229" s="6">
        <f t="shared" si="66"/>
        <v>5.8117156116578442E-4</v>
      </c>
      <c r="G229" s="2"/>
      <c r="H229" s="7">
        <v>3225</v>
      </c>
      <c r="I229" s="2"/>
      <c r="J229" s="6">
        <f t="shared" si="67"/>
        <v>1.1847281793220723E-3</v>
      </c>
      <c r="K229" s="2"/>
      <c r="L229" s="7">
        <f t="shared" si="68"/>
        <v>-1836.84</v>
      </c>
      <c r="M229" s="2"/>
      <c r="N229" s="6">
        <f t="shared" si="69"/>
        <v>-0.56956279069767435</v>
      </c>
      <c r="O229" s="11"/>
      <c r="P229" s="7">
        <v>12478.3</v>
      </c>
      <c r="Q229" s="2"/>
      <c r="R229" s="6">
        <f t="shared" si="70"/>
        <v>1.3152884259827683E-3</v>
      </c>
      <c r="S229" s="2"/>
      <c r="T229" s="7">
        <v>22575</v>
      </c>
      <c r="U229" s="2"/>
      <c r="V229" s="6">
        <f t="shared" si="71"/>
        <v>2.2613772728444972E-3</v>
      </c>
      <c r="W229" s="2"/>
      <c r="X229" s="7">
        <f t="shared" si="72"/>
        <v>-10096.700000000001</v>
      </c>
      <c r="Y229" s="2"/>
      <c r="Z229" s="6">
        <f t="shared" si="73"/>
        <v>-0.44725138427464012</v>
      </c>
    </row>
    <row r="230" spans="1:26" s="27" customFormat="1" outlineLevel="1" collapsed="1" x14ac:dyDescent="0.25">
      <c r="A230" s="26"/>
      <c r="B230" s="13" t="str">
        <f>CONCATENATE("     ","Freight out/Postage                               ")</f>
        <v xml:space="preserve">     Freight out/Postage                               </v>
      </c>
      <c r="C230" s="13"/>
      <c r="D230" s="1">
        <f>SUM(OSRRefD22_10x_0)</f>
        <v>-13215.979999999998</v>
      </c>
      <c r="E230" s="1"/>
      <c r="F230" s="5">
        <f t="shared" si="66"/>
        <v>-5.5330449868428583E-3</v>
      </c>
      <c r="G230" s="1"/>
      <c r="H230" s="1">
        <f>SUM(OSRRefH22_10x_0)</f>
        <v>-23185</v>
      </c>
      <c r="I230" s="1"/>
      <c r="J230" s="5">
        <f t="shared" si="67"/>
        <v>-8.517185375994496E-3</v>
      </c>
      <c r="K230" s="1"/>
      <c r="L230" s="1">
        <f t="shared" si="68"/>
        <v>9969.0200000000023</v>
      </c>
      <c r="M230" s="1"/>
      <c r="N230" s="5">
        <f t="shared" si="69"/>
        <v>-0.42997714039249524</v>
      </c>
      <c r="O230" s="13"/>
      <c r="P230" s="1">
        <f>SUM(OSRRefP22_10x_0)</f>
        <v>-6616.0899999999965</v>
      </c>
      <c r="Q230" s="1"/>
      <c r="R230" s="5">
        <f t="shared" si="70"/>
        <v>-6.9737597286972822E-4</v>
      </c>
      <c r="S230" s="1"/>
      <c r="T230" s="1">
        <f>SUM(OSRRefT22_10x_0)</f>
        <v>-52995</v>
      </c>
      <c r="U230" s="1"/>
      <c r="V230" s="5">
        <f t="shared" si="71"/>
        <v>-5.3086019302057202E-3</v>
      </c>
      <c r="W230" s="1"/>
      <c r="X230" s="1">
        <f t="shared" si="72"/>
        <v>46378.91</v>
      </c>
      <c r="Y230" s="1"/>
      <c r="Z230" s="5">
        <f t="shared" si="73"/>
        <v>-0.87515633550334948</v>
      </c>
    </row>
    <row r="231" spans="1:26" s="24" customFormat="1" hidden="1" outlineLevel="2" x14ac:dyDescent="0.25">
      <c r="A231" s="25"/>
      <c r="B231" s="11" t="str">
        <f>CONCATENATE("          ", "6305", " - ", "FREIGHT OUT")</f>
        <v xml:space="preserve">          6305 - FREIGHT OUT</v>
      </c>
      <c r="C231" s="11"/>
      <c r="D231" s="7">
        <v>2307.9899999999998</v>
      </c>
      <c r="E231" s="2"/>
      <c r="F231" s="6">
        <f t="shared" si="66"/>
        <v>9.6627056784161669E-4</v>
      </c>
      <c r="G231" s="2"/>
      <c r="H231" s="7">
        <v>-23225</v>
      </c>
      <c r="I231" s="2"/>
      <c r="J231" s="6">
        <f t="shared" si="67"/>
        <v>-8.5318796789938395E-3</v>
      </c>
      <c r="K231" s="2"/>
      <c r="L231" s="7">
        <f t="shared" si="68"/>
        <v>25532.989999999998</v>
      </c>
      <c r="M231" s="2"/>
      <c r="N231" s="6">
        <f t="shared" si="69"/>
        <v>-1.0993752421959095</v>
      </c>
      <c r="O231" s="11"/>
      <c r="P231" s="7">
        <v>37061.72</v>
      </c>
      <c r="Q231" s="2"/>
      <c r="R231" s="6">
        <f t="shared" si="70"/>
        <v>3.9065298448517898E-3</v>
      </c>
      <c r="S231" s="2"/>
      <c r="T231" s="7">
        <v>-53275</v>
      </c>
      <c r="U231" s="2"/>
      <c r="V231" s="6">
        <f t="shared" si="71"/>
        <v>-5.3366500204115432E-3</v>
      </c>
      <c r="W231" s="2"/>
      <c r="X231" s="7">
        <f t="shared" si="72"/>
        <v>90336.72</v>
      </c>
      <c r="Y231" s="2"/>
      <c r="Z231" s="6">
        <f t="shared" si="73"/>
        <v>-1.695668137024871</v>
      </c>
    </row>
    <row r="232" spans="1:26" s="24" customFormat="1" hidden="1" outlineLevel="2" x14ac:dyDescent="0.25">
      <c r="A232" s="25"/>
      <c r="B232" s="11" t="str">
        <f>CONCATENATE("          ", "6307", " - ", "POSTAGE")</f>
        <v xml:space="preserve">          6307 - POSTAGE</v>
      </c>
      <c r="C232" s="11"/>
      <c r="D232" s="7">
        <v>-15523.969999999998</v>
      </c>
      <c r="E232" s="2"/>
      <c r="F232" s="6">
        <f t="shared" si="66"/>
        <v>-6.4993155546844749E-3</v>
      </c>
      <c r="G232" s="2"/>
      <c r="H232" s="7">
        <v>40</v>
      </c>
      <c r="I232" s="2"/>
      <c r="J232" s="6">
        <f t="shared" si="67"/>
        <v>1.4694302999343533E-5</v>
      </c>
      <c r="K232" s="2"/>
      <c r="L232" s="7">
        <f t="shared" si="68"/>
        <v>-15563.969999999998</v>
      </c>
      <c r="M232" s="2"/>
      <c r="N232" s="6">
        <f t="shared" si="69"/>
        <v>-389.09924999999993</v>
      </c>
      <c r="O232" s="11"/>
      <c r="P232" s="7">
        <v>-43677.81</v>
      </c>
      <c r="Q232" s="2"/>
      <c r="R232" s="6">
        <f t="shared" si="70"/>
        <v>-4.6039058177215174E-3</v>
      </c>
      <c r="S232" s="2"/>
      <c r="T232" s="7">
        <v>280</v>
      </c>
      <c r="U232" s="2"/>
      <c r="V232" s="6">
        <f t="shared" si="71"/>
        <v>2.8048090205823222E-5</v>
      </c>
      <c r="W232" s="2"/>
      <c r="X232" s="7">
        <f t="shared" si="72"/>
        <v>-43957.81</v>
      </c>
      <c r="Y232" s="2"/>
      <c r="Z232" s="6">
        <f t="shared" si="73"/>
        <v>-156.99217857142855</v>
      </c>
    </row>
    <row r="233" spans="1:26" s="27" customFormat="1" outlineLevel="1" collapsed="1" x14ac:dyDescent="0.25">
      <c r="A233" s="26"/>
      <c r="B233" s="13" t="str">
        <f>CONCATENATE("     ","General                                           ")</f>
        <v xml:space="preserve">     General                                           </v>
      </c>
      <c r="C233" s="13"/>
      <c r="D233" s="1">
        <f>SUM(OSRRefD22_11x_0)</f>
        <v>316.16000000000003</v>
      </c>
      <c r="E233" s="1"/>
      <c r="F233" s="5">
        <f t="shared" ref="F233:F247" si="74">IF(D$12=0,0,D233/D$12)</f>
        <v>1.3236456948635201E-4</v>
      </c>
      <c r="G233" s="1"/>
      <c r="H233" s="1">
        <f>SUM(OSRRefH22_11x_0)</f>
        <v>1330</v>
      </c>
      <c r="I233" s="1"/>
      <c r="J233" s="5">
        <f t="shared" ref="J233:J247" si="75">IF(H$12=0,0,H233/H$12)</f>
        <v>4.8858557472817243E-4</v>
      </c>
      <c r="K233" s="1"/>
      <c r="L233" s="1">
        <f t="shared" ref="L233:L247" si="76">+D233-H233</f>
        <v>-1013.8399999999999</v>
      </c>
      <c r="M233" s="1"/>
      <c r="N233" s="5">
        <f t="shared" ref="N233:N247" si="77">IF(H233=0,0,L233/H233)</f>
        <v>-0.76228571428571423</v>
      </c>
      <c r="O233" s="13"/>
      <c r="P233" s="1">
        <f>SUM(OSRRefP22_11x_0)</f>
        <v>-1031.5899999999999</v>
      </c>
      <c r="Q233" s="1"/>
      <c r="R233" s="5">
        <f t="shared" ref="R233:R247" si="78">IF(P$12=0,0,P233/P$12)</f>
        <v>-1.0873583640075682E-4</v>
      </c>
      <c r="S233" s="1"/>
      <c r="T233" s="1">
        <f>SUM(OSRRefT22_11x_0)</f>
        <v>18125</v>
      </c>
      <c r="U233" s="1"/>
      <c r="V233" s="5">
        <f t="shared" ref="V233:V247" si="79">IF(T$12=0,0,T233/T$12)</f>
        <v>1.8156129820733782E-3</v>
      </c>
      <c r="W233" s="1"/>
      <c r="X233" s="1">
        <f t="shared" ref="X233:X247" si="80">+P233-T233</f>
        <v>-19156.59</v>
      </c>
      <c r="Y233" s="1"/>
      <c r="Z233" s="5">
        <f t="shared" ref="Z233:Z247" si="81">IF(T233=0,0,X233/T233)</f>
        <v>-1.0569153103448277</v>
      </c>
    </row>
    <row r="234" spans="1:26" s="24" customFormat="1" hidden="1" outlineLevel="2" x14ac:dyDescent="0.25">
      <c r="A234" s="25"/>
      <c r="B234" s="11" t="str">
        <f>CONCATENATE("          ", "6279", " - ", "GENERAL EXPENSE")</f>
        <v xml:space="preserve">          6279 - GENERAL EXPENSE</v>
      </c>
      <c r="C234" s="11"/>
      <c r="D234" s="7">
        <v>316.16000000000003</v>
      </c>
      <c r="E234" s="2"/>
      <c r="F234" s="6">
        <f t="shared" si="74"/>
        <v>1.3236456948635201E-4</v>
      </c>
      <c r="G234" s="2"/>
      <c r="H234" s="7">
        <v>1330</v>
      </c>
      <c r="I234" s="2"/>
      <c r="J234" s="6">
        <f t="shared" si="75"/>
        <v>4.8858557472817243E-4</v>
      </c>
      <c r="K234" s="2"/>
      <c r="L234" s="7">
        <f t="shared" si="76"/>
        <v>-1013.8399999999999</v>
      </c>
      <c r="M234" s="2"/>
      <c r="N234" s="6">
        <f t="shared" si="77"/>
        <v>-0.76228571428571423</v>
      </c>
      <c r="O234" s="11"/>
      <c r="P234" s="7">
        <v>-1031.5899999999999</v>
      </c>
      <c r="Q234" s="2"/>
      <c r="R234" s="6">
        <f t="shared" si="78"/>
        <v>-1.0873583640075682E-4</v>
      </c>
      <c r="S234" s="2"/>
      <c r="T234" s="7">
        <v>18125</v>
      </c>
      <c r="U234" s="2"/>
      <c r="V234" s="6">
        <f t="shared" si="79"/>
        <v>1.8156129820733782E-3</v>
      </c>
      <c r="W234" s="2"/>
      <c r="X234" s="7">
        <f t="shared" si="80"/>
        <v>-19156.59</v>
      </c>
      <c r="Y234" s="2"/>
      <c r="Z234" s="6">
        <f t="shared" si="81"/>
        <v>-1.0569153103448277</v>
      </c>
    </row>
    <row r="235" spans="1:26" s="27" customFormat="1" outlineLevel="1" collapsed="1" x14ac:dyDescent="0.25">
      <c r="A235" s="26"/>
      <c r="B235" s="13" t="str">
        <f>CONCATENATE("     ","Insurance                                         ")</f>
        <v xml:space="preserve">     Insurance                                         </v>
      </c>
      <c r="C235" s="13"/>
      <c r="D235" s="1">
        <f>SUM(OSRRefD22_12x_0)</f>
        <v>4044.74</v>
      </c>
      <c r="E235" s="1"/>
      <c r="F235" s="5">
        <f t="shared" si="74"/>
        <v>1.693383947318533E-3</v>
      </c>
      <c r="G235" s="1"/>
      <c r="H235" s="1">
        <f>SUM(OSRRefH22_12x_0)</f>
        <v>3815</v>
      </c>
      <c r="I235" s="1"/>
      <c r="J235" s="5">
        <f t="shared" si="75"/>
        <v>1.4014691485623894E-3</v>
      </c>
      <c r="K235" s="1"/>
      <c r="L235" s="1">
        <f t="shared" si="76"/>
        <v>229.73999999999978</v>
      </c>
      <c r="M235" s="1"/>
      <c r="N235" s="5">
        <f t="shared" si="77"/>
        <v>6.0220183486238477E-2</v>
      </c>
      <c r="O235" s="13"/>
      <c r="P235" s="1">
        <f>SUM(OSRRefP22_12x_0)</f>
        <v>28313.18</v>
      </c>
      <c r="Q235" s="1"/>
      <c r="R235" s="5">
        <f t="shared" si="78"/>
        <v>2.9843807214738221E-3</v>
      </c>
      <c r="S235" s="1"/>
      <c r="T235" s="1">
        <f>SUM(OSRRefT22_12x_0)</f>
        <v>26705</v>
      </c>
      <c r="U235" s="1"/>
      <c r="V235" s="5">
        <f t="shared" si="79"/>
        <v>2.6750866033803896E-3</v>
      </c>
      <c r="W235" s="1"/>
      <c r="X235" s="1">
        <f t="shared" si="80"/>
        <v>1608.1800000000003</v>
      </c>
      <c r="Y235" s="1"/>
      <c r="Z235" s="5">
        <f t="shared" si="81"/>
        <v>6.0220183486238546E-2</v>
      </c>
    </row>
    <row r="236" spans="1:26" s="24" customFormat="1" hidden="1" outlineLevel="2" x14ac:dyDescent="0.25">
      <c r="A236" s="25"/>
      <c r="B236" s="11" t="str">
        <f>CONCATENATE("          ", "6314", " - ", "LIABILITY INSURANCE")</f>
        <v xml:space="preserve">          6314 - LIABILITY INSURANCE</v>
      </c>
      <c r="C236" s="11"/>
      <c r="D236" s="7">
        <v>4044.74</v>
      </c>
      <c r="E236" s="2"/>
      <c r="F236" s="6">
        <f t="shared" si="74"/>
        <v>1.693383947318533E-3</v>
      </c>
      <c r="G236" s="2"/>
      <c r="H236" s="7">
        <v>3815</v>
      </c>
      <c r="I236" s="2"/>
      <c r="J236" s="6">
        <f t="shared" si="75"/>
        <v>1.4014691485623894E-3</v>
      </c>
      <c r="K236" s="2"/>
      <c r="L236" s="7">
        <f t="shared" si="76"/>
        <v>229.73999999999978</v>
      </c>
      <c r="M236" s="2"/>
      <c r="N236" s="6">
        <f t="shared" si="77"/>
        <v>6.0220183486238477E-2</v>
      </c>
      <c r="O236" s="11"/>
      <c r="P236" s="7">
        <v>28313.18</v>
      </c>
      <c r="Q236" s="2"/>
      <c r="R236" s="6">
        <f t="shared" si="78"/>
        <v>2.9843807214738221E-3</v>
      </c>
      <c r="S236" s="2"/>
      <c r="T236" s="7">
        <v>26705</v>
      </c>
      <c r="U236" s="2"/>
      <c r="V236" s="6">
        <f t="shared" si="79"/>
        <v>2.6750866033803896E-3</v>
      </c>
      <c r="W236" s="2"/>
      <c r="X236" s="7">
        <f t="shared" si="80"/>
        <v>1608.1800000000003</v>
      </c>
      <c r="Y236" s="2"/>
      <c r="Z236" s="6">
        <f t="shared" si="81"/>
        <v>6.0220183486238546E-2</v>
      </c>
    </row>
    <row r="237" spans="1:26" s="27" customFormat="1" outlineLevel="1" collapsed="1" x14ac:dyDescent="0.25">
      <c r="A237" s="26"/>
      <c r="B237" s="13" t="str">
        <f>CONCATENATE("     ","Inventory Adjustment                              ")</f>
        <v xml:space="preserve">     Inventory Adjustment                              </v>
      </c>
      <c r="C237" s="13"/>
      <c r="D237" s="1">
        <f>SUM(OSRRefD22_13x_0)</f>
        <v>4250</v>
      </c>
      <c r="E237" s="1"/>
      <c r="F237" s="5">
        <f t="shared" si="74"/>
        <v>1.7793187636544661E-3</v>
      </c>
      <c r="G237" s="1"/>
      <c r="H237" s="1">
        <f>SUM(OSRRefH22_13x_0)</f>
        <v>4250</v>
      </c>
      <c r="I237" s="1"/>
      <c r="J237" s="5">
        <f t="shared" si="75"/>
        <v>1.5612696936802503E-3</v>
      </c>
      <c r="K237" s="1"/>
      <c r="L237" s="1">
        <f t="shared" si="76"/>
        <v>0</v>
      </c>
      <c r="M237" s="1"/>
      <c r="N237" s="5">
        <f t="shared" si="77"/>
        <v>0</v>
      </c>
      <c r="O237" s="13"/>
      <c r="P237" s="1">
        <f>SUM(OSRRefP22_13x_0)</f>
        <v>35450</v>
      </c>
      <c r="Q237" s="1"/>
      <c r="R237" s="5">
        <f t="shared" si="78"/>
        <v>3.7366447914450795E-3</v>
      </c>
      <c r="S237" s="1"/>
      <c r="T237" s="1">
        <f>SUM(OSRRefT22_13x_0)</f>
        <v>35450</v>
      </c>
      <c r="U237" s="1"/>
      <c r="V237" s="5">
        <f t="shared" si="79"/>
        <v>3.5510885635586902E-3</v>
      </c>
      <c r="W237" s="1"/>
      <c r="X237" s="1">
        <f t="shared" si="80"/>
        <v>0</v>
      </c>
      <c r="Y237" s="1"/>
      <c r="Z237" s="5">
        <f t="shared" si="81"/>
        <v>0</v>
      </c>
    </row>
    <row r="238" spans="1:26" s="24" customFormat="1" hidden="1" outlineLevel="2" x14ac:dyDescent="0.25">
      <c r="A238" s="25"/>
      <c r="B238" s="11" t="str">
        <f>CONCATENATE("          ", "6408", " - ", "INVENTORY ADJUSTMENT")</f>
        <v xml:space="preserve">          6408 - INVENTORY ADJUSTMENT</v>
      </c>
      <c r="C238" s="11"/>
      <c r="D238" s="7">
        <v>4250</v>
      </c>
      <c r="E238" s="2"/>
      <c r="F238" s="6">
        <f t="shared" si="74"/>
        <v>1.7793187636544661E-3</v>
      </c>
      <c r="G238" s="2"/>
      <c r="H238" s="7">
        <v>4250</v>
      </c>
      <c r="I238" s="2"/>
      <c r="J238" s="6">
        <f t="shared" si="75"/>
        <v>1.5612696936802503E-3</v>
      </c>
      <c r="K238" s="2"/>
      <c r="L238" s="7">
        <f t="shared" si="76"/>
        <v>0</v>
      </c>
      <c r="M238" s="2"/>
      <c r="N238" s="6">
        <f t="shared" si="77"/>
        <v>0</v>
      </c>
      <c r="O238" s="11"/>
      <c r="P238" s="7">
        <v>35450</v>
      </c>
      <c r="Q238" s="2"/>
      <c r="R238" s="6">
        <f t="shared" si="78"/>
        <v>3.7366447914450795E-3</v>
      </c>
      <c r="S238" s="2"/>
      <c r="T238" s="7">
        <v>35450</v>
      </c>
      <c r="U238" s="2"/>
      <c r="V238" s="6">
        <f t="shared" si="79"/>
        <v>3.5510885635586902E-3</v>
      </c>
      <c r="W238" s="2"/>
      <c r="X238" s="7">
        <f t="shared" si="80"/>
        <v>0</v>
      </c>
      <c r="Y238" s="2"/>
      <c r="Z238" s="6">
        <f t="shared" si="81"/>
        <v>0</v>
      </c>
    </row>
    <row r="239" spans="1:26" s="27" customFormat="1" outlineLevel="1" collapsed="1" x14ac:dyDescent="0.25">
      <c r="A239" s="26"/>
      <c r="B239" s="13" t="str">
        <f>CONCATENATE("     ","Professional Services                             ")</f>
        <v xml:space="preserve">     Professional Services                             </v>
      </c>
      <c r="C239" s="13"/>
      <c r="D239" s="1">
        <f>SUM(OSRRefD22_14x_0)</f>
        <v>0</v>
      </c>
      <c r="E239" s="1"/>
      <c r="F239" s="5">
        <f t="shared" si="74"/>
        <v>0</v>
      </c>
      <c r="G239" s="1"/>
      <c r="H239" s="1">
        <f>SUM(OSRRefH22_14x_0)</f>
        <v>1265</v>
      </c>
      <c r="I239" s="1"/>
      <c r="J239" s="5">
        <f t="shared" si="75"/>
        <v>4.647073323542392E-4</v>
      </c>
      <c r="K239" s="1"/>
      <c r="L239" s="1">
        <f t="shared" si="76"/>
        <v>-1265</v>
      </c>
      <c r="M239" s="1"/>
      <c r="N239" s="5">
        <f t="shared" si="77"/>
        <v>-1</v>
      </c>
      <c r="O239" s="13"/>
      <c r="P239" s="1">
        <f>SUM(OSRRefP22_14x_0)</f>
        <v>6199.56</v>
      </c>
      <c r="Q239" s="1"/>
      <c r="R239" s="5">
        <f t="shared" si="78"/>
        <v>6.5347118711569141E-4</v>
      </c>
      <c r="S239" s="1"/>
      <c r="T239" s="1">
        <f>SUM(OSRRefT22_14x_0)</f>
        <v>10005</v>
      </c>
      <c r="U239" s="1"/>
      <c r="V239" s="5">
        <f t="shared" si="79"/>
        <v>1.0022183661045048E-3</v>
      </c>
      <c r="W239" s="1"/>
      <c r="X239" s="1">
        <f t="shared" si="80"/>
        <v>-3805.4399999999996</v>
      </c>
      <c r="Y239" s="1"/>
      <c r="Z239" s="5">
        <f t="shared" si="81"/>
        <v>-0.38035382308845572</v>
      </c>
    </row>
    <row r="240" spans="1:26" s="24" customFormat="1" hidden="1" outlineLevel="2" x14ac:dyDescent="0.25">
      <c r="A240" s="25"/>
      <c r="B240" s="11" t="str">
        <f>CONCATENATE("          ", "6336", " - ", "PROFESSIONAL SERVICES")</f>
        <v xml:space="preserve">          6336 - PROFESSIONAL SERVICES</v>
      </c>
      <c r="C240" s="11"/>
      <c r="D240" s="7"/>
      <c r="E240" s="2"/>
      <c r="F240" s="6">
        <f t="shared" si="74"/>
        <v>0</v>
      </c>
      <c r="G240" s="2"/>
      <c r="H240" s="7">
        <v>1265</v>
      </c>
      <c r="I240" s="2"/>
      <c r="J240" s="6">
        <f t="shared" si="75"/>
        <v>4.647073323542392E-4</v>
      </c>
      <c r="K240" s="2"/>
      <c r="L240" s="7">
        <f t="shared" si="76"/>
        <v>-1265</v>
      </c>
      <c r="M240" s="2"/>
      <c r="N240" s="6">
        <f t="shared" si="77"/>
        <v>-1</v>
      </c>
      <c r="O240" s="11"/>
      <c r="P240" s="7">
        <v>6199.56</v>
      </c>
      <c r="Q240" s="2"/>
      <c r="R240" s="6">
        <f t="shared" si="78"/>
        <v>6.5347118711569141E-4</v>
      </c>
      <c r="S240" s="2"/>
      <c r="T240" s="7">
        <v>10005</v>
      </c>
      <c r="U240" s="2"/>
      <c r="V240" s="6">
        <f t="shared" si="79"/>
        <v>1.0022183661045048E-3</v>
      </c>
      <c r="W240" s="2"/>
      <c r="X240" s="7">
        <f t="shared" si="80"/>
        <v>-3805.4399999999996</v>
      </c>
      <c r="Y240" s="2"/>
      <c r="Z240" s="6">
        <f t="shared" si="81"/>
        <v>-0.38035382308845572</v>
      </c>
    </row>
    <row r="241" spans="1:26" s="27" customFormat="1" outlineLevel="1" collapsed="1" x14ac:dyDescent="0.25">
      <c r="A241" s="26"/>
      <c r="B241" s="13" t="str">
        <f>CONCATENATE("     ","Rent                                              ")</f>
        <v xml:space="preserve">     Rent                                              </v>
      </c>
      <c r="C241" s="13"/>
      <c r="D241" s="1">
        <f>SUM(OSRRefD22_15x_0)</f>
        <v>7700</v>
      </c>
      <c r="E241" s="1"/>
      <c r="F241" s="5">
        <f t="shared" si="74"/>
        <v>3.2237069365033859E-3</v>
      </c>
      <c r="G241" s="1"/>
      <c r="H241" s="1">
        <f>SUM(OSRRefH22_15x_0)</f>
        <v>6400</v>
      </c>
      <c r="I241" s="1"/>
      <c r="J241" s="5">
        <f t="shared" si="75"/>
        <v>2.3510884798949652E-3</v>
      </c>
      <c r="K241" s="1"/>
      <c r="L241" s="1">
        <f t="shared" si="76"/>
        <v>1300</v>
      </c>
      <c r="M241" s="1"/>
      <c r="N241" s="5">
        <f t="shared" si="77"/>
        <v>0.203125</v>
      </c>
      <c r="O241" s="13"/>
      <c r="P241" s="1">
        <f>SUM(OSRRefP22_15x_0)</f>
        <v>44300</v>
      </c>
      <c r="Q241" s="1"/>
      <c r="R241" s="5">
        <f t="shared" si="78"/>
        <v>4.6694884135688869E-3</v>
      </c>
      <c r="S241" s="1"/>
      <c r="T241" s="1">
        <f>SUM(OSRRefT22_15x_0)</f>
        <v>44800</v>
      </c>
      <c r="U241" s="1"/>
      <c r="V241" s="5">
        <f t="shared" si="79"/>
        <v>4.4876944329317152E-3</v>
      </c>
      <c r="W241" s="1"/>
      <c r="X241" s="1">
        <f t="shared" si="80"/>
        <v>-500</v>
      </c>
      <c r="Y241" s="1"/>
      <c r="Z241" s="5">
        <f t="shared" si="81"/>
        <v>-1.1160714285714286E-2</v>
      </c>
    </row>
    <row r="242" spans="1:26" s="24" customFormat="1" hidden="1" outlineLevel="2" x14ac:dyDescent="0.25">
      <c r="A242" s="25"/>
      <c r="B242" s="11" t="str">
        <f>CONCATENATE("          ", "6273", " - ", "RENT")</f>
        <v xml:space="preserve">          6273 - RENT</v>
      </c>
      <c r="C242" s="11"/>
      <c r="D242" s="7">
        <v>7700</v>
      </c>
      <c r="E242" s="2"/>
      <c r="F242" s="6">
        <f t="shared" si="74"/>
        <v>3.2237069365033859E-3</v>
      </c>
      <c r="G242" s="2"/>
      <c r="H242" s="7">
        <v>6400</v>
      </c>
      <c r="I242" s="2"/>
      <c r="J242" s="6">
        <f t="shared" si="75"/>
        <v>2.3510884798949652E-3</v>
      </c>
      <c r="K242" s="2"/>
      <c r="L242" s="7">
        <f t="shared" si="76"/>
        <v>1300</v>
      </c>
      <c r="M242" s="2"/>
      <c r="N242" s="6">
        <f t="shared" si="77"/>
        <v>0.203125</v>
      </c>
      <c r="O242" s="11"/>
      <c r="P242" s="7">
        <v>44300</v>
      </c>
      <c r="Q242" s="2"/>
      <c r="R242" s="6">
        <f t="shared" si="78"/>
        <v>4.6694884135688869E-3</v>
      </c>
      <c r="S242" s="2"/>
      <c r="T242" s="7">
        <v>44800</v>
      </c>
      <c r="U242" s="2"/>
      <c r="V242" s="6">
        <f t="shared" si="79"/>
        <v>4.4876944329317152E-3</v>
      </c>
      <c r="W242" s="2"/>
      <c r="X242" s="7">
        <f t="shared" si="80"/>
        <v>-500</v>
      </c>
      <c r="Y242" s="2"/>
      <c r="Z242" s="6">
        <f t="shared" si="81"/>
        <v>-1.1160714285714286E-2</v>
      </c>
    </row>
    <row r="243" spans="1:26" s="27" customFormat="1" outlineLevel="1" collapsed="1" x14ac:dyDescent="0.25">
      <c r="A243" s="26"/>
      <c r="B243" s="13" t="str">
        <f>CONCATENATE("     ","Repair and Maintenance                            ")</f>
        <v xml:space="preserve">     Repair and Maintenance                            </v>
      </c>
      <c r="C243" s="13"/>
      <c r="D243" s="1">
        <f>SUM(OSRRefD22_16x_0)</f>
        <v>19358.940000000002</v>
      </c>
      <c r="E243" s="1"/>
      <c r="F243" s="5">
        <f t="shared" si="74"/>
        <v>8.1048765144614097E-3</v>
      </c>
      <c r="G243" s="1"/>
      <c r="H243" s="1">
        <f>SUM(OSRRefH22_16x_0)</f>
        <v>14540</v>
      </c>
      <c r="I243" s="1"/>
      <c r="J243" s="5">
        <f t="shared" si="75"/>
        <v>5.341379140261374E-3</v>
      </c>
      <c r="K243" s="1"/>
      <c r="L243" s="1">
        <f t="shared" si="76"/>
        <v>4818.9400000000023</v>
      </c>
      <c r="M243" s="1"/>
      <c r="N243" s="5">
        <f t="shared" si="77"/>
        <v>0.33142640990371403</v>
      </c>
      <c r="O243" s="13"/>
      <c r="P243" s="1">
        <f>SUM(OSRRefP22_16x_0)</f>
        <v>101710.95999999999</v>
      </c>
      <c r="Q243" s="1"/>
      <c r="R243" s="5">
        <f t="shared" si="78"/>
        <v>1.0720951450405608E-2</v>
      </c>
      <c r="S243" s="1"/>
      <c r="T243" s="1">
        <f>SUM(OSRRefT22_16x_0)</f>
        <v>146415</v>
      </c>
      <c r="U243" s="1"/>
      <c r="V243" s="5">
        <f t="shared" si="79"/>
        <v>1.4666646883877168E-2</v>
      </c>
      <c r="W243" s="1"/>
      <c r="X243" s="1">
        <f t="shared" si="80"/>
        <v>-44704.040000000008</v>
      </c>
      <c r="Y243" s="1"/>
      <c r="Z243" s="5">
        <f t="shared" si="81"/>
        <v>-0.30532418126558075</v>
      </c>
    </row>
    <row r="244" spans="1:26" s="24" customFormat="1" hidden="1" outlineLevel="2" x14ac:dyDescent="0.25">
      <c r="A244" s="25"/>
      <c r="B244" s="11" t="str">
        <f>CONCATENATE("          ", "6371", " - ", "COMPUTER SOFTWARE MAINTENANCE")</f>
        <v xml:space="preserve">          6371 - COMPUTER SOFTWARE MAINTENANCE</v>
      </c>
      <c r="C244" s="11"/>
      <c r="D244" s="7">
        <v>601</v>
      </c>
      <c r="E244" s="2"/>
      <c r="F244" s="6">
        <f t="shared" si="74"/>
        <v>2.5161660634266686E-4</v>
      </c>
      <c r="G244" s="2"/>
      <c r="H244" s="7"/>
      <c r="I244" s="2"/>
      <c r="J244" s="6">
        <f t="shared" si="75"/>
        <v>0</v>
      </c>
      <c r="K244" s="2"/>
      <c r="L244" s="7">
        <f t="shared" si="76"/>
        <v>601</v>
      </c>
      <c r="M244" s="2"/>
      <c r="N244" s="6">
        <f t="shared" si="77"/>
        <v>0</v>
      </c>
      <c r="O244" s="11"/>
      <c r="P244" s="7">
        <v>14554.4</v>
      </c>
      <c r="Q244" s="2"/>
      <c r="R244" s="6">
        <f t="shared" si="78"/>
        <v>1.5341219450665238E-3</v>
      </c>
      <c r="S244" s="2"/>
      <c r="T244" s="7">
        <v>48535</v>
      </c>
      <c r="U244" s="2"/>
      <c r="V244" s="6">
        <f t="shared" si="79"/>
        <v>4.8618359219272499E-3</v>
      </c>
      <c r="W244" s="2"/>
      <c r="X244" s="7">
        <f t="shared" si="80"/>
        <v>-33980.6</v>
      </c>
      <c r="Y244" s="2"/>
      <c r="Z244" s="6">
        <f t="shared" si="81"/>
        <v>-0.700125682497167</v>
      </c>
    </row>
    <row r="245" spans="1:26" s="24" customFormat="1" hidden="1" outlineLevel="2" x14ac:dyDescent="0.25">
      <c r="A245" s="25"/>
      <c r="B245" s="11" t="str">
        <f>CONCATENATE("          ", "6372", " - ", "COMPUTER HARDWARE MAINTENANCE")</f>
        <v xml:space="preserve">          6372 - COMPUTER HARDWARE MAINTENANCE</v>
      </c>
      <c r="C245" s="11"/>
      <c r="D245" s="7">
        <v>52.32</v>
      </c>
      <c r="E245" s="2"/>
      <c r="F245" s="6">
        <f t="shared" si="74"/>
        <v>2.1904460638682745E-5</v>
      </c>
      <c r="G245" s="2"/>
      <c r="H245" s="7"/>
      <c r="I245" s="2"/>
      <c r="J245" s="6">
        <f t="shared" si="75"/>
        <v>0</v>
      </c>
      <c r="K245" s="2"/>
      <c r="L245" s="7">
        <f t="shared" si="76"/>
        <v>52.32</v>
      </c>
      <c r="M245" s="2"/>
      <c r="N245" s="6">
        <f t="shared" si="77"/>
        <v>0</v>
      </c>
      <c r="O245" s="11"/>
      <c r="P245" s="7">
        <v>52.32</v>
      </c>
      <c r="Q245" s="2"/>
      <c r="R245" s="6">
        <f t="shared" si="78"/>
        <v>5.5148450067251501E-6</v>
      </c>
      <c r="S245" s="2"/>
      <c r="T245" s="7">
        <v>2000</v>
      </c>
      <c r="U245" s="2"/>
      <c r="V245" s="6">
        <f t="shared" si="79"/>
        <v>2.0034350147016586E-4</v>
      </c>
      <c r="W245" s="2"/>
      <c r="X245" s="7">
        <f t="shared" si="80"/>
        <v>-1947.68</v>
      </c>
      <c r="Y245" s="2"/>
      <c r="Z245" s="6">
        <f t="shared" si="81"/>
        <v>-0.97384000000000004</v>
      </c>
    </row>
    <row r="246" spans="1:26" s="24" customFormat="1" hidden="1" outlineLevel="2" x14ac:dyDescent="0.25">
      <c r="A246" s="25"/>
      <c r="B246" s="11" t="str">
        <f>CONCATENATE("          ", "6373", " - ", "MAINTENANCE CONTRACTS")</f>
        <v xml:space="preserve">          6373 - MAINTENANCE CONTRACTS</v>
      </c>
      <c r="C246" s="11"/>
      <c r="D246" s="7">
        <v>12841.11</v>
      </c>
      <c r="E246" s="2"/>
      <c r="F246" s="6">
        <f t="shared" si="74"/>
        <v>5.3761006986237656E-3</v>
      </c>
      <c r="G246" s="2"/>
      <c r="H246" s="7">
        <v>7040</v>
      </c>
      <c r="I246" s="2"/>
      <c r="J246" s="6">
        <f t="shared" si="75"/>
        <v>2.5861973278844619E-3</v>
      </c>
      <c r="K246" s="2"/>
      <c r="L246" s="7">
        <f t="shared" si="76"/>
        <v>5801.1100000000006</v>
      </c>
      <c r="M246" s="2"/>
      <c r="N246" s="6">
        <f t="shared" si="77"/>
        <v>0.82402130681818186</v>
      </c>
      <c r="O246" s="11"/>
      <c r="P246" s="7">
        <v>52539.5</v>
      </c>
      <c r="Q246" s="2"/>
      <c r="R246" s="6">
        <f t="shared" si="78"/>
        <v>5.537981636675E-3</v>
      </c>
      <c r="S246" s="2"/>
      <c r="T246" s="7">
        <v>49355</v>
      </c>
      <c r="U246" s="2"/>
      <c r="V246" s="6">
        <f t="shared" si="79"/>
        <v>4.943976757530018E-3</v>
      </c>
      <c r="W246" s="2"/>
      <c r="X246" s="7">
        <f t="shared" si="80"/>
        <v>3184.5</v>
      </c>
      <c r="Y246" s="2"/>
      <c r="Z246" s="6">
        <f t="shared" si="81"/>
        <v>6.4522338162293594E-2</v>
      </c>
    </row>
    <row r="247" spans="1:26" s="24" customFormat="1" hidden="1" outlineLevel="2" x14ac:dyDescent="0.25">
      <c r="A247" s="25"/>
      <c r="B247" s="11" t="str">
        <f>CONCATENATE("          ", "6375", " - ", "OUTSIDE REPAIRS &amp; MAINTENANCE")</f>
        <v xml:space="preserve">          6375 - OUTSIDE REPAIRS &amp; MAINTENANCE</v>
      </c>
      <c r="C247" s="11"/>
      <c r="D247" s="7">
        <v>5864.51</v>
      </c>
      <c r="E247" s="2"/>
      <c r="F247" s="6">
        <f t="shared" si="74"/>
        <v>2.4552547488562951E-3</v>
      </c>
      <c r="G247" s="2"/>
      <c r="H247" s="7">
        <v>7500</v>
      </c>
      <c r="I247" s="2"/>
      <c r="J247" s="6">
        <f t="shared" si="75"/>
        <v>2.7551818123769125E-3</v>
      </c>
      <c r="K247" s="2"/>
      <c r="L247" s="7">
        <f t="shared" si="76"/>
        <v>-1635.4899999999998</v>
      </c>
      <c r="M247" s="2"/>
      <c r="N247" s="6">
        <f t="shared" si="77"/>
        <v>-0.21806533333333331</v>
      </c>
      <c r="O247" s="11"/>
      <c r="P247" s="7">
        <v>34564.74</v>
      </c>
      <c r="Q247" s="2"/>
      <c r="R247" s="6">
        <f t="shared" si="78"/>
        <v>3.6433330236573594E-3</v>
      </c>
      <c r="S247" s="2"/>
      <c r="T247" s="7">
        <v>46525</v>
      </c>
      <c r="U247" s="2"/>
      <c r="V247" s="6">
        <f t="shared" si="79"/>
        <v>4.6604907029497338E-3</v>
      </c>
      <c r="W247" s="2"/>
      <c r="X247" s="7">
        <f t="shared" si="80"/>
        <v>-11960.260000000002</v>
      </c>
      <c r="Y247" s="2"/>
      <c r="Z247" s="6">
        <f t="shared" si="81"/>
        <v>-0.25707168189145624</v>
      </c>
    </row>
    <row r="248" spans="1:26" s="27" customFormat="1" outlineLevel="1" collapsed="1" x14ac:dyDescent="0.25">
      <c r="A248" s="26"/>
      <c r="B248" s="13" t="str">
        <f>CONCATENATE("     ","Royalty &amp; Commissions                             ")</f>
        <v xml:space="preserve">     Royalty &amp; Commissions                             </v>
      </c>
      <c r="C248" s="13"/>
      <c r="D248" s="1">
        <f>SUM(OSRRefD22_17x_0)</f>
        <v>8601.39</v>
      </c>
      <c r="E248" s="1"/>
      <c r="F248" s="5">
        <f t="shared" ref="F248:F252" si="82">IF(D$12=0,0,D248/D$12)</f>
        <v>3.6010857930611501E-3</v>
      </c>
      <c r="G248" s="1"/>
      <c r="H248" s="1">
        <f>SUM(OSRRefH22_17x_0)</f>
        <v>16485</v>
      </c>
      <c r="I248" s="1"/>
      <c r="J248" s="5">
        <f t="shared" ref="J248:J252" si="83">IF(H$12=0,0,H248/H$12)</f>
        <v>6.0558896236044537E-3</v>
      </c>
      <c r="K248" s="1"/>
      <c r="L248" s="1">
        <f t="shared" ref="L248:L252" si="84">+D248-H248</f>
        <v>-7883.6100000000006</v>
      </c>
      <c r="M248" s="1"/>
      <c r="N248" s="5">
        <f t="shared" ref="N248:N252" si="85">IF(H248=0,0,L248/H248)</f>
        <v>-0.47822929936305736</v>
      </c>
      <c r="O248" s="13"/>
      <c r="P248" s="1">
        <f>SUM(OSRRefP22_17x_0)</f>
        <v>72092.160000000003</v>
      </c>
      <c r="Q248" s="1"/>
      <c r="R248" s="5">
        <f t="shared" ref="R248:R252" si="86">IF(P$12=0,0,P248/P$12)</f>
        <v>7.5989504701840715E-3</v>
      </c>
      <c r="S248" s="1"/>
      <c r="T248" s="1">
        <f>SUM(OSRRefT22_17x_0)</f>
        <v>115395</v>
      </c>
      <c r="U248" s="1"/>
      <c r="V248" s="5">
        <f t="shared" ref="V248:V252" si="87">IF(T$12=0,0,T248/T$12)</f>
        <v>1.1559319176074894E-2</v>
      </c>
      <c r="W248" s="1"/>
      <c r="X248" s="1">
        <f t="shared" ref="X248:X252" si="88">+P248-T248</f>
        <v>-43302.84</v>
      </c>
      <c r="Y248" s="1"/>
      <c r="Z248" s="5">
        <f t="shared" ref="Z248:Z252" si="89">IF(T248=0,0,X248/T248)</f>
        <v>-0.3752575068243858</v>
      </c>
    </row>
    <row r="249" spans="1:26" s="24" customFormat="1" hidden="1" outlineLevel="2" x14ac:dyDescent="0.25">
      <c r="A249" s="25"/>
      <c r="B249" s="11" t="str">
        <f>CONCATENATE("          ", "6252", " - ", "ROYALTY DUE CSTV")</f>
        <v xml:space="preserve">          6252 - ROYALTY DUE CSTV</v>
      </c>
      <c r="C249" s="11"/>
      <c r="D249" s="7"/>
      <c r="E249" s="2"/>
      <c r="F249" s="6">
        <f t="shared" si="82"/>
        <v>0</v>
      </c>
      <c r="G249" s="2"/>
      <c r="H249" s="7">
        <v>1085</v>
      </c>
      <c r="I249" s="2"/>
      <c r="J249" s="6">
        <f t="shared" si="83"/>
        <v>3.9858296885719334E-4</v>
      </c>
      <c r="K249" s="2"/>
      <c r="L249" s="7">
        <f t="shared" si="84"/>
        <v>-1085</v>
      </c>
      <c r="M249" s="2"/>
      <c r="N249" s="6">
        <f t="shared" si="85"/>
        <v>-1</v>
      </c>
      <c r="O249" s="11"/>
      <c r="P249" s="7"/>
      <c r="Q249" s="2"/>
      <c r="R249" s="6">
        <f t="shared" si="86"/>
        <v>0</v>
      </c>
      <c r="S249" s="2"/>
      <c r="T249" s="7">
        <v>7595</v>
      </c>
      <c r="U249" s="2"/>
      <c r="V249" s="6">
        <f t="shared" si="87"/>
        <v>7.6080444683295488E-4</v>
      </c>
      <c r="W249" s="2"/>
      <c r="X249" s="7">
        <f t="shared" si="88"/>
        <v>-7595</v>
      </c>
      <c r="Y249" s="2"/>
      <c r="Z249" s="6">
        <f t="shared" si="89"/>
        <v>-1</v>
      </c>
    </row>
    <row r="250" spans="1:26" s="24" customFormat="1" hidden="1" outlineLevel="2" x14ac:dyDescent="0.25">
      <c r="A250" s="25"/>
      <c r="B250" s="11" t="str">
        <f>CONCATENATE("          ", "6253", " - ", "ROYALTY DUE ATHLETICS-LRG")</f>
        <v xml:space="preserve">          6253 - ROYALTY DUE ATHLETICS-LRG</v>
      </c>
      <c r="C250" s="11"/>
      <c r="D250" s="7"/>
      <c r="E250" s="2"/>
      <c r="F250" s="6">
        <f t="shared" si="82"/>
        <v>0</v>
      </c>
      <c r="G250" s="2"/>
      <c r="H250" s="7">
        <v>3700</v>
      </c>
      <c r="I250" s="2"/>
      <c r="J250" s="6">
        <f t="shared" si="83"/>
        <v>1.3592230274392769E-3</v>
      </c>
      <c r="K250" s="2"/>
      <c r="L250" s="7">
        <f t="shared" si="84"/>
        <v>-3700</v>
      </c>
      <c r="M250" s="2"/>
      <c r="N250" s="6">
        <f t="shared" si="85"/>
        <v>-1</v>
      </c>
      <c r="O250" s="11"/>
      <c r="P250" s="7">
        <v>4366.95</v>
      </c>
      <c r="Q250" s="2"/>
      <c r="R250" s="6">
        <f t="shared" si="86"/>
        <v>4.6030298933712524E-4</v>
      </c>
      <c r="S250" s="2"/>
      <c r="T250" s="7">
        <v>25900</v>
      </c>
      <c r="U250" s="2"/>
      <c r="V250" s="6">
        <f t="shared" si="87"/>
        <v>2.5944483440386479E-3</v>
      </c>
      <c r="W250" s="2"/>
      <c r="X250" s="7">
        <f t="shared" si="88"/>
        <v>-21533.05</v>
      </c>
      <c r="Y250" s="2"/>
      <c r="Z250" s="6">
        <f t="shared" si="89"/>
        <v>-0.83139189189189189</v>
      </c>
    </row>
    <row r="251" spans="1:26" s="24" customFormat="1" hidden="1" outlineLevel="2" x14ac:dyDescent="0.25">
      <c r="A251" s="25"/>
      <c r="B251" s="11" t="str">
        <f>CONCATENATE("          ", "6254", " - ", "ROYALTY &amp; COMMISSIONS")</f>
        <v xml:space="preserve">          6254 - ROYALTY &amp; COMMISSIONS</v>
      </c>
      <c r="C251" s="11"/>
      <c r="D251" s="7">
        <v>760.81</v>
      </c>
      <c r="E251" s="2"/>
      <c r="F251" s="6">
        <f t="shared" si="82"/>
        <v>3.1852317848845982E-4</v>
      </c>
      <c r="G251" s="2"/>
      <c r="H251" s="7">
        <v>11700</v>
      </c>
      <c r="I251" s="2"/>
      <c r="J251" s="6">
        <f t="shared" si="83"/>
        <v>4.2980836273079836E-3</v>
      </c>
      <c r="K251" s="2"/>
      <c r="L251" s="7">
        <f t="shared" si="84"/>
        <v>-10939.19</v>
      </c>
      <c r="M251" s="2"/>
      <c r="N251" s="6">
        <f t="shared" si="85"/>
        <v>-0.93497350427350434</v>
      </c>
      <c r="O251" s="11"/>
      <c r="P251" s="7">
        <v>3324.65</v>
      </c>
      <c r="Q251" s="2"/>
      <c r="R251" s="6">
        <f t="shared" si="86"/>
        <v>3.5043825404451015E-4</v>
      </c>
      <c r="S251" s="2"/>
      <c r="T251" s="7">
        <v>81900</v>
      </c>
      <c r="U251" s="2"/>
      <c r="V251" s="6">
        <f t="shared" si="87"/>
        <v>8.2040663852032923E-3</v>
      </c>
      <c r="W251" s="2"/>
      <c r="X251" s="7">
        <f t="shared" si="88"/>
        <v>-78575.350000000006</v>
      </c>
      <c r="Y251" s="2"/>
      <c r="Z251" s="6">
        <f t="shared" si="89"/>
        <v>-0.959405982905983</v>
      </c>
    </row>
    <row r="252" spans="1:26" s="24" customFormat="1" hidden="1" outlineLevel="2" x14ac:dyDescent="0.25">
      <c r="A252" s="25"/>
      <c r="B252" s="11" t="str">
        <f>CONCATENATE("          ", "6259", " - ", "ROYALTY &amp; COMMISSIONS")</f>
        <v xml:space="preserve">          6259 - ROYALTY &amp; COMMISSIONS</v>
      </c>
      <c r="C252" s="11"/>
      <c r="D252" s="7">
        <v>7840.58</v>
      </c>
      <c r="E252" s="2"/>
      <c r="F252" s="6">
        <f t="shared" si="82"/>
        <v>3.2825626145726902E-3</v>
      </c>
      <c r="G252" s="2"/>
      <c r="H252" s="7"/>
      <c r="I252" s="2"/>
      <c r="J252" s="6">
        <f t="shared" si="83"/>
        <v>0</v>
      </c>
      <c r="K252" s="2"/>
      <c r="L252" s="7">
        <f t="shared" si="84"/>
        <v>7840.58</v>
      </c>
      <c r="M252" s="2"/>
      <c r="N252" s="6">
        <f t="shared" si="85"/>
        <v>0</v>
      </c>
      <c r="O252" s="11"/>
      <c r="P252" s="7">
        <v>64400.56</v>
      </c>
      <c r="Q252" s="2"/>
      <c r="R252" s="6">
        <f t="shared" si="86"/>
        <v>6.7882092268024352E-3</v>
      </c>
      <c r="S252" s="2"/>
      <c r="T252" s="7"/>
      <c r="U252" s="2"/>
      <c r="V252" s="6">
        <f t="shared" si="87"/>
        <v>0</v>
      </c>
      <c r="W252" s="2"/>
      <c r="X252" s="7">
        <f t="shared" si="88"/>
        <v>64400.56</v>
      </c>
      <c r="Y252" s="2"/>
      <c r="Z252" s="6">
        <f t="shared" si="89"/>
        <v>0</v>
      </c>
    </row>
    <row r="253" spans="1:26" s="27" customFormat="1" outlineLevel="1" collapsed="1" x14ac:dyDescent="0.25">
      <c r="A253" s="26"/>
      <c r="B253" s="13" t="str">
        <f>CONCATENATE("     ","Services                                          ")</f>
        <v xml:space="preserve">     Services                                          </v>
      </c>
      <c r="C253" s="13"/>
      <c r="D253" s="1">
        <f>SUM(OSRRefD22_18x_0)</f>
        <v>4858.3</v>
      </c>
      <c r="E253" s="1"/>
      <c r="F253" s="5">
        <f t="shared" ref="F253:F257" si="90">IF(D$12=0,0,D253/D$12)</f>
        <v>2.0339916116382337E-3</v>
      </c>
      <c r="G253" s="1"/>
      <c r="H253" s="1">
        <f>SUM(OSRRefH22_18x_0)</f>
        <v>4767.5</v>
      </c>
      <c r="I253" s="1"/>
      <c r="J253" s="5">
        <f t="shared" ref="J253:J257" si="91">IF(H$12=0,0,H253/H$12)</f>
        <v>1.7513772387342573E-3</v>
      </c>
      <c r="K253" s="1"/>
      <c r="L253" s="1">
        <f t="shared" ref="L253:L257" si="92">+D253-H253</f>
        <v>90.800000000000182</v>
      </c>
      <c r="M253" s="1"/>
      <c r="N253" s="5">
        <f t="shared" ref="N253:N257" si="93">IF(H253=0,0,L253/H253)</f>
        <v>1.9045621394861077E-2</v>
      </c>
      <c r="O253" s="13"/>
      <c r="P253" s="1">
        <f>SUM(OSRRefP22_18x_0)</f>
        <v>32250.18</v>
      </c>
      <c r="Q253" s="1"/>
      <c r="R253" s="5">
        <f t="shared" ref="R253:R257" si="94">IF(P$12=0,0,P253/P$12)</f>
        <v>3.39936437574517E-3</v>
      </c>
      <c r="S253" s="1"/>
      <c r="T253" s="1">
        <f>SUM(OSRRefT22_18x_0)</f>
        <v>31362.5</v>
      </c>
      <c r="U253" s="1"/>
      <c r="V253" s="5">
        <f t="shared" ref="V253:V257" si="95">IF(T$12=0,0,T253/T$12)</f>
        <v>3.1416365324290385E-3</v>
      </c>
      <c r="W253" s="1"/>
      <c r="X253" s="1">
        <f t="shared" ref="X253:X257" si="96">+P253-T253</f>
        <v>887.68000000000029</v>
      </c>
      <c r="Y253" s="1"/>
      <c r="Z253" s="5">
        <f t="shared" ref="Z253:Z257" si="97">IF(T253=0,0,X253/T253)</f>
        <v>2.8303866082104435E-2</v>
      </c>
    </row>
    <row r="254" spans="1:26" s="24" customFormat="1" hidden="1" outlineLevel="2" x14ac:dyDescent="0.25">
      <c r="A254" s="25"/>
      <c r="B254" s="11" t="str">
        <f>CONCATENATE("          ", "6282", " - ", "JANITORIAL/EXTERMINATOR EXPENS")</f>
        <v xml:space="preserve">          6282 - JANITORIAL/EXTERMINATOR EXPENS</v>
      </c>
      <c r="C254" s="11"/>
      <c r="D254" s="7">
        <v>287.52</v>
      </c>
      <c r="E254" s="2"/>
      <c r="F254" s="6">
        <f t="shared" si="90"/>
        <v>1.2037405433551343E-4</v>
      </c>
      <c r="G254" s="2"/>
      <c r="H254" s="7">
        <v>50</v>
      </c>
      <c r="I254" s="2"/>
      <c r="J254" s="6">
        <f t="shared" si="91"/>
        <v>1.8367878749179416E-5</v>
      </c>
      <c r="K254" s="2"/>
      <c r="L254" s="7">
        <f t="shared" si="92"/>
        <v>237.51999999999998</v>
      </c>
      <c r="M254" s="2"/>
      <c r="N254" s="6">
        <f t="shared" si="93"/>
        <v>4.7504</v>
      </c>
      <c r="O254" s="11"/>
      <c r="P254" s="7">
        <v>1886.52</v>
      </c>
      <c r="Q254" s="2"/>
      <c r="R254" s="6">
        <f t="shared" si="94"/>
        <v>1.9885063841909651E-4</v>
      </c>
      <c r="S254" s="2"/>
      <c r="T254" s="7">
        <v>350</v>
      </c>
      <c r="U254" s="2"/>
      <c r="V254" s="6">
        <f t="shared" si="95"/>
        <v>3.5060112757279025E-5</v>
      </c>
      <c r="W254" s="2"/>
      <c r="X254" s="7">
        <f t="shared" si="96"/>
        <v>1536.52</v>
      </c>
      <c r="Y254" s="2"/>
      <c r="Z254" s="6">
        <f t="shared" si="97"/>
        <v>4.3900571428571427</v>
      </c>
    </row>
    <row r="255" spans="1:26" s="24" customFormat="1" hidden="1" outlineLevel="2" x14ac:dyDescent="0.25">
      <c r="A255" s="25"/>
      <c r="B255" s="11" t="str">
        <f>CONCATENATE("          ", "6283", " - ", "PLANT SERVICE")</f>
        <v xml:space="preserve">          6283 - PLANT SERVICE</v>
      </c>
      <c r="C255" s="11"/>
      <c r="D255" s="7"/>
      <c r="E255" s="2"/>
      <c r="F255" s="6">
        <f t="shared" si="90"/>
        <v>0</v>
      </c>
      <c r="G255" s="2"/>
      <c r="H255" s="7">
        <v>60</v>
      </c>
      <c r="I255" s="2"/>
      <c r="J255" s="6">
        <f t="shared" si="91"/>
        <v>2.2041454499015298E-5</v>
      </c>
      <c r="K255" s="2"/>
      <c r="L255" s="7">
        <f t="shared" si="92"/>
        <v>-60</v>
      </c>
      <c r="M255" s="2"/>
      <c r="N255" s="6">
        <f t="shared" si="93"/>
        <v>-1</v>
      </c>
      <c r="O255" s="11"/>
      <c r="P255" s="7">
        <v>541.98</v>
      </c>
      <c r="Q255" s="2"/>
      <c r="R255" s="6">
        <f t="shared" si="94"/>
        <v>5.712797585521592E-5</v>
      </c>
      <c r="S255" s="2"/>
      <c r="T255" s="7">
        <v>420</v>
      </c>
      <c r="U255" s="2"/>
      <c r="V255" s="6">
        <f t="shared" si="95"/>
        <v>4.2072135308734831E-5</v>
      </c>
      <c r="W255" s="2"/>
      <c r="X255" s="7">
        <f t="shared" si="96"/>
        <v>121.98000000000002</v>
      </c>
      <c r="Y255" s="2"/>
      <c r="Z255" s="6">
        <f t="shared" si="97"/>
        <v>0.29042857142857148</v>
      </c>
    </row>
    <row r="256" spans="1:26" s="24" customFormat="1" hidden="1" outlineLevel="2" x14ac:dyDescent="0.25">
      <c r="A256" s="25"/>
      <c r="B256" s="11" t="str">
        <f>CONCATENATE("          ", "6284", " - ", "TRASH REMOVAL EXPENSE")</f>
        <v xml:space="preserve">          6284 - TRASH REMOVAL EXPENSE</v>
      </c>
      <c r="C256" s="11"/>
      <c r="D256" s="7">
        <v>134.82</v>
      </c>
      <c r="E256" s="2"/>
      <c r="F256" s="6">
        <f t="shared" si="90"/>
        <v>5.6444177815504736E-5</v>
      </c>
      <c r="G256" s="2"/>
      <c r="H256" s="7">
        <v>62.5</v>
      </c>
      <c r="I256" s="2"/>
      <c r="J256" s="6">
        <f t="shared" si="91"/>
        <v>2.295984843647427E-5</v>
      </c>
      <c r="K256" s="2"/>
      <c r="L256" s="7">
        <f t="shared" si="92"/>
        <v>72.319999999999993</v>
      </c>
      <c r="M256" s="2"/>
      <c r="N256" s="6">
        <f t="shared" si="93"/>
        <v>1.1571199999999999</v>
      </c>
      <c r="O256" s="11"/>
      <c r="P256" s="7">
        <v>943.74</v>
      </c>
      <c r="Q256" s="2"/>
      <c r="R256" s="6">
        <f t="shared" si="94"/>
        <v>9.9475914117866843E-5</v>
      </c>
      <c r="S256" s="2"/>
      <c r="T256" s="7">
        <v>437.5</v>
      </c>
      <c r="U256" s="2"/>
      <c r="V256" s="6">
        <f t="shared" si="95"/>
        <v>4.3825140946598781E-5</v>
      </c>
      <c r="W256" s="2"/>
      <c r="X256" s="7">
        <f t="shared" si="96"/>
        <v>506.24</v>
      </c>
      <c r="Y256" s="2"/>
      <c r="Z256" s="6">
        <f t="shared" si="97"/>
        <v>1.1571199999999999</v>
      </c>
    </row>
    <row r="257" spans="1:26" s="24" customFormat="1" hidden="1" outlineLevel="2" x14ac:dyDescent="0.25">
      <c r="A257" s="25"/>
      <c r="B257" s="11" t="str">
        <f>CONCATENATE("          ", "6285", " - ", "JANITORIAL SERVICES")</f>
        <v xml:space="preserve">          6285 - JANITORIAL SERVICES</v>
      </c>
      <c r="C257" s="11"/>
      <c r="D257" s="7">
        <v>4435.96</v>
      </c>
      <c r="E257" s="2"/>
      <c r="F257" s="6">
        <f t="shared" si="90"/>
        <v>1.8571733794872155E-3</v>
      </c>
      <c r="G257" s="2"/>
      <c r="H257" s="7">
        <v>4595</v>
      </c>
      <c r="I257" s="2"/>
      <c r="J257" s="6">
        <f t="shared" si="91"/>
        <v>1.6880080570495883E-3</v>
      </c>
      <c r="K257" s="2"/>
      <c r="L257" s="7">
        <f t="shared" si="92"/>
        <v>-159.03999999999996</v>
      </c>
      <c r="M257" s="2"/>
      <c r="N257" s="6">
        <f t="shared" si="93"/>
        <v>-3.4611534276387371E-2</v>
      </c>
      <c r="O257" s="11"/>
      <c r="P257" s="7">
        <v>28877.94</v>
      </c>
      <c r="Q257" s="2"/>
      <c r="R257" s="6">
        <f t="shared" si="94"/>
        <v>3.0439098473529907E-3</v>
      </c>
      <c r="S257" s="2"/>
      <c r="T257" s="7">
        <v>30155</v>
      </c>
      <c r="U257" s="2"/>
      <c r="V257" s="6">
        <f t="shared" si="95"/>
        <v>3.0206791434164259E-3</v>
      </c>
      <c r="W257" s="2"/>
      <c r="X257" s="7">
        <f t="shared" si="96"/>
        <v>-1277.0600000000013</v>
      </c>
      <c r="Y257" s="2"/>
      <c r="Z257" s="6">
        <f t="shared" si="97"/>
        <v>-4.2349859061515546E-2</v>
      </c>
    </row>
    <row r="258" spans="1:26" s="27" customFormat="1" outlineLevel="1" collapsed="1" x14ac:dyDescent="0.25">
      <c r="A258" s="26"/>
      <c r="B258" s="13" t="str">
        <f>CONCATENATE("     ","Subscriptions &amp; Dues                              ")</f>
        <v xml:space="preserve">     Subscriptions &amp; Dues                              </v>
      </c>
      <c r="C258" s="13"/>
      <c r="D258" s="1">
        <f>SUM(OSRRefD22_19x_0)</f>
        <v>333.1</v>
      </c>
      <c r="E258" s="1"/>
      <c r="F258" s="5">
        <f t="shared" ref="F258:F260" si="98">IF(D$12=0,0,D258/D$12)</f>
        <v>1.3945672474665946E-4</v>
      </c>
      <c r="G258" s="1"/>
      <c r="H258" s="1">
        <f>SUM(OSRRefH22_19x_0)</f>
        <v>2990</v>
      </c>
      <c r="I258" s="1"/>
      <c r="J258" s="5">
        <f t="shared" ref="J258:J260" si="99">IF(H$12=0,0,H258/H$12)</f>
        <v>1.0983991492009291E-3</v>
      </c>
      <c r="K258" s="1"/>
      <c r="L258" s="1">
        <f t="shared" ref="L258:L260" si="100">+D258-H258</f>
        <v>-2656.9</v>
      </c>
      <c r="M258" s="1"/>
      <c r="N258" s="5">
        <f t="shared" ref="N258:N260" si="101">IF(H258=0,0,L258/H258)</f>
        <v>-0.88859531772575251</v>
      </c>
      <c r="O258" s="13"/>
      <c r="P258" s="1">
        <f>SUM(OSRRefP22_19x_0)</f>
        <v>-2199.14</v>
      </c>
      <c r="Q258" s="1"/>
      <c r="R258" s="5">
        <f t="shared" ref="R258:R260" si="102">IF(P$12=0,0,P258/P$12)</f>
        <v>-2.3180268058275126E-4</v>
      </c>
      <c r="S258" s="1"/>
      <c r="T258" s="1">
        <f>SUM(OSRRefT22_19x_0)</f>
        <v>16720</v>
      </c>
      <c r="U258" s="1"/>
      <c r="V258" s="5">
        <f t="shared" ref="V258:V260" si="103">IF(T$12=0,0,T258/T$12)</f>
        <v>1.6748716722905866E-3</v>
      </c>
      <c r="W258" s="1"/>
      <c r="X258" s="1">
        <f t="shared" ref="X258:X260" si="104">+P258-T258</f>
        <v>-18919.14</v>
      </c>
      <c r="Y258" s="1"/>
      <c r="Z258" s="5">
        <f t="shared" ref="Z258:Z260" si="105">IF(T258=0,0,X258/T258)</f>
        <v>-1.1315275119617225</v>
      </c>
    </row>
    <row r="259" spans="1:26" s="24" customFormat="1" hidden="1" outlineLevel="2" x14ac:dyDescent="0.25">
      <c r="A259" s="25"/>
      <c r="B259" s="11" t="str">
        <f>CONCATENATE("          ", "6258", " - ", "MEMBERSHIP DUES")</f>
        <v xml:space="preserve">          6258 - MEMBERSHIP DUES</v>
      </c>
      <c r="C259" s="11"/>
      <c r="D259" s="7">
        <v>258.10000000000002</v>
      </c>
      <c r="E259" s="2"/>
      <c r="F259" s="6">
        <f t="shared" si="98"/>
        <v>1.0805698185863947E-4</v>
      </c>
      <c r="G259" s="2"/>
      <c r="H259" s="7">
        <v>2700</v>
      </c>
      <c r="I259" s="2"/>
      <c r="J259" s="6">
        <f t="shared" si="99"/>
        <v>9.9186545245568856E-4</v>
      </c>
      <c r="K259" s="2"/>
      <c r="L259" s="7">
        <f t="shared" si="100"/>
        <v>-2441.9</v>
      </c>
      <c r="M259" s="2"/>
      <c r="N259" s="6">
        <f t="shared" si="101"/>
        <v>-0.90440740740740744</v>
      </c>
      <c r="O259" s="11"/>
      <c r="P259" s="7">
        <v>-3064.5</v>
      </c>
      <c r="Q259" s="2"/>
      <c r="R259" s="6">
        <f t="shared" si="102"/>
        <v>-3.2301686779643006E-4</v>
      </c>
      <c r="S259" s="2"/>
      <c r="T259" s="7">
        <v>13840</v>
      </c>
      <c r="U259" s="2"/>
      <c r="V259" s="6">
        <f t="shared" si="103"/>
        <v>1.3863770301735477E-3</v>
      </c>
      <c r="W259" s="2"/>
      <c r="X259" s="7">
        <f t="shared" si="104"/>
        <v>-16904.5</v>
      </c>
      <c r="Y259" s="2"/>
      <c r="Z259" s="6">
        <f t="shared" si="105"/>
        <v>-1.2214234104046242</v>
      </c>
    </row>
    <row r="260" spans="1:26" s="24" customFormat="1" hidden="1" outlineLevel="2" x14ac:dyDescent="0.25">
      <c r="A260" s="25"/>
      <c r="B260" s="11" t="str">
        <f>CONCATENATE("          ", "6275", " - ", "SUBSCRIPTIONS")</f>
        <v xml:space="preserve">          6275 - SUBSCRIPTIONS</v>
      </c>
      <c r="C260" s="11"/>
      <c r="D260" s="7">
        <v>75</v>
      </c>
      <c r="E260" s="2"/>
      <c r="F260" s="6">
        <f t="shared" si="98"/>
        <v>3.1399742888019989E-5</v>
      </c>
      <c r="G260" s="2"/>
      <c r="H260" s="7">
        <v>290</v>
      </c>
      <c r="I260" s="2"/>
      <c r="J260" s="6">
        <f t="shared" si="99"/>
        <v>1.0653369674524061E-4</v>
      </c>
      <c r="K260" s="2"/>
      <c r="L260" s="7">
        <f t="shared" si="100"/>
        <v>-215</v>
      </c>
      <c r="M260" s="2"/>
      <c r="N260" s="6">
        <f t="shared" si="101"/>
        <v>-0.74137931034482762</v>
      </c>
      <c r="O260" s="11"/>
      <c r="P260" s="7">
        <v>865.36</v>
      </c>
      <c r="Q260" s="2"/>
      <c r="R260" s="6">
        <f t="shared" si="102"/>
        <v>9.1214187213678816E-5</v>
      </c>
      <c r="S260" s="2"/>
      <c r="T260" s="7">
        <v>2880</v>
      </c>
      <c r="U260" s="2"/>
      <c r="V260" s="6">
        <f t="shared" si="103"/>
        <v>2.8849464211703883E-4</v>
      </c>
      <c r="W260" s="2"/>
      <c r="X260" s="7">
        <f t="shared" si="104"/>
        <v>-2014.6399999999999</v>
      </c>
      <c r="Y260" s="2"/>
      <c r="Z260" s="6">
        <f t="shared" si="105"/>
        <v>-0.69952777777777775</v>
      </c>
    </row>
    <row r="261" spans="1:26" s="27" customFormat="1" outlineLevel="1" collapsed="1" x14ac:dyDescent="0.25">
      <c r="A261" s="26"/>
      <c r="B261" s="13" t="str">
        <f>CONCATENATE("     ","Supplies                                          ")</f>
        <v xml:space="preserve">     Supplies                                          </v>
      </c>
      <c r="C261" s="13"/>
      <c r="D261" s="1">
        <f>SUM(OSRRefD22_20x_0)</f>
        <v>11416.63</v>
      </c>
      <c r="E261" s="1"/>
      <c r="F261" s="5">
        <f t="shared" ref="F261:F268" si="106">IF(D$12=0,0,D261/D$12)</f>
        <v>4.7797232886354086E-3</v>
      </c>
      <c r="G261" s="1"/>
      <c r="H261" s="1">
        <f>SUM(OSRRefH22_20x_0)</f>
        <v>25270</v>
      </c>
      <c r="I261" s="1"/>
      <c r="J261" s="5">
        <f t="shared" ref="J261:J268" si="107">IF(H$12=0,0,H261/H$12)</f>
        <v>9.2831259198352771E-3</v>
      </c>
      <c r="K261" s="1"/>
      <c r="L261" s="1">
        <f t="shared" ref="L261:L268" si="108">+D261-H261</f>
        <v>-13853.37</v>
      </c>
      <c r="M261" s="1"/>
      <c r="N261" s="5">
        <f t="shared" ref="N261:N268" si="109">IF(H261=0,0,L261/H261)</f>
        <v>-0.54821408785120695</v>
      </c>
      <c r="O261" s="13"/>
      <c r="P261" s="1">
        <f>SUM(OSRRefP22_20x_0)</f>
        <v>64886.97</v>
      </c>
      <c r="Q261" s="1"/>
      <c r="R261" s="5">
        <f t="shared" ref="R261:R268" si="110">IF(P$12=0,0,P261/P$12)</f>
        <v>6.8394797879591856E-3</v>
      </c>
      <c r="S261" s="1"/>
      <c r="T261" s="1">
        <f>SUM(OSRRefT22_20x_0)</f>
        <v>120880</v>
      </c>
      <c r="U261" s="1"/>
      <c r="V261" s="5">
        <f t="shared" ref="V261:V268" si="111">IF(T$12=0,0,T261/T$12)</f>
        <v>1.2108761228856825E-2</v>
      </c>
      <c r="W261" s="1"/>
      <c r="X261" s="1">
        <f t="shared" ref="X261:X268" si="112">+P261-T261</f>
        <v>-55993.03</v>
      </c>
      <c r="Y261" s="1"/>
      <c r="Z261" s="5">
        <f t="shared" ref="Z261:Z268" si="113">IF(T261=0,0,X261/T261)</f>
        <v>-0.46321169755129055</v>
      </c>
    </row>
    <row r="262" spans="1:26" s="24" customFormat="1" hidden="1" outlineLevel="2" x14ac:dyDescent="0.25">
      <c r="A262" s="25"/>
      <c r="B262" s="11" t="str">
        <f>CONCATENATE("          ", "6234", " - ", "EXPENDABLE SUPPLIES &amp; EQUIPMEN")</f>
        <v xml:space="preserve">          6234 - EXPENDABLE SUPPLIES &amp; EQUIPMEN</v>
      </c>
      <c r="C262" s="11"/>
      <c r="D262" s="7">
        <v>1338.2</v>
      </c>
      <c r="E262" s="2"/>
      <c r="F262" s="6">
        <f t="shared" si="106"/>
        <v>5.6025514576997807E-4</v>
      </c>
      <c r="G262" s="2"/>
      <c r="H262" s="7">
        <v>2600</v>
      </c>
      <c r="I262" s="2"/>
      <c r="J262" s="6">
        <f t="shared" si="107"/>
        <v>9.5512969495732962E-4</v>
      </c>
      <c r="K262" s="2"/>
      <c r="L262" s="7">
        <f t="shared" si="108"/>
        <v>-1261.8</v>
      </c>
      <c r="M262" s="2"/>
      <c r="N262" s="6">
        <f t="shared" si="109"/>
        <v>-0.48530769230769227</v>
      </c>
      <c r="O262" s="11"/>
      <c r="P262" s="7">
        <v>3160.95</v>
      </c>
      <c r="Q262" s="2"/>
      <c r="R262" s="6">
        <f t="shared" si="110"/>
        <v>3.3318328218669461E-4</v>
      </c>
      <c r="S262" s="2"/>
      <c r="T262" s="7">
        <v>5850</v>
      </c>
      <c r="U262" s="2"/>
      <c r="V262" s="6">
        <f t="shared" si="111"/>
        <v>5.8600474180023517E-4</v>
      </c>
      <c r="W262" s="2"/>
      <c r="X262" s="7">
        <f t="shared" si="112"/>
        <v>-2689.05</v>
      </c>
      <c r="Y262" s="2"/>
      <c r="Z262" s="6">
        <f t="shared" si="113"/>
        <v>-0.45966666666666672</v>
      </c>
    </row>
    <row r="263" spans="1:26" s="24" customFormat="1" hidden="1" outlineLevel="2" x14ac:dyDescent="0.25">
      <c r="A263" s="25"/>
      <c r="B263" s="11" t="str">
        <f>CONCATENATE("          ", "6237", " - ", "JANITORIAL SUPPLIES")</f>
        <v xml:space="preserve">          6237 - JANITORIAL SUPPLIES</v>
      </c>
      <c r="C263" s="11"/>
      <c r="D263" s="7">
        <v>792.65</v>
      </c>
      <c r="E263" s="2"/>
      <c r="F263" s="6">
        <f t="shared" si="106"/>
        <v>3.3185341600252058E-4</v>
      </c>
      <c r="G263" s="2"/>
      <c r="H263" s="7">
        <v>45</v>
      </c>
      <c r="I263" s="2"/>
      <c r="J263" s="6">
        <f t="shared" si="107"/>
        <v>1.6531090874261473E-5</v>
      </c>
      <c r="K263" s="2"/>
      <c r="L263" s="7">
        <f t="shared" si="108"/>
        <v>747.65</v>
      </c>
      <c r="M263" s="2"/>
      <c r="N263" s="6">
        <f t="shared" si="109"/>
        <v>16.614444444444445</v>
      </c>
      <c r="O263" s="11"/>
      <c r="P263" s="7">
        <v>3782.13</v>
      </c>
      <c r="Q263" s="2"/>
      <c r="R263" s="6">
        <f t="shared" si="110"/>
        <v>3.9865941791447613E-4</v>
      </c>
      <c r="S263" s="2"/>
      <c r="T263" s="7">
        <v>305</v>
      </c>
      <c r="U263" s="2"/>
      <c r="V263" s="6">
        <f t="shared" si="111"/>
        <v>3.0552383974200297E-5</v>
      </c>
      <c r="W263" s="2"/>
      <c r="X263" s="7">
        <f t="shared" si="112"/>
        <v>3477.13</v>
      </c>
      <c r="Y263" s="2"/>
      <c r="Z263" s="6">
        <f t="shared" si="113"/>
        <v>11.400426229508197</v>
      </c>
    </row>
    <row r="264" spans="1:26" s="24" customFormat="1" hidden="1" outlineLevel="2" x14ac:dyDescent="0.25">
      <c r="A264" s="25"/>
      <c r="B264" s="11" t="str">
        <f>CONCATENATE("          ", "6241", " - ", "OFFICE EXPENSE")</f>
        <v xml:space="preserve">          6241 - OFFICE EXPENSE</v>
      </c>
      <c r="C264" s="11"/>
      <c r="D264" s="7">
        <v>4330.29</v>
      </c>
      <c r="E264" s="2"/>
      <c r="F264" s="6">
        <f t="shared" si="106"/>
        <v>1.8129332350741878E-3</v>
      </c>
      <c r="G264" s="2"/>
      <c r="H264" s="7">
        <v>1850</v>
      </c>
      <c r="I264" s="2"/>
      <c r="J264" s="6">
        <f t="shared" si="107"/>
        <v>6.7961151371963844E-4</v>
      </c>
      <c r="K264" s="2"/>
      <c r="L264" s="7">
        <f t="shared" si="108"/>
        <v>2480.29</v>
      </c>
      <c r="M264" s="2"/>
      <c r="N264" s="6">
        <f t="shared" si="109"/>
        <v>1.3406972972972973</v>
      </c>
      <c r="O264" s="11"/>
      <c r="P264" s="7">
        <v>22517.769999999997</v>
      </c>
      <c r="Q264" s="2"/>
      <c r="R264" s="6">
        <f t="shared" si="110"/>
        <v>2.3735093931017844E-3</v>
      </c>
      <c r="S264" s="2"/>
      <c r="T264" s="7">
        <v>12900</v>
      </c>
      <c r="U264" s="2"/>
      <c r="V264" s="6">
        <f t="shared" si="111"/>
        <v>1.2922155844825698E-3</v>
      </c>
      <c r="W264" s="2"/>
      <c r="X264" s="7">
        <f t="shared" si="112"/>
        <v>9617.7699999999968</v>
      </c>
      <c r="Y264" s="2"/>
      <c r="Z264" s="6">
        <f t="shared" si="113"/>
        <v>0.74556356589147266</v>
      </c>
    </row>
    <row r="265" spans="1:26" s="24" customFormat="1" hidden="1" outlineLevel="2" x14ac:dyDescent="0.25">
      <c r="A265" s="25"/>
      <c r="B265" s="11" t="str">
        <f>CONCATENATE("          ", "6243", " - ", "PAPER SUPPLIES")</f>
        <v xml:space="preserve">          6243 - PAPER SUPPLIES</v>
      </c>
      <c r="C265" s="11"/>
      <c r="D265" s="7">
        <v>2294.33</v>
      </c>
      <c r="E265" s="2"/>
      <c r="F265" s="6">
        <f t="shared" si="106"/>
        <v>9.6055162800361203E-4</v>
      </c>
      <c r="G265" s="2"/>
      <c r="H265" s="7">
        <v>750</v>
      </c>
      <c r="I265" s="2"/>
      <c r="J265" s="6">
        <f t="shared" si="107"/>
        <v>2.7551818123769124E-4</v>
      </c>
      <c r="K265" s="2"/>
      <c r="L265" s="7">
        <f t="shared" si="108"/>
        <v>1544.33</v>
      </c>
      <c r="M265" s="2"/>
      <c r="N265" s="6">
        <f t="shared" si="109"/>
        <v>2.0591066666666666</v>
      </c>
      <c r="O265" s="11"/>
      <c r="P265" s="7">
        <v>11852.83</v>
      </c>
      <c r="Q265" s="2"/>
      <c r="R265" s="6">
        <f t="shared" si="110"/>
        <v>1.2493600982618894E-3</v>
      </c>
      <c r="S265" s="2"/>
      <c r="T265" s="7">
        <v>2750</v>
      </c>
      <c r="U265" s="2"/>
      <c r="V265" s="6">
        <f t="shared" si="111"/>
        <v>2.7547231452147806E-4</v>
      </c>
      <c r="W265" s="2"/>
      <c r="X265" s="7">
        <f t="shared" si="112"/>
        <v>9102.83</v>
      </c>
      <c r="Y265" s="2"/>
      <c r="Z265" s="6">
        <f t="shared" si="113"/>
        <v>3.31012</v>
      </c>
    </row>
    <row r="266" spans="1:26" s="24" customFormat="1" hidden="1" outlineLevel="2" x14ac:dyDescent="0.25">
      <c r="A266" s="25"/>
      <c r="B266" s="11" t="str">
        <f>CONCATENATE("          ", "6245", " - ", "PRINTING")</f>
        <v xml:space="preserve">          6245 - PRINTING</v>
      </c>
      <c r="C266" s="11"/>
      <c r="D266" s="7">
        <v>926.39</v>
      </c>
      <c r="E266" s="2"/>
      <c r="F266" s="6">
        <f t="shared" si="106"/>
        <v>3.8784543752043785E-4</v>
      </c>
      <c r="G266" s="2"/>
      <c r="H266" s="7">
        <v>500</v>
      </c>
      <c r="I266" s="2"/>
      <c r="J266" s="6">
        <f t="shared" si="107"/>
        <v>1.8367878749179416E-4</v>
      </c>
      <c r="K266" s="2"/>
      <c r="L266" s="7">
        <f t="shared" si="108"/>
        <v>426.39</v>
      </c>
      <c r="M266" s="2"/>
      <c r="N266" s="6">
        <f t="shared" si="109"/>
        <v>0.85277999999999998</v>
      </c>
      <c r="O266" s="11"/>
      <c r="P266" s="7">
        <v>6520.2</v>
      </c>
      <c r="Q266" s="2"/>
      <c r="R266" s="6">
        <f t="shared" si="110"/>
        <v>6.8726858587250231E-4</v>
      </c>
      <c r="S266" s="2"/>
      <c r="T266" s="7">
        <v>1900</v>
      </c>
      <c r="U266" s="2"/>
      <c r="V266" s="6">
        <f t="shared" si="111"/>
        <v>1.9032632639665758E-4</v>
      </c>
      <c r="W266" s="2"/>
      <c r="X266" s="7">
        <f t="shared" si="112"/>
        <v>4620.2</v>
      </c>
      <c r="Y266" s="2"/>
      <c r="Z266" s="6">
        <f t="shared" si="113"/>
        <v>2.4316842105263157</v>
      </c>
    </row>
    <row r="267" spans="1:26" s="24" customFormat="1" hidden="1" outlineLevel="2" x14ac:dyDescent="0.25">
      <c r="A267" s="25"/>
      <c r="B267" s="11" t="str">
        <f>CONCATENATE("          ", "6247", " - ", "STORE SUPPLIES")</f>
        <v xml:space="preserve">          6247 - STORE SUPPLIES</v>
      </c>
      <c r="C267" s="11"/>
      <c r="D267" s="7">
        <v>1734.77</v>
      </c>
      <c r="E267" s="2"/>
      <c r="F267" s="6">
        <f t="shared" si="106"/>
        <v>7.2628442626467254E-4</v>
      </c>
      <c r="G267" s="2"/>
      <c r="H267" s="7">
        <v>18525</v>
      </c>
      <c r="I267" s="2"/>
      <c r="J267" s="6">
        <f t="shared" si="107"/>
        <v>6.8052990765709734E-3</v>
      </c>
      <c r="K267" s="2"/>
      <c r="L267" s="7">
        <f t="shared" si="108"/>
        <v>-16790.23</v>
      </c>
      <c r="M267" s="2"/>
      <c r="N267" s="6">
        <f t="shared" si="109"/>
        <v>-0.90635519568151146</v>
      </c>
      <c r="O267" s="11"/>
      <c r="P267" s="7">
        <v>17053.09</v>
      </c>
      <c r="Q267" s="2"/>
      <c r="R267" s="6">
        <f t="shared" si="110"/>
        <v>1.7974990106218384E-3</v>
      </c>
      <c r="S267" s="2"/>
      <c r="T267" s="7">
        <v>89675</v>
      </c>
      <c r="U267" s="2"/>
      <c r="V267" s="6">
        <f t="shared" si="111"/>
        <v>8.9829017471685629E-3</v>
      </c>
      <c r="W267" s="2"/>
      <c r="X267" s="7">
        <f t="shared" si="112"/>
        <v>-72621.91</v>
      </c>
      <c r="Y267" s="2"/>
      <c r="Z267" s="6">
        <f t="shared" si="113"/>
        <v>-0.80983451352104829</v>
      </c>
    </row>
    <row r="268" spans="1:26" s="24" customFormat="1" hidden="1" outlineLevel="2" x14ac:dyDescent="0.25">
      <c r="A268" s="25"/>
      <c r="B268" s="11" t="str">
        <f>CONCATENATE("          ", "6248", " - ", "UNIFORMS")</f>
        <v xml:space="preserve">          6248 - UNIFORMS</v>
      </c>
      <c r="C268" s="11"/>
      <c r="D268" s="7"/>
      <c r="E268" s="2"/>
      <c r="F268" s="6">
        <f t="shared" si="106"/>
        <v>0</v>
      </c>
      <c r="G268" s="2"/>
      <c r="H268" s="7">
        <v>1000</v>
      </c>
      <c r="I268" s="2"/>
      <c r="J268" s="6">
        <f t="shared" si="107"/>
        <v>3.6735757498358832E-4</v>
      </c>
      <c r="K268" s="2"/>
      <c r="L268" s="7">
        <f t="shared" si="108"/>
        <v>-1000</v>
      </c>
      <c r="M268" s="2"/>
      <c r="N268" s="6">
        <f t="shared" si="109"/>
        <v>-1</v>
      </c>
      <c r="O268" s="11"/>
      <c r="P268" s="7"/>
      <c r="Q268" s="2"/>
      <c r="R268" s="6">
        <f t="shared" si="110"/>
        <v>0</v>
      </c>
      <c r="S268" s="2"/>
      <c r="T268" s="7">
        <v>7500</v>
      </c>
      <c r="U268" s="2"/>
      <c r="V268" s="6">
        <f t="shared" si="111"/>
        <v>7.5128813051312203E-4</v>
      </c>
      <c r="W268" s="2"/>
      <c r="X268" s="7">
        <f t="shared" si="112"/>
        <v>-7500</v>
      </c>
      <c r="Y268" s="2"/>
      <c r="Z268" s="6">
        <f t="shared" si="113"/>
        <v>-1</v>
      </c>
    </row>
    <row r="269" spans="1:26" s="27" customFormat="1" outlineLevel="1" collapsed="1" x14ac:dyDescent="0.25">
      <c r="A269" s="26"/>
      <c r="B269" s="13" t="str">
        <f>CONCATENATE("     ","Telephone/Data Lines                              ")</f>
        <v xml:space="preserve">     Telephone/Data Lines                              </v>
      </c>
      <c r="C269" s="13"/>
      <c r="D269" s="1">
        <f>SUM(OSRRefD22_21x_0)</f>
        <v>2846.58</v>
      </c>
      <c r="E269" s="1"/>
      <c r="F269" s="5">
        <f t="shared" ref="F269:F271" si="114">IF(D$12=0,0,D269/D$12)</f>
        <v>1.1917584014690659E-3</v>
      </c>
      <c r="G269" s="1"/>
      <c r="H269" s="1">
        <f>SUM(OSRRefH22_21x_0)</f>
        <v>3120</v>
      </c>
      <c r="I269" s="1"/>
      <c r="J269" s="5">
        <f t="shared" ref="J269:J271" si="115">IF(H$12=0,0,H269/H$12)</f>
        <v>1.1461556339487956E-3</v>
      </c>
      <c r="K269" s="1"/>
      <c r="L269" s="1">
        <f t="shared" ref="L269:L271" si="116">+D269-H269</f>
        <v>-273.42000000000007</v>
      </c>
      <c r="M269" s="1"/>
      <c r="N269" s="5">
        <f t="shared" ref="N269:N271" si="117">IF(H269=0,0,L269/H269)</f>
        <v>-8.7634615384615408E-2</v>
      </c>
      <c r="O269" s="13"/>
      <c r="P269" s="1">
        <f>SUM(OSRRefP22_21x_0)</f>
        <v>20437.990000000002</v>
      </c>
      <c r="Q269" s="1"/>
      <c r="R269" s="5">
        <f t="shared" ref="R269:R271" si="118">IF(P$12=0,0,P269/P$12)</f>
        <v>2.1542879797209202E-3</v>
      </c>
      <c r="S269" s="1"/>
      <c r="T269" s="1">
        <f>SUM(OSRRefT22_21x_0)</f>
        <v>22815</v>
      </c>
      <c r="U269" s="1"/>
      <c r="V269" s="5">
        <f t="shared" ref="V269:V271" si="119">IF(T$12=0,0,T269/T$12)</f>
        <v>2.2854184930209171E-3</v>
      </c>
      <c r="W269" s="1"/>
      <c r="X269" s="1">
        <f t="shared" ref="X269:X271" si="120">+P269-T269</f>
        <v>-2377.0099999999984</v>
      </c>
      <c r="Y269" s="1"/>
      <c r="Z269" s="5">
        <f t="shared" ref="Z269:Z271" si="121">IF(T269=0,0,X269/T269)</f>
        <v>-0.10418628095551165</v>
      </c>
    </row>
    <row r="270" spans="1:26" s="24" customFormat="1" hidden="1" outlineLevel="2" x14ac:dyDescent="0.25">
      <c r="A270" s="25"/>
      <c r="B270" s="11" t="str">
        <f>CONCATENATE("          ", "6303", " - ", "DATA PHONE LINES")</f>
        <v xml:space="preserve">          6303 - DATA PHONE LINES</v>
      </c>
      <c r="C270" s="11"/>
      <c r="D270" s="7">
        <v>295</v>
      </c>
      <c r="E270" s="2"/>
      <c r="F270" s="6">
        <f t="shared" si="114"/>
        <v>1.235056553595453E-4</v>
      </c>
      <c r="G270" s="2"/>
      <c r="H270" s="7">
        <v>1180</v>
      </c>
      <c r="I270" s="2"/>
      <c r="J270" s="6">
        <f t="shared" si="115"/>
        <v>4.3348193848063423E-4</v>
      </c>
      <c r="K270" s="2"/>
      <c r="L270" s="7">
        <f t="shared" si="116"/>
        <v>-885</v>
      </c>
      <c r="M270" s="2"/>
      <c r="N270" s="6">
        <f t="shared" si="117"/>
        <v>-0.75</v>
      </c>
      <c r="O270" s="11"/>
      <c r="P270" s="7">
        <v>2065</v>
      </c>
      <c r="Q270" s="2"/>
      <c r="R270" s="6">
        <f t="shared" si="118"/>
        <v>2.1766351182888827E-4</v>
      </c>
      <c r="S270" s="2"/>
      <c r="T270" s="7">
        <v>9335</v>
      </c>
      <c r="U270" s="2"/>
      <c r="V270" s="6">
        <f t="shared" si="119"/>
        <v>9.3510329311199914E-4</v>
      </c>
      <c r="W270" s="2"/>
      <c r="X270" s="7">
        <f t="shared" si="120"/>
        <v>-7270</v>
      </c>
      <c r="Y270" s="2"/>
      <c r="Z270" s="6">
        <f t="shared" si="121"/>
        <v>-0.77878950187466522</v>
      </c>
    </row>
    <row r="271" spans="1:26" s="24" customFormat="1" hidden="1" outlineLevel="2" x14ac:dyDescent="0.25">
      <c r="A271" s="25"/>
      <c r="B271" s="11" t="str">
        <f>CONCATENATE("          ", "6309", " - ", "TELEPHONE")</f>
        <v xml:space="preserve">          6309 - TELEPHONE</v>
      </c>
      <c r="C271" s="11"/>
      <c r="D271" s="7">
        <v>2551.58</v>
      </c>
      <c r="E271" s="2"/>
      <c r="F271" s="6">
        <f t="shared" si="114"/>
        <v>1.0682527461095205E-3</v>
      </c>
      <c r="G271" s="2"/>
      <c r="H271" s="7">
        <v>1940</v>
      </c>
      <c r="I271" s="2"/>
      <c r="J271" s="6">
        <f t="shared" si="115"/>
        <v>7.1267369546816129E-4</v>
      </c>
      <c r="K271" s="2"/>
      <c r="L271" s="7">
        <f t="shared" si="116"/>
        <v>611.57999999999993</v>
      </c>
      <c r="M271" s="2"/>
      <c r="N271" s="6">
        <f t="shared" si="117"/>
        <v>0.31524742268041234</v>
      </c>
      <c r="O271" s="11"/>
      <c r="P271" s="7">
        <v>18372.990000000002</v>
      </c>
      <c r="Q271" s="2"/>
      <c r="R271" s="6">
        <f t="shared" si="118"/>
        <v>1.9366244678920323E-3</v>
      </c>
      <c r="S271" s="2"/>
      <c r="T271" s="7">
        <v>13480</v>
      </c>
      <c r="U271" s="2"/>
      <c r="V271" s="6">
        <f t="shared" si="119"/>
        <v>1.3503151999089179E-3</v>
      </c>
      <c r="W271" s="2"/>
      <c r="X271" s="7">
        <f t="shared" si="120"/>
        <v>4892.9900000000016</v>
      </c>
      <c r="Y271" s="2"/>
      <c r="Z271" s="6">
        <f t="shared" si="121"/>
        <v>0.36298145400593484</v>
      </c>
    </row>
    <row r="272" spans="1:26" s="27" customFormat="1" outlineLevel="1" collapsed="1" x14ac:dyDescent="0.25">
      <c r="A272" s="26"/>
      <c r="B272" s="13" t="str">
        <f>CONCATENATE("     ","Training                                          ")</f>
        <v xml:space="preserve">     Training                                          </v>
      </c>
      <c r="C272" s="13"/>
      <c r="D272" s="1">
        <f>SUM(OSRRefD22_22x_0)</f>
        <v>2056.09</v>
      </c>
      <c r="E272" s="1"/>
      <c r="F272" s="5">
        <f t="shared" ref="F272:F277" si="122">IF(D$12=0,0,D272/D$12)</f>
        <v>8.6080929806172041E-4</v>
      </c>
      <c r="G272" s="1"/>
      <c r="H272" s="1">
        <f>SUM(OSRRefH22_22x_0)</f>
        <v>3475</v>
      </c>
      <c r="I272" s="1"/>
      <c r="J272" s="5">
        <f t="shared" ref="J272:J277" si="123">IF(H$12=0,0,H272/H$12)</f>
        <v>1.2765675730679693E-3</v>
      </c>
      <c r="K272" s="1"/>
      <c r="L272" s="1">
        <f t="shared" ref="L272:L277" si="124">+D272-H272</f>
        <v>-1418.9099999999999</v>
      </c>
      <c r="M272" s="1"/>
      <c r="N272" s="5">
        <f t="shared" ref="N272:N277" si="125">IF(H272=0,0,L272/H272)</f>
        <v>-0.40831942446043162</v>
      </c>
      <c r="O272" s="13"/>
      <c r="P272" s="1">
        <f>SUM(OSRRefP22_22x_0)</f>
        <v>10783.53</v>
      </c>
      <c r="Q272" s="1"/>
      <c r="R272" s="5">
        <f t="shared" ref="R272:R277" si="126">IF(P$12=0,0,P272/P$12)</f>
        <v>1.1366493993763545E-3</v>
      </c>
      <c r="S272" s="1"/>
      <c r="T272" s="1">
        <f>SUM(OSRRefT22_22x_0)</f>
        <v>18675</v>
      </c>
      <c r="U272" s="1"/>
      <c r="V272" s="5">
        <f t="shared" ref="V272:V277" si="127">IF(T$12=0,0,T272/T$12)</f>
        <v>1.8707074449776737E-3</v>
      </c>
      <c r="W272" s="1"/>
      <c r="X272" s="1">
        <f t="shared" ref="X272:X277" si="128">+P272-T272</f>
        <v>-7891.4699999999993</v>
      </c>
      <c r="Y272" s="1"/>
      <c r="Z272" s="5">
        <f t="shared" ref="Z272:Z277" si="129">IF(T272=0,0,X272/T272)</f>
        <v>-0.42256867469879517</v>
      </c>
    </row>
    <row r="273" spans="1:26" s="24" customFormat="1" hidden="1" outlineLevel="2" x14ac:dyDescent="0.25">
      <c r="A273" s="25"/>
      <c r="B273" s="11" t="str">
        <f>CONCATENATE("          ", "6376", " - ", "TRAINING")</f>
        <v xml:space="preserve">          6376 - TRAINING</v>
      </c>
      <c r="C273" s="11"/>
      <c r="D273" s="7">
        <v>2056.09</v>
      </c>
      <c r="E273" s="2"/>
      <c r="F273" s="6">
        <f t="shared" si="122"/>
        <v>8.6080929806172041E-4</v>
      </c>
      <c r="G273" s="2"/>
      <c r="H273" s="7">
        <v>3475</v>
      </c>
      <c r="I273" s="2"/>
      <c r="J273" s="6">
        <f t="shared" si="123"/>
        <v>1.2765675730679693E-3</v>
      </c>
      <c r="K273" s="2"/>
      <c r="L273" s="7">
        <f t="shared" si="124"/>
        <v>-1418.9099999999999</v>
      </c>
      <c r="M273" s="2"/>
      <c r="N273" s="6">
        <f t="shared" si="125"/>
        <v>-0.40831942446043162</v>
      </c>
      <c r="O273" s="11"/>
      <c r="P273" s="7">
        <v>10783.53</v>
      </c>
      <c r="Q273" s="2"/>
      <c r="R273" s="6">
        <f t="shared" si="126"/>
        <v>1.1366493993763545E-3</v>
      </c>
      <c r="S273" s="2"/>
      <c r="T273" s="7">
        <v>18675</v>
      </c>
      <c r="U273" s="2"/>
      <c r="V273" s="6">
        <f t="shared" si="127"/>
        <v>1.8707074449776737E-3</v>
      </c>
      <c r="W273" s="2"/>
      <c r="X273" s="7">
        <f t="shared" si="128"/>
        <v>-7891.4699999999993</v>
      </c>
      <c r="Y273" s="2"/>
      <c r="Z273" s="6">
        <f t="shared" si="129"/>
        <v>-0.42256867469879517</v>
      </c>
    </row>
    <row r="274" spans="1:26" s="27" customFormat="1" outlineLevel="1" collapsed="1" x14ac:dyDescent="0.25">
      <c r="A274" s="26"/>
      <c r="B274" s="13" t="str">
        <f>CONCATENATE("     ","Travel                                            ")</f>
        <v xml:space="preserve">     Travel                                            </v>
      </c>
      <c r="C274" s="13"/>
      <c r="D274" s="1">
        <f>SUM(OSRRefD22_23x_0)</f>
        <v>-472.06</v>
      </c>
      <c r="E274" s="1"/>
      <c r="F274" s="5">
        <f t="shared" si="122"/>
        <v>-1.976341683695829E-4</v>
      </c>
      <c r="G274" s="1"/>
      <c r="H274" s="1">
        <f>SUM(OSRRefH22_23x_0)</f>
        <v>100</v>
      </c>
      <c r="I274" s="1"/>
      <c r="J274" s="5">
        <f t="shared" si="123"/>
        <v>3.6735757498358832E-5</v>
      </c>
      <c r="K274" s="1"/>
      <c r="L274" s="1">
        <f t="shared" si="124"/>
        <v>-572.05999999999995</v>
      </c>
      <c r="M274" s="1"/>
      <c r="N274" s="5">
        <f t="shared" si="125"/>
        <v>-5.7205999999999992</v>
      </c>
      <c r="O274" s="13"/>
      <c r="P274" s="1">
        <f>SUM(OSRRefP22_23x_0)</f>
        <v>791.98</v>
      </c>
      <c r="Q274" s="1"/>
      <c r="R274" s="5">
        <f t="shared" si="126"/>
        <v>8.3479490604475995E-5</v>
      </c>
      <c r="S274" s="1"/>
      <c r="T274" s="1">
        <f>SUM(OSRRefT22_23x_0)</f>
        <v>1160</v>
      </c>
      <c r="U274" s="1"/>
      <c r="V274" s="5">
        <f t="shared" si="127"/>
        <v>1.161992308526962E-4</v>
      </c>
      <c r="W274" s="1"/>
      <c r="X274" s="1">
        <f t="shared" si="128"/>
        <v>-368.02</v>
      </c>
      <c r="Y274" s="1"/>
      <c r="Z274" s="5">
        <f t="shared" si="129"/>
        <v>-0.31725862068965516</v>
      </c>
    </row>
    <row r="275" spans="1:26" s="24" customFormat="1" hidden="1" outlineLevel="2" x14ac:dyDescent="0.25">
      <c r="A275" s="25"/>
      <c r="B275" s="11" t="str">
        <f>CONCATENATE("          ", "6292", " - ", "TRAVEL/CONFERENCE")</f>
        <v xml:space="preserve">          6292 - TRAVEL/CONFERENCE</v>
      </c>
      <c r="C275" s="11"/>
      <c r="D275" s="7"/>
      <c r="E275" s="2"/>
      <c r="F275" s="6">
        <f t="shared" si="122"/>
        <v>0</v>
      </c>
      <c r="G275" s="2"/>
      <c r="H275" s="7"/>
      <c r="I275" s="2"/>
      <c r="J275" s="6">
        <f t="shared" si="123"/>
        <v>0</v>
      </c>
      <c r="K275" s="2"/>
      <c r="L275" s="7">
        <f t="shared" si="124"/>
        <v>0</v>
      </c>
      <c r="M275" s="2"/>
      <c r="N275" s="6">
        <f t="shared" si="125"/>
        <v>0</v>
      </c>
      <c r="O275" s="11"/>
      <c r="P275" s="7">
        <v>187.54</v>
      </c>
      <c r="Q275" s="2"/>
      <c r="R275" s="6">
        <f t="shared" si="126"/>
        <v>1.9767852304304941E-5</v>
      </c>
      <c r="S275" s="2"/>
      <c r="T275" s="7"/>
      <c r="U275" s="2"/>
      <c r="V275" s="6">
        <f t="shared" si="127"/>
        <v>0</v>
      </c>
      <c r="W275" s="2"/>
      <c r="X275" s="7">
        <f t="shared" si="128"/>
        <v>187.54</v>
      </c>
      <c r="Y275" s="2"/>
      <c r="Z275" s="6">
        <f t="shared" si="129"/>
        <v>0</v>
      </c>
    </row>
    <row r="276" spans="1:26" s="24" customFormat="1" hidden="1" outlineLevel="2" x14ac:dyDescent="0.25">
      <c r="A276" s="25"/>
      <c r="B276" s="11" t="str">
        <f>CONCATENATE("          ", "6294", " - ", "TRAVEL OPERATIONAL")</f>
        <v xml:space="preserve">          6294 - TRAVEL OPERATIONAL</v>
      </c>
      <c r="C276" s="11"/>
      <c r="D276" s="7">
        <v>-506.75</v>
      </c>
      <c r="E276" s="2"/>
      <c r="F276" s="6">
        <f t="shared" si="122"/>
        <v>-2.121575961133884E-4</v>
      </c>
      <c r="G276" s="2"/>
      <c r="H276" s="7">
        <v>100</v>
      </c>
      <c r="I276" s="2"/>
      <c r="J276" s="6">
        <f t="shared" si="123"/>
        <v>3.6735757498358832E-5</v>
      </c>
      <c r="K276" s="2"/>
      <c r="L276" s="7">
        <f t="shared" si="124"/>
        <v>-606.75</v>
      </c>
      <c r="M276" s="2"/>
      <c r="N276" s="6">
        <f t="shared" si="125"/>
        <v>-6.0674999999999999</v>
      </c>
      <c r="O276" s="11"/>
      <c r="P276" s="7">
        <v>312.19</v>
      </c>
      <c r="Q276" s="2"/>
      <c r="R276" s="6">
        <f t="shared" si="126"/>
        <v>3.2906717558286017E-5</v>
      </c>
      <c r="S276" s="2"/>
      <c r="T276" s="7">
        <v>710</v>
      </c>
      <c r="U276" s="2"/>
      <c r="V276" s="6">
        <f t="shared" si="127"/>
        <v>7.1121943021908878E-5</v>
      </c>
      <c r="W276" s="2"/>
      <c r="X276" s="7">
        <f t="shared" si="128"/>
        <v>-397.81</v>
      </c>
      <c r="Y276" s="2"/>
      <c r="Z276" s="6">
        <f t="shared" si="129"/>
        <v>-0.56029577464788738</v>
      </c>
    </row>
    <row r="277" spans="1:26" s="24" customFormat="1" hidden="1" outlineLevel="2" x14ac:dyDescent="0.25">
      <c r="A277" s="25"/>
      <c r="B277" s="11" t="str">
        <f>CONCATENATE("          ", "6298", " - ", "VEHICLE MILEAGE")</f>
        <v xml:space="preserve">          6298 - VEHICLE MILEAGE</v>
      </c>
      <c r="C277" s="11"/>
      <c r="D277" s="7">
        <v>34.69</v>
      </c>
      <c r="E277" s="2"/>
      <c r="F277" s="6">
        <f t="shared" si="122"/>
        <v>1.4523427743805512E-5</v>
      </c>
      <c r="G277" s="2"/>
      <c r="H277" s="7"/>
      <c r="I277" s="2"/>
      <c r="J277" s="6">
        <f t="shared" si="123"/>
        <v>0</v>
      </c>
      <c r="K277" s="2"/>
      <c r="L277" s="7">
        <f t="shared" si="124"/>
        <v>34.69</v>
      </c>
      <c r="M277" s="2"/>
      <c r="N277" s="6">
        <f t="shared" si="125"/>
        <v>0</v>
      </c>
      <c r="O277" s="11"/>
      <c r="P277" s="7">
        <v>292.25</v>
      </c>
      <c r="Q277" s="2"/>
      <c r="R277" s="6">
        <f t="shared" si="126"/>
        <v>3.0804920741885037E-5</v>
      </c>
      <c r="S277" s="2"/>
      <c r="T277" s="7">
        <v>450</v>
      </c>
      <c r="U277" s="2"/>
      <c r="V277" s="6">
        <f t="shared" si="127"/>
        <v>4.5077287830787324E-5</v>
      </c>
      <c r="W277" s="2"/>
      <c r="X277" s="7">
        <f t="shared" si="128"/>
        <v>-157.75</v>
      </c>
      <c r="Y277" s="2"/>
      <c r="Z277" s="6">
        <f t="shared" si="129"/>
        <v>-0.35055555555555556</v>
      </c>
    </row>
    <row r="278" spans="1:26" s="27" customFormat="1" outlineLevel="1" collapsed="1" x14ac:dyDescent="0.25">
      <c r="A278" s="26"/>
      <c r="B278" s="13" t="str">
        <f>CONCATENATE("     ","Utilities                                         ")</f>
        <v xml:space="preserve">     Utilities                                         </v>
      </c>
      <c r="C278" s="13"/>
      <c r="D278" s="1">
        <f>SUM(OSRRefD22_24x_0)</f>
        <v>6298.14</v>
      </c>
      <c r="E278" s="1"/>
      <c r="F278" s="5">
        <f t="shared" ref="F278:F279" si="130">IF(D$12=0,0,D278/D$12)</f>
        <v>2.6367996889700564E-3</v>
      </c>
      <c r="G278" s="1"/>
      <c r="H278" s="1">
        <f>SUM(OSRRefH22_24x_0)</f>
        <v>5150</v>
      </c>
      <c r="I278" s="1"/>
      <c r="J278" s="5">
        <f t="shared" ref="J278:J279" si="131">IF(H$12=0,0,H278/H$12)</f>
        <v>1.8918915111654799E-3</v>
      </c>
      <c r="K278" s="1"/>
      <c r="L278" s="1">
        <f t="shared" ref="L278:L279" si="132">+D278-H278</f>
        <v>1148.1400000000003</v>
      </c>
      <c r="M278" s="1"/>
      <c r="N278" s="5">
        <f t="shared" ref="N278:N279" si="133">IF(H278=0,0,L278/H278)</f>
        <v>0.22293980582524278</v>
      </c>
      <c r="O278" s="13"/>
      <c r="P278" s="1">
        <f>SUM(OSRRefP22_24x_0)</f>
        <v>38332.82</v>
      </c>
      <c r="Q278" s="1"/>
      <c r="R278" s="5">
        <f t="shared" ref="R278:R279" si="134">IF(P$12=0,0,P278/P$12)</f>
        <v>4.0405114864429277E-3</v>
      </c>
      <c r="S278" s="1"/>
      <c r="T278" s="1">
        <f>SUM(OSRRefT22_24x_0)</f>
        <v>35675</v>
      </c>
      <c r="U278" s="1"/>
      <c r="V278" s="5">
        <f t="shared" ref="V278:V279" si="135">IF(T$12=0,0,T278/T$12)</f>
        <v>3.5736272074740837E-3</v>
      </c>
      <c r="W278" s="1"/>
      <c r="X278" s="1">
        <f t="shared" ref="X278:X279" si="136">+P278-T278</f>
        <v>2657.8199999999997</v>
      </c>
      <c r="Y278" s="1"/>
      <c r="Z278" s="5">
        <f t="shared" ref="Z278:Z279" si="137">IF(T278=0,0,X278/T278)</f>
        <v>7.4500911002102307E-2</v>
      </c>
    </row>
    <row r="279" spans="1:26" s="24" customFormat="1" hidden="1" outlineLevel="2" x14ac:dyDescent="0.25">
      <c r="A279" s="25"/>
      <c r="B279" s="11" t="str">
        <f>CONCATENATE("          ", "6274", " - ", "UTILITIES")</f>
        <v xml:space="preserve">          6274 - UTILITIES</v>
      </c>
      <c r="C279" s="11"/>
      <c r="D279" s="7">
        <v>6298.14</v>
      </c>
      <c r="E279" s="2"/>
      <c r="F279" s="6">
        <f t="shared" si="130"/>
        <v>2.6367996889700564E-3</v>
      </c>
      <c r="G279" s="2"/>
      <c r="H279" s="7">
        <v>5150</v>
      </c>
      <c r="I279" s="2"/>
      <c r="J279" s="6">
        <f t="shared" si="131"/>
        <v>1.8918915111654799E-3</v>
      </c>
      <c r="K279" s="2"/>
      <c r="L279" s="7">
        <f t="shared" si="132"/>
        <v>1148.1400000000003</v>
      </c>
      <c r="M279" s="2"/>
      <c r="N279" s="6">
        <f t="shared" si="133"/>
        <v>0.22293980582524278</v>
      </c>
      <c r="O279" s="11"/>
      <c r="P279" s="7">
        <v>38332.82</v>
      </c>
      <c r="Q279" s="2"/>
      <c r="R279" s="6">
        <f t="shared" si="134"/>
        <v>4.0405114864429277E-3</v>
      </c>
      <c r="S279" s="2"/>
      <c r="T279" s="7">
        <v>35675</v>
      </c>
      <c r="U279" s="2"/>
      <c r="V279" s="6">
        <f t="shared" si="135"/>
        <v>3.5736272074740837E-3</v>
      </c>
      <c r="W279" s="2"/>
      <c r="X279" s="7">
        <f t="shared" si="136"/>
        <v>2657.8199999999997</v>
      </c>
      <c r="Y279" s="2"/>
      <c r="Z279" s="6">
        <f t="shared" si="137"/>
        <v>7.4500911002102307E-2</v>
      </c>
    </row>
    <row r="280" spans="1:26" s="53" customFormat="1" x14ac:dyDescent="0.25">
      <c r="A280" s="36"/>
      <c r="B280" s="36"/>
      <c r="C280" s="36"/>
      <c r="D280" s="1"/>
      <c r="E280" s="1"/>
      <c r="F280" s="5"/>
      <c r="G280" s="1"/>
      <c r="H280" s="1"/>
      <c r="I280" s="1"/>
      <c r="J280" s="5"/>
      <c r="K280" s="1"/>
      <c r="L280" s="1"/>
      <c r="M280" s="1"/>
      <c r="N280" s="5"/>
      <c r="O280" s="36"/>
      <c r="P280" s="1"/>
      <c r="Q280" s="1"/>
      <c r="R280" s="5"/>
      <c r="S280" s="1"/>
      <c r="T280" s="1"/>
      <c r="U280" s="1"/>
      <c r="V280" s="5"/>
      <c r="W280" s="1"/>
      <c r="X280" s="1"/>
      <c r="Y280" s="1"/>
      <c r="Z280" s="5"/>
    </row>
    <row r="281" spans="1:26" s="23" customFormat="1" collapsed="1" x14ac:dyDescent="0.25">
      <c r="A281" s="10"/>
      <c r="B281" s="28" t="s">
        <v>0</v>
      </c>
      <c r="C281" s="10"/>
      <c r="D281" s="4">
        <f>SUM(OSRRefD25x_0)</f>
        <v>49263.54</v>
      </c>
      <c r="E281" s="4"/>
      <c r="F281" s="12">
        <f t="shared" ref="F281:F293" si="138">IF(D$12=0,0,D281/D$12)</f>
        <v>2.0624833196715844E-2</v>
      </c>
      <c r="G281" s="4"/>
      <c r="H281" s="4">
        <f>SUM(OSRRefH25x_0)</f>
        <v>66400</v>
      </c>
      <c r="I281" s="4"/>
      <c r="J281" s="12">
        <f t="shared" ref="J281:J293" si="139">IF(H$12=0,0,H281/H$12)</f>
        <v>2.4392542978910265E-2</v>
      </c>
      <c r="K281" s="4"/>
      <c r="L281" s="4">
        <f t="shared" ref="L281:L293" si="140">+D281-H281</f>
        <v>-17136.46</v>
      </c>
      <c r="M281" s="4"/>
      <c r="N281" s="12">
        <f t="shared" ref="N281:N293" si="141">IF(H281=0,0,L281/H281)</f>
        <v>-0.25807921686746987</v>
      </c>
      <c r="O281" s="10"/>
      <c r="P281" s="4">
        <f>SUM(OSRRefP25x_0)</f>
        <v>479966.52999999997</v>
      </c>
      <c r="Q281" s="4"/>
      <c r="R281" s="12">
        <f t="shared" ref="R281:R293" si="142">IF(P$12=0,0,P281/P$12)</f>
        <v>5.0591380377784725E-2</v>
      </c>
      <c r="S281" s="4"/>
      <c r="T281" s="4">
        <f>SUM(OSRRefT25x_0)</f>
        <v>521775</v>
      </c>
      <c r="U281" s="4"/>
      <c r="V281" s="12">
        <f t="shared" ref="V281:V293" si="143">IF(T$12=0,0,T281/T$12)</f>
        <v>5.22671152397979E-2</v>
      </c>
      <c r="W281" s="4"/>
      <c r="X281" s="4">
        <f t="shared" ref="X281:X293" si="144">+P281-T281</f>
        <v>-41808.47000000003</v>
      </c>
      <c r="Y281" s="4"/>
      <c r="Z281" s="12">
        <f t="shared" ref="Z281:Z293" si="145">IF(T281=0,0,X281/T281)</f>
        <v>-8.0127392075128229E-2</v>
      </c>
    </row>
    <row r="282" spans="1:26" s="24" customFormat="1" hidden="1" outlineLevel="1" x14ac:dyDescent="0.25">
      <c r="A282" s="44"/>
      <c r="B282" s="11" t="str">
        <f>CONCATENATE("          ", "4098", " - ", "TAXABLE SALES-GRAD RENTALS")</f>
        <v xml:space="preserve">          4098 - TAXABLE SALES-GRAD RENTALS</v>
      </c>
      <c r="C282" s="11"/>
      <c r="D282" s="2">
        <f>--320</f>
        <v>320</v>
      </c>
      <c r="E282" s="2"/>
      <c r="F282" s="19">
        <f t="shared" si="138"/>
        <v>1.3397223632221863E-4</v>
      </c>
      <c r="G282" s="2"/>
      <c r="H282" s="2"/>
      <c r="I282" s="2"/>
      <c r="J282" s="19">
        <f t="shared" si="139"/>
        <v>0</v>
      </c>
      <c r="K282" s="2"/>
      <c r="L282" s="2">
        <f t="shared" si="140"/>
        <v>320</v>
      </c>
      <c r="M282" s="2"/>
      <c r="N282" s="19">
        <f t="shared" si="141"/>
        <v>0</v>
      </c>
      <c r="O282" s="11"/>
      <c r="P282" s="2">
        <f>--1946.85</f>
        <v>1946.85</v>
      </c>
      <c r="Q282" s="2"/>
      <c r="R282" s="19">
        <f t="shared" si="142"/>
        <v>2.0520978595838795E-4</v>
      </c>
      <c r="S282" s="2"/>
      <c r="T282" s="2"/>
      <c r="U282" s="2"/>
      <c r="V282" s="19">
        <f t="shared" si="143"/>
        <v>0</v>
      </c>
      <c r="W282" s="2"/>
      <c r="X282" s="2">
        <f t="shared" si="144"/>
        <v>1946.85</v>
      </c>
      <c r="Y282" s="2"/>
      <c r="Z282" s="19">
        <f t="shared" si="145"/>
        <v>0</v>
      </c>
    </row>
    <row r="283" spans="1:26" s="24" customFormat="1" hidden="1" outlineLevel="1" x14ac:dyDescent="0.25">
      <c r="A283" s="44"/>
      <c r="B283" s="11" t="str">
        <f>CONCATENATE("          ", "4187", " - ", "NON-TAXABLE SALES-COMPUTER REP")</f>
        <v xml:space="preserve">          4187 - NON-TAXABLE SALES-COMPUTER REP</v>
      </c>
      <c r="C283" s="11"/>
      <c r="D283" s="2">
        <f>--1922.01</f>
        <v>1922.01</v>
      </c>
      <c r="E283" s="2"/>
      <c r="F283" s="19">
        <f t="shared" si="138"/>
        <v>8.0467493104271072E-4</v>
      </c>
      <c r="G283" s="2"/>
      <c r="H283" s="2"/>
      <c r="I283" s="2"/>
      <c r="J283" s="19">
        <f t="shared" si="139"/>
        <v>0</v>
      </c>
      <c r="K283" s="2"/>
      <c r="L283" s="2">
        <f t="shared" si="140"/>
        <v>1922.01</v>
      </c>
      <c r="M283" s="2"/>
      <c r="N283" s="19">
        <f t="shared" si="141"/>
        <v>0</v>
      </c>
      <c r="O283" s="11"/>
      <c r="P283" s="2">
        <f>--15110.93</f>
        <v>15110.93</v>
      </c>
      <c r="Q283" s="2"/>
      <c r="R283" s="19">
        <f t="shared" si="142"/>
        <v>1.5927835790801466E-3</v>
      </c>
      <c r="S283" s="2"/>
      <c r="T283" s="2"/>
      <c r="U283" s="2"/>
      <c r="V283" s="19">
        <f t="shared" si="143"/>
        <v>0</v>
      </c>
      <c r="W283" s="2"/>
      <c r="X283" s="2">
        <f t="shared" si="144"/>
        <v>15110.93</v>
      </c>
      <c r="Y283" s="2"/>
      <c r="Z283" s="19">
        <f t="shared" si="145"/>
        <v>0</v>
      </c>
    </row>
    <row r="284" spans="1:26" s="24" customFormat="1" hidden="1" outlineLevel="1" x14ac:dyDescent="0.25">
      <c r="A284" s="44"/>
      <c r="B284" s="11" t="str">
        <f>CONCATENATE("          ", "4197", " - ", "NON-TAXABLE SALES-RETURNED CHE")</f>
        <v xml:space="preserve">          4197 - NON-TAXABLE SALES-RETURNED CHE</v>
      </c>
      <c r="C284" s="11"/>
      <c r="D284" s="2">
        <f>0</f>
        <v>0</v>
      </c>
      <c r="E284" s="2"/>
      <c r="F284" s="19">
        <f t="shared" si="138"/>
        <v>0</v>
      </c>
      <c r="G284" s="2"/>
      <c r="H284" s="2"/>
      <c r="I284" s="2"/>
      <c r="J284" s="19">
        <f t="shared" si="139"/>
        <v>0</v>
      </c>
      <c r="K284" s="2"/>
      <c r="L284" s="2">
        <f t="shared" si="140"/>
        <v>0</v>
      </c>
      <c r="M284" s="2"/>
      <c r="N284" s="19">
        <f t="shared" si="141"/>
        <v>0</v>
      </c>
      <c r="O284" s="11"/>
      <c r="P284" s="2">
        <f>--30</f>
        <v>30</v>
      </c>
      <c r="Q284" s="2"/>
      <c r="R284" s="19">
        <f t="shared" si="142"/>
        <v>3.1621817699112099E-6</v>
      </c>
      <c r="S284" s="2"/>
      <c r="T284" s="2"/>
      <c r="U284" s="2"/>
      <c r="V284" s="19">
        <f t="shared" si="143"/>
        <v>0</v>
      </c>
      <c r="W284" s="2"/>
      <c r="X284" s="2">
        <f t="shared" si="144"/>
        <v>30</v>
      </c>
      <c r="Y284" s="2"/>
      <c r="Z284" s="19">
        <f t="shared" si="145"/>
        <v>0</v>
      </c>
    </row>
    <row r="285" spans="1:26" s="24" customFormat="1" hidden="1" outlineLevel="1" x14ac:dyDescent="0.25">
      <c r="A285" s="44"/>
      <c r="B285" s="11" t="str">
        <f>CONCATENATE("          ", "4198", " - ", "NON-TAXABLE SALES-GRAD RENTALS")</f>
        <v xml:space="preserve">          4198 - NON-TAXABLE SALES-GRAD RENTALS</v>
      </c>
      <c r="C285" s="11"/>
      <c r="D285" s="2">
        <f>--3237.1</f>
        <v>3237.1</v>
      </c>
      <c r="E285" s="2"/>
      <c r="F285" s="19">
        <f t="shared" si="138"/>
        <v>1.3552547693707934E-3</v>
      </c>
      <c r="G285" s="2"/>
      <c r="H285" s="2"/>
      <c r="I285" s="2"/>
      <c r="J285" s="19">
        <f t="shared" si="139"/>
        <v>0</v>
      </c>
      <c r="K285" s="2"/>
      <c r="L285" s="2">
        <f t="shared" si="140"/>
        <v>3237.1</v>
      </c>
      <c r="M285" s="2"/>
      <c r="N285" s="19">
        <f t="shared" si="141"/>
        <v>0</v>
      </c>
      <c r="O285" s="11"/>
      <c r="P285" s="2">
        <f>--3732.1</f>
        <v>3732.1</v>
      </c>
      <c r="Q285" s="2"/>
      <c r="R285" s="19">
        <f t="shared" si="142"/>
        <v>3.9338595278285419E-4</v>
      </c>
      <c r="S285" s="2"/>
      <c r="T285" s="2"/>
      <c r="U285" s="2"/>
      <c r="V285" s="19">
        <f t="shared" si="143"/>
        <v>0</v>
      </c>
      <c r="W285" s="2"/>
      <c r="X285" s="2">
        <f t="shared" si="144"/>
        <v>3732.1</v>
      </c>
      <c r="Y285" s="2"/>
      <c r="Z285" s="19">
        <f t="shared" si="145"/>
        <v>0</v>
      </c>
    </row>
    <row r="286" spans="1:26" s="24" customFormat="1" hidden="1" outlineLevel="1" x14ac:dyDescent="0.25">
      <c r="A286" s="44"/>
      <c r="B286" s="11" t="str">
        <f>CONCATENATE("          ", "4387", " - ", "SALES RETURN NON TAXABLE-COMPU")</f>
        <v xml:space="preserve">          4387 - SALES RETURN NON TAXABLE-COMPU</v>
      </c>
      <c r="C286" s="11"/>
      <c r="D286" s="2">
        <f t="shared" ref="D286:D287" si="146">0</f>
        <v>0</v>
      </c>
      <c r="E286" s="2"/>
      <c r="F286" s="19">
        <f t="shared" si="138"/>
        <v>0</v>
      </c>
      <c r="G286" s="2"/>
      <c r="H286" s="2"/>
      <c r="I286" s="2"/>
      <c r="J286" s="19">
        <f t="shared" si="139"/>
        <v>0</v>
      </c>
      <c r="K286" s="2"/>
      <c r="L286" s="2">
        <f t="shared" si="140"/>
        <v>0</v>
      </c>
      <c r="M286" s="2"/>
      <c r="N286" s="19">
        <f t="shared" si="141"/>
        <v>0</v>
      </c>
      <c r="O286" s="11"/>
      <c r="P286" s="2">
        <f>-7889</f>
        <v>-7889</v>
      </c>
      <c r="Q286" s="2"/>
      <c r="R286" s="19">
        <f t="shared" si="142"/>
        <v>-8.3154839942765121E-4</v>
      </c>
      <c r="S286" s="2"/>
      <c r="T286" s="2"/>
      <c r="U286" s="2"/>
      <c r="V286" s="19">
        <f t="shared" si="143"/>
        <v>0</v>
      </c>
      <c r="W286" s="2"/>
      <c r="X286" s="2">
        <f t="shared" si="144"/>
        <v>-7889</v>
      </c>
      <c r="Y286" s="2"/>
      <c r="Z286" s="19">
        <f t="shared" si="145"/>
        <v>0</v>
      </c>
    </row>
    <row r="287" spans="1:26" s="24" customFormat="1" hidden="1" outlineLevel="1" x14ac:dyDescent="0.25">
      <c r="A287" s="44"/>
      <c r="B287" s="11" t="str">
        <f>CONCATENATE("          ", "5087", " - ", "PURCHASES @ COST-COMPUTER REPA")</f>
        <v xml:space="preserve">          5087 - PURCHASES @ COST-COMPUTER REPA</v>
      </c>
      <c r="C287" s="11"/>
      <c r="D287" s="2">
        <f t="shared" si="146"/>
        <v>0</v>
      </c>
      <c r="E287" s="2"/>
      <c r="F287" s="19">
        <f t="shared" si="138"/>
        <v>0</v>
      </c>
      <c r="G287" s="2"/>
      <c r="H287" s="2"/>
      <c r="I287" s="2"/>
      <c r="J287" s="19">
        <f t="shared" si="139"/>
        <v>0</v>
      </c>
      <c r="K287" s="2"/>
      <c r="L287" s="2">
        <f t="shared" si="140"/>
        <v>0</v>
      </c>
      <c r="M287" s="2"/>
      <c r="N287" s="19">
        <f t="shared" si="141"/>
        <v>0</v>
      </c>
      <c r="O287" s="11"/>
      <c r="P287" s="2">
        <f>-56.72</f>
        <v>-56.72</v>
      </c>
      <c r="Q287" s="2"/>
      <c r="R287" s="19">
        <f t="shared" si="142"/>
        <v>-5.9786316663121275E-6</v>
      </c>
      <c r="S287" s="2"/>
      <c r="T287" s="2"/>
      <c r="U287" s="2"/>
      <c r="V287" s="19">
        <f t="shared" si="143"/>
        <v>0</v>
      </c>
      <c r="W287" s="2"/>
      <c r="X287" s="2">
        <f t="shared" si="144"/>
        <v>-56.72</v>
      </c>
      <c r="Y287" s="2"/>
      <c r="Z287" s="19">
        <f t="shared" si="145"/>
        <v>0</v>
      </c>
    </row>
    <row r="288" spans="1:26" s="24" customFormat="1" hidden="1" outlineLevel="1" x14ac:dyDescent="0.25">
      <c r="A288" s="44"/>
      <c r="B288" s="11" t="str">
        <f>CONCATENATE("          ", "9150", " - ", "MISC. INCOME")</f>
        <v xml:space="preserve">          9150 - MISC. INCOME</v>
      </c>
      <c r="C288" s="11"/>
      <c r="D288" s="2">
        <f>--44854.46</f>
        <v>44854.46</v>
      </c>
      <c r="E288" s="2"/>
      <c r="F288" s="19">
        <f t="shared" si="138"/>
        <v>1.8778913485079696E-2</v>
      </c>
      <c r="G288" s="2"/>
      <c r="H288" s="2">
        <v>31250</v>
      </c>
      <c r="I288" s="2"/>
      <c r="J288" s="19">
        <f t="shared" si="139"/>
        <v>1.1479924218237136E-2</v>
      </c>
      <c r="K288" s="2"/>
      <c r="L288" s="2">
        <f t="shared" si="140"/>
        <v>13604.46</v>
      </c>
      <c r="M288" s="2"/>
      <c r="N288" s="19">
        <f t="shared" si="141"/>
        <v>0.43534271999999996</v>
      </c>
      <c r="O288" s="11"/>
      <c r="P288" s="2">
        <f>--292407.58</f>
        <v>292407.58</v>
      </c>
      <c r="Q288" s="2"/>
      <c r="R288" s="19">
        <f t="shared" si="142"/>
        <v>3.0821530628661793E-2</v>
      </c>
      <c r="S288" s="2"/>
      <c r="T288" s="2">
        <v>230325</v>
      </c>
      <c r="U288" s="2"/>
      <c r="V288" s="19">
        <f t="shared" si="143"/>
        <v>2.3072058488057975E-2</v>
      </c>
      <c r="W288" s="2"/>
      <c r="X288" s="2">
        <f t="shared" si="144"/>
        <v>62082.580000000016</v>
      </c>
      <c r="Y288" s="2"/>
      <c r="Z288" s="19">
        <f t="shared" si="145"/>
        <v>0.26954338434820369</v>
      </c>
    </row>
    <row r="289" spans="1:26" s="24" customFormat="1" hidden="1" outlineLevel="1" x14ac:dyDescent="0.25">
      <c r="A289" s="44"/>
      <c r="B289" s="11" t="str">
        <f>CONCATENATE("          ", "9151", " - ", "MISC. INCOME")</f>
        <v xml:space="preserve">          9151 - MISC. INCOME</v>
      </c>
      <c r="C289" s="11"/>
      <c r="D289" s="2">
        <f>-1539.13</f>
        <v>-1539.13</v>
      </c>
      <c r="E289" s="2"/>
      <c r="F289" s="19">
        <f t="shared" si="138"/>
        <v>-6.4437715028317611E-4</v>
      </c>
      <c r="G289" s="2"/>
      <c r="H289" s="2">
        <v>12850</v>
      </c>
      <c r="I289" s="2"/>
      <c r="J289" s="19">
        <f t="shared" si="139"/>
        <v>4.7205448385391098E-3</v>
      </c>
      <c r="K289" s="2"/>
      <c r="L289" s="2">
        <f t="shared" si="140"/>
        <v>-14389.130000000001</v>
      </c>
      <c r="M289" s="2"/>
      <c r="N289" s="19">
        <f t="shared" si="141"/>
        <v>-1.1197766536964981</v>
      </c>
      <c r="O289" s="11"/>
      <c r="P289" s="2">
        <f>--85953.38</f>
        <v>85953.38</v>
      </c>
      <c r="Q289" s="2"/>
      <c r="R289" s="19">
        <f t="shared" si="142"/>
        <v>9.0600070432750261E-3</v>
      </c>
      <c r="S289" s="2"/>
      <c r="T289" s="2">
        <v>77700</v>
      </c>
      <c r="U289" s="2"/>
      <c r="V289" s="19">
        <f t="shared" si="143"/>
        <v>7.7833450321159441E-3</v>
      </c>
      <c r="W289" s="2"/>
      <c r="X289" s="2">
        <f t="shared" si="144"/>
        <v>8253.3800000000047</v>
      </c>
      <c r="Y289" s="2"/>
      <c r="Z289" s="19">
        <f t="shared" si="145"/>
        <v>0.10622110682110689</v>
      </c>
    </row>
    <row r="290" spans="1:26" s="24" customFormat="1" hidden="1" outlineLevel="1" x14ac:dyDescent="0.25">
      <c r="A290" s="44"/>
      <c r="B290" s="11" t="str">
        <f>CONCATENATE("          ", "9152", " - ", "MISC. INCOME")</f>
        <v xml:space="preserve">          9152 - MISC. INCOME</v>
      </c>
      <c r="C290" s="11"/>
      <c r="D290" s="2">
        <f>--469.1</f>
        <v>469.1</v>
      </c>
      <c r="E290" s="2"/>
      <c r="F290" s="19">
        <f t="shared" si="138"/>
        <v>1.9639492518360238E-4</v>
      </c>
      <c r="G290" s="2"/>
      <c r="H290" s="2"/>
      <c r="I290" s="2"/>
      <c r="J290" s="19">
        <f t="shared" si="139"/>
        <v>0</v>
      </c>
      <c r="K290" s="2"/>
      <c r="L290" s="2">
        <f t="shared" si="140"/>
        <v>469.1</v>
      </c>
      <c r="M290" s="2"/>
      <c r="N290" s="19">
        <f t="shared" si="141"/>
        <v>0</v>
      </c>
      <c r="O290" s="11"/>
      <c r="P290" s="2">
        <f>--4699.86</f>
        <v>4699.8599999999997</v>
      </c>
      <c r="Q290" s="2"/>
      <c r="R290" s="19">
        <f t="shared" si="142"/>
        <v>4.9539372043782995E-4</v>
      </c>
      <c r="S290" s="2"/>
      <c r="T290" s="2"/>
      <c r="U290" s="2"/>
      <c r="V290" s="19">
        <f t="shared" si="143"/>
        <v>0</v>
      </c>
      <c r="W290" s="2"/>
      <c r="X290" s="2">
        <f t="shared" si="144"/>
        <v>4699.8599999999997</v>
      </c>
      <c r="Y290" s="2"/>
      <c r="Z290" s="19">
        <f t="shared" si="145"/>
        <v>0</v>
      </c>
    </row>
    <row r="291" spans="1:26" s="24" customFormat="1" hidden="1" outlineLevel="1" x14ac:dyDescent="0.25">
      <c r="A291" s="44"/>
      <c r="B291" s="11" t="str">
        <f>CONCATENATE("          ", "9153", " - ", "MISC. INCOME")</f>
        <v xml:space="preserve">          9153 - MISC. INCOME</v>
      </c>
      <c r="C291" s="11"/>
      <c r="D291" s="2">
        <f t="shared" ref="D291:D293" si="147">0</f>
        <v>0</v>
      </c>
      <c r="E291" s="2"/>
      <c r="F291" s="19">
        <f t="shared" si="138"/>
        <v>0</v>
      </c>
      <c r="G291" s="2"/>
      <c r="H291" s="2"/>
      <c r="I291" s="2"/>
      <c r="J291" s="19">
        <f t="shared" si="139"/>
        <v>0</v>
      </c>
      <c r="K291" s="2"/>
      <c r="L291" s="2">
        <f t="shared" si="140"/>
        <v>0</v>
      </c>
      <c r="M291" s="2"/>
      <c r="N291" s="19">
        <f t="shared" si="141"/>
        <v>0</v>
      </c>
      <c r="O291" s="11"/>
      <c r="P291" s="2">
        <f>--450</f>
        <v>450</v>
      </c>
      <c r="Q291" s="2"/>
      <c r="R291" s="19">
        <f t="shared" si="142"/>
        <v>4.7432726548668148E-5</v>
      </c>
      <c r="S291" s="2"/>
      <c r="T291" s="2"/>
      <c r="U291" s="2"/>
      <c r="V291" s="19">
        <f t="shared" si="143"/>
        <v>0</v>
      </c>
      <c r="W291" s="2"/>
      <c r="X291" s="2">
        <f t="shared" si="144"/>
        <v>450</v>
      </c>
      <c r="Y291" s="2"/>
      <c r="Z291" s="19">
        <f t="shared" si="145"/>
        <v>0</v>
      </c>
    </row>
    <row r="292" spans="1:26" s="24" customFormat="1" hidden="1" outlineLevel="1" x14ac:dyDescent="0.25">
      <c r="A292" s="44"/>
      <c r="B292" s="11" t="str">
        <f>CONCATENATE("          ", "9160", " - ", "MISC. INCOME")</f>
        <v xml:space="preserve">          9160 - MISC. INCOME</v>
      </c>
      <c r="C292" s="11"/>
      <c r="D292" s="2">
        <f t="shared" si="147"/>
        <v>0</v>
      </c>
      <c r="E292" s="2"/>
      <c r="F292" s="19">
        <f t="shared" si="138"/>
        <v>0</v>
      </c>
      <c r="G292" s="2"/>
      <c r="H292" s="2">
        <v>22300</v>
      </c>
      <c r="I292" s="2"/>
      <c r="J292" s="19">
        <f t="shared" si="139"/>
        <v>8.1920739221340196E-3</v>
      </c>
      <c r="K292" s="2"/>
      <c r="L292" s="2">
        <f t="shared" si="140"/>
        <v>-22300</v>
      </c>
      <c r="M292" s="2"/>
      <c r="N292" s="19">
        <f t="shared" si="141"/>
        <v>-1</v>
      </c>
      <c r="O292" s="11"/>
      <c r="P292" s="2">
        <f>--22475</f>
        <v>22475</v>
      </c>
      <c r="Q292" s="2"/>
      <c r="R292" s="19">
        <f t="shared" si="142"/>
        <v>2.3690011759584812E-3</v>
      </c>
      <c r="S292" s="2"/>
      <c r="T292" s="2">
        <v>213750</v>
      </c>
      <c r="U292" s="2"/>
      <c r="V292" s="19">
        <f t="shared" si="143"/>
        <v>2.1411711719623978E-2</v>
      </c>
      <c r="W292" s="2"/>
      <c r="X292" s="2">
        <f t="shared" si="144"/>
        <v>-191275</v>
      </c>
      <c r="Y292" s="2"/>
      <c r="Z292" s="19">
        <f t="shared" si="145"/>
        <v>-0.89485380116959068</v>
      </c>
    </row>
    <row r="293" spans="1:26" s="24" customFormat="1" hidden="1" outlineLevel="1" x14ac:dyDescent="0.25">
      <c r="A293" s="44"/>
      <c r="B293" s="11" t="str">
        <f>CONCATENATE("          ", "9163", " - ", "MISC. INCOME")</f>
        <v xml:space="preserve">          9163 - MISC. INCOME</v>
      </c>
      <c r="C293" s="11"/>
      <c r="D293" s="2">
        <f t="shared" si="147"/>
        <v>0</v>
      </c>
      <c r="E293" s="2"/>
      <c r="F293" s="19">
        <f t="shared" si="138"/>
        <v>0</v>
      </c>
      <c r="G293" s="2"/>
      <c r="H293" s="2"/>
      <c r="I293" s="2"/>
      <c r="J293" s="19">
        <f t="shared" si="139"/>
        <v>0</v>
      </c>
      <c r="K293" s="2"/>
      <c r="L293" s="2">
        <f t="shared" si="140"/>
        <v>0</v>
      </c>
      <c r="M293" s="2"/>
      <c r="N293" s="19">
        <f t="shared" si="141"/>
        <v>0</v>
      </c>
      <c r="O293" s="11"/>
      <c r="P293" s="2">
        <f>--61106.55</f>
        <v>61106.55</v>
      </c>
      <c r="Q293" s="2"/>
      <c r="R293" s="19">
        <f t="shared" si="142"/>
        <v>6.4410006144055947E-3</v>
      </c>
      <c r="S293" s="2"/>
      <c r="T293" s="2"/>
      <c r="U293" s="2"/>
      <c r="V293" s="19">
        <f t="shared" si="143"/>
        <v>0</v>
      </c>
      <c r="W293" s="2"/>
      <c r="X293" s="2">
        <f t="shared" si="144"/>
        <v>61106.55</v>
      </c>
      <c r="Y293" s="2"/>
      <c r="Z293" s="19">
        <f t="shared" si="145"/>
        <v>0</v>
      </c>
    </row>
    <row r="294" spans="1:26" x14ac:dyDescent="0.25">
      <c r="A294" s="9"/>
      <c r="B294" s="10"/>
      <c r="C294" s="10"/>
      <c r="D294" s="3"/>
      <c r="E294" s="3"/>
      <c r="F294" s="8"/>
      <c r="G294" s="3"/>
      <c r="H294" s="3"/>
      <c r="I294" s="3"/>
      <c r="J294" s="8"/>
      <c r="K294" s="3"/>
      <c r="L294" s="3"/>
      <c r="M294" s="3"/>
      <c r="N294" s="8"/>
      <c r="O294" s="10"/>
      <c r="P294" s="3"/>
      <c r="Q294" s="3"/>
      <c r="R294" s="8"/>
      <c r="S294" s="3"/>
      <c r="T294" s="3"/>
      <c r="U294" s="3"/>
      <c r="V294" s="8"/>
      <c r="W294" s="3"/>
      <c r="X294" s="3"/>
      <c r="Y294" s="3"/>
      <c r="Z294" s="8"/>
    </row>
    <row r="295" spans="1:26" s="23" customFormat="1" x14ac:dyDescent="0.25">
      <c r="A295" s="10"/>
      <c r="B295" s="29" t="s">
        <v>3</v>
      </c>
      <c r="C295" s="29"/>
      <c r="D295" s="21">
        <f>+D183-D185+D281</f>
        <v>579406.2300000001</v>
      </c>
      <c r="E295" s="14"/>
      <c r="F295" s="20">
        <f>IF(D$12=0,0,D295/D$12)</f>
        <v>0.24257608866289304</v>
      </c>
      <c r="G295" s="14"/>
      <c r="H295" s="21">
        <f>+H183-H185+H281</f>
        <v>490335.11316138832</v>
      </c>
      <c r="I295" s="14"/>
      <c r="J295" s="20">
        <f>IF(H$12=0,0,H295/H$12)</f>
        <v>0.18012831810027097</v>
      </c>
      <c r="K295" s="16"/>
      <c r="L295" s="21">
        <f>+D295-H295</f>
        <v>89071.116838611779</v>
      </c>
      <c r="M295" s="16"/>
      <c r="N295" s="20">
        <f>IF(H295=0,0,L295/H295)</f>
        <v>0.18165355579847087</v>
      </c>
      <c r="O295" s="28"/>
      <c r="P295" s="21">
        <f>+P183-P185+P281</f>
        <v>1112681.1599999948</v>
      </c>
      <c r="Q295" s="14"/>
      <c r="R295" s="20">
        <f>IF(P$12=0,0,P295/P$12)</f>
        <v>0.11728333599585472</v>
      </c>
      <c r="S295" s="14"/>
      <c r="T295" s="21">
        <f>+T183-T185+T281</f>
        <v>1212256.1932431813</v>
      </c>
      <c r="U295" s="14"/>
      <c r="V295" s="20">
        <f>IF(T$12=0,0,T295/T$12)</f>
        <v>0.12143382521661648</v>
      </c>
      <c r="W295" s="16"/>
      <c r="X295" s="21">
        <f>+P295-T295</f>
        <v>-99575.033243186539</v>
      </c>
      <c r="Y295" s="16"/>
      <c r="Z295" s="20">
        <f>IF(T295=0,0,X295/T295)</f>
        <v>-8.2140255333974246E-2</v>
      </c>
    </row>
    <row r="296" spans="1:26" x14ac:dyDescent="0.25">
      <c r="A296" s="9"/>
      <c r="B296" s="10"/>
      <c r="C296" s="9"/>
      <c r="D296" s="3"/>
      <c r="E296" s="3"/>
      <c r="F296" s="8"/>
      <c r="G296" s="3"/>
      <c r="H296" s="3"/>
      <c r="I296" s="3"/>
      <c r="J296" s="8"/>
      <c r="K296" s="3"/>
      <c r="L296" s="3"/>
      <c r="M296" s="3"/>
      <c r="N296" s="8"/>
      <c r="P296" s="3"/>
      <c r="Q296" s="3"/>
      <c r="R296" s="8"/>
      <c r="S296" s="3"/>
      <c r="T296" s="3"/>
      <c r="U296" s="3"/>
      <c r="V296" s="8"/>
      <c r="W296" s="3"/>
      <c r="X296" s="3"/>
      <c r="Y296" s="3"/>
      <c r="Z296" s="8"/>
    </row>
    <row r="297" spans="1:26" s="23" customFormat="1" x14ac:dyDescent="0.25">
      <c r="A297" s="52"/>
      <c r="B297" s="10" t="s">
        <v>14</v>
      </c>
      <c r="C297" s="10"/>
      <c r="D297" s="4">
        <v>222672.51</v>
      </c>
      <c r="E297" s="4"/>
      <c r="F297" s="12">
        <f>IF(D$12=0,0,D297/D$12)</f>
        <v>9.3224794163067476E-2</v>
      </c>
      <c r="G297" s="4"/>
      <c r="H297" s="4">
        <v>293843</v>
      </c>
      <c r="I297" s="4"/>
      <c r="J297" s="12">
        <f>IF(H$12=0,0,H297/H$12)</f>
        <v>0.10794545190590255</v>
      </c>
      <c r="K297" s="4"/>
      <c r="L297" s="4">
        <f>+D297-H297</f>
        <v>-71170.489999999991</v>
      </c>
      <c r="M297" s="4"/>
      <c r="N297" s="12">
        <f>IF(H297=0,0,L297/H297)</f>
        <v>-0.24220583781134822</v>
      </c>
      <c r="O297" s="10"/>
      <c r="P297" s="4">
        <v>989372.30999999994</v>
      </c>
      <c r="Q297" s="4"/>
      <c r="R297" s="12">
        <f>IF(P$12=0,0,P297/P$12)</f>
        <v>0.10428583607789807</v>
      </c>
      <c r="S297" s="4"/>
      <c r="T297" s="4">
        <v>1229127</v>
      </c>
      <c r="U297" s="4"/>
      <c r="V297" s="12">
        <f>IF(T$12=0,0,T297/T$12)</f>
        <v>0.12312380346576028</v>
      </c>
      <c r="W297" s="4"/>
      <c r="X297" s="4">
        <f>+P297-T297</f>
        <v>-239754.69000000006</v>
      </c>
      <c r="Y297" s="4"/>
      <c r="Z297" s="12">
        <f>IF(T297=0,0,X297/T297)</f>
        <v>-0.19506095789938718</v>
      </c>
    </row>
    <row r="298" spans="1:26" x14ac:dyDescent="0.25">
      <c r="A298" s="9"/>
      <c r="B298" s="10"/>
      <c r="C298" s="10"/>
      <c r="D298" s="3"/>
      <c r="E298" s="3"/>
      <c r="F298" s="8"/>
      <c r="G298" s="3"/>
      <c r="H298" s="3"/>
      <c r="I298" s="3"/>
      <c r="J298" s="8"/>
      <c r="K298" s="3"/>
      <c r="L298" s="3"/>
      <c r="M298" s="3"/>
      <c r="N298" s="8"/>
      <c r="O298" s="10"/>
      <c r="P298" s="3"/>
      <c r="Q298" s="3"/>
      <c r="R298" s="8"/>
      <c r="S298" s="3"/>
      <c r="T298" s="3"/>
      <c r="U298" s="3"/>
      <c r="V298" s="8"/>
      <c r="W298" s="3"/>
      <c r="X298" s="3"/>
      <c r="Y298" s="3"/>
      <c r="Z298" s="8"/>
    </row>
    <row r="299" spans="1:26" s="23" customFormat="1" ht="15.75" thickBot="1" x14ac:dyDescent="0.3">
      <c r="A299" s="10"/>
      <c r="B299" s="29" t="s">
        <v>4</v>
      </c>
      <c r="C299" s="29"/>
      <c r="D299" s="34">
        <f>+D295-D297</f>
        <v>356733.72000000009</v>
      </c>
      <c r="E299" s="14"/>
      <c r="F299" s="32">
        <f>IF(D$12=0,0,D299/D$12)</f>
        <v>0.14935129449982557</v>
      </c>
      <c r="G299" s="14"/>
      <c r="H299" s="34">
        <f>+H295-H297</f>
        <v>196492.11316138832</v>
      </c>
      <c r="I299" s="14"/>
      <c r="J299" s="32">
        <f>IF(H$12=0,0,H299/H$12)</f>
        <v>7.2182866194368436E-2</v>
      </c>
      <c r="K299" s="16"/>
      <c r="L299" s="34">
        <f>D299-H299</f>
        <v>160241.60683861177</v>
      </c>
      <c r="M299" s="16"/>
      <c r="N299" s="32">
        <f>IF(H299=0,0,L299/H299)</f>
        <v>0.81551164706034651</v>
      </c>
      <c r="O299" s="28"/>
      <c r="P299" s="34">
        <f>+P295-P297</f>
        <v>123308.84999999485</v>
      </c>
      <c r="Q299" s="14"/>
      <c r="R299" s="32">
        <f>IF(P$12=0,0,P299/P$12)</f>
        <v>1.2997499917956654E-2</v>
      </c>
      <c r="S299" s="14"/>
      <c r="T299" s="34">
        <f>+T295-T297</f>
        <v>-16870.806756818667</v>
      </c>
      <c r="U299" s="14"/>
      <c r="V299" s="32">
        <f>IF(T$12=0,0,T299/T$12)</f>
        <v>-1.6899782491437924E-3</v>
      </c>
      <c r="W299" s="16"/>
      <c r="X299" s="34">
        <f>P299-T299</f>
        <v>140179.65675681352</v>
      </c>
      <c r="Y299" s="16"/>
      <c r="Z299" s="32">
        <f>IF(T299=0,0,X299/T299)</f>
        <v>-8.3090073152641128</v>
      </c>
    </row>
    <row r="300" spans="1:26" ht="15.75" thickTop="1" x14ac:dyDescent="0.25">
      <c r="A300" s="9"/>
      <c r="B300" s="9"/>
      <c r="C300" s="9"/>
      <c r="D300" s="3"/>
      <c r="E300" s="3"/>
      <c r="F300" s="8"/>
      <c r="G300" s="3"/>
      <c r="H300" s="3"/>
      <c r="I300" s="3"/>
      <c r="J300" s="8"/>
      <c r="K300" s="3"/>
      <c r="L300" s="3"/>
      <c r="M300" s="3"/>
      <c r="N300" s="8"/>
      <c r="P300" s="3"/>
      <c r="Q300" s="3"/>
      <c r="R300" s="8"/>
      <c r="S300" s="3"/>
      <c r="T300" s="3"/>
      <c r="U300" s="3"/>
      <c r="V300" s="8"/>
      <c r="W300" s="3"/>
      <c r="X300" s="3"/>
      <c r="Y300" s="3"/>
      <c r="Z300" s="8"/>
    </row>
    <row r="301" spans="1:26" x14ac:dyDescent="0.25">
      <c r="A301" s="9"/>
      <c r="B301" s="9"/>
      <c r="C301" s="9"/>
      <c r="D301" s="3"/>
      <c r="E301" s="3"/>
      <c r="F301" s="8"/>
      <c r="G301" s="3"/>
      <c r="H301" s="3"/>
      <c r="I301" s="3"/>
      <c r="J301" s="8"/>
      <c r="K301" s="3"/>
      <c r="L301" s="3"/>
      <c r="M301" s="3"/>
      <c r="N301" s="8"/>
      <c r="P301" s="3"/>
      <c r="Q301" s="3"/>
      <c r="R301" s="8"/>
      <c r="S301" s="3"/>
      <c r="T301" s="3"/>
      <c r="U301" s="3"/>
      <c r="V301" s="8"/>
      <c r="W301" s="3"/>
      <c r="X301" s="3"/>
      <c r="Y301" s="3"/>
      <c r="Z301" s="8"/>
    </row>
    <row r="302" spans="1:26" s="23" customFormat="1" ht="15.75" thickBot="1" x14ac:dyDescent="0.3">
      <c r="A302" s="10"/>
      <c r="B302" s="29" t="s">
        <v>5</v>
      </c>
      <c r="C302" s="29"/>
      <c r="D302" s="31">
        <f>SUM(D299:D301)</f>
        <v>356733.72000000009</v>
      </c>
      <c r="E302" s="14"/>
      <c r="F302" s="30">
        <f>IF(D$12=0,0,D302/D$12)</f>
        <v>0.14935129449982557</v>
      </c>
      <c r="G302" s="14"/>
      <c r="H302" s="31">
        <f>SUM(H299:H301)</f>
        <v>196492.11316138832</v>
      </c>
      <c r="I302" s="14"/>
      <c r="J302" s="30">
        <f>IF(H$12=0,0,H302/H$12)</f>
        <v>7.2182866194368436E-2</v>
      </c>
      <c r="K302" s="16"/>
      <c r="L302" s="31">
        <f>+D302-H302</f>
        <v>160241.60683861177</v>
      </c>
      <c r="M302" s="16"/>
      <c r="N302" s="30">
        <f>IF(H302=0,0,L302/H302)</f>
        <v>0.81551164706034651</v>
      </c>
      <c r="O302" s="28"/>
      <c r="P302" s="31">
        <f>SUM(P299:P301)</f>
        <v>123308.84999999485</v>
      </c>
      <c r="Q302" s="14"/>
      <c r="R302" s="30">
        <f>IF(P$12=0,0,P302/P$12)</f>
        <v>1.2997499917956654E-2</v>
      </c>
      <c r="S302" s="14"/>
      <c r="T302" s="31">
        <f>SUM(T299:T301)</f>
        <v>-16870.806756818667</v>
      </c>
      <c r="U302" s="14"/>
      <c r="V302" s="30">
        <f>IF(T$12=0,0,T302/T$12)</f>
        <v>-1.6899782491437924E-3</v>
      </c>
      <c r="W302" s="16"/>
      <c r="X302" s="31">
        <f>+P302-T302</f>
        <v>140179.65675681352</v>
      </c>
      <c r="Y302" s="16"/>
      <c r="Z302" s="30">
        <f>IF(T302=0,0,X302/T302)</f>
        <v>-8.3090073152641128</v>
      </c>
    </row>
    <row r="303" spans="1:26" ht="15.75" thickTop="1" x14ac:dyDescent="0.25">
      <c r="A303" s="9"/>
      <c r="C303" s="9"/>
      <c r="D303" s="18"/>
      <c r="E303" s="18"/>
      <c r="G303" s="18"/>
      <c r="H303" s="18"/>
      <c r="I303" s="18"/>
      <c r="J303" s="43"/>
      <c r="K303" s="18"/>
      <c r="L303" s="18"/>
      <c r="M303" s="18"/>
      <c r="P303" s="18"/>
      <c r="Q303" s="18"/>
      <c r="R303" s="43"/>
      <c r="S303" s="18"/>
      <c r="T303" s="18"/>
      <c r="U303" s="18"/>
      <c r="V303" s="43"/>
      <c r="W303" s="18"/>
      <c r="X303" s="18"/>
    </row>
    <row r="304" spans="1:26" x14ac:dyDescent="0.25">
      <c r="A304" s="9"/>
      <c r="B304" s="63">
        <v>43879.545694293978</v>
      </c>
      <c r="D304" s="18"/>
      <c r="E304" s="18"/>
      <c r="G304" s="18"/>
      <c r="H304" s="18"/>
      <c r="I304" s="18"/>
      <c r="J304" s="43"/>
      <c r="K304" s="18"/>
      <c r="L304" s="18"/>
      <c r="M304" s="18"/>
      <c r="P304" s="18"/>
      <c r="Q304" s="18"/>
      <c r="R304" s="43"/>
      <c r="S304" s="18"/>
      <c r="T304" s="18"/>
      <c r="U304" s="18"/>
      <c r="V304" s="43"/>
      <c r="W304" s="18"/>
      <c r="X304" s="18"/>
    </row>
    <row r="305" spans="1:24" x14ac:dyDescent="0.25">
      <c r="A305" s="9"/>
      <c r="B305" s="57" t="s">
        <v>314</v>
      </c>
      <c r="D305" s="18"/>
      <c r="E305" s="18"/>
      <c r="G305" s="18"/>
      <c r="H305" s="18"/>
      <c r="I305" s="18"/>
      <c r="J305" s="43"/>
      <c r="K305" s="18"/>
      <c r="L305" s="18"/>
      <c r="M305" s="18"/>
      <c r="P305" s="18"/>
      <c r="Q305" s="18"/>
      <c r="R305" s="43"/>
      <c r="S305" s="18"/>
      <c r="T305" s="18"/>
      <c r="U305" s="18"/>
      <c r="V305" s="43"/>
      <c r="W305" s="18"/>
      <c r="X305" s="18"/>
    </row>
    <row r="306" spans="1:24" x14ac:dyDescent="0.25">
      <c r="A306" s="9"/>
      <c r="B306" s="60"/>
      <c r="D306" s="18"/>
      <c r="E306" s="18"/>
      <c r="G306" s="18"/>
      <c r="H306" s="18"/>
      <c r="I306" s="18"/>
      <c r="J306" s="43"/>
      <c r="K306" s="18"/>
      <c r="L306" s="18"/>
      <c r="M306" s="18"/>
      <c r="P306" s="18"/>
      <c r="Q306" s="18"/>
      <c r="R306" s="43"/>
      <c r="S306" s="18"/>
      <c r="T306" s="18"/>
      <c r="U306" s="18"/>
      <c r="V306" s="43"/>
      <c r="W306" s="18"/>
      <c r="X306" s="18"/>
    </row>
    <row r="307" spans="1:24" x14ac:dyDescent="0.25">
      <c r="D307" s="18"/>
      <c r="E307" s="18"/>
      <c r="G307" s="18"/>
      <c r="H307" s="18"/>
      <c r="I307" s="18"/>
      <c r="J307" s="43"/>
      <c r="K307" s="18"/>
      <c r="L307" s="18"/>
      <c r="M307" s="18"/>
      <c r="P307" s="18"/>
      <c r="Q307" s="18"/>
      <c r="R307" s="43"/>
      <c r="S307" s="18"/>
      <c r="T307" s="18"/>
      <c r="U307" s="18"/>
      <c r="V307" s="43"/>
      <c r="W307" s="18"/>
      <c r="X307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","301", " - ", "Bookstore Operations")</f>
        <v>Department 301 - Bookstore Operations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162193.60000000001</v>
      </c>
      <c r="E18" s="22"/>
      <c r="F18" s="35">
        <f t="shared" ref="F18:F28" si="0">IF(D$12=0,0,D18/D$12)</f>
        <v>0</v>
      </c>
      <c r="G18" s="22"/>
      <c r="H18" s="22">
        <f>SUM(OSRRefH22x_0)</f>
        <v>148203.46915545868</v>
      </c>
      <c r="I18" s="22"/>
      <c r="J18" s="35">
        <f t="shared" ref="J18:J28" si="1">IF(H$12=0,0,H18/H$12)</f>
        <v>0</v>
      </c>
      <c r="K18" s="4"/>
      <c r="L18" s="22">
        <f t="shared" ref="L18:L28" si="2">+D18-H18</f>
        <v>13990.130844541331</v>
      </c>
      <c r="M18" s="4"/>
      <c r="N18" s="35">
        <f t="shared" ref="N18:N28" si="3">IF(H18=0,0,L18/H18)</f>
        <v>9.4398133351833502E-2</v>
      </c>
      <c r="O18" s="10"/>
      <c r="P18" s="22">
        <f>SUM(OSRRefP22x_0)</f>
        <v>941711.59</v>
      </c>
      <c r="Q18" s="22"/>
      <c r="R18" s="35">
        <f t="shared" ref="R18:R28" si="4">IF(P$12=0,0,P18/P$12)</f>
        <v>0</v>
      </c>
      <c r="S18" s="22"/>
      <c r="T18" s="22">
        <f>SUM(OSRRefT22x_0)</f>
        <v>1044139.6827988437</v>
      </c>
      <c r="U18" s="22"/>
      <c r="V18" s="35">
        <f t="shared" ref="V18:V28" si="5">IF(T$12=0,0,T18/T$12)</f>
        <v>0</v>
      </c>
      <c r="W18" s="4"/>
      <c r="X18" s="22">
        <f t="shared" ref="X18:X28" si="6">+P18-T18</f>
        <v>-102428.09279884375</v>
      </c>
      <c r="Y18" s="4"/>
      <c r="Z18" s="35">
        <f t="shared" ref="Z18:Z28" si="7">IF(T18=0,0,X18/T18)</f>
        <v>-9.8098074890021009E-2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11087.13</v>
      </c>
      <c r="E19" s="1"/>
      <c r="F19" s="5">
        <f t="shared" si="0"/>
        <v>0</v>
      </c>
      <c r="G19" s="1"/>
      <c r="H19" s="1">
        <f>SUM(OSRRefH22_0x_0)</f>
        <v>15142.354118920182</v>
      </c>
      <c r="I19" s="1"/>
      <c r="J19" s="5">
        <f t="shared" si="1"/>
        <v>0</v>
      </c>
      <c r="K19" s="1"/>
      <c r="L19" s="1">
        <f t="shared" si="2"/>
        <v>-4055.2241189201832</v>
      </c>
      <c r="M19" s="1"/>
      <c r="N19" s="5">
        <f t="shared" si="3"/>
        <v>-0.26780671532791794</v>
      </c>
      <c r="O19" s="13"/>
      <c r="P19" s="1">
        <f>SUM(OSRRefP22_0x_0)</f>
        <v>91015.01</v>
      </c>
      <c r="Q19" s="1"/>
      <c r="R19" s="5">
        <f t="shared" si="4"/>
        <v>0</v>
      </c>
      <c r="S19" s="1"/>
      <c r="T19" s="1">
        <f>SUM(OSRRefT22_0x_0)</f>
        <v>99683.334572305102</v>
      </c>
      <c r="U19" s="1"/>
      <c r="V19" s="5">
        <f t="shared" si="5"/>
        <v>0</v>
      </c>
      <c r="W19" s="1"/>
      <c r="X19" s="1">
        <f t="shared" si="6"/>
        <v>-8668.3245723051077</v>
      </c>
      <c r="Y19" s="1"/>
      <c r="Z19" s="5">
        <f t="shared" si="7"/>
        <v>-8.6958613588689254E-2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1634.79</v>
      </c>
      <c r="E20" s="2"/>
      <c r="F20" s="6">
        <f t="shared" si="0"/>
        <v>0</v>
      </c>
      <c r="G20" s="2"/>
      <c r="H20" s="7">
        <v>2504.2774219586499</v>
      </c>
      <c r="I20" s="2"/>
      <c r="J20" s="6">
        <f t="shared" si="1"/>
        <v>0</v>
      </c>
      <c r="K20" s="2"/>
      <c r="L20" s="7">
        <f t="shared" si="2"/>
        <v>-869.48742195864997</v>
      </c>
      <c r="M20" s="2"/>
      <c r="N20" s="6">
        <f t="shared" si="3"/>
        <v>-0.34720091884971949</v>
      </c>
      <c r="O20" s="11"/>
      <c r="P20" s="7">
        <v>18712.190000000002</v>
      </c>
      <c r="Q20" s="2"/>
      <c r="R20" s="6">
        <f t="shared" si="4"/>
        <v>0</v>
      </c>
      <c r="S20" s="2"/>
      <c r="T20" s="7">
        <v>16839.981447143629</v>
      </c>
      <c r="U20" s="2"/>
      <c r="V20" s="6">
        <f t="shared" si="5"/>
        <v>0</v>
      </c>
      <c r="W20" s="2"/>
      <c r="X20" s="7">
        <f t="shared" si="6"/>
        <v>1872.208552856373</v>
      </c>
      <c r="Y20" s="2"/>
      <c r="Z20" s="6">
        <f t="shared" si="7"/>
        <v>0.1111764023453799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1050.52</v>
      </c>
      <c r="E21" s="2"/>
      <c r="F21" s="6">
        <f t="shared" si="0"/>
        <v>0</v>
      </c>
      <c r="G21" s="2"/>
      <c r="H21" s="7">
        <v>1111.53078182692</v>
      </c>
      <c r="I21" s="2"/>
      <c r="J21" s="6">
        <f t="shared" si="1"/>
        <v>0</v>
      </c>
      <c r="K21" s="2"/>
      <c r="L21" s="7">
        <f t="shared" si="2"/>
        <v>-61.010781826920038</v>
      </c>
      <c r="M21" s="2"/>
      <c r="N21" s="6">
        <f t="shared" si="3"/>
        <v>-5.4888971879521208E-2</v>
      </c>
      <c r="O21" s="11"/>
      <c r="P21" s="7">
        <v>4271.37</v>
      </c>
      <c r="Q21" s="2"/>
      <c r="R21" s="6">
        <f t="shared" si="4"/>
        <v>0</v>
      </c>
      <c r="S21" s="2"/>
      <c r="T21" s="7">
        <v>6822.9567073269172</v>
      </c>
      <c r="U21" s="2"/>
      <c r="V21" s="6">
        <f t="shared" si="5"/>
        <v>0</v>
      </c>
      <c r="W21" s="2"/>
      <c r="X21" s="7">
        <f t="shared" si="6"/>
        <v>-2551.5867073269173</v>
      </c>
      <c r="Y21" s="2"/>
      <c r="Z21" s="6">
        <f t="shared" si="7"/>
        <v>-0.37397081892471401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3247.78</v>
      </c>
      <c r="E22" s="2"/>
      <c r="F22" s="6">
        <f t="shared" si="0"/>
        <v>0</v>
      </c>
      <c r="G22" s="2"/>
      <c r="H22" s="7">
        <v>5680.25</v>
      </c>
      <c r="I22" s="2"/>
      <c r="J22" s="6">
        <f t="shared" si="1"/>
        <v>0</v>
      </c>
      <c r="K22" s="2"/>
      <c r="L22" s="7">
        <f t="shared" si="2"/>
        <v>-2432.4699999999998</v>
      </c>
      <c r="M22" s="2"/>
      <c r="N22" s="6">
        <f t="shared" si="3"/>
        <v>-0.42823291228379029</v>
      </c>
      <c r="O22" s="11"/>
      <c r="P22" s="7">
        <v>30567.769999999997</v>
      </c>
      <c r="Q22" s="2"/>
      <c r="R22" s="6">
        <f t="shared" si="4"/>
        <v>0</v>
      </c>
      <c r="S22" s="2"/>
      <c r="T22" s="7">
        <v>39761.75</v>
      </c>
      <c r="U22" s="2"/>
      <c r="V22" s="6">
        <f t="shared" si="5"/>
        <v>0</v>
      </c>
      <c r="W22" s="2"/>
      <c r="X22" s="7">
        <f t="shared" si="6"/>
        <v>-9193.9800000000032</v>
      </c>
      <c r="Y22" s="2"/>
      <c r="Z22" s="6">
        <f t="shared" si="7"/>
        <v>-0.23122674429571141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151.62</v>
      </c>
      <c r="E23" s="2"/>
      <c r="F23" s="6">
        <f t="shared" si="0"/>
        <v>0</v>
      </c>
      <c r="G23" s="2"/>
      <c r="H23" s="7">
        <v>152.10421224999999</v>
      </c>
      <c r="I23" s="2"/>
      <c r="J23" s="6">
        <f t="shared" si="1"/>
        <v>0</v>
      </c>
      <c r="K23" s="2"/>
      <c r="L23" s="7">
        <f t="shared" si="2"/>
        <v>-0.48421224999998458</v>
      </c>
      <c r="M23" s="2"/>
      <c r="N23" s="6">
        <f t="shared" si="3"/>
        <v>-3.183424330183102E-3</v>
      </c>
      <c r="O23" s="11"/>
      <c r="P23" s="7">
        <v>996.09</v>
      </c>
      <c r="Q23" s="2"/>
      <c r="R23" s="6">
        <f t="shared" si="4"/>
        <v>0</v>
      </c>
      <c r="S23" s="2"/>
      <c r="T23" s="7">
        <v>933.66775995000012</v>
      </c>
      <c r="U23" s="2"/>
      <c r="V23" s="6">
        <f t="shared" si="5"/>
        <v>0</v>
      </c>
      <c r="W23" s="2"/>
      <c r="X23" s="7">
        <f t="shared" si="6"/>
        <v>62.422240049999914</v>
      </c>
      <c r="Y23" s="2"/>
      <c r="Z23" s="6">
        <f t="shared" si="7"/>
        <v>6.6857015661912489E-2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2296.44</v>
      </c>
      <c r="E24" s="2"/>
      <c r="F24" s="6">
        <f t="shared" si="0"/>
        <v>0</v>
      </c>
      <c r="G24" s="2"/>
      <c r="H24" s="7">
        <v>2235.7794182692301</v>
      </c>
      <c r="I24" s="2"/>
      <c r="J24" s="6">
        <f t="shared" si="1"/>
        <v>0</v>
      </c>
      <c r="K24" s="2"/>
      <c r="L24" s="7">
        <f t="shared" si="2"/>
        <v>60.660581730769991</v>
      </c>
      <c r="M24" s="2"/>
      <c r="N24" s="6">
        <f t="shared" si="3"/>
        <v>2.7131738146927209E-2</v>
      </c>
      <c r="O24" s="11"/>
      <c r="P24" s="7">
        <v>14601.6</v>
      </c>
      <c r="Q24" s="2"/>
      <c r="R24" s="6">
        <f t="shared" si="4"/>
        <v>0</v>
      </c>
      <c r="S24" s="2"/>
      <c r="T24" s="7">
        <v>13690.107593269211</v>
      </c>
      <c r="U24" s="2"/>
      <c r="V24" s="6">
        <f t="shared" si="5"/>
        <v>0</v>
      </c>
      <c r="W24" s="2"/>
      <c r="X24" s="7">
        <f t="shared" si="6"/>
        <v>911.4924067307893</v>
      </c>
      <c r="Y24" s="2"/>
      <c r="Z24" s="6">
        <f t="shared" si="7"/>
        <v>6.6580368380663987E-2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1366</v>
      </c>
      <c r="E26" s="2"/>
      <c r="F26" s="6">
        <f t="shared" si="0"/>
        <v>0</v>
      </c>
      <c r="G26" s="2"/>
      <c r="H26" s="7">
        <v>1567.80050480769</v>
      </c>
      <c r="I26" s="2"/>
      <c r="J26" s="6">
        <f t="shared" si="1"/>
        <v>0</v>
      </c>
      <c r="K26" s="2"/>
      <c r="L26" s="7">
        <f t="shared" si="2"/>
        <v>-201.80050480769</v>
      </c>
      <c r="M26" s="2"/>
      <c r="N26" s="6">
        <f t="shared" si="3"/>
        <v>-0.12871567791237784</v>
      </c>
      <c r="O26" s="11"/>
      <c r="P26" s="7">
        <v>11974.29</v>
      </c>
      <c r="Q26" s="2"/>
      <c r="R26" s="6">
        <f t="shared" si="4"/>
        <v>0</v>
      </c>
      <c r="S26" s="2"/>
      <c r="T26" s="7">
        <v>9620.5231298076706</v>
      </c>
      <c r="U26" s="2"/>
      <c r="V26" s="6">
        <f t="shared" si="5"/>
        <v>0</v>
      </c>
      <c r="W26" s="2"/>
      <c r="X26" s="7">
        <f t="shared" si="6"/>
        <v>2353.7668701923303</v>
      </c>
      <c r="Y26" s="2"/>
      <c r="Z26" s="6">
        <f t="shared" si="7"/>
        <v>0.24466100631259391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769.49</v>
      </c>
      <c r="E27" s="2"/>
      <c r="F27" s="6">
        <f t="shared" si="0"/>
        <v>0</v>
      </c>
      <c r="G27" s="2"/>
      <c r="H27" s="7">
        <v>1390.61177980769</v>
      </c>
      <c r="I27" s="2"/>
      <c r="J27" s="6">
        <f t="shared" si="1"/>
        <v>0</v>
      </c>
      <c r="K27" s="2"/>
      <c r="L27" s="7">
        <f t="shared" si="2"/>
        <v>-621.12177980769002</v>
      </c>
      <c r="M27" s="2"/>
      <c r="N27" s="6">
        <f t="shared" si="3"/>
        <v>-0.4466536159312457</v>
      </c>
      <c r="O27" s="11"/>
      <c r="P27" s="7">
        <v>7277.2</v>
      </c>
      <c r="Q27" s="2"/>
      <c r="R27" s="6">
        <f t="shared" si="4"/>
        <v>0</v>
      </c>
      <c r="S27" s="2"/>
      <c r="T27" s="7">
        <v>8514.3479348076708</v>
      </c>
      <c r="U27" s="2"/>
      <c r="V27" s="6">
        <f t="shared" si="5"/>
        <v>0</v>
      </c>
      <c r="W27" s="2"/>
      <c r="X27" s="7">
        <f t="shared" si="6"/>
        <v>-1237.1479348076709</v>
      </c>
      <c r="Y27" s="2"/>
      <c r="Z27" s="6">
        <f t="shared" si="7"/>
        <v>-0.14530154796118472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>
        <v>570.49</v>
      </c>
      <c r="E28" s="2"/>
      <c r="F28" s="6">
        <f t="shared" si="0"/>
        <v>0</v>
      </c>
      <c r="G28" s="2"/>
      <c r="H28" s="7">
        <v>500</v>
      </c>
      <c r="I28" s="2"/>
      <c r="J28" s="6">
        <f t="shared" si="1"/>
        <v>0</v>
      </c>
      <c r="K28" s="2"/>
      <c r="L28" s="7">
        <f t="shared" si="2"/>
        <v>70.490000000000009</v>
      </c>
      <c r="M28" s="2"/>
      <c r="N28" s="6">
        <f t="shared" si="3"/>
        <v>0.14098000000000002</v>
      </c>
      <c r="O28" s="11"/>
      <c r="P28" s="7">
        <v>2614.5</v>
      </c>
      <c r="Q28" s="2"/>
      <c r="R28" s="6">
        <f t="shared" si="4"/>
        <v>0</v>
      </c>
      <c r="S28" s="2"/>
      <c r="T28" s="7">
        <v>3500</v>
      </c>
      <c r="U28" s="2"/>
      <c r="V28" s="6">
        <f t="shared" si="5"/>
        <v>0</v>
      </c>
      <c r="W28" s="2"/>
      <c r="X28" s="7">
        <f t="shared" si="6"/>
        <v>-885.5</v>
      </c>
      <c r="Y28" s="2"/>
      <c r="Z28" s="6">
        <f t="shared" si="7"/>
        <v>-0.253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70937.820000000007</v>
      </c>
      <c r="E29" s="1"/>
      <c r="F29" s="5">
        <f t="shared" ref="F29:F39" si="8">IF(D$12=0,0,D29/D$12)</f>
        <v>0</v>
      </c>
      <c r="G29" s="1"/>
      <c r="H29" s="1">
        <f>SUM(OSRRefH22_1x_0)</f>
        <v>55700.115036538496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15237.70496346151</v>
      </c>
      <c r="M29" s="1"/>
      <c r="N29" s="5">
        <f t="shared" ref="N29:N39" si="11">IF(H29=0,0,L29/H29)</f>
        <v>0.27356684907142093</v>
      </c>
      <c r="O29" s="13"/>
      <c r="P29" s="1">
        <f>SUM(OSRRefP22_1x_0)</f>
        <v>347573.51</v>
      </c>
      <c r="Q29" s="1"/>
      <c r="R29" s="5">
        <f t="shared" ref="R29:R39" si="12">IF(P$12=0,0,P29/P$12)</f>
        <v>0</v>
      </c>
      <c r="S29" s="1"/>
      <c r="T29" s="1">
        <f>SUM(OSRRefT22_1x_0)</f>
        <v>341882.34822653863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5691.1617734613828</v>
      </c>
      <c r="Y29" s="1"/>
      <c r="Z29" s="5">
        <f t="shared" ref="Z29:Z39" si="15">IF(T29=0,0,X29/T29)</f>
        <v>1.6646550496050461E-2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>
        <v>12324.43</v>
      </c>
      <c r="E30" s="2"/>
      <c r="F30" s="6">
        <f t="shared" si="8"/>
        <v>0</v>
      </c>
      <c r="G30" s="2"/>
      <c r="H30" s="7">
        <v>12056.793749999999</v>
      </c>
      <c r="I30" s="2"/>
      <c r="J30" s="6">
        <f t="shared" si="9"/>
        <v>0</v>
      </c>
      <c r="K30" s="2"/>
      <c r="L30" s="7">
        <f t="shared" si="10"/>
        <v>267.63625000000138</v>
      </c>
      <c r="M30" s="2"/>
      <c r="N30" s="6">
        <f t="shared" si="11"/>
        <v>2.2197962041110755E-2</v>
      </c>
      <c r="O30" s="11"/>
      <c r="P30" s="7">
        <v>79306.540000000008</v>
      </c>
      <c r="Q30" s="2"/>
      <c r="R30" s="6">
        <f t="shared" si="12"/>
        <v>0</v>
      </c>
      <c r="S30" s="2"/>
      <c r="T30" s="7">
        <v>74752.121249999997</v>
      </c>
      <c r="U30" s="2"/>
      <c r="V30" s="6">
        <f t="shared" si="13"/>
        <v>0</v>
      </c>
      <c r="W30" s="2"/>
      <c r="X30" s="7">
        <f t="shared" si="14"/>
        <v>4554.4187500000116</v>
      </c>
      <c r="Y30" s="2"/>
      <c r="Z30" s="6">
        <f t="shared" si="15"/>
        <v>6.0926949949263301E-2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>
        <v>7353.65</v>
      </c>
      <c r="E31" s="2"/>
      <c r="F31" s="6">
        <f t="shared" si="8"/>
        <v>0</v>
      </c>
      <c r="G31" s="2"/>
      <c r="H31" s="7">
        <v>11340.897836538499</v>
      </c>
      <c r="I31" s="2"/>
      <c r="J31" s="6">
        <f t="shared" si="9"/>
        <v>0</v>
      </c>
      <c r="K31" s="2"/>
      <c r="L31" s="7">
        <f t="shared" si="10"/>
        <v>-3987.2478365384995</v>
      </c>
      <c r="M31" s="2"/>
      <c r="N31" s="6">
        <f t="shared" si="11"/>
        <v>-0.35158132045703172</v>
      </c>
      <c r="O31" s="11"/>
      <c r="P31" s="7">
        <v>56009.2</v>
      </c>
      <c r="Q31" s="2"/>
      <c r="R31" s="6">
        <f t="shared" si="12"/>
        <v>0</v>
      </c>
      <c r="S31" s="2"/>
      <c r="T31" s="7">
        <v>68516.446586538586</v>
      </c>
      <c r="U31" s="2"/>
      <c r="V31" s="6">
        <f t="shared" si="13"/>
        <v>0</v>
      </c>
      <c r="W31" s="2"/>
      <c r="X31" s="7">
        <f t="shared" si="14"/>
        <v>-12507.246586538589</v>
      </c>
      <c r="Y31" s="2"/>
      <c r="Z31" s="6">
        <f t="shared" si="15"/>
        <v>-0.18254371336583422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6523.62345</v>
      </c>
      <c r="I33" s="2"/>
      <c r="J33" s="6">
        <f t="shared" si="9"/>
        <v>0</v>
      </c>
      <c r="K33" s="2"/>
      <c r="L33" s="7">
        <f t="shared" si="10"/>
        <v>-6523.62345</v>
      </c>
      <c r="M33" s="2"/>
      <c r="N33" s="6">
        <f t="shared" si="11"/>
        <v>-1</v>
      </c>
      <c r="O33" s="11"/>
      <c r="P33" s="7">
        <v>-1647.01</v>
      </c>
      <c r="Q33" s="2"/>
      <c r="R33" s="6">
        <f t="shared" si="12"/>
        <v>0</v>
      </c>
      <c r="S33" s="2"/>
      <c r="T33" s="7">
        <v>42094.980390000004</v>
      </c>
      <c r="U33" s="2"/>
      <c r="V33" s="6">
        <f t="shared" si="13"/>
        <v>0</v>
      </c>
      <c r="W33" s="2"/>
      <c r="X33" s="7">
        <f t="shared" si="14"/>
        <v>-43741.990390000006</v>
      </c>
      <c r="Y33" s="2"/>
      <c r="Z33" s="6">
        <f t="shared" si="15"/>
        <v>-1.0391260426953723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>
        <v>4725.97</v>
      </c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4725.97</v>
      </c>
      <c r="M34" s="2"/>
      <c r="N34" s="6">
        <f t="shared" si="11"/>
        <v>0</v>
      </c>
      <c r="O34" s="11"/>
      <c r="P34" s="7">
        <v>47463.07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47463.07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>
        <v>11273.01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11273.01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>
        <v>45484.02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45484.02</v>
      </c>
      <c r="M36" s="2"/>
      <c r="N36" s="6">
        <f t="shared" si="11"/>
        <v>0</v>
      </c>
      <c r="O36" s="11"/>
      <c r="P36" s="7">
        <v>153566.95000000001</v>
      </c>
      <c r="Q36" s="2"/>
      <c r="R36" s="6">
        <f t="shared" si="12"/>
        <v>0</v>
      </c>
      <c r="S36" s="2"/>
      <c r="T36" s="7">
        <v>17460</v>
      </c>
      <c r="U36" s="2"/>
      <c r="V36" s="6">
        <f t="shared" si="13"/>
        <v>0</v>
      </c>
      <c r="W36" s="2"/>
      <c r="X36" s="7">
        <f t="shared" si="14"/>
        <v>136106.95000000001</v>
      </c>
      <c r="Y36" s="2"/>
      <c r="Z36" s="6">
        <f t="shared" si="15"/>
        <v>7.7953579610538384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>
        <v>1049.75</v>
      </c>
      <c r="E37" s="2"/>
      <c r="F37" s="6">
        <f t="shared" si="8"/>
        <v>0</v>
      </c>
      <c r="G37" s="2"/>
      <c r="H37" s="7">
        <v>25778.799999999999</v>
      </c>
      <c r="I37" s="2"/>
      <c r="J37" s="6">
        <f t="shared" si="9"/>
        <v>0</v>
      </c>
      <c r="K37" s="2"/>
      <c r="L37" s="7">
        <f t="shared" si="10"/>
        <v>-24729.05</v>
      </c>
      <c r="M37" s="2"/>
      <c r="N37" s="6">
        <f t="shared" si="11"/>
        <v>-0.95927855447111576</v>
      </c>
      <c r="O37" s="11"/>
      <c r="P37" s="7">
        <v>1601.75</v>
      </c>
      <c r="Q37" s="2"/>
      <c r="R37" s="6">
        <f t="shared" si="12"/>
        <v>0</v>
      </c>
      <c r="S37" s="2"/>
      <c r="T37" s="7">
        <v>139058.80000000002</v>
      </c>
      <c r="U37" s="2"/>
      <c r="V37" s="6">
        <f t="shared" si="13"/>
        <v>0</v>
      </c>
      <c r="W37" s="2"/>
      <c r="X37" s="7">
        <f t="shared" si="14"/>
        <v>-137457.05000000002</v>
      </c>
      <c r="Y37" s="2"/>
      <c r="Z37" s="6">
        <f t="shared" si="15"/>
        <v>-0.98848149128282425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-3281.76</v>
      </c>
      <c r="E40" s="1"/>
      <c r="F40" s="5">
        <f t="shared" ref="F40:F44" si="16">IF(D$12=0,0,D40/D$12)</f>
        <v>0</v>
      </c>
      <c r="G40" s="1"/>
      <c r="H40" s="1">
        <f>SUM(OSRRefH22_2x_0)</f>
        <v>5200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-8481.76</v>
      </c>
      <c r="M40" s="1"/>
      <c r="N40" s="5">
        <f t="shared" ref="N40:N44" si="19">IF(H40=0,0,L40/H40)</f>
        <v>-1.6311076923076924</v>
      </c>
      <c r="O40" s="13"/>
      <c r="P40" s="1">
        <f>SUM(OSRRefP22_2x_0)</f>
        <v>14002.78</v>
      </c>
      <c r="Q40" s="1"/>
      <c r="R40" s="5">
        <f t="shared" ref="R40:R44" si="20">IF(P$12=0,0,P40/P$12)</f>
        <v>0</v>
      </c>
      <c r="S40" s="1"/>
      <c r="T40" s="1">
        <f>SUM(OSRRefT22_2x_0)</f>
        <v>31400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-17397.22</v>
      </c>
      <c r="Y40" s="1"/>
      <c r="Z40" s="5">
        <f t="shared" ref="Z40:Z44" si="23">IF(T40=0,0,X40/T40)</f>
        <v>-0.55405159235668788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7">
        <v>-3281.76</v>
      </c>
      <c r="E41" s="2"/>
      <c r="F41" s="6">
        <f t="shared" si="16"/>
        <v>0</v>
      </c>
      <c r="G41" s="2"/>
      <c r="H41" s="7">
        <v>5200</v>
      </c>
      <c r="I41" s="2"/>
      <c r="J41" s="6">
        <f t="shared" si="17"/>
        <v>0</v>
      </c>
      <c r="K41" s="2"/>
      <c r="L41" s="7">
        <f t="shared" si="18"/>
        <v>-8481.76</v>
      </c>
      <c r="M41" s="2"/>
      <c r="N41" s="6">
        <f t="shared" si="19"/>
        <v>-1.6311076923076924</v>
      </c>
      <c r="O41" s="11"/>
      <c r="P41" s="7">
        <v>14002.78</v>
      </c>
      <c r="Q41" s="2"/>
      <c r="R41" s="6">
        <f t="shared" si="20"/>
        <v>0</v>
      </c>
      <c r="S41" s="2"/>
      <c r="T41" s="7">
        <v>31400</v>
      </c>
      <c r="U41" s="2"/>
      <c r="V41" s="6">
        <f t="shared" si="21"/>
        <v>0</v>
      </c>
      <c r="W41" s="2"/>
      <c r="X41" s="7">
        <f t="shared" si="22"/>
        <v>-17397.22</v>
      </c>
      <c r="Y41" s="2"/>
      <c r="Z41" s="6">
        <f t="shared" si="23"/>
        <v>-0.55405159235668788</v>
      </c>
    </row>
    <row r="42" spans="1:26" s="27" customFormat="1" outlineLevel="1" collapsed="1" x14ac:dyDescent="0.25">
      <c r="A42" s="26"/>
      <c r="B42" s="13" t="str">
        <f>CONCATENATE("     ","Bad Debts/Over/Short                              ")</f>
        <v xml:space="preserve">     Bad Debts/Over/Short                              </v>
      </c>
      <c r="C42" s="13"/>
      <c r="D42" s="1">
        <f>SUM(OSRRefD22_3x_0)</f>
        <v>-73.349999999999994</v>
      </c>
      <c r="E42" s="1"/>
      <c r="F42" s="5">
        <f t="shared" si="16"/>
        <v>0</v>
      </c>
      <c r="G42" s="1"/>
      <c r="H42" s="1">
        <f>SUM(OSRRefH22_3x_0)</f>
        <v>125</v>
      </c>
      <c r="I42" s="1"/>
      <c r="J42" s="5">
        <f t="shared" si="17"/>
        <v>0</v>
      </c>
      <c r="K42" s="1"/>
      <c r="L42" s="1">
        <f t="shared" si="18"/>
        <v>-198.35</v>
      </c>
      <c r="M42" s="1"/>
      <c r="N42" s="5">
        <f t="shared" si="19"/>
        <v>-1.5868</v>
      </c>
      <c r="O42" s="13"/>
      <c r="P42" s="1">
        <f>SUM(OSRRefP22_3x_0)</f>
        <v>77.709999999999994</v>
      </c>
      <c r="Q42" s="1"/>
      <c r="R42" s="5">
        <f t="shared" si="20"/>
        <v>0</v>
      </c>
      <c r="S42" s="1"/>
      <c r="T42" s="1">
        <f>SUM(OSRRefT22_3x_0)</f>
        <v>875</v>
      </c>
      <c r="U42" s="1"/>
      <c r="V42" s="5">
        <f t="shared" si="21"/>
        <v>0</v>
      </c>
      <c r="W42" s="1"/>
      <c r="X42" s="1">
        <f t="shared" si="22"/>
        <v>-797.29</v>
      </c>
      <c r="Y42" s="1"/>
      <c r="Z42" s="5">
        <f t="shared" si="23"/>
        <v>-0.91118857142857135</v>
      </c>
    </row>
    <row r="43" spans="1:26" s="24" customFormat="1" hidden="1" outlineLevel="2" x14ac:dyDescent="0.25">
      <c r="A43" s="25"/>
      <c r="B43" s="11" t="str">
        <f>CONCATENATE("          ", "6272", " - ", "CASH (OVER/SHORT)")</f>
        <v xml:space="preserve">          6272 - CASH (OVER/SHORT)</v>
      </c>
      <c r="C43" s="11"/>
      <c r="D43" s="7">
        <v>-73.349999999999994</v>
      </c>
      <c r="E43" s="2"/>
      <c r="F43" s="6">
        <f t="shared" si="16"/>
        <v>0</v>
      </c>
      <c r="G43" s="2"/>
      <c r="H43" s="7">
        <v>125</v>
      </c>
      <c r="I43" s="2"/>
      <c r="J43" s="6">
        <f t="shared" si="17"/>
        <v>0</v>
      </c>
      <c r="K43" s="2"/>
      <c r="L43" s="7">
        <f t="shared" si="18"/>
        <v>-198.35</v>
      </c>
      <c r="M43" s="2"/>
      <c r="N43" s="6">
        <f t="shared" si="19"/>
        <v>-1.5868</v>
      </c>
      <c r="O43" s="11"/>
      <c r="P43" s="7">
        <v>32.909999999999997</v>
      </c>
      <c r="Q43" s="2"/>
      <c r="R43" s="6">
        <f t="shared" si="20"/>
        <v>0</v>
      </c>
      <c r="S43" s="2"/>
      <c r="T43" s="7">
        <v>875</v>
      </c>
      <c r="U43" s="2"/>
      <c r="V43" s="6">
        <f t="shared" si="21"/>
        <v>0</v>
      </c>
      <c r="W43" s="2"/>
      <c r="X43" s="7">
        <f t="shared" si="22"/>
        <v>-842.09</v>
      </c>
      <c r="Y43" s="2"/>
      <c r="Z43" s="6">
        <f t="shared" si="23"/>
        <v>-0.96238857142857148</v>
      </c>
    </row>
    <row r="44" spans="1:26" s="24" customFormat="1" hidden="1" outlineLevel="2" x14ac:dyDescent="0.25">
      <c r="A44" s="25"/>
      <c r="B44" s="11" t="str">
        <f>CONCATENATE("          ", "6342", " - ", "BAD DEBT")</f>
        <v xml:space="preserve">          6342 - BAD DEBT</v>
      </c>
      <c r="C44" s="11"/>
      <c r="D44" s="7"/>
      <c r="E44" s="2"/>
      <c r="F44" s="6">
        <f t="shared" si="16"/>
        <v>0</v>
      </c>
      <c r="G44" s="2"/>
      <c r="H44" s="7"/>
      <c r="I44" s="2"/>
      <c r="J44" s="6">
        <f t="shared" si="17"/>
        <v>0</v>
      </c>
      <c r="K44" s="2"/>
      <c r="L44" s="7">
        <f t="shared" si="18"/>
        <v>0</v>
      </c>
      <c r="M44" s="2"/>
      <c r="N44" s="6">
        <f t="shared" si="19"/>
        <v>0</v>
      </c>
      <c r="O44" s="11"/>
      <c r="P44" s="7">
        <v>44.8</v>
      </c>
      <c r="Q44" s="2"/>
      <c r="R44" s="6">
        <f t="shared" si="20"/>
        <v>0</v>
      </c>
      <c r="S44" s="2"/>
      <c r="T44" s="7"/>
      <c r="U44" s="2"/>
      <c r="V44" s="6">
        <f t="shared" si="21"/>
        <v>0</v>
      </c>
      <c r="W44" s="2"/>
      <c r="X44" s="7">
        <f t="shared" si="22"/>
        <v>44.8</v>
      </c>
      <c r="Y44" s="2"/>
      <c r="Z44" s="6">
        <f t="shared" si="23"/>
        <v>0</v>
      </c>
    </row>
    <row r="45" spans="1:26" s="27" customFormat="1" outlineLevel="1" collapsed="1" x14ac:dyDescent="0.25">
      <c r="A45" s="26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25167.01</v>
      </c>
      <c r="E45" s="1"/>
      <c r="F45" s="5">
        <f t="shared" ref="F45:F51" si="24">IF(D$12=0,0,D45/D$12)</f>
        <v>0</v>
      </c>
      <c r="G45" s="1"/>
      <c r="H45" s="1">
        <f>SUM(OSRRefH22_4x_0)</f>
        <v>14000</v>
      </c>
      <c r="I45" s="1"/>
      <c r="J45" s="5">
        <f t="shared" ref="J45:J51" si="25">IF(H$12=0,0,H45/H$12)</f>
        <v>0</v>
      </c>
      <c r="K45" s="1"/>
      <c r="L45" s="1">
        <f t="shared" ref="L45:L51" si="26">+D45-H45</f>
        <v>11167.009999999998</v>
      </c>
      <c r="M45" s="1"/>
      <c r="N45" s="5">
        <f t="shared" ref="N45:N51" si="27">IF(H45=0,0,L45/H45)</f>
        <v>0.79764357142857134</v>
      </c>
      <c r="O45" s="13"/>
      <c r="P45" s="1">
        <f>SUM(OSRRefP22_4x_0)</f>
        <v>112150.72</v>
      </c>
      <c r="Q45" s="1"/>
      <c r="R45" s="5">
        <f t="shared" ref="R45:R51" si="28">IF(P$12=0,0,P45/P$12)</f>
        <v>0</v>
      </c>
      <c r="S45" s="1"/>
      <c r="T45" s="1">
        <f>SUM(OSRRefT22_4x_0)</f>
        <v>122400</v>
      </c>
      <c r="U45" s="1"/>
      <c r="V45" s="5">
        <f t="shared" ref="V45:V51" si="29">IF(T$12=0,0,T45/T$12)</f>
        <v>0</v>
      </c>
      <c r="W45" s="1"/>
      <c r="X45" s="1">
        <f t="shared" ref="X45:X51" si="30">+P45-T45</f>
        <v>-10249.279999999999</v>
      </c>
      <c r="Y45" s="1"/>
      <c r="Z45" s="5">
        <f t="shared" ref="Z45:Z51" si="31">IF(T45=0,0,X45/T45)</f>
        <v>-8.3735947712418296E-2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7">
        <v>25167.01</v>
      </c>
      <c r="E46" s="2"/>
      <c r="F46" s="6">
        <f t="shared" si="24"/>
        <v>0</v>
      </c>
      <c r="G46" s="2"/>
      <c r="H46" s="7">
        <v>14000</v>
      </c>
      <c r="I46" s="2"/>
      <c r="J46" s="6">
        <f t="shared" si="25"/>
        <v>0</v>
      </c>
      <c r="K46" s="2"/>
      <c r="L46" s="7">
        <f t="shared" si="26"/>
        <v>11167.009999999998</v>
      </c>
      <c r="M46" s="2"/>
      <c r="N46" s="6">
        <f t="shared" si="27"/>
        <v>0.79764357142857134</v>
      </c>
      <c r="O46" s="11"/>
      <c r="P46" s="7">
        <v>112150.72</v>
      </c>
      <c r="Q46" s="2"/>
      <c r="R46" s="6">
        <f t="shared" si="28"/>
        <v>0</v>
      </c>
      <c r="S46" s="2"/>
      <c r="T46" s="7">
        <v>122400</v>
      </c>
      <c r="U46" s="2"/>
      <c r="V46" s="6">
        <f t="shared" si="29"/>
        <v>0</v>
      </c>
      <c r="W46" s="2"/>
      <c r="X46" s="7">
        <f t="shared" si="30"/>
        <v>-10249.279999999999</v>
      </c>
      <c r="Y46" s="2"/>
      <c r="Z46" s="6">
        <f t="shared" si="31"/>
        <v>-8.3735947712418296E-2</v>
      </c>
    </row>
    <row r="47" spans="1:26" s="27" customFormat="1" outlineLevel="1" collapsed="1" x14ac:dyDescent="0.25">
      <c r="A47" s="26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29607.43</v>
      </c>
      <c r="E47" s="1"/>
      <c r="F47" s="5">
        <f t="shared" si="24"/>
        <v>0</v>
      </c>
      <c r="G47" s="1"/>
      <c r="H47" s="1">
        <f>SUM(OSRRefH22_5x_0)</f>
        <v>31271</v>
      </c>
      <c r="I47" s="1"/>
      <c r="J47" s="5">
        <f t="shared" si="25"/>
        <v>0</v>
      </c>
      <c r="K47" s="1"/>
      <c r="L47" s="1">
        <f t="shared" si="26"/>
        <v>-1663.5699999999997</v>
      </c>
      <c r="M47" s="1"/>
      <c r="N47" s="5">
        <f t="shared" si="27"/>
        <v>-5.3198490614307176E-2</v>
      </c>
      <c r="O47" s="13"/>
      <c r="P47" s="1">
        <f>SUM(OSRRefP22_5x_0)</f>
        <v>207252.01</v>
      </c>
      <c r="Q47" s="1"/>
      <c r="R47" s="5">
        <f t="shared" si="28"/>
        <v>0</v>
      </c>
      <c r="S47" s="1"/>
      <c r="T47" s="1">
        <f>SUM(OSRRefT22_5x_0)</f>
        <v>213314</v>
      </c>
      <c r="U47" s="1"/>
      <c r="V47" s="5">
        <f t="shared" si="29"/>
        <v>0</v>
      </c>
      <c r="W47" s="1"/>
      <c r="X47" s="1">
        <f t="shared" si="30"/>
        <v>-6061.9899999999907</v>
      </c>
      <c r="Y47" s="1"/>
      <c r="Z47" s="5">
        <f t="shared" si="31"/>
        <v>-2.841815352016272E-2</v>
      </c>
    </row>
    <row r="48" spans="1:26" s="24" customFormat="1" hidden="1" outlineLevel="2" x14ac:dyDescent="0.25">
      <c r="A48" s="25"/>
      <c r="B48" s="11" t="str">
        <f>CONCATENATE("          ", "6321", " - ", "BUILDING DEPRECIATION")</f>
        <v xml:space="preserve">          6321 - BUILDING DEPRECIATION</v>
      </c>
      <c r="C48" s="11"/>
      <c r="D48" s="7">
        <v>16396.52</v>
      </c>
      <c r="E48" s="2"/>
      <c r="F48" s="6">
        <f t="shared" si="24"/>
        <v>0</v>
      </c>
      <c r="G48" s="2"/>
      <c r="H48" s="7">
        <v>16397</v>
      </c>
      <c r="I48" s="2"/>
      <c r="J48" s="6">
        <f t="shared" si="25"/>
        <v>0</v>
      </c>
      <c r="K48" s="2"/>
      <c r="L48" s="7">
        <f t="shared" si="26"/>
        <v>-0.47999999999956344</v>
      </c>
      <c r="M48" s="2"/>
      <c r="N48" s="6">
        <f t="shared" si="27"/>
        <v>-2.927364761844017E-5</v>
      </c>
      <c r="O48" s="11"/>
      <c r="P48" s="7">
        <v>114775.64</v>
      </c>
      <c r="Q48" s="2"/>
      <c r="R48" s="6">
        <f t="shared" si="28"/>
        <v>0</v>
      </c>
      <c r="S48" s="2"/>
      <c r="T48" s="7">
        <v>114947</v>
      </c>
      <c r="U48" s="2"/>
      <c r="V48" s="6">
        <f t="shared" si="29"/>
        <v>0</v>
      </c>
      <c r="W48" s="2"/>
      <c r="X48" s="7">
        <f t="shared" si="30"/>
        <v>-171.36000000000058</v>
      </c>
      <c r="Y48" s="2"/>
      <c r="Z48" s="6">
        <f t="shared" si="31"/>
        <v>-1.4907740088910592E-3</v>
      </c>
    </row>
    <row r="49" spans="1:26" s="24" customFormat="1" hidden="1" outlineLevel="2" x14ac:dyDescent="0.25">
      <c r="A49" s="25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13210.91</v>
      </c>
      <c r="E49" s="2"/>
      <c r="F49" s="6">
        <f t="shared" si="24"/>
        <v>0</v>
      </c>
      <c r="G49" s="2"/>
      <c r="H49" s="7">
        <v>13049</v>
      </c>
      <c r="I49" s="2"/>
      <c r="J49" s="6">
        <f t="shared" si="25"/>
        <v>0</v>
      </c>
      <c r="K49" s="2"/>
      <c r="L49" s="7">
        <f t="shared" si="26"/>
        <v>161.90999999999985</v>
      </c>
      <c r="M49" s="2"/>
      <c r="N49" s="6">
        <f t="shared" si="27"/>
        <v>1.2407847344624098E-2</v>
      </c>
      <c r="O49" s="11"/>
      <c r="P49" s="7">
        <v>92476.37000000001</v>
      </c>
      <c r="Q49" s="2"/>
      <c r="R49" s="6">
        <f t="shared" si="28"/>
        <v>0</v>
      </c>
      <c r="S49" s="2"/>
      <c r="T49" s="7">
        <v>91343</v>
      </c>
      <c r="U49" s="2"/>
      <c r="V49" s="6">
        <f t="shared" si="29"/>
        <v>0</v>
      </c>
      <c r="W49" s="2"/>
      <c r="X49" s="7">
        <f t="shared" si="30"/>
        <v>1133.3700000000099</v>
      </c>
      <c r="Y49" s="2"/>
      <c r="Z49" s="6">
        <f t="shared" si="31"/>
        <v>1.2407847344624218E-2</v>
      </c>
    </row>
    <row r="50" spans="1:26" s="24" customFormat="1" hidden="1" outlineLevel="2" x14ac:dyDescent="0.25">
      <c r="A50" s="25"/>
      <c r="B50" s="11" t="str">
        <f>CONCATENATE("          ", "6324", " - ", "FURNITURE + FIXT DEPRECIATION")</f>
        <v xml:space="preserve">          6324 - FURNITURE + FIXT DEPRECIATION</v>
      </c>
      <c r="C50" s="11"/>
      <c r="D50" s="7"/>
      <c r="E50" s="2"/>
      <c r="F50" s="6">
        <f t="shared" si="24"/>
        <v>0</v>
      </c>
      <c r="G50" s="2"/>
      <c r="H50" s="7">
        <v>1492</v>
      </c>
      <c r="I50" s="2"/>
      <c r="J50" s="6">
        <f t="shared" si="25"/>
        <v>0</v>
      </c>
      <c r="K50" s="2"/>
      <c r="L50" s="7">
        <f t="shared" si="26"/>
        <v>-1492</v>
      </c>
      <c r="M50" s="2"/>
      <c r="N50" s="6">
        <f t="shared" si="27"/>
        <v>-1</v>
      </c>
      <c r="O50" s="11"/>
      <c r="P50" s="7"/>
      <c r="Q50" s="2"/>
      <c r="R50" s="6">
        <f t="shared" si="28"/>
        <v>0</v>
      </c>
      <c r="S50" s="2"/>
      <c r="T50" s="7">
        <v>5692</v>
      </c>
      <c r="U50" s="2"/>
      <c r="V50" s="6">
        <f t="shared" si="29"/>
        <v>0</v>
      </c>
      <c r="W50" s="2"/>
      <c r="X50" s="7">
        <f t="shared" si="30"/>
        <v>-5692</v>
      </c>
      <c r="Y50" s="2"/>
      <c r="Z50" s="6">
        <f t="shared" si="31"/>
        <v>-1</v>
      </c>
    </row>
    <row r="51" spans="1:26" s="24" customFormat="1" hidden="1" outlineLevel="2" x14ac:dyDescent="0.25">
      <c r="A51" s="25"/>
      <c r="B51" s="11" t="str">
        <f>CONCATENATE("          ", "6326", " - ", "VEHICLES DEPRECIATION EXPENSE")</f>
        <v xml:space="preserve">          6326 - VEHICLES DEPRECIATION EXPENSE</v>
      </c>
      <c r="C51" s="11"/>
      <c r="D51" s="7"/>
      <c r="E51" s="2"/>
      <c r="F51" s="6">
        <f t="shared" si="24"/>
        <v>0</v>
      </c>
      <c r="G51" s="2"/>
      <c r="H51" s="7">
        <v>333</v>
      </c>
      <c r="I51" s="2"/>
      <c r="J51" s="6">
        <f t="shared" si="25"/>
        <v>0</v>
      </c>
      <c r="K51" s="2"/>
      <c r="L51" s="7">
        <f t="shared" si="26"/>
        <v>-333</v>
      </c>
      <c r="M51" s="2"/>
      <c r="N51" s="6">
        <f t="shared" si="27"/>
        <v>-1</v>
      </c>
      <c r="O51" s="11"/>
      <c r="P51" s="7"/>
      <c r="Q51" s="2"/>
      <c r="R51" s="6">
        <f t="shared" si="28"/>
        <v>0</v>
      </c>
      <c r="S51" s="2"/>
      <c r="T51" s="7">
        <v>1332</v>
      </c>
      <c r="U51" s="2"/>
      <c r="V51" s="6">
        <f t="shared" si="29"/>
        <v>0</v>
      </c>
      <c r="W51" s="2"/>
      <c r="X51" s="7">
        <f t="shared" si="30"/>
        <v>-1332</v>
      </c>
      <c r="Y51" s="2"/>
      <c r="Z51" s="6">
        <f t="shared" si="31"/>
        <v>-1</v>
      </c>
    </row>
    <row r="52" spans="1:26" s="27" customFormat="1" outlineLevel="1" collapsed="1" x14ac:dyDescent="0.25">
      <c r="A52" s="26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SUM(OSRRefD22_6x_0)</f>
        <v>-382.67</v>
      </c>
      <c r="E52" s="1"/>
      <c r="F52" s="5">
        <f t="shared" ref="F52:F54" si="32">IF(D$12=0,0,D52/D$12)</f>
        <v>0</v>
      </c>
      <c r="G52" s="1"/>
      <c r="H52" s="1">
        <f>SUM(OSRRefH22_6x_0)</f>
        <v>-400</v>
      </c>
      <c r="I52" s="1"/>
      <c r="J52" s="5">
        <f t="shared" ref="J52:J54" si="33">IF(H$12=0,0,H52/H$12)</f>
        <v>0</v>
      </c>
      <c r="K52" s="1"/>
      <c r="L52" s="1">
        <f t="shared" ref="L52:L54" si="34">+D52-H52</f>
        <v>17.329999999999984</v>
      </c>
      <c r="M52" s="1"/>
      <c r="N52" s="5">
        <f t="shared" ref="N52:N54" si="35">IF(H52=0,0,L52/H52)</f>
        <v>-4.3324999999999961E-2</v>
      </c>
      <c r="O52" s="13"/>
      <c r="P52" s="1">
        <f>SUM(OSRRefP22_6x_0)</f>
        <v>-2074.75</v>
      </c>
      <c r="Q52" s="1"/>
      <c r="R52" s="5">
        <f t="shared" ref="R52:R54" si="36">IF(P$12=0,0,P52/P$12)</f>
        <v>0</v>
      </c>
      <c r="S52" s="1"/>
      <c r="T52" s="1">
        <f>SUM(OSRRefT22_6x_0)</f>
        <v>-2800</v>
      </c>
      <c r="U52" s="1"/>
      <c r="V52" s="5">
        <f t="shared" ref="V52:V54" si="37">IF(T$12=0,0,T52/T$12)</f>
        <v>0</v>
      </c>
      <c r="W52" s="1"/>
      <c r="X52" s="1">
        <f t="shared" ref="X52:X54" si="38">+P52-T52</f>
        <v>725.25</v>
      </c>
      <c r="Y52" s="1"/>
      <c r="Z52" s="5">
        <f t="shared" ref="Z52:Z54" si="39">IF(T52=0,0,X52/T52)</f>
        <v>-0.25901785714285713</v>
      </c>
    </row>
    <row r="53" spans="1:26" s="24" customFormat="1" hidden="1" outlineLevel="2" x14ac:dyDescent="0.25">
      <c r="A53" s="25"/>
      <c r="B53" s="11" t="str">
        <f>CONCATENATE("          ", "6382", " - ", "DISCOUNTS/MARK DOWNS")</f>
        <v xml:space="preserve">          6382 - DISCOUNTS/MARK DOWNS</v>
      </c>
      <c r="C53" s="11"/>
      <c r="D53" s="7">
        <v>4</v>
      </c>
      <c r="E53" s="2"/>
      <c r="F53" s="6">
        <f t="shared" si="32"/>
        <v>0</v>
      </c>
      <c r="G53" s="2"/>
      <c r="H53" s="7">
        <v>-400</v>
      </c>
      <c r="I53" s="2"/>
      <c r="J53" s="6">
        <f t="shared" si="33"/>
        <v>0</v>
      </c>
      <c r="K53" s="2"/>
      <c r="L53" s="7">
        <f t="shared" si="34"/>
        <v>404</v>
      </c>
      <c r="M53" s="2"/>
      <c r="N53" s="6">
        <f t="shared" si="35"/>
        <v>-1.01</v>
      </c>
      <c r="O53" s="11"/>
      <c r="P53" s="7">
        <v>345.4</v>
      </c>
      <c r="Q53" s="2"/>
      <c r="R53" s="6">
        <f t="shared" si="36"/>
        <v>0</v>
      </c>
      <c r="S53" s="2"/>
      <c r="T53" s="7">
        <v>-2800</v>
      </c>
      <c r="U53" s="2"/>
      <c r="V53" s="6">
        <f t="shared" si="37"/>
        <v>0</v>
      </c>
      <c r="W53" s="2"/>
      <c r="X53" s="7">
        <f t="shared" si="38"/>
        <v>3145.4</v>
      </c>
      <c r="Y53" s="2"/>
      <c r="Z53" s="6">
        <f t="shared" si="39"/>
        <v>-1.1233571428571429</v>
      </c>
    </row>
    <row r="54" spans="1:26" s="24" customFormat="1" hidden="1" outlineLevel="2" x14ac:dyDescent="0.25">
      <c r="A54" s="25"/>
      <c r="B54" s="11" t="str">
        <f>CONCATENATE("          ", "9175", " - ", "EARNED DISCOUNTS")</f>
        <v xml:space="preserve">          9175 - EARNED DISCOUNTS</v>
      </c>
      <c r="C54" s="11"/>
      <c r="D54" s="7">
        <v>-386.67</v>
      </c>
      <c r="E54" s="2"/>
      <c r="F54" s="6">
        <f t="shared" si="32"/>
        <v>0</v>
      </c>
      <c r="G54" s="2"/>
      <c r="H54" s="7"/>
      <c r="I54" s="2"/>
      <c r="J54" s="6">
        <f t="shared" si="33"/>
        <v>0</v>
      </c>
      <c r="K54" s="2"/>
      <c r="L54" s="7">
        <f t="shared" si="34"/>
        <v>-386.67</v>
      </c>
      <c r="M54" s="2"/>
      <c r="N54" s="6">
        <f t="shared" si="35"/>
        <v>0</v>
      </c>
      <c r="O54" s="11"/>
      <c r="P54" s="7">
        <v>-2420.15</v>
      </c>
      <c r="Q54" s="2"/>
      <c r="R54" s="6">
        <f t="shared" si="36"/>
        <v>0</v>
      </c>
      <c r="S54" s="2"/>
      <c r="T54" s="7"/>
      <c r="U54" s="2"/>
      <c r="V54" s="6">
        <f t="shared" si="37"/>
        <v>0</v>
      </c>
      <c r="W54" s="2"/>
      <c r="X54" s="7">
        <f t="shared" si="38"/>
        <v>-2420.15</v>
      </c>
      <c r="Y54" s="2"/>
      <c r="Z54" s="6">
        <f t="shared" si="39"/>
        <v>0</v>
      </c>
    </row>
    <row r="55" spans="1:26" s="27" customFormat="1" outlineLevel="1" collapsed="1" x14ac:dyDescent="0.25">
      <c r="A55" s="26"/>
      <c r="B55" s="13" t="str">
        <f>CONCATENATE("     ","Donations                                         ")</f>
        <v xml:space="preserve">     Donations                                         </v>
      </c>
      <c r="C55" s="13"/>
      <c r="D55" s="1">
        <f>SUM(OSRRefD22_7x_0)</f>
        <v>0</v>
      </c>
      <c r="E55" s="1"/>
      <c r="F55" s="5">
        <f t="shared" ref="F55:F57" si="40">IF(D$12=0,0,D55/D$12)</f>
        <v>0</v>
      </c>
      <c r="G55" s="1"/>
      <c r="H55" s="1">
        <f>SUM(OSRRefH22_7x_0)</f>
        <v>1000</v>
      </c>
      <c r="I55" s="1"/>
      <c r="J55" s="5">
        <f t="shared" ref="J55:J57" si="41">IF(H$12=0,0,H55/H$12)</f>
        <v>0</v>
      </c>
      <c r="K55" s="1"/>
      <c r="L55" s="1">
        <f t="shared" ref="L55:L57" si="42">+D55-H55</f>
        <v>-1000</v>
      </c>
      <c r="M55" s="1"/>
      <c r="N55" s="5">
        <f t="shared" ref="N55:N57" si="43">IF(H55=0,0,L55/H55)</f>
        <v>-1</v>
      </c>
      <c r="O55" s="13"/>
      <c r="P55" s="1">
        <f>SUM(OSRRefP22_7x_0)</f>
        <v>9798.2199999999993</v>
      </c>
      <c r="Q55" s="1"/>
      <c r="R55" s="5">
        <f t="shared" ref="R55:R57" si="44">IF(P$12=0,0,P55/P$12)</f>
        <v>0</v>
      </c>
      <c r="S55" s="1"/>
      <c r="T55" s="1">
        <f>SUM(OSRRefT22_7x_0)</f>
        <v>7000</v>
      </c>
      <c r="U55" s="1"/>
      <c r="V55" s="5">
        <f t="shared" ref="V55:V57" si="45">IF(T$12=0,0,T55/T$12)</f>
        <v>0</v>
      </c>
      <c r="W55" s="1"/>
      <c r="X55" s="1">
        <f t="shared" ref="X55:X57" si="46">+P55-T55</f>
        <v>2798.2199999999993</v>
      </c>
      <c r="Y55" s="1"/>
      <c r="Z55" s="5">
        <f t="shared" ref="Z55:Z57" si="47">IF(T55=0,0,X55/T55)</f>
        <v>0.3997457142857142</v>
      </c>
    </row>
    <row r="56" spans="1:26" s="24" customFormat="1" hidden="1" outlineLevel="2" x14ac:dyDescent="0.25">
      <c r="A56" s="25"/>
      <c r="B56" s="11" t="str">
        <f>CONCATENATE("          ", "6395", " - ", "DONATION-OFF CAMPUS")</f>
        <v xml:space="preserve">          6395 - DONATION-OFF CAMPUS</v>
      </c>
      <c r="C56" s="11"/>
      <c r="D56" s="7"/>
      <c r="E56" s="2"/>
      <c r="F56" s="6">
        <f t="shared" si="40"/>
        <v>0</v>
      </c>
      <c r="G56" s="2"/>
      <c r="H56" s="7">
        <v>1000</v>
      </c>
      <c r="I56" s="2"/>
      <c r="J56" s="6">
        <f t="shared" si="41"/>
        <v>0</v>
      </c>
      <c r="K56" s="2"/>
      <c r="L56" s="7">
        <f t="shared" si="42"/>
        <v>-1000</v>
      </c>
      <c r="M56" s="2"/>
      <c r="N56" s="6">
        <f t="shared" si="43"/>
        <v>-1</v>
      </c>
      <c r="O56" s="11"/>
      <c r="P56" s="7"/>
      <c r="Q56" s="2"/>
      <c r="R56" s="6">
        <f t="shared" si="44"/>
        <v>0</v>
      </c>
      <c r="S56" s="2"/>
      <c r="T56" s="7">
        <v>7000</v>
      </c>
      <c r="U56" s="2"/>
      <c r="V56" s="6">
        <f t="shared" si="45"/>
        <v>0</v>
      </c>
      <c r="W56" s="2"/>
      <c r="X56" s="7">
        <f t="shared" si="46"/>
        <v>-7000</v>
      </c>
      <c r="Y56" s="2"/>
      <c r="Z56" s="6">
        <f t="shared" si="47"/>
        <v>-1</v>
      </c>
    </row>
    <row r="57" spans="1:26" s="24" customFormat="1" hidden="1" outlineLevel="2" x14ac:dyDescent="0.25">
      <c r="A57" s="25"/>
      <c r="B57" s="11" t="str">
        <f>CONCATENATE("          ", "6399", " - ", "DONATION-ON CAMPUS")</f>
        <v xml:space="preserve">          6399 - DONATION-ON CAMPUS</v>
      </c>
      <c r="C57" s="11"/>
      <c r="D57" s="7"/>
      <c r="E57" s="2"/>
      <c r="F57" s="6">
        <f t="shared" si="40"/>
        <v>0</v>
      </c>
      <c r="G57" s="2"/>
      <c r="H57" s="7"/>
      <c r="I57" s="2"/>
      <c r="J57" s="6">
        <f t="shared" si="41"/>
        <v>0</v>
      </c>
      <c r="K57" s="2"/>
      <c r="L57" s="7">
        <f t="shared" si="42"/>
        <v>0</v>
      </c>
      <c r="M57" s="2"/>
      <c r="N57" s="6">
        <f t="shared" si="43"/>
        <v>0</v>
      </c>
      <c r="O57" s="11"/>
      <c r="P57" s="7">
        <v>9798.2199999999993</v>
      </c>
      <c r="Q57" s="2"/>
      <c r="R57" s="6">
        <f t="shared" si="44"/>
        <v>0</v>
      </c>
      <c r="S57" s="2"/>
      <c r="T57" s="7"/>
      <c r="U57" s="2"/>
      <c r="V57" s="6">
        <f t="shared" si="45"/>
        <v>0</v>
      </c>
      <c r="W57" s="2"/>
      <c r="X57" s="7">
        <f t="shared" si="46"/>
        <v>9798.2199999999993</v>
      </c>
      <c r="Y57" s="2"/>
      <c r="Z57" s="6">
        <f t="shared" si="47"/>
        <v>0</v>
      </c>
    </row>
    <row r="58" spans="1:26" s="27" customFormat="1" outlineLevel="1" collapsed="1" x14ac:dyDescent="0.25">
      <c r="A58" s="26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SUM(OSRRefD22_8x_0)</f>
        <v>0</v>
      </c>
      <c r="E58" s="1"/>
      <c r="F58" s="5">
        <f t="shared" ref="F58:F76" si="48">IF(D$12=0,0,D58/D$12)</f>
        <v>0</v>
      </c>
      <c r="G58" s="1"/>
      <c r="H58" s="1">
        <f>SUM(OSRRefH22_8x_0)</f>
        <v>200</v>
      </c>
      <c r="I58" s="1"/>
      <c r="J58" s="5">
        <f t="shared" ref="J58:J76" si="49">IF(H$12=0,0,H58/H$12)</f>
        <v>0</v>
      </c>
      <c r="K58" s="1"/>
      <c r="L58" s="1">
        <f t="shared" ref="L58:L76" si="50">+D58-H58</f>
        <v>-200</v>
      </c>
      <c r="M58" s="1"/>
      <c r="N58" s="5">
        <f t="shared" ref="N58:N76" si="51">IF(H58=0,0,L58/H58)</f>
        <v>-1</v>
      </c>
      <c r="O58" s="13"/>
      <c r="P58" s="1">
        <f>SUM(OSRRefP22_8x_0)</f>
        <v>825.75</v>
      </c>
      <c r="Q58" s="1"/>
      <c r="R58" s="5">
        <f t="shared" ref="R58:R76" si="52">IF(P$12=0,0,P58/P$12)</f>
        <v>0</v>
      </c>
      <c r="S58" s="1"/>
      <c r="T58" s="1">
        <f>SUM(OSRRefT22_8x_0)</f>
        <v>1400</v>
      </c>
      <c r="U58" s="1"/>
      <c r="V58" s="5">
        <f t="shared" ref="V58:V76" si="53">IF(T$12=0,0,T58/T$12)</f>
        <v>0</v>
      </c>
      <c r="W58" s="1"/>
      <c r="X58" s="1">
        <f t="shared" ref="X58:X76" si="54">+P58-T58</f>
        <v>-574.25</v>
      </c>
      <c r="Y58" s="1"/>
      <c r="Z58" s="5">
        <f t="shared" ref="Z58:Z76" si="55">IF(T58=0,0,X58/T58)</f>
        <v>-0.41017857142857145</v>
      </c>
    </row>
    <row r="59" spans="1:26" s="24" customFormat="1" hidden="1" outlineLevel="2" x14ac:dyDescent="0.25">
      <c r="A59" s="25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48"/>
        <v>0</v>
      </c>
      <c r="G59" s="2"/>
      <c r="H59" s="7">
        <v>200</v>
      </c>
      <c r="I59" s="2"/>
      <c r="J59" s="6">
        <f t="shared" si="49"/>
        <v>0</v>
      </c>
      <c r="K59" s="2"/>
      <c r="L59" s="7">
        <f t="shared" si="50"/>
        <v>-200</v>
      </c>
      <c r="M59" s="2"/>
      <c r="N59" s="6">
        <f t="shared" si="51"/>
        <v>-1</v>
      </c>
      <c r="O59" s="11"/>
      <c r="P59" s="7">
        <v>825.75</v>
      </c>
      <c r="Q59" s="2"/>
      <c r="R59" s="6">
        <f t="shared" si="52"/>
        <v>0</v>
      </c>
      <c r="S59" s="2"/>
      <c r="T59" s="7">
        <v>1400</v>
      </c>
      <c r="U59" s="2"/>
      <c r="V59" s="6">
        <f t="shared" si="53"/>
        <v>0</v>
      </c>
      <c r="W59" s="2"/>
      <c r="X59" s="7">
        <f t="shared" si="54"/>
        <v>-574.25</v>
      </c>
      <c r="Y59" s="2"/>
      <c r="Z59" s="6">
        <f t="shared" si="55"/>
        <v>-0.41017857142857145</v>
      </c>
    </row>
    <row r="60" spans="1:26" s="27" customFormat="1" outlineLevel="1" collapsed="1" x14ac:dyDescent="0.25">
      <c r="A60" s="26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SUM(OSRRefD22_9x_0)</f>
        <v>0</v>
      </c>
      <c r="E60" s="1"/>
      <c r="F60" s="5">
        <f t="shared" si="48"/>
        <v>0</v>
      </c>
      <c r="G60" s="1"/>
      <c r="H60" s="1">
        <f>SUM(OSRRefH22_9x_0)</f>
        <v>30</v>
      </c>
      <c r="I60" s="1"/>
      <c r="J60" s="5">
        <f t="shared" si="49"/>
        <v>0</v>
      </c>
      <c r="K60" s="1"/>
      <c r="L60" s="1">
        <f t="shared" si="50"/>
        <v>-30</v>
      </c>
      <c r="M60" s="1"/>
      <c r="N60" s="5">
        <f t="shared" si="51"/>
        <v>-1</v>
      </c>
      <c r="O60" s="13"/>
      <c r="P60" s="1">
        <f>SUM(OSRRefP22_9x_0)</f>
        <v>14.39</v>
      </c>
      <c r="Q60" s="1"/>
      <c r="R60" s="5">
        <f t="shared" si="52"/>
        <v>0</v>
      </c>
      <c r="S60" s="1"/>
      <c r="T60" s="1">
        <f>SUM(OSRRefT22_9x_0)</f>
        <v>210</v>
      </c>
      <c r="U60" s="1"/>
      <c r="V60" s="5">
        <f t="shared" si="53"/>
        <v>0</v>
      </c>
      <c r="W60" s="1"/>
      <c r="X60" s="1">
        <f t="shared" si="54"/>
        <v>-195.61</v>
      </c>
      <c r="Y60" s="1"/>
      <c r="Z60" s="5">
        <f t="shared" si="55"/>
        <v>-0.93147619047619057</v>
      </c>
    </row>
    <row r="61" spans="1:26" s="24" customFormat="1" hidden="1" outlineLevel="2" x14ac:dyDescent="0.25">
      <c r="A61" s="25"/>
      <c r="B61" s="11" t="str">
        <f>CONCATENATE("          ", "6307", " - ", "POSTAGE")</f>
        <v xml:space="preserve">          6307 - POSTAGE</v>
      </c>
      <c r="C61" s="11"/>
      <c r="D61" s="7"/>
      <c r="E61" s="2"/>
      <c r="F61" s="6">
        <f t="shared" si="48"/>
        <v>0</v>
      </c>
      <c r="G61" s="2"/>
      <c r="H61" s="7">
        <v>30</v>
      </c>
      <c r="I61" s="2"/>
      <c r="J61" s="6">
        <f t="shared" si="49"/>
        <v>0</v>
      </c>
      <c r="K61" s="2"/>
      <c r="L61" s="7">
        <f t="shared" si="50"/>
        <v>-30</v>
      </c>
      <c r="M61" s="2"/>
      <c r="N61" s="6">
        <f t="shared" si="51"/>
        <v>-1</v>
      </c>
      <c r="O61" s="11"/>
      <c r="P61" s="7">
        <v>14.39</v>
      </c>
      <c r="Q61" s="2"/>
      <c r="R61" s="6">
        <f t="shared" si="52"/>
        <v>0</v>
      </c>
      <c r="S61" s="2"/>
      <c r="T61" s="7">
        <v>210</v>
      </c>
      <c r="U61" s="2"/>
      <c r="V61" s="6">
        <f t="shared" si="53"/>
        <v>0</v>
      </c>
      <c r="W61" s="2"/>
      <c r="X61" s="7">
        <f t="shared" si="54"/>
        <v>-195.61</v>
      </c>
      <c r="Y61" s="2"/>
      <c r="Z61" s="6">
        <f t="shared" si="55"/>
        <v>-0.93147619047619057</v>
      </c>
    </row>
    <row r="62" spans="1:26" s="27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SUM(OSRRefD22_10x_0)</f>
        <v>216</v>
      </c>
      <c r="E62" s="1"/>
      <c r="F62" s="5">
        <f t="shared" si="48"/>
        <v>0</v>
      </c>
      <c r="G62" s="1"/>
      <c r="H62" s="1">
        <f>SUM(OSRRefH22_10x_0)</f>
        <v>100</v>
      </c>
      <c r="I62" s="1"/>
      <c r="J62" s="5">
        <f t="shared" si="49"/>
        <v>0</v>
      </c>
      <c r="K62" s="1"/>
      <c r="L62" s="1">
        <f t="shared" si="50"/>
        <v>116</v>
      </c>
      <c r="M62" s="1"/>
      <c r="N62" s="5">
        <f t="shared" si="51"/>
        <v>1.1599999999999999</v>
      </c>
      <c r="O62" s="13"/>
      <c r="P62" s="1">
        <f>SUM(OSRRefP22_10x_0)</f>
        <v>-11754.76</v>
      </c>
      <c r="Q62" s="1"/>
      <c r="R62" s="5">
        <f t="shared" si="52"/>
        <v>0</v>
      </c>
      <c r="S62" s="1"/>
      <c r="T62" s="1">
        <f>SUM(OSRRefT22_10x_0)</f>
        <v>700</v>
      </c>
      <c r="U62" s="1"/>
      <c r="V62" s="5">
        <f t="shared" si="53"/>
        <v>0</v>
      </c>
      <c r="W62" s="1"/>
      <c r="X62" s="1">
        <f t="shared" si="54"/>
        <v>-12454.76</v>
      </c>
      <c r="Y62" s="1"/>
      <c r="Z62" s="5">
        <f t="shared" si="55"/>
        <v>-17.792514285714287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7">
        <v>216</v>
      </c>
      <c r="E63" s="2"/>
      <c r="F63" s="6">
        <f t="shared" si="48"/>
        <v>0</v>
      </c>
      <c r="G63" s="2"/>
      <c r="H63" s="7">
        <v>100</v>
      </c>
      <c r="I63" s="2"/>
      <c r="J63" s="6">
        <f t="shared" si="49"/>
        <v>0</v>
      </c>
      <c r="K63" s="2"/>
      <c r="L63" s="7">
        <f t="shared" si="50"/>
        <v>116</v>
      </c>
      <c r="M63" s="2"/>
      <c r="N63" s="6">
        <f t="shared" si="51"/>
        <v>1.1599999999999999</v>
      </c>
      <c r="O63" s="11"/>
      <c r="P63" s="7">
        <v>-11754.76</v>
      </c>
      <c r="Q63" s="2"/>
      <c r="R63" s="6">
        <f t="shared" si="52"/>
        <v>0</v>
      </c>
      <c r="S63" s="2"/>
      <c r="T63" s="7">
        <v>700</v>
      </c>
      <c r="U63" s="2"/>
      <c r="V63" s="6">
        <f t="shared" si="53"/>
        <v>0</v>
      </c>
      <c r="W63" s="2"/>
      <c r="X63" s="7">
        <f t="shared" si="54"/>
        <v>-12454.76</v>
      </c>
      <c r="Y63" s="2"/>
      <c r="Z63" s="6">
        <f t="shared" si="55"/>
        <v>-17.792514285714287</v>
      </c>
    </row>
    <row r="64" spans="1:26" s="27" customFormat="1" outlineLevel="1" collapsed="1" x14ac:dyDescent="0.25">
      <c r="A64" s="26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SUM(OSRRefD22_11x_0)</f>
        <v>3883.56</v>
      </c>
      <c r="E64" s="1"/>
      <c r="F64" s="5">
        <f t="shared" si="48"/>
        <v>0</v>
      </c>
      <c r="G64" s="1"/>
      <c r="H64" s="1">
        <f>SUM(OSRRefH22_11x_0)</f>
        <v>3660</v>
      </c>
      <c r="I64" s="1"/>
      <c r="J64" s="5">
        <f t="shared" si="49"/>
        <v>0</v>
      </c>
      <c r="K64" s="1"/>
      <c r="L64" s="1">
        <f t="shared" si="50"/>
        <v>223.55999999999995</v>
      </c>
      <c r="M64" s="1"/>
      <c r="N64" s="5">
        <f t="shared" si="51"/>
        <v>6.1081967213114742E-2</v>
      </c>
      <c r="O64" s="13"/>
      <c r="P64" s="1">
        <f>SUM(OSRRefP22_11x_0)</f>
        <v>27184.92</v>
      </c>
      <c r="Q64" s="1"/>
      <c r="R64" s="5">
        <f t="shared" si="52"/>
        <v>0</v>
      </c>
      <c r="S64" s="1"/>
      <c r="T64" s="1">
        <f>SUM(OSRRefT22_11x_0)</f>
        <v>25620</v>
      </c>
      <c r="U64" s="1"/>
      <c r="V64" s="5">
        <f t="shared" si="53"/>
        <v>0</v>
      </c>
      <c r="W64" s="1"/>
      <c r="X64" s="1">
        <f t="shared" si="54"/>
        <v>1564.9199999999983</v>
      </c>
      <c r="Y64" s="1"/>
      <c r="Z64" s="5">
        <f t="shared" si="55"/>
        <v>6.1081967213114687E-2</v>
      </c>
    </row>
    <row r="65" spans="1:26" s="24" customFormat="1" hidden="1" outlineLevel="2" x14ac:dyDescent="0.25">
      <c r="A65" s="25"/>
      <c r="B65" s="11" t="str">
        <f>CONCATENATE("          ", "6314", " - ", "LIABILITY INSURANCE")</f>
        <v xml:space="preserve">          6314 - LIABILITY INSURANCE</v>
      </c>
      <c r="C65" s="11"/>
      <c r="D65" s="7">
        <v>3883.56</v>
      </c>
      <c r="E65" s="2"/>
      <c r="F65" s="6">
        <f t="shared" si="48"/>
        <v>0</v>
      </c>
      <c r="G65" s="2"/>
      <c r="H65" s="7">
        <v>3660</v>
      </c>
      <c r="I65" s="2"/>
      <c r="J65" s="6">
        <f t="shared" si="49"/>
        <v>0</v>
      </c>
      <c r="K65" s="2"/>
      <c r="L65" s="7">
        <f t="shared" si="50"/>
        <v>223.55999999999995</v>
      </c>
      <c r="M65" s="2"/>
      <c r="N65" s="6">
        <f t="shared" si="51"/>
        <v>6.1081967213114742E-2</v>
      </c>
      <c r="O65" s="11"/>
      <c r="P65" s="7">
        <v>27184.92</v>
      </c>
      <c r="Q65" s="2"/>
      <c r="R65" s="6">
        <f t="shared" si="52"/>
        <v>0</v>
      </c>
      <c r="S65" s="2"/>
      <c r="T65" s="7">
        <v>25620</v>
      </c>
      <c r="U65" s="2"/>
      <c r="V65" s="6">
        <f t="shared" si="53"/>
        <v>0</v>
      </c>
      <c r="W65" s="2"/>
      <c r="X65" s="7">
        <f t="shared" si="54"/>
        <v>1564.9199999999983</v>
      </c>
      <c r="Y65" s="2"/>
      <c r="Z65" s="6">
        <f t="shared" si="55"/>
        <v>6.1081967213114687E-2</v>
      </c>
    </row>
    <row r="66" spans="1:26" s="27" customFormat="1" outlineLevel="1" collapsed="1" x14ac:dyDescent="0.25">
      <c r="A66" s="26"/>
      <c r="B66" s="13" t="str">
        <f>CONCATENATE("     ","Inventory Adjustment                              ")</f>
        <v xml:space="preserve">     Inventory Adjustment                              </v>
      </c>
      <c r="C66" s="13"/>
      <c r="D66" s="1">
        <f>SUM(OSRRefD22_12x_0)</f>
        <v>0</v>
      </c>
      <c r="E66" s="1"/>
      <c r="F66" s="5">
        <f t="shared" si="48"/>
        <v>0</v>
      </c>
      <c r="G66" s="1"/>
      <c r="H66" s="1">
        <f>SUM(OSRRefH22_12x_0)</f>
        <v>0</v>
      </c>
      <c r="I66" s="1"/>
      <c r="J66" s="5">
        <f t="shared" si="49"/>
        <v>0</v>
      </c>
      <c r="K66" s="1"/>
      <c r="L66" s="1">
        <f t="shared" si="50"/>
        <v>0</v>
      </c>
      <c r="M66" s="1"/>
      <c r="N66" s="5">
        <f t="shared" si="51"/>
        <v>0</v>
      </c>
      <c r="O66" s="13"/>
      <c r="P66" s="1">
        <f>SUM(OSRRefP22_12x_0)</f>
        <v>0</v>
      </c>
      <c r="Q66" s="1"/>
      <c r="R66" s="5">
        <f t="shared" si="52"/>
        <v>0</v>
      </c>
      <c r="S66" s="1"/>
      <c r="T66" s="1">
        <f>SUM(OSRRefT22_12x_0)</f>
        <v>0</v>
      </c>
      <c r="U66" s="1"/>
      <c r="V66" s="5">
        <f t="shared" si="53"/>
        <v>0</v>
      </c>
      <c r="W66" s="1"/>
      <c r="X66" s="1">
        <f t="shared" si="54"/>
        <v>0</v>
      </c>
      <c r="Y66" s="1"/>
      <c r="Z66" s="5">
        <f t="shared" si="55"/>
        <v>0</v>
      </c>
    </row>
    <row r="67" spans="1:26" s="24" customFormat="1" hidden="1" outlineLevel="2" x14ac:dyDescent="0.25">
      <c r="A67" s="25"/>
      <c r="B67" s="11" t="str">
        <f>CONCATENATE("          ", "6408", " - ", "INVENTORY ADJUSTMENT")</f>
        <v xml:space="preserve">          6408 - INVENTORY ADJUSTMENT</v>
      </c>
      <c r="C67" s="11"/>
      <c r="D67" s="7"/>
      <c r="E67" s="2"/>
      <c r="F67" s="6">
        <f t="shared" si="48"/>
        <v>0</v>
      </c>
      <c r="G67" s="2"/>
      <c r="H67" s="7">
        <v>0</v>
      </c>
      <c r="I67" s="2"/>
      <c r="J67" s="6">
        <f t="shared" si="49"/>
        <v>0</v>
      </c>
      <c r="K67" s="2"/>
      <c r="L67" s="7">
        <f t="shared" si="50"/>
        <v>0</v>
      </c>
      <c r="M67" s="2"/>
      <c r="N67" s="6">
        <f t="shared" si="51"/>
        <v>0</v>
      </c>
      <c r="O67" s="11"/>
      <c r="P67" s="7"/>
      <c r="Q67" s="2"/>
      <c r="R67" s="6">
        <f t="shared" si="52"/>
        <v>0</v>
      </c>
      <c r="S67" s="2"/>
      <c r="T67" s="7">
        <v>0</v>
      </c>
      <c r="U67" s="2"/>
      <c r="V67" s="6">
        <f t="shared" si="53"/>
        <v>0</v>
      </c>
      <c r="W67" s="2"/>
      <c r="X67" s="7">
        <f t="shared" si="54"/>
        <v>0</v>
      </c>
      <c r="Y67" s="2"/>
      <c r="Z67" s="6">
        <f t="shared" si="55"/>
        <v>0</v>
      </c>
    </row>
    <row r="68" spans="1:26" s="27" customFormat="1" outlineLevel="1" collapsed="1" x14ac:dyDescent="0.25">
      <c r="A68" s="26"/>
      <c r="B68" s="13" t="str">
        <f>CONCATENATE("     ","Professional Services                             ")</f>
        <v xml:space="preserve">     Professional Services                             </v>
      </c>
      <c r="C68" s="13"/>
      <c r="D68" s="1">
        <f>SUM(OSRRefD22_13x_0)</f>
        <v>0</v>
      </c>
      <c r="E68" s="1"/>
      <c r="F68" s="5">
        <f t="shared" si="48"/>
        <v>0</v>
      </c>
      <c r="G68" s="1"/>
      <c r="H68" s="1">
        <f>SUM(OSRRefH22_13x_0)</f>
        <v>900</v>
      </c>
      <c r="I68" s="1"/>
      <c r="J68" s="5">
        <f t="shared" si="49"/>
        <v>0</v>
      </c>
      <c r="K68" s="1"/>
      <c r="L68" s="1">
        <f t="shared" si="50"/>
        <v>-900</v>
      </c>
      <c r="M68" s="1"/>
      <c r="N68" s="5">
        <f t="shared" si="51"/>
        <v>-1</v>
      </c>
      <c r="O68" s="13"/>
      <c r="P68" s="1">
        <f>SUM(OSRRefP22_13x_0)</f>
        <v>4658.41</v>
      </c>
      <c r="Q68" s="1"/>
      <c r="R68" s="5">
        <f t="shared" si="52"/>
        <v>0</v>
      </c>
      <c r="S68" s="1"/>
      <c r="T68" s="1">
        <f>SUM(OSRRefT22_13x_0)</f>
        <v>6300</v>
      </c>
      <c r="U68" s="1"/>
      <c r="V68" s="5">
        <f t="shared" si="53"/>
        <v>0</v>
      </c>
      <c r="W68" s="1"/>
      <c r="X68" s="1">
        <f t="shared" si="54"/>
        <v>-1641.5900000000001</v>
      </c>
      <c r="Y68" s="1"/>
      <c r="Z68" s="5">
        <f t="shared" si="55"/>
        <v>-0.26056984126984128</v>
      </c>
    </row>
    <row r="69" spans="1:26" s="24" customFormat="1" hidden="1" outlineLevel="2" x14ac:dyDescent="0.25">
      <c r="A69" s="25"/>
      <c r="B69" s="11" t="str">
        <f>CONCATENATE("          ", "6336", " - ", "PROFESSIONAL SERVICES")</f>
        <v xml:space="preserve">          6336 - PROFESSIONAL SERVICES</v>
      </c>
      <c r="C69" s="11"/>
      <c r="D69" s="7"/>
      <c r="E69" s="2"/>
      <c r="F69" s="6">
        <f t="shared" si="48"/>
        <v>0</v>
      </c>
      <c r="G69" s="2"/>
      <c r="H69" s="7">
        <v>900</v>
      </c>
      <c r="I69" s="2"/>
      <c r="J69" s="6">
        <f t="shared" si="49"/>
        <v>0</v>
      </c>
      <c r="K69" s="2"/>
      <c r="L69" s="7">
        <f t="shared" si="50"/>
        <v>-900</v>
      </c>
      <c r="M69" s="2"/>
      <c r="N69" s="6">
        <f t="shared" si="51"/>
        <v>-1</v>
      </c>
      <c r="O69" s="11"/>
      <c r="P69" s="7">
        <v>4658.41</v>
      </c>
      <c r="Q69" s="2"/>
      <c r="R69" s="6">
        <f t="shared" si="52"/>
        <v>0</v>
      </c>
      <c r="S69" s="2"/>
      <c r="T69" s="7">
        <v>6300</v>
      </c>
      <c r="U69" s="2"/>
      <c r="V69" s="6">
        <f t="shared" si="53"/>
        <v>0</v>
      </c>
      <c r="W69" s="2"/>
      <c r="X69" s="7">
        <f t="shared" si="54"/>
        <v>-1641.5900000000001</v>
      </c>
      <c r="Y69" s="2"/>
      <c r="Z69" s="6">
        <f t="shared" si="55"/>
        <v>-0.26056984126984128</v>
      </c>
    </row>
    <row r="70" spans="1:26" s="27" customFormat="1" outlineLevel="1" collapsed="1" x14ac:dyDescent="0.25">
      <c r="A70" s="26"/>
      <c r="B70" s="13" t="str">
        <f>CONCATENATE("     ","Rent                                              ")</f>
        <v xml:space="preserve">     Rent                                              </v>
      </c>
      <c r="C70" s="13"/>
      <c r="D70" s="1">
        <f>SUM(OSRRefD22_14x_0)</f>
        <v>800</v>
      </c>
      <c r="E70" s="1"/>
      <c r="F70" s="5">
        <f t="shared" si="48"/>
        <v>0</v>
      </c>
      <c r="G70" s="1"/>
      <c r="H70" s="1">
        <f>SUM(OSRRefH22_14x_0)</f>
        <v>-800</v>
      </c>
      <c r="I70" s="1"/>
      <c r="J70" s="5">
        <f t="shared" si="49"/>
        <v>0</v>
      </c>
      <c r="K70" s="1"/>
      <c r="L70" s="1">
        <f t="shared" si="50"/>
        <v>1600</v>
      </c>
      <c r="M70" s="1"/>
      <c r="N70" s="5">
        <f t="shared" si="51"/>
        <v>-2</v>
      </c>
      <c r="O70" s="13"/>
      <c r="P70" s="1">
        <f>SUM(OSRRefP22_14x_0)</f>
        <v>-4000</v>
      </c>
      <c r="Q70" s="1"/>
      <c r="R70" s="5">
        <f t="shared" si="52"/>
        <v>0</v>
      </c>
      <c r="S70" s="1"/>
      <c r="T70" s="1">
        <f>SUM(OSRRefT22_14x_0)</f>
        <v>-5600</v>
      </c>
      <c r="U70" s="1"/>
      <c r="V70" s="5">
        <f t="shared" si="53"/>
        <v>0</v>
      </c>
      <c r="W70" s="1"/>
      <c r="X70" s="1">
        <f t="shared" si="54"/>
        <v>1600</v>
      </c>
      <c r="Y70" s="1"/>
      <c r="Z70" s="5">
        <f t="shared" si="55"/>
        <v>-0.2857142857142857</v>
      </c>
    </row>
    <row r="71" spans="1:26" s="24" customFormat="1" hidden="1" outlineLevel="2" x14ac:dyDescent="0.25">
      <c r="A71" s="25"/>
      <c r="B71" s="11" t="str">
        <f>CONCATENATE("          ", "6273", " - ", "RENT")</f>
        <v xml:space="preserve">          6273 - RENT</v>
      </c>
      <c r="C71" s="11"/>
      <c r="D71" s="7">
        <v>800</v>
      </c>
      <c r="E71" s="2"/>
      <c r="F71" s="6">
        <f t="shared" si="48"/>
        <v>0</v>
      </c>
      <c r="G71" s="2"/>
      <c r="H71" s="7">
        <v>-800</v>
      </c>
      <c r="I71" s="2"/>
      <c r="J71" s="6">
        <f t="shared" si="49"/>
        <v>0</v>
      </c>
      <c r="K71" s="2"/>
      <c r="L71" s="7">
        <f t="shared" si="50"/>
        <v>1600</v>
      </c>
      <c r="M71" s="2"/>
      <c r="N71" s="6">
        <f t="shared" si="51"/>
        <v>-2</v>
      </c>
      <c r="O71" s="11"/>
      <c r="P71" s="7">
        <v>-4000</v>
      </c>
      <c r="Q71" s="2"/>
      <c r="R71" s="6">
        <f t="shared" si="52"/>
        <v>0</v>
      </c>
      <c r="S71" s="2"/>
      <c r="T71" s="7">
        <v>-5600</v>
      </c>
      <c r="U71" s="2"/>
      <c r="V71" s="6">
        <f t="shared" si="53"/>
        <v>0</v>
      </c>
      <c r="W71" s="2"/>
      <c r="X71" s="7">
        <f t="shared" si="54"/>
        <v>1600</v>
      </c>
      <c r="Y71" s="2"/>
      <c r="Z71" s="6">
        <f t="shared" si="55"/>
        <v>-0.2857142857142857</v>
      </c>
    </row>
    <row r="72" spans="1:26" s="27" customFormat="1" outlineLevel="1" collapsed="1" x14ac:dyDescent="0.25">
      <c r="A72" s="26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SUM(OSRRefD22_15x_0)</f>
        <v>10109.849999999999</v>
      </c>
      <c r="E72" s="1"/>
      <c r="F72" s="5">
        <f t="shared" si="48"/>
        <v>0</v>
      </c>
      <c r="G72" s="1"/>
      <c r="H72" s="1">
        <f>SUM(OSRRefH22_15x_0)</f>
        <v>7000</v>
      </c>
      <c r="I72" s="1"/>
      <c r="J72" s="5">
        <f t="shared" si="49"/>
        <v>0</v>
      </c>
      <c r="K72" s="1"/>
      <c r="L72" s="1">
        <f t="shared" si="50"/>
        <v>3109.8499999999985</v>
      </c>
      <c r="M72" s="1"/>
      <c r="N72" s="5">
        <f t="shared" si="51"/>
        <v>0.4442642857142855</v>
      </c>
      <c r="O72" s="13"/>
      <c r="P72" s="1">
        <f>SUM(OSRRefP22_15x_0)</f>
        <v>54948.53</v>
      </c>
      <c r="Q72" s="1"/>
      <c r="R72" s="5">
        <f t="shared" si="52"/>
        <v>0</v>
      </c>
      <c r="S72" s="1"/>
      <c r="T72" s="1">
        <f>SUM(OSRRefT22_15x_0)</f>
        <v>91285</v>
      </c>
      <c r="U72" s="1"/>
      <c r="V72" s="5">
        <f t="shared" si="53"/>
        <v>0</v>
      </c>
      <c r="W72" s="1"/>
      <c r="X72" s="1">
        <f t="shared" si="54"/>
        <v>-36336.47</v>
      </c>
      <c r="Y72" s="1"/>
      <c r="Z72" s="5">
        <f t="shared" si="55"/>
        <v>-0.3980552116996221</v>
      </c>
    </row>
    <row r="73" spans="1:26" s="24" customFormat="1" hidden="1" outlineLevel="2" x14ac:dyDescent="0.25">
      <c r="A73" s="25"/>
      <c r="B73" s="11" t="str">
        <f>CONCATENATE("          ", "6371", " - ", "COMPUTER SOFTWARE MAINTENANCE")</f>
        <v xml:space="preserve">          6371 - COMPUTER SOFTWARE MAINTENANCE</v>
      </c>
      <c r="C73" s="11"/>
      <c r="D73" s="7">
        <v>601</v>
      </c>
      <c r="E73" s="2"/>
      <c r="F73" s="6">
        <f t="shared" si="48"/>
        <v>0</v>
      </c>
      <c r="G73" s="2"/>
      <c r="H73" s="7"/>
      <c r="I73" s="2"/>
      <c r="J73" s="6">
        <f t="shared" si="49"/>
        <v>0</v>
      </c>
      <c r="K73" s="2"/>
      <c r="L73" s="7">
        <f t="shared" si="50"/>
        <v>601</v>
      </c>
      <c r="M73" s="2"/>
      <c r="N73" s="6">
        <f t="shared" si="51"/>
        <v>0</v>
      </c>
      <c r="O73" s="11"/>
      <c r="P73" s="7">
        <v>14554.4</v>
      </c>
      <c r="Q73" s="2"/>
      <c r="R73" s="6">
        <f t="shared" si="52"/>
        <v>0</v>
      </c>
      <c r="S73" s="2"/>
      <c r="T73" s="7">
        <v>48535</v>
      </c>
      <c r="U73" s="2"/>
      <c r="V73" s="6">
        <f t="shared" si="53"/>
        <v>0</v>
      </c>
      <c r="W73" s="2"/>
      <c r="X73" s="7">
        <f t="shared" si="54"/>
        <v>-33980.6</v>
      </c>
      <c r="Y73" s="2"/>
      <c r="Z73" s="6">
        <f t="shared" si="55"/>
        <v>-0.700125682497167</v>
      </c>
    </row>
    <row r="74" spans="1:26" s="24" customFormat="1" hidden="1" outlineLevel="2" x14ac:dyDescent="0.25">
      <c r="A74" s="25"/>
      <c r="B74" s="11" t="str">
        <f>CONCATENATE("          ", "6372", " - ", "COMPUTER HARDWARE MAINTENANCE")</f>
        <v xml:space="preserve">          6372 - COMPUTER HARDWARE MAINTENANCE</v>
      </c>
      <c r="C74" s="11"/>
      <c r="D74" s="7">
        <v>52.32</v>
      </c>
      <c r="E74" s="2"/>
      <c r="F74" s="6">
        <f t="shared" si="48"/>
        <v>0</v>
      </c>
      <c r="G74" s="2"/>
      <c r="H74" s="7"/>
      <c r="I74" s="2"/>
      <c r="J74" s="6">
        <f t="shared" si="49"/>
        <v>0</v>
      </c>
      <c r="K74" s="2"/>
      <c r="L74" s="7">
        <f t="shared" si="50"/>
        <v>52.32</v>
      </c>
      <c r="M74" s="2"/>
      <c r="N74" s="6">
        <f t="shared" si="51"/>
        <v>0</v>
      </c>
      <c r="O74" s="11"/>
      <c r="P74" s="7">
        <v>52.32</v>
      </c>
      <c r="Q74" s="2"/>
      <c r="R74" s="6">
        <f t="shared" si="52"/>
        <v>0</v>
      </c>
      <c r="S74" s="2"/>
      <c r="T74" s="7"/>
      <c r="U74" s="2"/>
      <c r="V74" s="6">
        <f t="shared" si="53"/>
        <v>0</v>
      </c>
      <c r="W74" s="2"/>
      <c r="X74" s="7">
        <f t="shared" si="54"/>
        <v>52.32</v>
      </c>
      <c r="Y74" s="2"/>
      <c r="Z74" s="6">
        <f t="shared" si="55"/>
        <v>0</v>
      </c>
    </row>
    <row r="75" spans="1:26" s="24" customFormat="1" hidden="1" outlineLevel="2" x14ac:dyDescent="0.25">
      <c r="A75" s="25"/>
      <c r="B75" s="11" t="str">
        <f>CONCATENATE("          ", "6373", " - ", "MAINTENANCE CONTRACTS")</f>
        <v xml:space="preserve">          6373 - MAINTENANCE CONTRACTS</v>
      </c>
      <c r="C75" s="11"/>
      <c r="D75" s="7">
        <v>4108</v>
      </c>
      <c r="E75" s="2"/>
      <c r="F75" s="6">
        <f t="shared" si="48"/>
        <v>0</v>
      </c>
      <c r="G75" s="2"/>
      <c r="H75" s="7"/>
      <c r="I75" s="2"/>
      <c r="J75" s="6">
        <f t="shared" si="49"/>
        <v>0</v>
      </c>
      <c r="K75" s="2"/>
      <c r="L75" s="7">
        <f t="shared" si="50"/>
        <v>4108</v>
      </c>
      <c r="M75" s="2"/>
      <c r="N75" s="6">
        <f t="shared" si="51"/>
        <v>0</v>
      </c>
      <c r="O75" s="11"/>
      <c r="P75" s="7">
        <v>7244.37</v>
      </c>
      <c r="Q75" s="2"/>
      <c r="R75" s="6">
        <f t="shared" si="52"/>
        <v>0</v>
      </c>
      <c r="S75" s="2"/>
      <c r="T75" s="7"/>
      <c r="U75" s="2"/>
      <c r="V75" s="6">
        <f t="shared" si="53"/>
        <v>0</v>
      </c>
      <c r="W75" s="2"/>
      <c r="X75" s="7">
        <f t="shared" si="54"/>
        <v>7244.37</v>
      </c>
      <c r="Y75" s="2"/>
      <c r="Z75" s="6">
        <f t="shared" si="55"/>
        <v>0</v>
      </c>
    </row>
    <row r="76" spans="1:26" s="24" customFormat="1" hidden="1" outlineLevel="2" x14ac:dyDescent="0.25">
      <c r="A76" s="25"/>
      <c r="B76" s="11" t="str">
        <f>CONCATENATE("          ", "6375", " - ", "OUTSIDE REPAIRS &amp; MAINTENANCE")</f>
        <v xml:space="preserve">          6375 - OUTSIDE REPAIRS &amp; MAINTENANCE</v>
      </c>
      <c r="C76" s="11"/>
      <c r="D76" s="7">
        <v>5348.53</v>
      </c>
      <c r="E76" s="2"/>
      <c r="F76" s="6">
        <f t="shared" si="48"/>
        <v>0</v>
      </c>
      <c r="G76" s="2"/>
      <c r="H76" s="7">
        <v>7000</v>
      </c>
      <c r="I76" s="2"/>
      <c r="J76" s="6">
        <f t="shared" si="49"/>
        <v>0</v>
      </c>
      <c r="K76" s="2"/>
      <c r="L76" s="7">
        <f t="shared" si="50"/>
        <v>-1651.4700000000003</v>
      </c>
      <c r="M76" s="2"/>
      <c r="N76" s="6">
        <f t="shared" si="51"/>
        <v>-0.23592428571428575</v>
      </c>
      <c r="O76" s="11"/>
      <c r="P76" s="7">
        <v>33097.440000000002</v>
      </c>
      <c r="Q76" s="2"/>
      <c r="R76" s="6">
        <f t="shared" si="52"/>
        <v>0</v>
      </c>
      <c r="S76" s="2"/>
      <c r="T76" s="7">
        <v>42750</v>
      </c>
      <c r="U76" s="2"/>
      <c r="V76" s="6">
        <f t="shared" si="53"/>
        <v>0</v>
      </c>
      <c r="W76" s="2"/>
      <c r="X76" s="7">
        <f t="shared" si="54"/>
        <v>-9652.5599999999977</v>
      </c>
      <c r="Y76" s="2"/>
      <c r="Z76" s="6">
        <f t="shared" si="55"/>
        <v>-0.22579087719298241</v>
      </c>
    </row>
    <row r="77" spans="1:26" s="27" customFormat="1" outlineLevel="1" collapsed="1" x14ac:dyDescent="0.25">
      <c r="A77" s="26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SUM(OSRRefD22_16x_0)</f>
        <v>4330.68</v>
      </c>
      <c r="E77" s="1"/>
      <c r="F77" s="5">
        <f t="shared" ref="F77:F80" si="56">IF(D$12=0,0,D77/D$12)</f>
        <v>0</v>
      </c>
      <c r="G77" s="1"/>
      <c r="H77" s="1">
        <f>SUM(OSRRefH22_16x_0)</f>
        <v>4100</v>
      </c>
      <c r="I77" s="1"/>
      <c r="J77" s="5">
        <f t="shared" ref="J77:J80" si="57">IF(H$12=0,0,H77/H$12)</f>
        <v>0</v>
      </c>
      <c r="K77" s="1"/>
      <c r="L77" s="1">
        <f t="shared" ref="L77:L80" si="58">+D77-H77</f>
        <v>230.68000000000029</v>
      </c>
      <c r="M77" s="1"/>
      <c r="N77" s="5">
        <f t="shared" ref="N77:N80" si="59">IF(H77=0,0,L77/H77)</f>
        <v>5.6263414634146414E-2</v>
      </c>
      <c r="O77" s="13"/>
      <c r="P77" s="1">
        <f>SUM(OSRRefP22_16x_0)</f>
        <v>28489.589999999997</v>
      </c>
      <c r="Q77" s="1"/>
      <c r="R77" s="5">
        <f t="shared" ref="R77:R80" si="60">IF(P$12=0,0,P77/P$12)</f>
        <v>0</v>
      </c>
      <c r="S77" s="1"/>
      <c r="T77" s="1">
        <f>SUM(OSRRefT22_16x_0)</f>
        <v>28700</v>
      </c>
      <c r="U77" s="1"/>
      <c r="V77" s="5">
        <f t="shared" ref="V77:V80" si="61">IF(T$12=0,0,T77/T$12)</f>
        <v>0</v>
      </c>
      <c r="W77" s="1"/>
      <c r="X77" s="1">
        <f t="shared" ref="X77:X80" si="62">+P77-T77</f>
        <v>-210.41000000000349</v>
      </c>
      <c r="Y77" s="1"/>
      <c r="Z77" s="5">
        <f t="shared" ref="Z77:Z80" si="63">IF(T77=0,0,X77/T77)</f>
        <v>-7.3313588850175433E-3</v>
      </c>
    </row>
    <row r="78" spans="1:26" s="24" customFormat="1" hidden="1" outlineLevel="2" x14ac:dyDescent="0.25">
      <c r="A78" s="25"/>
      <c r="B78" s="11" t="str">
        <f>CONCATENATE("          ", "6282", " - ", "JANITORIAL/EXTERMINATOR EXPENS")</f>
        <v xml:space="preserve">          6282 - JANITORIAL/EXTERMINATOR EXPENS</v>
      </c>
      <c r="C78" s="11"/>
      <c r="D78" s="7">
        <v>222.5</v>
      </c>
      <c r="E78" s="2"/>
      <c r="F78" s="6">
        <f t="shared" si="56"/>
        <v>0</v>
      </c>
      <c r="G78" s="2"/>
      <c r="H78" s="7"/>
      <c r="I78" s="2"/>
      <c r="J78" s="6">
        <f t="shared" si="57"/>
        <v>0</v>
      </c>
      <c r="K78" s="2"/>
      <c r="L78" s="7">
        <f t="shared" si="58"/>
        <v>222.5</v>
      </c>
      <c r="M78" s="2"/>
      <c r="N78" s="6">
        <f t="shared" si="59"/>
        <v>0</v>
      </c>
      <c r="O78" s="11"/>
      <c r="P78" s="7">
        <v>1557.5</v>
      </c>
      <c r="Q78" s="2"/>
      <c r="R78" s="6">
        <f t="shared" si="60"/>
        <v>0</v>
      </c>
      <c r="S78" s="2"/>
      <c r="T78" s="7"/>
      <c r="U78" s="2"/>
      <c r="V78" s="6">
        <f t="shared" si="61"/>
        <v>0</v>
      </c>
      <c r="W78" s="2"/>
      <c r="X78" s="7">
        <f t="shared" si="62"/>
        <v>1557.5</v>
      </c>
      <c r="Y78" s="2"/>
      <c r="Z78" s="6">
        <f t="shared" si="63"/>
        <v>0</v>
      </c>
    </row>
    <row r="79" spans="1:26" s="24" customFormat="1" hidden="1" outlineLevel="2" x14ac:dyDescent="0.25">
      <c r="A79" s="25"/>
      <c r="B79" s="11" t="str">
        <f>CONCATENATE("          ", "6283", " - ", "PLANT SERVICE")</f>
        <v xml:space="preserve">          6283 - PLANT SERVICE</v>
      </c>
      <c r="C79" s="11"/>
      <c r="D79" s="7"/>
      <c r="E79" s="2"/>
      <c r="F79" s="6">
        <f t="shared" si="56"/>
        <v>0</v>
      </c>
      <c r="G79" s="2"/>
      <c r="H79" s="7"/>
      <c r="I79" s="2"/>
      <c r="J79" s="6">
        <f t="shared" si="57"/>
        <v>0</v>
      </c>
      <c r="K79" s="2"/>
      <c r="L79" s="7">
        <f t="shared" si="58"/>
        <v>0</v>
      </c>
      <c r="M79" s="2"/>
      <c r="N79" s="6">
        <f t="shared" si="59"/>
        <v>0</v>
      </c>
      <c r="O79" s="11"/>
      <c r="P79" s="7">
        <v>363.33</v>
      </c>
      <c r="Q79" s="2"/>
      <c r="R79" s="6">
        <f t="shared" si="60"/>
        <v>0</v>
      </c>
      <c r="S79" s="2"/>
      <c r="T79" s="7"/>
      <c r="U79" s="2"/>
      <c r="V79" s="6">
        <f t="shared" si="61"/>
        <v>0</v>
      </c>
      <c r="W79" s="2"/>
      <c r="X79" s="7">
        <f t="shared" si="62"/>
        <v>363.33</v>
      </c>
      <c r="Y79" s="2"/>
      <c r="Z79" s="6">
        <f t="shared" si="63"/>
        <v>0</v>
      </c>
    </row>
    <row r="80" spans="1:26" s="24" customFormat="1" hidden="1" outlineLevel="2" x14ac:dyDescent="0.25">
      <c r="A80" s="25"/>
      <c r="B80" s="11" t="str">
        <f>CONCATENATE("          ", "6285", " - ", "JANITORIAL SERVICES")</f>
        <v xml:space="preserve">          6285 - JANITORIAL SERVICES</v>
      </c>
      <c r="C80" s="11"/>
      <c r="D80" s="7">
        <v>4108.18</v>
      </c>
      <c r="E80" s="2"/>
      <c r="F80" s="6">
        <f t="shared" si="56"/>
        <v>0</v>
      </c>
      <c r="G80" s="2"/>
      <c r="H80" s="7">
        <v>4100</v>
      </c>
      <c r="I80" s="2"/>
      <c r="J80" s="6">
        <f t="shared" si="57"/>
        <v>0</v>
      </c>
      <c r="K80" s="2"/>
      <c r="L80" s="7">
        <f t="shared" si="58"/>
        <v>8.180000000000291</v>
      </c>
      <c r="M80" s="2"/>
      <c r="N80" s="6">
        <f t="shared" si="59"/>
        <v>1.995121951219583E-3</v>
      </c>
      <c r="O80" s="11"/>
      <c r="P80" s="7">
        <v>26568.76</v>
      </c>
      <c r="Q80" s="2"/>
      <c r="R80" s="6">
        <f t="shared" si="60"/>
        <v>0</v>
      </c>
      <c r="S80" s="2"/>
      <c r="T80" s="7">
        <v>28700</v>
      </c>
      <c r="U80" s="2"/>
      <c r="V80" s="6">
        <f t="shared" si="61"/>
        <v>0</v>
      </c>
      <c r="W80" s="2"/>
      <c r="X80" s="7">
        <f t="shared" si="62"/>
        <v>-2131.2400000000016</v>
      </c>
      <c r="Y80" s="2"/>
      <c r="Z80" s="6">
        <f t="shared" si="63"/>
        <v>-7.4259233449477408E-2</v>
      </c>
    </row>
    <row r="81" spans="1:26" s="27" customFormat="1" outlineLevel="1" collapsed="1" x14ac:dyDescent="0.25">
      <c r="A81" s="26"/>
      <c r="B81" s="13" t="str">
        <f>CONCATENATE("     ","Subscriptions &amp; Dues                              ")</f>
        <v xml:space="preserve">     Subscriptions &amp; Dues                              </v>
      </c>
      <c r="C81" s="13"/>
      <c r="D81" s="1">
        <f>SUM(OSRRefD22_17x_0)</f>
        <v>0</v>
      </c>
      <c r="E81" s="1"/>
      <c r="F81" s="5">
        <f t="shared" ref="F81:F83" si="64">IF(D$12=0,0,D81/D$12)</f>
        <v>0</v>
      </c>
      <c r="G81" s="1"/>
      <c r="H81" s="1">
        <f>SUM(OSRRefH22_17x_0)</f>
        <v>100</v>
      </c>
      <c r="I81" s="1"/>
      <c r="J81" s="5">
        <f t="shared" ref="J81:J83" si="65">IF(H$12=0,0,H81/H$12)</f>
        <v>0</v>
      </c>
      <c r="K81" s="1"/>
      <c r="L81" s="1">
        <f t="shared" ref="L81:L83" si="66">+D81-H81</f>
        <v>-100</v>
      </c>
      <c r="M81" s="1"/>
      <c r="N81" s="5">
        <f t="shared" ref="N81:N83" si="67">IF(H81=0,0,L81/H81)</f>
        <v>-1</v>
      </c>
      <c r="O81" s="13"/>
      <c r="P81" s="1">
        <f>SUM(OSRRefP22_17x_0)</f>
        <v>405.3</v>
      </c>
      <c r="Q81" s="1"/>
      <c r="R81" s="5">
        <f t="shared" ref="R81:R83" si="68">IF(P$12=0,0,P81/P$12)</f>
        <v>0</v>
      </c>
      <c r="S81" s="1"/>
      <c r="T81" s="1">
        <f>SUM(OSRRefT22_17x_0)</f>
        <v>5545</v>
      </c>
      <c r="U81" s="1"/>
      <c r="V81" s="5">
        <f t="shared" ref="V81:V83" si="69">IF(T$12=0,0,T81/T$12)</f>
        <v>0</v>
      </c>
      <c r="W81" s="1"/>
      <c r="X81" s="1">
        <f t="shared" ref="X81:X83" si="70">+P81-T81</f>
        <v>-5139.7</v>
      </c>
      <c r="Y81" s="1"/>
      <c r="Z81" s="5">
        <f t="shared" ref="Z81:Z83" si="71">IF(T81=0,0,X81/T81)</f>
        <v>-0.92690712353471594</v>
      </c>
    </row>
    <row r="82" spans="1:26" s="24" customFormat="1" hidden="1" outlineLevel="2" x14ac:dyDescent="0.25">
      <c r="A82" s="25"/>
      <c r="B82" s="11" t="str">
        <f>CONCATENATE("          ", "6258", " - ", "MEMBERSHIP DUES")</f>
        <v xml:space="preserve">          6258 - MEMBERSHIP DUES</v>
      </c>
      <c r="C82" s="11"/>
      <c r="D82" s="7"/>
      <c r="E82" s="2"/>
      <c r="F82" s="6">
        <f t="shared" si="64"/>
        <v>0</v>
      </c>
      <c r="G82" s="2"/>
      <c r="H82" s="7">
        <v>100</v>
      </c>
      <c r="I82" s="2"/>
      <c r="J82" s="6">
        <f t="shared" si="65"/>
        <v>0</v>
      </c>
      <c r="K82" s="2"/>
      <c r="L82" s="7">
        <f t="shared" si="66"/>
        <v>-100</v>
      </c>
      <c r="M82" s="2"/>
      <c r="N82" s="6">
        <f t="shared" si="67"/>
        <v>-1</v>
      </c>
      <c r="O82" s="11"/>
      <c r="P82" s="7"/>
      <c r="Q82" s="2"/>
      <c r="R82" s="6">
        <f t="shared" si="68"/>
        <v>0</v>
      </c>
      <c r="S82" s="2"/>
      <c r="T82" s="7">
        <v>5545</v>
      </c>
      <c r="U82" s="2"/>
      <c r="V82" s="6">
        <f t="shared" si="69"/>
        <v>0</v>
      </c>
      <c r="W82" s="2"/>
      <c r="X82" s="7">
        <f t="shared" si="70"/>
        <v>-5545</v>
      </c>
      <c r="Y82" s="2"/>
      <c r="Z82" s="6">
        <f t="shared" si="71"/>
        <v>-1</v>
      </c>
    </row>
    <row r="83" spans="1:26" s="24" customFormat="1" hidden="1" outlineLevel="2" x14ac:dyDescent="0.25">
      <c r="A83" s="25"/>
      <c r="B83" s="11" t="str">
        <f>CONCATENATE("          ", "6275", " - ", "SUBSCRIPTIONS")</f>
        <v xml:space="preserve">          6275 - SUBSCRIPTIONS</v>
      </c>
      <c r="C83" s="11"/>
      <c r="D83" s="7"/>
      <c r="E83" s="2"/>
      <c r="F83" s="6">
        <f t="shared" si="64"/>
        <v>0</v>
      </c>
      <c r="G83" s="2"/>
      <c r="H83" s="7"/>
      <c r="I83" s="2"/>
      <c r="J83" s="6">
        <f t="shared" si="65"/>
        <v>0</v>
      </c>
      <c r="K83" s="2"/>
      <c r="L83" s="7">
        <f t="shared" si="66"/>
        <v>0</v>
      </c>
      <c r="M83" s="2"/>
      <c r="N83" s="6">
        <f t="shared" si="67"/>
        <v>0</v>
      </c>
      <c r="O83" s="11"/>
      <c r="P83" s="7">
        <v>405.3</v>
      </c>
      <c r="Q83" s="2"/>
      <c r="R83" s="6">
        <f t="shared" si="68"/>
        <v>0</v>
      </c>
      <c r="S83" s="2"/>
      <c r="T83" s="7"/>
      <c r="U83" s="2"/>
      <c r="V83" s="6">
        <f t="shared" si="69"/>
        <v>0</v>
      </c>
      <c r="W83" s="2"/>
      <c r="X83" s="7">
        <f t="shared" si="70"/>
        <v>405.3</v>
      </c>
      <c r="Y83" s="2"/>
      <c r="Z83" s="6">
        <f t="shared" si="71"/>
        <v>0</v>
      </c>
    </row>
    <row r="84" spans="1:26" s="27" customFormat="1" outlineLevel="1" collapsed="1" x14ac:dyDescent="0.25">
      <c r="A84" s="26"/>
      <c r="B84" s="13" t="str">
        <f>CONCATENATE("     ","Supplies                                          ")</f>
        <v xml:space="preserve">     Supplies                                          </v>
      </c>
      <c r="C84" s="13"/>
      <c r="D84" s="1">
        <f>SUM(OSRRefD22_18x_0)</f>
        <v>2012.2399999999998</v>
      </c>
      <c r="E84" s="1"/>
      <c r="F84" s="5">
        <f t="shared" ref="F84:F90" si="72">IF(D$12=0,0,D84/D$12)</f>
        <v>0</v>
      </c>
      <c r="G84" s="1"/>
      <c r="H84" s="1">
        <f>SUM(OSRRefH22_18x_0)</f>
        <v>4250</v>
      </c>
      <c r="I84" s="1"/>
      <c r="J84" s="5">
        <f t="shared" ref="J84:J90" si="73">IF(H$12=0,0,H84/H$12)</f>
        <v>0</v>
      </c>
      <c r="K84" s="1"/>
      <c r="L84" s="1">
        <f t="shared" ref="L84:L90" si="74">+D84-H84</f>
        <v>-2237.7600000000002</v>
      </c>
      <c r="M84" s="1"/>
      <c r="N84" s="5">
        <f t="shared" ref="N84:N90" si="75">IF(H84=0,0,L84/H84)</f>
        <v>-0.52653176470588237</v>
      </c>
      <c r="O84" s="13"/>
      <c r="P84" s="1">
        <f>SUM(OSRRefP22_18x_0)</f>
        <v>12334.72</v>
      </c>
      <c r="Q84" s="1"/>
      <c r="R84" s="5">
        <f t="shared" ref="R84:R90" si="76">IF(P$12=0,0,P84/P$12)</f>
        <v>0</v>
      </c>
      <c r="S84" s="1"/>
      <c r="T84" s="1">
        <f>SUM(OSRRefT22_18x_0)</f>
        <v>29850</v>
      </c>
      <c r="U84" s="1"/>
      <c r="V84" s="5">
        <f t="shared" ref="V84:V90" si="77">IF(T$12=0,0,T84/T$12)</f>
        <v>0</v>
      </c>
      <c r="W84" s="1"/>
      <c r="X84" s="1">
        <f t="shared" ref="X84:X90" si="78">+P84-T84</f>
        <v>-17515.28</v>
      </c>
      <c r="Y84" s="1"/>
      <c r="Z84" s="5">
        <f t="shared" ref="Z84:Z90" si="79">IF(T84=0,0,X84/T84)</f>
        <v>-0.58677654941373525</v>
      </c>
    </row>
    <row r="85" spans="1:26" s="24" customFormat="1" hidden="1" outlineLevel="2" x14ac:dyDescent="0.25">
      <c r="A85" s="25"/>
      <c r="B85" s="11" t="str">
        <f>CONCATENATE("          ", "6234", " - ", "EXPENDABLE SUPPLIES &amp; EQUIPMEN")</f>
        <v xml:space="preserve">          6234 - EXPENDABLE SUPPLIES &amp; EQUIPMEN</v>
      </c>
      <c r="C85" s="11"/>
      <c r="D85" s="7">
        <v>522.41999999999996</v>
      </c>
      <c r="E85" s="2"/>
      <c r="F85" s="6">
        <f t="shared" si="72"/>
        <v>0</v>
      </c>
      <c r="G85" s="2"/>
      <c r="H85" s="7"/>
      <c r="I85" s="2"/>
      <c r="J85" s="6">
        <f t="shared" si="73"/>
        <v>0</v>
      </c>
      <c r="K85" s="2"/>
      <c r="L85" s="7">
        <f t="shared" si="74"/>
        <v>522.41999999999996</v>
      </c>
      <c r="M85" s="2"/>
      <c r="N85" s="6">
        <f t="shared" si="75"/>
        <v>0</v>
      </c>
      <c r="O85" s="11"/>
      <c r="P85" s="7">
        <v>1307.54</v>
      </c>
      <c r="Q85" s="2"/>
      <c r="R85" s="6">
        <f t="shared" si="76"/>
        <v>0</v>
      </c>
      <c r="S85" s="2"/>
      <c r="T85" s="7"/>
      <c r="U85" s="2"/>
      <c r="V85" s="6">
        <f t="shared" si="77"/>
        <v>0</v>
      </c>
      <c r="W85" s="2"/>
      <c r="X85" s="7">
        <f t="shared" si="78"/>
        <v>1307.54</v>
      </c>
      <c r="Y85" s="2"/>
      <c r="Z85" s="6">
        <f t="shared" si="79"/>
        <v>0</v>
      </c>
    </row>
    <row r="86" spans="1:26" s="24" customFormat="1" hidden="1" outlineLevel="2" x14ac:dyDescent="0.25">
      <c r="A86" s="25"/>
      <c r="B86" s="11" t="str">
        <f>CONCATENATE("          ", "6237", " - ", "JANITORIAL SUPPLIES")</f>
        <v xml:space="preserve">          6237 - JANITORIAL SUPPLIES</v>
      </c>
      <c r="C86" s="11"/>
      <c r="D86" s="7">
        <v>792.65</v>
      </c>
      <c r="E86" s="2"/>
      <c r="F86" s="6">
        <f t="shared" si="72"/>
        <v>0</v>
      </c>
      <c r="G86" s="2"/>
      <c r="H86" s="7"/>
      <c r="I86" s="2"/>
      <c r="J86" s="6">
        <f t="shared" si="73"/>
        <v>0</v>
      </c>
      <c r="K86" s="2"/>
      <c r="L86" s="7">
        <f t="shared" si="74"/>
        <v>792.65</v>
      </c>
      <c r="M86" s="2"/>
      <c r="N86" s="6">
        <f t="shared" si="75"/>
        <v>0</v>
      </c>
      <c r="O86" s="11"/>
      <c r="P86" s="7">
        <v>3267.46</v>
      </c>
      <c r="Q86" s="2"/>
      <c r="R86" s="6">
        <f t="shared" si="76"/>
        <v>0</v>
      </c>
      <c r="S86" s="2"/>
      <c r="T86" s="7"/>
      <c r="U86" s="2"/>
      <c r="V86" s="6">
        <f t="shared" si="77"/>
        <v>0</v>
      </c>
      <c r="W86" s="2"/>
      <c r="X86" s="7">
        <f t="shared" si="78"/>
        <v>3267.46</v>
      </c>
      <c r="Y86" s="2"/>
      <c r="Z86" s="6">
        <f t="shared" si="79"/>
        <v>0</v>
      </c>
    </row>
    <row r="87" spans="1:26" s="24" customFormat="1" hidden="1" outlineLevel="2" x14ac:dyDescent="0.25">
      <c r="A87" s="25"/>
      <c r="B87" s="11" t="str">
        <f>CONCATENATE("          ", "6241", " - ", "OFFICE EXPENSE")</f>
        <v xml:space="preserve">          6241 - OFFICE EXPENSE</v>
      </c>
      <c r="C87" s="11"/>
      <c r="D87" s="7">
        <v>938.32</v>
      </c>
      <c r="E87" s="2"/>
      <c r="F87" s="6">
        <f t="shared" si="72"/>
        <v>0</v>
      </c>
      <c r="G87" s="2"/>
      <c r="H87" s="7"/>
      <c r="I87" s="2"/>
      <c r="J87" s="6">
        <f t="shared" si="73"/>
        <v>0</v>
      </c>
      <c r="K87" s="2"/>
      <c r="L87" s="7">
        <f t="shared" si="74"/>
        <v>938.32</v>
      </c>
      <c r="M87" s="2"/>
      <c r="N87" s="6">
        <f t="shared" si="75"/>
        <v>0</v>
      </c>
      <c r="O87" s="11"/>
      <c r="P87" s="7">
        <v>7999.61</v>
      </c>
      <c r="Q87" s="2"/>
      <c r="R87" s="6">
        <f t="shared" si="76"/>
        <v>0</v>
      </c>
      <c r="S87" s="2"/>
      <c r="T87" s="7"/>
      <c r="U87" s="2"/>
      <c r="V87" s="6">
        <f t="shared" si="77"/>
        <v>0</v>
      </c>
      <c r="W87" s="2"/>
      <c r="X87" s="7">
        <f t="shared" si="78"/>
        <v>7999.61</v>
      </c>
      <c r="Y87" s="2"/>
      <c r="Z87" s="6">
        <f t="shared" si="79"/>
        <v>0</v>
      </c>
    </row>
    <row r="88" spans="1:26" s="24" customFormat="1" hidden="1" outlineLevel="2" x14ac:dyDescent="0.25">
      <c r="A88" s="25"/>
      <c r="B88" s="11" t="str">
        <f>CONCATENATE("          ", "6245", " - ", "PRINTING")</f>
        <v xml:space="preserve">          6245 - PRINTING</v>
      </c>
      <c r="C88" s="11"/>
      <c r="D88" s="7"/>
      <c r="E88" s="2"/>
      <c r="F88" s="6">
        <f t="shared" si="72"/>
        <v>0</v>
      </c>
      <c r="G88" s="2"/>
      <c r="H88" s="7"/>
      <c r="I88" s="2"/>
      <c r="J88" s="6">
        <f t="shared" si="73"/>
        <v>0</v>
      </c>
      <c r="K88" s="2"/>
      <c r="L88" s="7">
        <f t="shared" si="74"/>
        <v>0</v>
      </c>
      <c r="M88" s="2"/>
      <c r="N88" s="6">
        <f t="shared" si="75"/>
        <v>0</v>
      </c>
      <c r="O88" s="11"/>
      <c r="P88" s="7">
        <v>19.73</v>
      </c>
      <c r="Q88" s="2"/>
      <c r="R88" s="6">
        <f t="shared" si="76"/>
        <v>0</v>
      </c>
      <c r="S88" s="2"/>
      <c r="T88" s="7"/>
      <c r="U88" s="2"/>
      <c r="V88" s="6">
        <f t="shared" si="77"/>
        <v>0</v>
      </c>
      <c r="W88" s="2"/>
      <c r="X88" s="7">
        <f t="shared" si="78"/>
        <v>19.73</v>
      </c>
      <c r="Y88" s="2"/>
      <c r="Z88" s="6">
        <f t="shared" si="79"/>
        <v>0</v>
      </c>
    </row>
    <row r="89" spans="1:26" s="24" customFormat="1" hidden="1" outlineLevel="2" x14ac:dyDescent="0.25">
      <c r="A89" s="25"/>
      <c r="B89" s="11" t="str">
        <f>CONCATENATE("          ", "6247", " - ", "STORE SUPPLIES")</f>
        <v xml:space="preserve">          6247 - STORE SUPPLIES</v>
      </c>
      <c r="C89" s="11"/>
      <c r="D89" s="7">
        <v>-241.15</v>
      </c>
      <c r="E89" s="2"/>
      <c r="F89" s="6">
        <f t="shared" si="72"/>
        <v>0</v>
      </c>
      <c r="G89" s="2"/>
      <c r="H89" s="7">
        <v>3250</v>
      </c>
      <c r="I89" s="2"/>
      <c r="J89" s="6">
        <f t="shared" si="73"/>
        <v>0</v>
      </c>
      <c r="K89" s="2"/>
      <c r="L89" s="7">
        <f t="shared" si="74"/>
        <v>-3491.15</v>
      </c>
      <c r="M89" s="2"/>
      <c r="N89" s="6">
        <f t="shared" si="75"/>
        <v>-1.0742</v>
      </c>
      <c r="O89" s="11"/>
      <c r="P89" s="7">
        <v>-259.62</v>
      </c>
      <c r="Q89" s="2"/>
      <c r="R89" s="6">
        <f t="shared" si="76"/>
        <v>0</v>
      </c>
      <c r="S89" s="2"/>
      <c r="T89" s="7">
        <v>22850</v>
      </c>
      <c r="U89" s="2"/>
      <c r="V89" s="6">
        <f t="shared" si="77"/>
        <v>0</v>
      </c>
      <c r="W89" s="2"/>
      <c r="X89" s="7">
        <f t="shared" si="78"/>
        <v>-23109.62</v>
      </c>
      <c r="Y89" s="2"/>
      <c r="Z89" s="6">
        <f t="shared" si="79"/>
        <v>-1.0113619256017505</v>
      </c>
    </row>
    <row r="90" spans="1:26" s="24" customFormat="1" hidden="1" outlineLevel="2" x14ac:dyDescent="0.25">
      <c r="A90" s="25"/>
      <c r="B90" s="11" t="str">
        <f>CONCATENATE("          ", "6248", " - ", "UNIFORMS")</f>
        <v xml:space="preserve">          6248 - UNIFORMS</v>
      </c>
      <c r="C90" s="11"/>
      <c r="D90" s="7"/>
      <c r="E90" s="2"/>
      <c r="F90" s="6">
        <f t="shared" si="72"/>
        <v>0</v>
      </c>
      <c r="G90" s="2"/>
      <c r="H90" s="7">
        <v>1000</v>
      </c>
      <c r="I90" s="2"/>
      <c r="J90" s="6">
        <f t="shared" si="73"/>
        <v>0</v>
      </c>
      <c r="K90" s="2"/>
      <c r="L90" s="7">
        <f t="shared" si="74"/>
        <v>-1000</v>
      </c>
      <c r="M90" s="2"/>
      <c r="N90" s="6">
        <f t="shared" si="75"/>
        <v>-1</v>
      </c>
      <c r="O90" s="11"/>
      <c r="P90" s="7"/>
      <c r="Q90" s="2"/>
      <c r="R90" s="6">
        <f t="shared" si="76"/>
        <v>0</v>
      </c>
      <c r="S90" s="2"/>
      <c r="T90" s="7">
        <v>7000</v>
      </c>
      <c r="U90" s="2"/>
      <c r="V90" s="6">
        <f t="shared" si="77"/>
        <v>0</v>
      </c>
      <c r="W90" s="2"/>
      <c r="X90" s="7">
        <f t="shared" si="78"/>
        <v>-7000</v>
      </c>
      <c r="Y90" s="2"/>
      <c r="Z90" s="6">
        <f t="shared" si="79"/>
        <v>-1</v>
      </c>
    </row>
    <row r="91" spans="1:26" s="27" customFormat="1" outlineLevel="1" collapsed="1" x14ac:dyDescent="0.25">
      <c r="A91" s="26"/>
      <c r="B91" s="13" t="str">
        <f>CONCATENATE("     ","Telephone/Data Lines                              ")</f>
        <v xml:space="preserve">     Telephone/Data Lines                              </v>
      </c>
      <c r="C91" s="13"/>
      <c r="D91" s="1">
        <f>SUM(OSRRefD22_19x_0)</f>
        <v>557.88</v>
      </c>
      <c r="E91" s="1"/>
      <c r="F91" s="5">
        <f t="shared" ref="F91:F98" si="80">IF(D$12=0,0,D91/D$12)</f>
        <v>0</v>
      </c>
      <c r="G91" s="1"/>
      <c r="H91" s="1">
        <f>SUM(OSRRefH22_19x_0)</f>
        <v>500</v>
      </c>
      <c r="I91" s="1"/>
      <c r="J91" s="5">
        <f t="shared" ref="J91:J98" si="81">IF(H$12=0,0,H91/H$12)</f>
        <v>0</v>
      </c>
      <c r="K91" s="1"/>
      <c r="L91" s="1">
        <f t="shared" ref="L91:L98" si="82">+D91-H91</f>
        <v>57.879999999999995</v>
      </c>
      <c r="M91" s="1"/>
      <c r="N91" s="5">
        <f t="shared" ref="N91:N98" si="83">IF(H91=0,0,L91/H91)</f>
        <v>0.11575999999999999</v>
      </c>
      <c r="O91" s="13"/>
      <c r="P91" s="1">
        <f>SUM(OSRRefP22_19x_0)</f>
        <v>3700.44</v>
      </c>
      <c r="Q91" s="1"/>
      <c r="R91" s="5">
        <f t="shared" ref="R91:R98" si="84">IF(P$12=0,0,P91/P$12)</f>
        <v>0</v>
      </c>
      <c r="S91" s="1"/>
      <c r="T91" s="1">
        <f>SUM(OSRRefT22_19x_0)</f>
        <v>3500</v>
      </c>
      <c r="U91" s="1"/>
      <c r="V91" s="5">
        <f t="shared" ref="V91:V98" si="85">IF(T$12=0,0,T91/T$12)</f>
        <v>0</v>
      </c>
      <c r="W91" s="1"/>
      <c r="X91" s="1">
        <f t="shared" ref="X91:X98" si="86">+P91-T91</f>
        <v>200.44000000000005</v>
      </c>
      <c r="Y91" s="1"/>
      <c r="Z91" s="5">
        <f t="shared" ref="Z91:Z98" si="87">IF(T91=0,0,X91/T91)</f>
        <v>5.7268571428571446E-2</v>
      </c>
    </row>
    <row r="92" spans="1:26" s="24" customFormat="1" hidden="1" outlineLevel="2" x14ac:dyDescent="0.25">
      <c r="A92" s="25"/>
      <c r="B92" s="11" t="str">
        <f>CONCATENATE("          ", "6309", " - ", "TELEPHONE")</f>
        <v xml:space="preserve">          6309 - TELEPHONE</v>
      </c>
      <c r="C92" s="11"/>
      <c r="D92" s="7">
        <v>557.88</v>
      </c>
      <c r="E92" s="2"/>
      <c r="F92" s="6">
        <f t="shared" si="80"/>
        <v>0</v>
      </c>
      <c r="G92" s="2"/>
      <c r="H92" s="7">
        <v>500</v>
      </c>
      <c r="I92" s="2"/>
      <c r="J92" s="6">
        <f t="shared" si="81"/>
        <v>0</v>
      </c>
      <c r="K92" s="2"/>
      <c r="L92" s="7">
        <f t="shared" si="82"/>
        <v>57.879999999999995</v>
      </c>
      <c r="M92" s="2"/>
      <c r="N92" s="6">
        <f t="shared" si="83"/>
        <v>0.11575999999999999</v>
      </c>
      <c r="O92" s="11"/>
      <c r="P92" s="7">
        <v>3700.44</v>
      </c>
      <c r="Q92" s="2"/>
      <c r="R92" s="6">
        <f t="shared" si="84"/>
        <v>0</v>
      </c>
      <c r="S92" s="2"/>
      <c r="T92" s="7">
        <v>3500</v>
      </c>
      <c r="U92" s="2"/>
      <c r="V92" s="6">
        <f t="shared" si="85"/>
        <v>0</v>
      </c>
      <c r="W92" s="2"/>
      <c r="X92" s="7">
        <f t="shared" si="86"/>
        <v>200.44000000000005</v>
      </c>
      <c r="Y92" s="2"/>
      <c r="Z92" s="6">
        <f t="shared" si="87"/>
        <v>5.7268571428571446E-2</v>
      </c>
    </row>
    <row r="93" spans="1:26" s="27" customFormat="1" outlineLevel="1" collapsed="1" x14ac:dyDescent="0.25">
      <c r="A93" s="26"/>
      <c r="B93" s="13" t="str">
        <f>CONCATENATE("     ","Training                                          ")</f>
        <v xml:space="preserve">     Training                                          </v>
      </c>
      <c r="C93" s="13"/>
      <c r="D93" s="1">
        <f>SUM(OSRRefD22_20x_0)</f>
        <v>1212.0899999999999</v>
      </c>
      <c r="E93" s="1"/>
      <c r="F93" s="5">
        <f t="shared" si="80"/>
        <v>0</v>
      </c>
      <c r="G93" s="1"/>
      <c r="H93" s="1">
        <f>SUM(OSRRefH22_20x_0)</f>
        <v>1125</v>
      </c>
      <c r="I93" s="1"/>
      <c r="J93" s="5">
        <f t="shared" si="81"/>
        <v>0</v>
      </c>
      <c r="K93" s="1"/>
      <c r="L93" s="1">
        <f t="shared" si="82"/>
        <v>87.089999999999918</v>
      </c>
      <c r="M93" s="1"/>
      <c r="N93" s="5">
        <f t="shared" si="83"/>
        <v>7.7413333333333265E-2</v>
      </c>
      <c r="O93" s="13"/>
      <c r="P93" s="1">
        <f>SUM(OSRRefP22_20x_0)</f>
        <v>6591.53</v>
      </c>
      <c r="Q93" s="1"/>
      <c r="R93" s="5">
        <f t="shared" si="84"/>
        <v>0</v>
      </c>
      <c r="S93" s="1"/>
      <c r="T93" s="1">
        <f>SUM(OSRRefT22_20x_0)</f>
        <v>7875</v>
      </c>
      <c r="U93" s="1"/>
      <c r="V93" s="5">
        <f t="shared" si="85"/>
        <v>0</v>
      </c>
      <c r="W93" s="1"/>
      <c r="X93" s="1">
        <f t="shared" si="86"/>
        <v>-1283.4700000000003</v>
      </c>
      <c r="Y93" s="1"/>
      <c r="Z93" s="5">
        <f t="shared" si="87"/>
        <v>-0.16298031746031749</v>
      </c>
    </row>
    <row r="94" spans="1:26" s="24" customFormat="1" hidden="1" outlineLevel="2" x14ac:dyDescent="0.25">
      <c r="A94" s="25"/>
      <c r="B94" s="11" t="str">
        <f>CONCATENATE("          ", "6376", " - ", "TRAINING")</f>
        <v xml:space="preserve">          6376 - TRAINING</v>
      </c>
      <c r="C94" s="11"/>
      <c r="D94" s="7">
        <v>1212.0899999999999</v>
      </c>
      <c r="E94" s="2"/>
      <c r="F94" s="6">
        <f t="shared" si="80"/>
        <v>0</v>
      </c>
      <c r="G94" s="2"/>
      <c r="H94" s="7">
        <v>1125</v>
      </c>
      <c r="I94" s="2"/>
      <c r="J94" s="6">
        <f t="shared" si="81"/>
        <v>0</v>
      </c>
      <c r="K94" s="2"/>
      <c r="L94" s="7">
        <f t="shared" si="82"/>
        <v>87.089999999999918</v>
      </c>
      <c r="M94" s="2"/>
      <c r="N94" s="6">
        <f t="shared" si="83"/>
        <v>7.7413333333333265E-2</v>
      </c>
      <c r="O94" s="11"/>
      <c r="P94" s="7">
        <v>6591.53</v>
      </c>
      <c r="Q94" s="2"/>
      <c r="R94" s="6">
        <f t="shared" si="84"/>
        <v>0</v>
      </c>
      <c r="S94" s="2"/>
      <c r="T94" s="7">
        <v>7875</v>
      </c>
      <c r="U94" s="2"/>
      <c r="V94" s="6">
        <f t="shared" si="85"/>
        <v>0</v>
      </c>
      <c r="W94" s="2"/>
      <c r="X94" s="7">
        <f t="shared" si="86"/>
        <v>-1283.4700000000003</v>
      </c>
      <c r="Y94" s="2"/>
      <c r="Z94" s="6">
        <f t="shared" si="87"/>
        <v>-0.16298031746031749</v>
      </c>
    </row>
    <row r="95" spans="1:26" s="27" customFormat="1" outlineLevel="1" collapsed="1" x14ac:dyDescent="0.25">
      <c r="A95" s="26"/>
      <c r="B95" s="13" t="str">
        <f>CONCATENATE("     ","Travel                                            ")</f>
        <v xml:space="preserve">     Travel                                            </v>
      </c>
      <c r="C95" s="13"/>
      <c r="D95" s="1">
        <f>SUM(OSRRefD22_21x_0)</f>
        <v>-125.31</v>
      </c>
      <c r="E95" s="1"/>
      <c r="F95" s="5">
        <f t="shared" si="80"/>
        <v>0</v>
      </c>
      <c r="G95" s="1"/>
      <c r="H95" s="1">
        <f>SUM(OSRRefH22_21x_0)</f>
        <v>0</v>
      </c>
      <c r="I95" s="1"/>
      <c r="J95" s="5">
        <f t="shared" si="81"/>
        <v>0</v>
      </c>
      <c r="K95" s="1"/>
      <c r="L95" s="1">
        <f t="shared" si="82"/>
        <v>-125.31</v>
      </c>
      <c r="M95" s="1"/>
      <c r="N95" s="5">
        <f t="shared" si="83"/>
        <v>0</v>
      </c>
      <c r="O95" s="13"/>
      <c r="P95" s="1">
        <f>SUM(OSRRefP22_21x_0)</f>
        <v>645.55999999999995</v>
      </c>
      <c r="Q95" s="1"/>
      <c r="R95" s="5">
        <f t="shared" si="84"/>
        <v>0</v>
      </c>
      <c r="S95" s="1"/>
      <c r="T95" s="1">
        <f>SUM(OSRRefT22_21x_0)</f>
        <v>0</v>
      </c>
      <c r="U95" s="1"/>
      <c r="V95" s="5">
        <f t="shared" si="85"/>
        <v>0</v>
      </c>
      <c r="W95" s="1"/>
      <c r="X95" s="1">
        <f t="shared" si="86"/>
        <v>645.55999999999995</v>
      </c>
      <c r="Y95" s="1"/>
      <c r="Z95" s="5">
        <f t="shared" si="87"/>
        <v>0</v>
      </c>
    </row>
    <row r="96" spans="1:26" s="24" customFormat="1" hidden="1" outlineLevel="2" x14ac:dyDescent="0.25">
      <c r="A96" s="25"/>
      <c r="B96" s="11" t="str">
        <f>CONCATENATE("          ", "6292", " - ", "TRAVEL/CONFERENCE")</f>
        <v xml:space="preserve">          6292 - TRAVEL/CONFERENCE</v>
      </c>
      <c r="C96" s="11"/>
      <c r="D96" s="7"/>
      <c r="E96" s="2"/>
      <c r="F96" s="6">
        <f t="shared" si="80"/>
        <v>0</v>
      </c>
      <c r="G96" s="2"/>
      <c r="H96" s="7"/>
      <c r="I96" s="2"/>
      <c r="J96" s="6">
        <f t="shared" si="81"/>
        <v>0</v>
      </c>
      <c r="K96" s="2"/>
      <c r="L96" s="7">
        <f t="shared" si="82"/>
        <v>0</v>
      </c>
      <c r="M96" s="2"/>
      <c r="N96" s="6">
        <f t="shared" si="83"/>
        <v>0</v>
      </c>
      <c r="O96" s="11"/>
      <c r="P96" s="7">
        <v>497.64</v>
      </c>
      <c r="Q96" s="2"/>
      <c r="R96" s="6">
        <f t="shared" si="84"/>
        <v>0</v>
      </c>
      <c r="S96" s="2"/>
      <c r="T96" s="7"/>
      <c r="U96" s="2"/>
      <c r="V96" s="6">
        <f t="shared" si="85"/>
        <v>0</v>
      </c>
      <c r="W96" s="2"/>
      <c r="X96" s="7">
        <f t="shared" si="86"/>
        <v>497.64</v>
      </c>
      <c r="Y96" s="2"/>
      <c r="Z96" s="6">
        <f t="shared" si="87"/>
        <v>0</v>
      </c>
    </row>
    <row r="97" spans="1:26" s="24" customFormat="1" hidden="1" outlineLevel="2" x14ac:dyDescent="0.25">
      <c r="A97" s="25"/>
      <c r="B97" s="11" t="str">
        <f>CONCATENATE("          ", "6294", " - ", "TRAVEL OPERATIONAL")</f>
        <v xml:space="preserve">          6294 - TRAVEL OPERATIONAL</v>
      </c>
      <c r="C97" s="11"/>
      <c r="D97" s="7">
        <v>-160</v>
      </c>
      <c r="E97" s="2"/>
      <c r="F97" s="6">
        <f t="shared" si="80"/>
        <v>0</v>
      </c>
      <c r="G97" s="2"/>
      <c r="H97" s="7"/>
      <c r="I97" s="2"/>
      <c r="J97" s="6">
        <f t="shared" si="81"/>
        <v>0</v>
      </c>
      <c r="K97" s="2"/>
      <c r="L97" s="7">
        <f t="shared" si="82"/>
        <v>-160</v>
      </c>
      <c r="M97" s="2"/>
      <c r="N97" s="6">
        <f t="shared" si="83"/>
        <v>0</v>
      </c>
      <c r="O97" s="11"/>
      <c r="P97" s="7">
        <v>-144.33000000000001</v>
      </c>
      <c r="Q97" s="2"/>
      <c r="R97" s="6">
        <f t="shared" si="84"/>
        <v>0</v>
      </c>
      <c r="S97" s="2"/>
      <c r="T97" s="7"/>
      <c r="U97" s="2"/>
      <c r="V97" s="6">
        <f t="shared" si="85"/>
        <v>0</v>
      </c>
      <c r="W97" s="2"/>
      <c r="X97" s="7">
        <f t="shared" si="86"/>
        <v>-144.33000000000001</v>
      </c>
      <c r="Y97" s="2"/>
      <c r="Z97" s="6">
        <f t="shared" si="87"/>
        <v>0</v>
      </c>
    </row>
    <row r="98" spans="1:26" s="24" customFormat="1" hidden="1" outlineLevel="2" x14ac:dyDescent="0.25">
      <c r="A98" s="25"/>
      <c r="B98" s="11" t="str">
        <f>CONCATENATE("          ", "6298", " - ", "VEHICLE MILEAGE")</f>
        <v xml:space="preserve">          6298 - VEHICLE MILEAGE</v>
      </c>
      <c r="C98" s="11"/>
      <c r="D98" s="7">
        <v>34.69</v>
      </c>
      <c r="E98" s="2"/>
      <c r="F98" s="6">
        <f t="shared" si="80"/>
        <v>0</v>
      </c>
      <c r="G98" s="2"/>
      <c r="H98" s="7"/>
      <c r="I98" s="2"/>
      <c r="J98" s="6">
        <f t="shared" si="81"/>
        <v>0</v>
      </c>
      <c r="K98" s="2"/>
      <c r="L98" s="7">
        <f t="shared" si="82"/>
        <v>34.69</v>
      </c>
      <c r="M98" s="2"/>
      <c r="N98" s="6">
        <f t="shared" si="83"/>
        <v>0</v>
      </c>
      <c r="O98" s="11"/>
      <c r="P98" s="7">
        <v>292.25</v>
      </c>
      <c r="Q98" s="2"/>
      <c r="R98" s="6">
        <f t="shared" si="84"/>
        <v>0</v>
      </c>
      <c r="S98" s="2"/>
      <c r="T98" s="7"/>
      <c r="U98" s="2"/>
      <c r="V98" s="6">
        <f t="shared" si="85"/>
        <v>0</v>
      </c>
      <c r="W98" s="2"/>
      <c r="X98" s="7">
        <f t="shared" si="86"/>
        <v>292.25</v>
      </c>
      <c r="Y98" s="2"/>
      <c r="Z98" s="6">
        <f t="shared" si="87"/>
        <v>0</v>
      </c>
    </row>
    <row r="99" spans="1:26" s="27" customFormat="1" outlineLevel="1" collapsed="1" x14ac:dyDescent="0.25">
      <c r="A99" s="26"/>
      <c r="B99" s="13" t="str">
        <f>CONCATENATE("     ","Utilities                                         ")</f>
        <v xml:space="preserve">     Utilities                                         </v>
      </c>
      <c r="C99" s="13"/>
      <c r="D99" s="1">
        <f>SUM(OSRRefD22_22x_0)</f>
        <v>6135</v>
      </c>
      <c r="E99" s="1"/>
      <c r="F99" s="5">
        <f t="shared" ref="F99:F100" si="88">IF(D$12=0,0,D99/D$12)</f>
        <v>0</v>
      </c>
      <c r="G99" s="1"/>
      <c r="H99" s="1">
        <f>SUM(OSRRefH22_22x_0)</f>
        <v>5000</v>
      </c>
      <c r="I99" s="1"/>
      <c r="J99" s="5">
        <f t="shared" ref="J99:J100" si="89">IF(H$12=0,0,H99/H$12)</f>
        <v>0</v>
      </c>
      <c r="K99" s="1"/>
      <c r="L99" s="1">
        <f t="shared" ref="L99:L100" si="90">+D99-H99</f>
        <v>1135</v>
      </c>
      <c r="M99" s="1"/>
      <c r="N99" s="5">
        <f t="shared" ref="N99:N100" si="91">IF(H99=0,0,L99/H99)</f>
        <v>0.22700000000000001</v>
      </c>
      <c r="O99" s="13"/>
      <c r="P99" s="1">
        <f>SUM(OSRRefP22_22x_0)</f>
        <v>37872</v>
      </c>
      <c r="Q99" s="1"/>
      <c r="R99" s="5">
        <f t="shared" ref="R99:R100" si="92">IF(P$12=0,0,P99/P$12)</f>
        <v>0</v>
      </c>
      <c r="S99" s="1"/>
      <c r="T99" s="1">
        <f>SUM(OSRRefT22_22x_0)</f>
        <v>35000</v>
      </c>
      <c r="U99" s="1"/>
      <c r="V99" s="5">
        <f t="shared" ref="V99:V100" si="93">IF(T$12=0,0,T99/T$12)</f>
        <v>0</v>
      </c>
      <c r="W99" s="1"/>
      <c r="X99" s="1">
        <f t="shared" ref="X99:X100" si="94">+P99-T99</f>
        <v>2872</v>
      </c>
      <c r="Y99" s="1"/>
      <c r="Z99" s="5">
        <f t="shared" ref="Z99:Z100" si="95">IF(T99=0,0,X99/T99)</f>
        <v>8.2057142857142856E-2</v>
      </c>
    </row>
    <row r="100" spans="1:26" s="24" customFormat="1" hidden="1" outlineLevel="2" x14ac:dyDescent="0.25">
      <c r="A100" s="25"/>
      <c r="B100" s="11" t="str">
        <f>CONCATENATE("          ", "6274", " - ", "UTILITIES")</f>
        <v xml:space="preserve">          6274 - UTILITIES</v>
      </c>
      <c r="C100" s="11"/>
      <c r="D100" s="7">
        <v>6135</v>
      </c>
      <c r="E100" s="2"/>
      <c r="F100" s="6">
        <f t="shared" si="88"/>
        <v>0</v>
      </c>
      <c r="G100" s="2"/>
      <c r="H100" s="7">
        <v>5000</v>
      </c>
      <c r="I100" s="2"/>
      <c r="J100" s="6">
        <f t="shared" si="89"/>
        <v>0</v>
      </c>
      <c r="K100" s="2"/>
      <c r="L100" s="7">
        <f t="shared" si="90"/>
        <v>1135</v>
      </c>
      <c r="M100" s="2"/>
      <c r="N100" s="6">
        <f t="shared" si="91"/>
        <v>0.22700000000000001</v>
      </c>
      <c r="O100" s="11"/>
      <c r="P100" s="7">
        <v>37872</v>
      </c>
      <c r="Q100" s="2"/>
      <c r="R100" s="6">
        <f t="shared" si="92"/>
        <v>0</v>
      </c>
      <c r="S100" s="2"/>
      <c r="T100" s="7">
        <v>35000</v>
      </c>
      <c r="U100" s="2"/>
      <c r="V100" s="6">
        <f t="shared" si="93"/>
        <v>0</v>
      </c>
      <c r="W100" s="2"/>
      <c r="X100" s="7">
        <f t="shared" si="94"/>
        <v>2872</v>
      </c>
      <c r="Y100" s="2"/>
      <c r="Z100" s="6">
        <f t="shared" si="95"/>
        <v>8.2057142857142856E-2</v>
      </c>
    </row>
    <row r="101" spans="1:26" s="53" customFormat="1" x14ac:dyDescent="0.25">
      <c r="A101" s="36"/>
      <c r="B101" s="36"/>
      <c r="C101" s="36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6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collapsed="1" x14ac:dyDescent="0.25">
      <c r="A102" s="10"/>
      <c r="B102" s="28" t="s">
        <v>0</v>
      </c>
      <c r="C102" s="10"/>
      <c r="D102" s="4">
        <f>SUM(OSRRefD25x_0)</f>
        <v>63692.43</v>
      </c>
      <c r="E102" s="4"/>
      <c r="F102" s="12">
        <f t="shared" ref="F102:F106" si="96">IF(D$12=0,0,D102/D$12)</f>
        <v>0</v>
      </c>
      <c r="G102" s="4"/>
      <c r="H102" s="4">
        <f>SUM(OSRRefH25x_0)</f>
        <v>24000</v>
      </c>
      <c r="I102" s="4"/>
      <c r="J102" s="12">
        <f t="shared" ref="J102:J106" si="97">IF(H$12=0,0,H102/H$12)</f>
        <v>0</v>
      </c>
      <c r="K102" s="4"/>
      <c r="L102" s="4">
        <f t="shared" ref="L102:L106" si="98">+D102-H102</f>
        <v>39692.43</v>
      </c>
      <c r="M102" s="4"/>
      <c r="N102" s="12">
        <f t="shared" ref="N102:N106" si="99">IF(H102=0,0,L102/H102)</f>
        <v>1.65385125</v>
      </c>
      <c r="O102" s="10"/>
      <c r="P102" s="4">
        <f>SUM(OSRRefP25x_0)</f>
        <v>160863.63</v>
      </c>
      <c r="Q102" s="4"/>
      <c r="R102" s="12">
        <f t="shared" ref="R102:R106" si="100">IF(P$12=0,0,P102/P$12)</f>
        <v>0</v>
      </c>
      <c r="S102" s="4"/>
      <c r="T102" s="4">
        <f>SUM(OSRRefT25x_0)</f>
        <v>168000</v>
      </c>
      <c r="U102" s="4"/>
      <c r="V102" s="12">
        <f t="shared" ref="V102:V106" si="101">IF(T$12=0,0,T102/T$12)</f>
        <v>0</v>
      </c>
      <c r="W102" s="4"/>
      <c r="X102" s="4">
        <f t="shared" ref="X102:X106" si="102">+P102-T102</f>
        <v>-7136.3699999999953</v>
      </c>
      <c r="Y102" s="4"/>
      <c r="Z102" s="12">
        <f t="shared" ref="Z102:Z106" si="103">IF(T102=0,0,X102/T102)</f>
        <v>-4.2478392857142833E-2</v>
      </c>
    </row>
    <row r="103" spans="1:26" s="24" customFormat="1" hidden="1" outlineLevel="1" x14ac:dyDescent="0.25">
      <c r="A103" s="44"/>
      <c r="B103" s="11" t="str">
        <f>CONCATENATE("          ", "9150", " - ", "MISC. INCOME")</f>
        <v xml:space="preserve">          9150 - MISC. INCOME</v>
      </c>
      <c r="C103" s="11"/>
      <c r="D103" s="2">
        <f>--65231.56</f>
        <v>65231.56</v>
      </c>
      <c r="E103" s="2"/>
      <c r="F103" s="19">
        <f t="shared" si="96"/>
        <v>0</v>
      </c>
      <c r="G103" s="2"/>
      <c r="H103" s="2">
        <v>21500</v>
      </c>
      <c r="I103" s="2"/>
      <c r="J103" s="19">
        <f t="shared" si="97"/>
        <v>0</v>
      </c>
      <c r="K103" s="2"/>
      <c r="L103" s="2">
        <f t="shared" si="98"/>
        <v>43731.56</v>
      </c>
      <c r="M103" s="2"/>
      <c r="N103" s="19">
        <f t="shared" si="99"/>
        <v>2.0340260465116278</v>
      </c>
      <c r="O103" s="11"/>
      <c r="P103" s="2">
        <f>--162136.45</f>
        <v>162136.45000000001</v>
      </c>
      <c r="Q103" s="2"/>
      <c r="R103" s="19">
        <f t="shared" si="100"/>
        <v>0</v>
      </c>
      <c r="S103" s="2"/>
      <c r="T103" s="2">
        <v>150500</v>
      </c>
      <c r="U103" s="2"/>
      <c r="V103" s="19">
        <f t="shared" si="101"/>
        <v>0</v>
      </c>
      <c r="W103" s="2"/>
      <c r="X103" s="2">
        <f t="shared" si="102"/>
        <v>11636.450000000012</v>
      </c>
      <c r="Y103" s="2"/>
      <c r="Z103" s="19">
        <f t="shared" si="103"/>
        <v>7.7318604651162873E-2</v>
      </c>
    </row>
    <row r="104" spans="1:26" s="24" customFormat="1" hidden="1" outlineLevel="1" x14ac:dyDescent="0.25">
      <c r="A104" s="44"/>
      <c r="B104" s="11" t="str">
        <f>CONCATENATE("          ", "9151", " - ", "MISC. INCOME")</f>
        <v xml:space="preserve">          9151 - MISC. INCOME</v>
      </c>
      <c r="C104" s="11"/>
      <c r="D104" s="2">
        <f>-1539.13</f>
        <v>-1539.13</v>
      </c>
      <c r="E104" s="2"/>
      <c r="F104" s="19">
        <f t="shared" si="96"/>
        <v>0</v>
      </c>
      <c r="G104" s="2"/>
      <c r="H104" s="2">
        <v>500</v>
      </c>
      <c r="I104" s="2"/>
      <c r="J104" s="19">
        <f t="shared" si="97"/>
        <v>0</v>
      </c>
      <c r="K104" s="2"/>
      <c r="L104" s="2">
        <f t="shared" si="98"/>
        <v>-2039.13</v>
      </c>
      <c r="M104" s="2"/>
      <c r="N104" s="19">
        <f t="shared" si="99"/>
        <v>-4.0782600000000002</v>
      </c>
      <c r="O104" s="11"/>
      <c r="P104" s="2">
        <f>-1722.82</f>
        <v>-1722.82</v>
      </c>
      <c r="Q104" s="2"/>
      <c r="R104" s="19">
        <f t="shared" si="100"/>
        <v>0</v>
      </c>
      <c r="S104" s="2"/>
      <c r="T104" s="2">
        <v>3500</v>
      </c>
      <c r="U104" s="2"/>
      <c r="V104" s="19">
        <f t="shared" si="101"/>
        <v>0</v>
      </c>
      <c r="W104" s="2"/>
      <c r="X104" s="2">
        <f t="shared" si="102"/>
        <v>-5222.82</v>
      </c>
      <c r="Y104" s="2"/>
      <c r="Z104" s="19">
        <f t="shared" si="103"/>
        <v>-1.4922342857142856</v>
      </c>
    </row>
    <row r="105" spans="1:26" s="24" customFormat="1" hidden="1" outlineLevel="1" x14ac:dyDescent="0.25">
      <c r="A105" s="44"/>
      <c r="B105" s="11" t="str">
        <f>CONCATENATE("          ", "9153", " - ", "MISC. INCOME")</f>
        <v xml:space="preserve">          9153 - MISC. INCOME</v>
      </c>
      <c r="C105" s="11"/>
      <c r="D105" s="2">
        <f t="shared" ref="D105:D106" si="104">0</f>
        <v>0</v>
      </c>
      <c r="E105" s="2"/>
      <c r="F105" s="19">
        <f t="shared" si="96"/>
        <v>0</v>
      </c>
      <c r="G105" s="2"/>
      <c r="H105" s="2"/>
      <c r="I105" s="2"/>
      <c r="J105" s="19">
        <f t="shared" si="97"/>
        <v>0</v>
      </c>
      <c r="K105" s="2"/>
      <c r="L105" s="2">
        <f t="shared" si="98"/>
        <v>0</v>
      </c>
      <c r="M105" s="2"/>
      <c r="N105" s="19">
        <f t="shared" si="99"/>
        <v>0</v>
      </c>
      <c r="O105" s="11"/>
      <c r="P105" s="2">
        <f>--450</f>
        <v>450</v>
      </c>
      <c r="Q105" s="2"/>
      <c r="R105" s="19">
        <f t="shared" si="100"/>
        <v>0</v>
      </c>
      <c r="S105" s="2"/>
      <c r="T105" s="2"/>
      <c r="U105" s="2"/>
      <c r="V105" s="19">
        <f t="shared" si="101"/>
        <v>0</v>
      </c>
      <c r="W105" s="2"/>
      <c r="X105" s="2">
        <f t="shared" si="102"/>
        <v>450</v>
      </c>
      <c r="Y105" s="2"/>
      <c r="Z105" s="19">
        <f t="shared" si="103"/>
        <v>0</v>
      </c>
    </row>
    <row r="106" spans="1:26" s="24" customFormat="1" hidden="1" outlineLevel="1" x14ac:dyDescent="0.25">
      <c r="A106" s="44"/>
      <c r="B106" s="11" t="str">
        <f>CONCATENATE("          ", "9160", " - ", "MISC. INCOME")</f>
        <v xml:space="preserve">          9160 - MISC. INCOME</v>
      </c>
      <c r="C106" s="11"/>
      <c r="D106" s="2">
        <f t="shared" si="104"/>
        <v>0</v>
      </c>
      <c r="E106" s="2"/>
      <c r="F106" s="19">
        <f t="shared" si="96"/>
        <v>0</v>
      </c>
      <c r="G106" s="2"/>
      <c r="H106" s="2">
        <v>2000</v>
      </c>
      <c r="I106" s="2"/>
      <c r="J106" s="19">
        <f t="shared" si="97"/>
        <v>0</v>
      </c>
      <c r="K106" s="2"/>
      <c r="L106" s="2">
        <f t="shared" si="98"/>
        <v>-2000</v>
      </c>
      <c r="M106" s="2"/>
      <c r="N106" s="19">
        <f t="shared" si="99"/>
        <v>-1</v>
      </c>
      <c r="O106" s="11"/>
      <c r="P106" s="2">
        <f>0</f>
        <v>0</v>
      </c>
      <c r="Q106" s="2"/>
      <c r="R106" s="19">
        <f t="shared" si="100"/>
        <v>0</v>
      </c>
      <c r="S106" s="2"/>
      <c r="T106" s="2">
        <v>14000</v>
      </c>
      <c r="U106" s="2"/>
      <c r="V106" s="19">
        <f t="shared" si="101"/>
        <v>0</v>
      </c>
      <c r="W106" s="2"/>
      <c r="X106" s="2">
        <f t="shared" si="102"/>
        <v>-14000</v>
      </c>
      <c r="Y106" s="2"/>
      <c r="Z106" s="19">
        <f t="shared" si="103"/>
        <v>-1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9" t="s">
        <v>3</v>
      </c>
      <c r="C108" s="29"/>
      <c r="D108" s="21">
        <f>+D16-D18+D102</f>
        <v>-98501.170000000013</v>
      </c>
      <c r="E108" s="14"/>
      <c r="F108" s="20">
        <f>IF(D$12=0,0,D108/D$12)</f>
        <v>0</v>
      </c>
      <c r="G108" s="14"/>
      <c r="H108" s="21">
        <f>+H16-H18+H102</f>
        <v>-124203.46915545868</v>
      </c>
      <c r="I108" s="14"/>
      <c r="J108" s="20">
        <f>IF(H$12=0,0,H108/H$12)</f>
        <v>0</v>
      </c>
      <c r="K108" s="16"/>
      <c r="L108" s="21">
        <f>+D108-H108</f>
        <v>25702.299155458662</v>
      </c>
      <c r="M108" s="16"/>
      <c r="N108" s="20">
        <f>IF(H108=0,0,L108/H108)</f>
        <v>-0.20693704717127107</v>
      </c>
      <c r="O108" s="28"/>
      <c r="P108" s="21">
        <f>+P16-P18+P102</f>
        <v>-780847.96</v>
      </c>
      <c r="Q108" s="14"/>
      <c r="R108" s="20">
        <f>IF(P$12=0,0,P108/P$12)</f>
        <v>0</v>
      </c>
      <c r="S108" s="14"/>
      <c r="T108" s="21">
        <f>+T16-T18+T102</f>
        <v>-876139.68279884371</v>
      </c>
      <c r="U108" s="14"/>
      <c r="V108" s="20">
        <f>IF(T$12=0,0,T108/T$12)</f>
        <v>0</v>
      </c>
      <c r="W108" s="16"/>
      <c r="X108" s="21">
        <f>+P108-T108</f>
        <v>95291.722798843752</v>
      </c>
      <c r="Y108" s="16"/>
      <c r="Z108" s="20">
        <f>IF(T108=0,0,X108/T108)</f>
        <v>-0.10876316262086504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2"/>
      <c r="B110" s="10" t="s">
        <v>14</v>
      </c>
      <c r="C110" s="10"/>
      <c r="D110" s="4"/>
      <c r="E110" s="4"/>
      <c r="F110" s="12">
        <f>IF(D$12=0,0,D110/D$12)</f>
        <v>0</v>
      </c>
      <c r="G110" s="4"/>
      <c r="H110" s="4"/>
      <c r="I110" s="4"/>
      <c r="J110" s="12">
        <f>IF(H$12=0,0,H110/H$12)</f>
        <v>0</v>
      </c>
      <c r="K110" s="4"/>
      <c r="L110" s="4">
        <f>+D110-H110</f>
        <v>0</v>
      </c>
      <c r="M110" s="4"/>
      <c r="N110" s="12">
        <f>IF(H110=0,0,L110/H110)</f>
        <v>0</v>
      </c>
      <c r="O110" s="10"/>
      <c r="P110" s="4"/>
      <c r="Q110" s="4"/>
      <c r="R110" s="12">
        <f>IF(P$12=0,0,P110/P$12)</f>
        <v>0</v>
      </c>
      <c r="S110" s="4"/>
      <c r="T110" s="4"/>
      <c r="U110" s="4"/>
      <c r="V110" s="12">
        <f>IF(T$12=0,0,T110/T$12)</f>
        <v>0</v>
      </c>
      <c r="W110" s="4"/>
      <c r="X110" s="4">
        <f>+P110-T110</f>
        <v>0</v>
      </c>
      <c r="Y110" s="4"/>
      <c r="Z110" s="12">
        <f>IF(T110=0,0,X110/T110)</f>
        <v>0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9" t="s">
        <v>4</v>
      </c>
      <c r="C112" s="29"/>
      <c r="D112" s="34">
        <f>+D108-D110</f>
        <v>-98501.170000000013</v>
      </c>
      <c r="E112" s="14"/>
      <c r="F112" s="32">
        <f>IF(D$12=0,0,D112/D$12)</f>
        <v>0</v>
      </c>
      <c r="G112" s="14"/>
      <c r="H112" s="34">
        <f>+H108-H110</f>
        <v>-124203.46915545868</v>
      </c>
      <c r="I112" s="14"/>
      <c r="J112" s="32">
        <f>IF(H$12=0,0,H112/H$12)</f>
        <v>0</v>
      </c>
      <c r="K112" s="16"/>
      <c r="L112" s="34">
        <f>D112-H112</f>
        <v>25702.299155458662</v>
      </c>
      <c r="M112" s="16"/>
      <c r="N112" s="32">
        <f>IF(H112=0,0,L112/H112)</f>
        <v>-0.20693704717127107</v>
      </c>
      <c r="O112" s="28"/>
      <c r="P112" s="34">
        <f>+P108-P110</f>
        <v>-780847.96</v>
      </c>
      <c r="Q112" s="14"/>
      <c r="R112" s="32">
        <f>IF(P$12=0,0,P112/P$12)</f>
        <v>0</v>
      </c>
      <c r="S112" s="14"/>
      <c r="T112" s="34">
        <f>+T108-T110</f>
        <v>-876139.68279884371</v>
      </c>
      <c r="U112" s="14"/>
      <c r="V112" s="32">
        <f>IF(T$12=0,0,T112/T$12)</f>
        <v>0</v>
      </c>
      <c r="W112" s="16"/>
      <c r="X112" s="34">
        <f>P112-T112</f>
        <v>95291.722798843752</v>
      </c>
      <c r="Y112" s="16"/>
      <c r="Z112" s="32">
        <f>IF(T112=0,0,X112/T112)</f>
        <v>-0.10876316262086504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9" t="s">
        <v>5</v>
      </c>
      <c r="C115" s="29"/>
      <c r="D115" s="31">
        <f>SUM(D112:D114)</f>
        <v>-98501.170000000013</v>
      </c>
      <c r="E115" s="14"/>
      <c r="F115" s="30">
        <f>IF(D$12=0,0,D115/D$12)</f>
        <v>0</v>
      </c>
      <c r="G115" s="14"/>
      <c r="H115" s="31">
        <f>SUM(H112:H114)</f>
        <v>-124203.46915545868</v>
      </c>
      <c r="I115" s="14"/>
      <c r="J115" s="30">
        <f>IF(H$12=0,0,H115/H$12)</f>
        <v>0</v>
      </c>
      <c r="K115" s="16"/>
      <c r="L115" s="31">
        <f>+D115-H115</f>
        <v>25702.299155458662</v>
      </c>
      <c r="M115" s="16"/>
      <c r="N115" s="30">
        <f>IF(H115=0,0,L115/H115)</f>
        <v>-0.20693704717127107</v>
      </c>
      <c r="O115" s="28"/>
      <c r="P115" s="31">
        <f>SUM(P112:P114)</f>
        <v>-780847.96</v>
      </c>
      <c r="Q115" s="14"/>
      <c r="R115" s="30">
        <f>IF(P$12=0,0,P115/P$12)</f>
        <v>0</v>
      </c>
      <c r="S115" s="14"/>
      <c r="T115" s="31">
        <f>SUM(T112:T114)</f>
        <v>-876139.68279884371</v>
      </c>
      <c r="U115" s="14"/>
      <c r="V115" s="30">
        <f>IF(T$12=0,0,T115/T$12)</f>
        <v>0</v>
      </c>
      <c r="W115" s="16"/>
      <c r="X115" s="31">
        <f>+P115-T115</f>
        <v>95291.722798843752</v>
      </c>
      <c r="Y115" s="16"/>
      <c r="Z115" s="30">
        <f>IF(T115=0,0,X115/T115)</f>
        <v>-0.10876316262086504</v>
      </c>
    </row>
    <row r="116" spans="1:26" ht="15.75" thickTop="1" x14ac:dyDescent="0.25">
      <c r="A116" s="9"/>
      <c r="C116" s="9"/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63">
        <v>43879.546072800928</v>
      </c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A118" s="9"/>
      <c r="B118" s="57" t="s">
        <v>314</v>
      </c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25">
      <c r="A119" s="9"/>
      <c r="B119" s="60"/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25"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","302", " - ", "Book Information")</f>
        <v>Department 302 - Book Information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SUM(0)</f>
        <v>0</v>
      </c>
      <c r="E18" s="22"/>
      <c r="F18" s="35">
        <f>IF(D$12=0,0,D18/D$12)</f>
        <v>0</v>
      </c>
      <c r="G18" s="22"/>
      <c r="H18" s="22">
        <f>SUM(0)</f>
        <v>0</v>
      </c>
      <c r="I18" s="22"/>
      <c r="J18" s="35">
        <f>IF(H$12=0,0,H18/H$12)</f>
        <v>0</v>
      </c>
      <c r="K18" s="4"/>
      <c r="L18" s="22">
        <f>+D18-H18</f>
        <v>0</v>
      </c>
      <c r="M18" s="4"/>
      <c r="N18" s="35">
        <f>IF(H18=0,0,L18/H18)</f>
        <v>0</v>
      </c>
      <c r="O18" s="10"/>
      <c r="P18" s="22">
        <f>SUM(0)</f>
        <v>0</v>
      </c>
      <c r="Q18" s="22"/>
      <c r="R18" s="35">
        <f>IF(P$12=0,0,P18/P$12)</f>
        <v>0</v>
      </c>
      <c r="S18" s="22"/>
      <c r="T18" s="22">
        <f>SUM(0)</f>
        <v>0</v>
      </c>
      <c r="U18" s="22"/>
      <c r="V18" s="35">
        <f>IF(T$12=0,0,T18/T$12)</f>
        <v>0</v>
      </c>
      <c r="W18" s="4"/>
      <c r="X18" s="22">
        <f>+P18-T18</f>
        <v>0</v>
      </c>
      <c r="Y18" s="4"/>
      <c r="Z18" s="35">
        <f>IF(T18=0,0,X18/T18)</f>
        <v>0</v>
      </c>
    </row>
    <row r="19" spans="1:26" s="5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1">
        <f>+D16-D18+D20</f>
        <v>0</v>
      </c>
      <c r="E22" s="14"/>
      <c r="F22" s="20">
        <f>IF(D$12=0,0,D22/D$12)</f>
        <v>0</v>
      </c>
      <c r="G22" s="14"/>
      <c r="H22" s="21">
        <f>+H16-H18+H20</f>
        <v>0</v>
      </c>
      <c r="I22" s="14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8"/>
      <c r="P22" s="21">
        <f>+P16-P18+P20</f>
        <v>0</v>
      </c>
      <c r="Q22" s="14"/>
      <c r="R22" s="20">
        <f>IF(P$12=0,0,P22/P$12)</f>
        <v>0</v>
      </c>
      <c r="S22" s="14"/>
      <c r="T22" s="21">
        <f>+T16-T18+T20</f>
        <v>0</v>
      </c>
      <c r="U22" s="14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4">
        <f>+D22-D24</f>
        <v>0</v>
      </c>
      <c r="E26" s="14"/>
      <c r="F26" s="32">
        <f>IF(D$12=0,0,D26/D$12)</f>
        <v>0</v>
      </c>
      <c r="G26" s="14"/>
      <c r="H26" s="34">
        <f>+H22-H24</f>
        <v>0</v>
      </c>
      <c r="I26" s="14"/>
      <c r="J26" s="32">
        <f>IF(H$12=0,0,H26/H$12)</f>
        <v>0</v>
      </c>
      <c r="K26" s="16"/>
      <c r="L26" s="34">
        <f>D26-H26</f>
        <v>0</v>
      </c>
      <c r="M26" s="16"/>
      <c r="N26" s="32">
        <f>IF(H26=0,0,L26/H26)</f>
        <v>0</v>
      </c>
      <c r="O26" s="28"/>
      <c r="P26" s="34">
        <f>+P22-P24</f>
        <v>0</v>
      </c>
      <c r="Q26" s="14"/>
      <c r="R26" s="32">
        <f>IF(P$12=0,0,P26/P$12)</f>
        <v>0</v>
      </c>
      <c r="S26" s="14"/>
      <c r="T26" s="34">
        <f>+T22-T24</f>
        <v>0</v>
      </c>
      <c r="U26" s="14"/>
      <c r="V26" s="32">
        <f>IF(T$12=0,0,T26/T$12)</f>
        <v>0</v>
      </c>
      <c r="W26" s="16"/>
      <c r="X26" s="34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9" t="s">
        <v>5</v>
      </c>
      <c r="C29" s="29"/>
      <c r="D29" s="31">
        <f>SUM(D26:D28)</f>
        <v>0</v>
      </c>
      <c r="E29" s="14"/>
      <c r="F29" s="30">
        <f>IF(D$12=0,0,D29/D$12)</f>
        <v>0</v>
      </c>
      <c r="G29" s="14"/>
      <c r="H29" s="31">
        <f>SUM(H26:H28)</f>
        <v>0</v>
      </c>
      <c r="I29" s="14"/>
      <c r="J29" s="30">
        <f>IF(H$12=0,0,H29/H$12)</f>
        <v>0</v>
      </c>
      <c r="K29" s="16"/>
      <c r="L29" s="31">
        <f>+D29-H29</f>
        <v>0</v>
      </c>
      <c r="M29" s="16"/>
      <c r="N29" s="30">
        <f>IF(H29=0,0,L29/H29)</f>
        <v>0</v>
      </c>
      <c r="O29" s="28"/>
      <c r="P29" s="31">
        <f>SUM(P26:P28)</f>
        <v>0</v>
      </c>
      <c r="Q29" s="14"/>
      <c r="R29" s="30">
        <f>IF(P$12=0,0,P29/P$12)</f>
        <v>0</v>
      </c>
      <c r="S29" s="14"/>
      <c r="T29" s="31">
        <f>SUM(T26:T28)</f>
        <v>0</v>
      </c>
      <c r="U29" s="14"/>
      <c r="V29" s="30">
        <f>IF(T$12=0,0,T29/T$12)</f>
        <v>0</v>
      </c>
      <c r="W29" s="16"/>
      <c r="X29" s="31">
        <f>+P29-T29</f>
        <v>0</v>
      </c>
      <c r="Y29" s="16"/>
      <c r="Z29" s="30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3"/>
      <c r="K30" s="18"/>
      <c r="L30" s="18"/>
      <c r="M30" s="18"/>
      <c r="P30" s="18"/>
      <c r="Q30" s="18"/>
      <c r="R30" s="43"/>
      <c r="S30" s="18"/>
      <c r="T30" s="18"/>
      <c r="U30" s="18"/>
      <c r="V30" s="43"/>
      <c r="W30" s="18"/>
      <c r="X30" s="18"/>
    </row>
    <row r="31" spans="1:26" x14ac:dyDescent="0.25">
      <c r="A31" s="9"/>
      <c r="B31" s="63">
        <v>43879.546086655093</v>
      </c>
      <c r="D31" s="18"/>
      <c r="E31" s="18"/>
      <c r="G31" s="18"/>
      <c r="H31" s="18"/>
      <c r="I31" s="18"/>
      <c r="J31" s="43"/>
      <c r="K31" s="18"/>
      <c r="L31" s="18"/>
      <c r="M31" s="18"/>
      <c r="P31" s="18"/>
      <c r="Q31" s="18"/>
      <c r="R31" s="43"/>
      <c r="S31" s="18"/>
      <c r="T31" s="18"/>
      <c r="U31" s="18"/>
      <c r="V31" s="43"/>
      <c r="W31" s="18"/>
      <c r="X31" s="18"/>
    </row>
    <row r="32" spans="1:26" x14ac:dyDescent="0.25">
      <c r="A32" s="9"/>
      <c r="B32" s="57" t="s">
        <v>314</v>
      </c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0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","306", " - ", "Warehouse")</f>
        <v>Department 306 - Warehouse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91836.680000000008</v>
      </c>
      <c r="E18" s="22"/>
      <c r="F18" s="35">
        <f t="shared" ref="F18:F28" si="0">IF(D$12=0,0,D18/D$12)</f>
        <v>0</v>
      </c>
      <c r="G18" s="22"/>
      <c r="H18" s="22">
        <f>SUM(OSRRefH22x_0)</f>
        <v>78806.453648544993</v>
      </c>
      <c r="I18" s="22"/>
      <c r="J18" s="35">
        <f t="shared" ref="J18:J28" si="1">IF(H$12=0,0,H18/H$12)</f>
        <v>0</v>
      </c>
      <c r="K18" s="4"/>
      <c r="L18" s="22">
        <f t="shared" ref="L18:L28" si="2">+D18-H18</f>
        <v>13030.226351455014</v>
      </c>
      <c r="M18" s="4"/>
      <c r="N18" s="35">
        <f t="shared" ref="N18:N28" si="3">IF(H18=0,0,L18/H18)</f>
        <v>0.16534466085184119</v>
      </c>
      <c r="O18" s="10"/>
      <c r="P18" s="22">
        <f>SUM(OSRRefP22x_0)</f>
        <v>342972.46</v>
      </c>
      <c r="Q18" s="22"/>
      <c r="R18" s="35">
        <f t="shared" ref="R18:R28" si="4">IF(P$12=0,0,P18/P$12)</f>
        <v>0</v>
      </c>
      <c r="S18" s="22"/>
      <c r="T18" s="22">
        <f>SUM(OSRRefT22x_0)</f>
        <v>340938.84959067905</v>
      </c>
      <c r="U18" s="22"/>
      <c r="V18" s="35">
        <f t="shared" ref="V18:V28" si="5">IF(T$12=0,0,T18/T$12)</f>
        <v>0</v>
      </c>
      <c r="W18" s="4"/>
      <c r="X18" s="22">
        <f t="shared" ref="X18:X28" si="6">+P18-T18</f>
        <v>2033.6104093209724</v>
      </c>
      <c r="Y18" s="4"/>
      <c r="Z18" s="35">
        <f t="shared" ref="Z18:Z28" si="7">IF(T18=0,0,X18/T18)</f>
        <v>5.964736526102743E-3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6585.2</v>
      </c>
      <c r="E19" s="1"/>
      <c r="F19" s="5">
        <f t="shared" si="0"/>
        <v>0</v>
      </c>
      <c r="G19" s="1"/>
      <c r="H19" s="1">
        <f>SUM(OSRRefH22_0x_0)</f>
        <v>6110.0997635449994</v>
      </c>
      <c r="I19" s="1"/>
      <c r="J19" s="5">
        <f t="shared" si="1"/>
        <v>0</v>
      </c>
      <c r="K19" s="1"/>
      <c r="L19" s="1">
        <f t="shared" si="2"/>
        <v>475.10023645500041</v>
      </c>
      <c r="M19" s="1"/>
      <c r="N19" s="5">
        <f t="shared" si="3"/>
        <v>7.7756543238396078E-2</v>
      </c>
      <c r="O19" s="13"/>
      <c r="P19" s="1">
        <f>SUM(OSRRefP22_0x_0)</f>
        <v>44212.380000000005</v>
      </c>
      <c r="Q19" s="1"/>
      <c r="R19" s="5">
        <f t="shared" si="4"/>
        <v>0</v>
      </c>
      <c r="S19" s="1"/>
      <c r="T19" s="1">
        <f>SUM(OSRRefT22_0x_0)</f>
        <v>36816.457503679005</v>
      </c>
      <c r="U19" s="1"/>
      <c r="V19" s="5">
        <f t="shared" si="5"/>
        <v>0</v>
      </c>
      <c r="W19" s="1"/>
      <c r="X19" s="1">
        <f t="shared" si="6"/>
        <v>7395.9224963209999</v>
      </c>
      <c r="Y19" s="1"/>
      <c r="Z19" s="5">
        <f t="shared" si="7"/>
        <v>0.20088631546318486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979.64</v>
      </c>
      <c r="E20" s="2"/>
      <c r="F20" s="6">
        <f t="shared" si="0"/>
        <v>0</v>
      </c>
      <c r="G20" s="2"/>
      <c r="H20" s="7">
        <v>1137.028901145</v>
      </c>
      <c r="I20" s="2"/>
      <c r="J20" s="6">
        <f t="shared" si="1"/>
        <v>0</v>
      </c>
      <c r="K20" s="2"/>
      <c r="L20" s="7">
        <f t="shared" si="2"/>
        <v>-157.38890114499998</v>
      </c>
      <c r="M20" s="2"/>
      <c r="N20" s="6">
        <f t="shared" si="3"/>
        <v>-0.13842119667011782</v>
      </c>
      <c r="O20" s="11"/>
      <c r="P20" s="7">
        <v>10925.42</v>
      </c>
      <c r="Q20" s="2"/>
      <c r="R20" s="6">
        <f t="shared" si="4"/>
        <v>0</v>
      </c>
      <c r="S20" s="2"/>
      <c r="T20" s="7">
        <v>10427.800885598999</v>
      </c>
      <c r="U20" s="2"/>
      <c r="V20" s="6">
        <f t="shared" si="5"/>
        <v>0</v>
      </c>
      <c r="W20" s="2"/>
      <c r="X20" s="7">
        <f t="shared" si="6"/>
        <v>497.61911440100084</v>
      </c>
      <c r="Y20" s="2"/>
      <c r="Z20" s="6">
        <f t="shared" si="7"/>
        <v>4.772042733269128E-2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1343.18</v>
      </c>
      <c r="E21" s="2"/>
      <c r="F21" s="6">
        <f t="shared" si="0"/>
        <v>0</v>
      </c>
      <c r="G21" s="2"/>
      <c r="H21" s="7">
        <v>1369.5510935</v>
      </c>
      <c r="I21" s="2"/>
      <c r="J21" s="6">
        <f t="shared" si="1"/>
        <v>0</v>
      </c>
      <c r="K21" s="2"/>
      <c r="L21" s="7">
        <f t="shared" si="2"/>
        <v>-26.371093499999915</v>
      </c>
      <c r="M21" s="2"/>
      <c r="N21" s="6">
        <f t="shared" si="3"/>
        <v>-1.9255282716474947E-2</v>
      </c>
      <c r="O21" s="11"/>
      <c r="P21" s="7">
        <v>4807.58</v>
      </c>
      <c r="Q21" s="2"/>
      <c r="R21" s="6">
        <f t="shared" si="4"/>
        <v>0</v>
      </c>
      <c r="S21" s="2"/>
      <c r="T21" s="7">
        <v>5735.3690377000003</v>
      </c>
      <c r="U21" s="2"/>
      <c r="V21" s="6">
        <f t="shared" si="5"/>
        <v>0</v>
      </c>
      <c r="W21" s="2"/>
      <c r="X21" s="7">
        <f t="shared" si="6"/>
        <v>-927.78903770000034</v>
      </c>
      <c r="Y21" s="2"/>
      <c r="Z21" s="6">
        <f t="shared" si="7"/>
        <v>-0.16176623188523936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2064.35</v>
      </c>
      <c r="E22" s="2"/>
      <c r="F22" s="6">
        <f t="shared" si="0"/>
        <v>0</v>
      </c>
      <c r="G22" s="2"/>
      <c r="H22" s="7">
        <v>663</v>
      </c>
      <c r="I22" s="2"/>
      <c r="J22" s="6">
        <f t="shared" si="1"/>
        <v>0</v>
      </c>
      <c r="K22" s="2"/>
      <c r="L22" s="7">
        <f t="shared" si="2"/>
        <v>1401.35</v>
      </c>
      <c r="M22" s="2"/>
      <c r="N22" s="6">
        <f t="shared" si="3"/>
        <v>2.1136500754147813</v>
      </c>
      <c r="O22" s="11"/>
      <c r="P22" s="7">
        <v>13759.97</v>
      </c>
      <c r="Q22" s="2"/>
      <c r="R22" s="6">
        <f t="shared" si="4"/>
        <v>0</v>
      </c>
      <c r="S22" s="2"/>
      <c r="T22" s="7">
        <v>4641</v>
      </c>
      <c r="U22" s="2"/>
      <c r="V22" s="6">
        <f t="shared" si="5"/>
        <v>0</v>
      </c>
      <c r="W22" s="2"/>
      <c r="X22" s="7">
        <f t="shared" si="6"/>
        <v>9118.9699999999993</v>
      </c>
      <c r="Y22" s="2"/>
      <c r="Z22" s="6">
        <f t="shared" si="7"/>
        <v>1.9648717948717946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181.44</v>
      </c>
      <c r="E23" s="2"/>
      <c r="F23" s="6">
        <f t="shared" si="0"/>
        <v>0</v>
      </c>
      <c r="G23" s="2"/>
      <c r="H23" s="7">
        <v>187.41225489999999</v>
      </c>
      <c r="I23" s="2"/>
      <c r="J23" s="6">
        <f t="shared" si="1"/>
        <v>0</v>
      </c>
      <c r="K23" s="2"/>
      <c r="L23" s="7">
        <f t="shared" si="2"/>
        <v>-5.9722548999999958</v>
      </c>
      <c r="M23" s="2"/>
      <c r="N23" s="6">
        <f t="shared" si="3"/>
        <v>-3.1866939028009078E-2</v>
      </c>
      <c r="O23" s="11"/>
      <c r="P23" s="7">
        <v>751.38</v>
      </c>
      <c r="Q23" s="2"/>
      <c r="R23" s="6">
        <f t="shared" si="4"/>
        <v>0</v>
      </c>
      <c r="S23" s="2"/>
      <c r="T23" s="7">
        <v>784.83997358000011</v>
      </c>
      <c r="U23" s="2"/>
      <c r="V23" s="6">
        <f t="shared" si="5"/>
        <v>0</v>
      </c>
      <c r="W23" s="2"/>
      <c r="X23" s="7">
        <f t="shared" si="6"/>
        <v>-33.45997358000011</v>
      </c>
      <c r="Y23" s="2"/>
      <c r="Z23" s="6">
        <f t="shared" si="7"/>
        <v>-4.2632861100810736E-2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1069.6500000000001</v>
      </c>
      <c r="E24" s="2"/>
      <c r="F24" s="6">
        <f t="shared" si="0"/>
        <v>0</v>
      </c>
      <c r="G24" s="2"/>
      <c r="H24" s="7">
        <v>905.69149900000002</v>
      </c>
      <c r="I24" s="2"/>
      <c r="J24" s="6">
        <f t="shared" si="1"/>
        <v>0</v>
      </c>
      <c r="K24" s="2"/>
      <c r="L24" s="7">
        <f t="shared" si="2"/>
        <v>163.95850100000007</v>
      </c>
      <c r="M24" s="2"/>
      <c r="N24" s="6">
        <f t="shared" si="3"/>
        <v>0.18103129065584844</v>
      </c>
      <c r="O24" s="11"/>
      <c r="P24" s="7">
        <v>5498.07</v>
      </c>
      <c r="Q24" s="2"/>
      <c r="R24" s="6">
        <f t="shared" si="4"/>
        <v>0</v>
      </c>
      <c r="S24" s="2"/>
      <c r="T24" s="7">
        <v>5443.5624938000001</v>
      </c>
      <c r="U24" s="2"/>
      <c r="V24" s="6">
        <f t="shared" si="5"/>
        <v>0</v>
      </c>
      <c r="W24" s="2"/>
      <c r="X24" s="7">
        <f t="shared" si="6"/>
        <v>54.507506199999625</v>
      </c>
      <c r="Y24" s="2"/>
      <c r="Z24" s="6">
        <f t="shared" si="7"/>
        <v>1.0013204819836549E-2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208</v>
      </c>
      <c r="E26" s="2"/>
      <c r="F26" s="6">
        <f t="shared" si="0"/>
        <v>0</v>
      </c>
      <c r="G26" s="2"/>
      <c r="H26" s="7">
        <v>789.030755</v>
      </c>
      <c r="I26" s="2"/>
      <c r="J26" s="6">
        <f t="shared" si="1"/>
        <v>0</v>
      </c>
      <c r="K26" s="2"/>
      <c r="L26" s="7">
        <f t="shared" si="2"/>
        <v>-581.030755</v>
      </c>
      <c r="M26" s="2"/>
      <c r="N26" s="6">
        <f t="shared" si="3"/>
        <v>-0.73638543405066637</v>
      </c>
      <c r="O26" s="11"/>
      <c r="P26" s="7">
        <v>2514.4299999999998</v>
      </c>
      <c r="Q26" s="2"/>
      <c r="R26" s="6">
        <f t="shared" si="4"/>
        <v>0</v>
      </c>
      <c r="S26" s="2"/>
      <c r="T26" s="7">
        <v>4732.2466809999996</v>
      </c>
      <c r="U26" s="2"/>
      <c r="V26" s="6">
        <f t="shared" si="5"/>
        <v>0</v>
      </c>
      <c r="W26" s="2"/>
      <c r="X26" s="7">
        <f t="shared" si="6"/>
        <v>-2217.8166809999998</v>
      </c>
      <c r="Y26" s="2"/>
      <c r="Z26" s="6">
        <f t="shared" si="7"/>
        <v>-0.46866041237971551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389.2</v>
      </c>
      <c r="E27" s="2"/>
      <c r="F27" s="6">
        <f t="shared" si="0"/>
        <v>0</v>
      </c>
      <c r="G27" s="2"/>
      <c r="H27" s="7">
        <v>1058.38526</v>
      </c>
      <c r="I27" s="2"/>
      <c r="J27" s="6">
        <f t="shared" si="1"/>
        <v>0</v>
      </c>
      <c r="K27" s="2"/>
      <c r="L27" s="7">
        <f t="shared" si="2"/>
        <v>-669.18525999999997</v>
      </c>
      <c r="M27" s="2"/>
      <c r="N27" s="6">
        <f t="shared" si="3"/>
        <v>-0.6322700110165933</v>
      </c>
      <c r="O27" s="11"/>
      <c r="P27" s="7">
        <v>3701.69</v>
      </c>
      <c r="Q27" s="2"/>
      <c r="R27" s="6">
        <f t="shared" si="4"/>
        <v>0</v>
      </c>
      <c r="S27" s="2"/>
      <c r="T27" s="7">
        <v>5051.6384319999997</v>
      </c>
      <c r="U27" s="2"/>
      <c r="V27" s="6">
        <f t="shared" si="5"/>
        <v>0</v>
      </c>
      <c r="W27" s="2"/>
      <c r="X27" s="7">
        <f t="shared" si="6"/>
        <v>-1349.9484319999997</v>
      </c>
      <c r="Y27" s="2"/>
      <c r="Z27" s="6">
        <f t="shared" si="7"/>
        <v>-0.26722982061595019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>
        <v>349.74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349.74</v>
      </c>
      <c r="M28" s="2"/>
      <c r="N28" s="6">
        <f t="shared" si="3"/>
        <v>0</v>
      </c>
      <c r="O28" s="11"/>
      <c r="P28" s="7">
        <v>2253.84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2253.84</v>
      </c>
      <c r="Y28" s="2"/>
      <c r="Z28" s="6">
        <f t="shared" si="7"/>
        <v>0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83601.61</v>
      </c>
      <c r="E29" s="1"/>
      <c r="F29" s="5">
        <f t="shared" ref="F29:F39" si="8">IF(D$12=0,0,D29/D$12)</f>
        <v>0</v>
      </c>
      <c r="G29" s="1"/>
      <c r="H29" s="1">
        <f>SUM(OSRRefH22_1x_0)</f>
        <v>70871.35388499999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12730.256115000011</v>
      </c>
      <c r="M29" s="1"/>
      <c r="N29" s="5">
        <f t="shared" ref="N29:N39" si="11">IF(H29=0,0,L29/H29)</f>
        <v>0.17962484723597733</v>
      </c>
      <c r="O29" s="13"/>
      <c r="P29" s="1">
        <f>SUM(OSRRefP22_1x_0)</f>
        <v>292348.16000000003</v>
      </c>
      <c r="Q29" s="1"/>
      <c r="R29" s="5">
        <f t="shared" ref="R29:R39" si="12">IF(P$12=0,0,P29/P$12)</f>
        <v>0</v>
      </c>
      <c r="S29" s="1"/>
      <c r="T29" s="1">
        <f>SUM(OSRRefT22_1x_0)</f>
        <v>294597.39208700001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-2249.2320869999821</v>
      </c>
      <c r="Y29" s="1"/>
      <c r="Z29" s="5">
        <f t="shared" ref="Z29:Z39" si="15">IF(T29=0,0,X29/T29)</f>
        <v>-7.6349354998218807E-3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4759.0938849999993</v>
      </c>
      <c r="I30" s="2"/>
      <c r="J30" s="6">
        <f t="shared" si="9"/>
        <v>0</v>
      </c>
      <c r="K30" s="2"/>
      <c r="L30" s="7">
        <f t="shared" si="10"/>
        <v>-4759.0938849999993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29506.382086999998</v>
      </c>
      <c r="U30" s="2"/>
      <c r="V30" s="6">
        <f t="shared" si="13"/>
        <v>0</v>
      </c>
      <c r="W30" s="2"/>
      <c r="X30" s="7">
        <f t="shared" si="14"/>
        <v>-29506.382086999998</v>
      </c>
      <c r="Y30" s="2"/>
      <c r="Z30" s="6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>
        <v>10338.84</v>
      </c>
      <c r="E31" s="2"/>
      <c r="F31" s="6">
        <f t="shared" si="8"/>
        <v>0</v>
      </c>
      <c r="G31" s="2"/>
      <c r="H31" s="7">
        <v>4561.92</v>
      </c>
      <c r="I31" s="2"/>
      <c r="J31" s="6">
        <f t="shared" si="9"/>
        <v>0</v>
      </c>
      <c r="K31" s="2"/>
      <c r="L31" s="7">
        <f t="shared" si="10"/>
        <v>5776.92</v>
      </c>
      <c r="M31" s="2"/>
      <c r="N31" s="6">
        <f t="shared" si="11"/>
        <v>1.2663352272727273</v>
      </c>
      <c r="O31" s="11"/>
      <c r="P31" s="7">
        <v>60806.400000000001</v>
      </c>
      <c r="Q31" s="2"/>
      <c r="R31" s="6">
        <f t="shared" si="12"/>
        <v>0</v>
      </c>
      <c r="S31" s="2"/>
      <c r="T31" s="7">
        <v>26526.720000000001</v>
      </c>
      <c r="U31" s="2"/>
      <c r="V31" s="6">
        <f t="shared" si="13"/>
        <v>0</v>
      </c>
      <c r="W31" s="2"/>
      <c r="X31" s="7">
        <f t="shared" si="14"/>
        <v>34279.68</v>
      </c>
      <c r="Y31" s="2"/>
      <c r="Z31" s="6">
        <f t="shared" si="15"/>
        <v>1.2922698320787491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4326</v>
      </c>
      <c r="I33" s="2"/>
      <c r="J33" s="6">
        <f t="shared" si="9"/>
        <v>0</v>
      </c>
      <c r="K33" s="2"/>
      <c r="L33" s="7">
        <f t="shared" si="10"/>
        <v>-4326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26821.200000000001</v>
      </c>
      <c r="U33" s="2"/>
      <c r="V33" s="6">
        <f t="shared" si="13"/>
        <v>0</v>
      </c>
      <c r="W33" s="2"/>
      <c r="X33" s="7">
        <f t="shared" si="14"/>
        <v>-26821.200000000001</v>
      </c>
      <c r="Y33" s="2"/>
      <c r="Z33" s="6">
        <f t="shared" si="15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>
        <v>3030.83</v>
      </c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3030.83</v>
      </c>
      <c r="M34" s="2"/>
      <c r="N34" s="6">
        <f t="shared" si="11"/>
        <v>0</v>
      </c>
      <c r="O34" s="11"/>
      <c r="P34" s="7">
        <v>14120.21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14120.21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>
        <v>891.81</v>
      </c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891.81</v>
      </c>
      <c r="M35" s="2"/>
      <c r="N35" s="6">
        <f t="shared" si="11"/>
        <v>0</v>
      </c>
      <c r="O35" s="11"/>
      <c r="P35" s="7">
        <v>9977.18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9977.18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>
        <v>65830.490000000005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65830.490000000005</v>
      </c>
      <c r="M36" s="2"/>
      <c r="N36" s="6">
        <f t="shared" si="11"/>
        <v>0</v>
      </c>
      <c r="O36" s="11"/>
      <c r="P36" s="7">
        <v>198238.47999999998</v>
      </c>
      <c r="Q36" s="2"/>
      <c r="R36" s="6">
        <f t="shared" si="12"/>
        <v>0</v>
      </c>
      <c r="S36" s="2"/>
      <c r="T36" s="7">
        <v>46139.25</v>
      </c>
      <c r="U36" s="2"/>
      <c r="V36" s="6">
        <f t="shared" si="13"/>
        <v>0</v>
      </c>
      <c r="W36" s="2"/>
      <c r="X36" s="7">
        <f t="shared" si="14"/>
        <v>152099.22999999998</v>
      </c>
      <c r="Y36" s="2"/>
      <c r="Z36" s="6">
        <f t="shared" si="15"/>
        <v>3.2965258429645039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>
        <v>3509.64</v>
      </c>
      <c r="E37" s="2"/>
      <c r="F37" s="6">
        <f t="shared" si="8"/>
        <v>0</v>
      </c>
      <c r="G37" s="2"/>
      <c r="H37" s="7">
        <v>57224.34</v>
      </c>
      <c r="I37" s="2"/>
      <c r="J37" s="6">
        <f t="shared" si="9"/>
        <v>0</v>
      </c>
      <c r="K37" s="2"/>
      <c r="L37" s="7">
        <f t="shared" si="10"/>
        <v>-53714.7</v>
      </c>
      <c r="M37" s="2"/>
      <c r="N37" s="6">
        <f t="shared" si="11"/>
        <v>-0.93866875528839655</v>
      </c>
      <c r="O37" s="11"/>
      <c r="P37" s="7">
        <v>9205.89</v>
      </c>
      <c r="Q37" s="2"/>
      <c r="R37" s="6">
        <f t="shared" si="12"/>
        <v>0</v>
      </c>
      <c r="S37" s="2"/>
      <c r="T37" s="7">
        <v>165603.84</v>
      </c>
      <c r="U37" s="2"/>
      <c r="V37" s="6">
        <f t="shared" si="13"/>
        <v>0</v>
      </c>
      <c r="W37" s="2"/>
      <c r="X37" s="7">
        <f t="shared" si="14"/>
        <v>-156397.95000000001</v>
      </c>
      <c r="Y37" s="2"/>
      <c r="Z37" s="6">
        <f t="shared" si="15"/>
        <v>-0.94441016585122672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174</v>
      </c>
      <c r="E40" s="1"/>
      <c r="F40" s="5">
        <f t="shared" ref="F40:F52" si="16">IF(D$12=0,0,D40/D$12)</f>
        <v>0</v>
      </c>
      <c r="G40" s="1"/>
      <c r="H40" s="1">
        <f>SUM(OSRRefH22_2x_0)</f>
        <v>400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-226</v>
      </c>
      <c r="M40" s="1"/>
      <c r="N40" s="5">
        <f t="shared" ref="N40:N52" si="19">IF(H40=0,0,L40/H40)</f>
        <v>-0.56499999999999995</v>
      </c>
      <c r="O40" s="13"/>
      <c r="P40" s="1">
        <f>SUM(OSRRefP22_2x_0)</f>
        <v>360</v>
      </c>
      <c r="Q40" s="1"/>
      <c r="R40" s="5">
        <f t="shared" ref="R40:R52" si="20">IF(P$12=0,0,P40/P$12)</f>
        <v>0</v>
      </c>
      <c r="S40" s="1"/>
      <c r="T40" s="1">
        <f>SUM(OSRRefT22_2x_0)</f>
        <v>800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-440</v>
      </c>
      <c r="Y40" s="1"/>
      <c r="Z40" s="5">
        <f t="shared" ref="Z40:Z52" si="23">IF(T40=0,0,X40/T40)</f>
        <v>-0.55000000000000004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7">
        <v>174</v>
      </c>
      <c r="E41" s="2"/>
      <c r="F41" s="6">
        <f t="shared" si="16"/>
        <v>0</v>
      </c>
      <c r="G41" s="2"/>
      <c r="H41" s="7">
        <v>400</v>
      </c>
      <c r="I41" s="2"/>
      <c r="J41" s="6">
        <f t="shared" si="17"/>
        <v>0</v>
      </c>
      <c r="K41" s="2"/>
      <c r="L41" s="7">
        <f t="shared" si="18"/>
        <v>-226</v>
      </c>
      <c r="M41" s="2"/>
      <c r="N41" s="6">
        <f t="shared" si="19"/>
        <v>-0.56499999999999995</v>
      </c>
      <c r="O41" s="11"/>
      <c r="P41" s="7">
        <v>360</v>
      </c>
      <c r="Q41" s="2"/>
      <c r="R41" s="6">
        <f t="shared" si="20"/>
        <v>0</v>
      </c>
      <c r="S41" s="2"/>
      <c r="T41" s="7">
        <v>800</v>
      </c>
      <c r="U41" s="2"/>
      <c r="V41" s="6">
        <f t="shared" si="21"/>
        <v>0</v>
      </c>
      <c r="W41" s="2"/>
      <c r="X41" s="7">
        <f t="shared" si="22"/>
        <v>-440</v>
      </c>
      <c r="Y41" s="2"/>
      <c r="Z41" s="6">
        <f t="shared" si="23"/>
        <v>-0.55000000000000004</v>
      </c>
    </row>
    <row r="42" spans="1:26" s="27" customFormat="1" outlineLevel="1" collapsed="1" x14ac:dyDescent="0.25">
      <c r="A42" s="26"/>
      <c r="B42" s="13" t="str">
        <f>CONCATENATE("     ","Employees' Appreciation                           ")</f>
        <v xml:space="preserve">     Employees' Appreciation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50</v>
      </c>
      <c r="I42" s="1"/>
      <c r="J42" s="5">
        <f t="shared" si="17"/>
        <v>0</v>
      </c>
      <c r="K42" s="1"/>
      <c r="L42" s="1">
        <f t="shared" si="18"/>
        <v>-50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350</v>
      </c>
      <c r="U42" s="1"/>
      <c r="V42" s="5">
        <f t="shared" si="21"/>
        <v>0</v>
      </c>
      <c r="W42" s="1"/>
      <c r="X42" s="1">
        <f t="shared" si="22"/>
        <v>-350</v>
      </c>
      <c r="Y42" s="1"/>
      <c r="Z42" s="5">
        <f t="shared" si="23"/>
        <v>-1</v>
      </c>
    </row>
    <row r="43" spans="1:26" s="24" customFormat="1" hidden="1" outlineLevel="2" x14ac:dyDescent="0.25">
      <c r="A43" s="25"/>
      <c r="B43" s="11" t="str">
        <f>CONCATENATE("          ", "6277", " - ", "EMPLOYEE APPRECIATION")</f>
        <v xml:space="preserve">          6277 - EMPLOYEE APPRECIATION</v>
      </c>
      <c r="C43" s="11"/>
      <c r="D43" s="7"/>
      <c r="E43" s="2"/>
      <c r="F43" s="6">
        <f t="shared" si="16"/>
        <v>0</v>
      </c>
      <c r="G43" s="2"/>
      <c r="H43" s="7">
        <v>50</v>
      </c>
      <c r="I43" s="2"/>
      <c r="J43" s="6">
        <f t="shared" si="17"/>
        <v>0</v>
      </c>
      <c r="K43" s="2"/>
      <c r="L43" s="7">
        <f t="shared" si="18"/>
        <v>-50</v>
      </c>
      <c r="M43" s="2"/>
      <c r="N43" s="6">
        <f t="shared" si="19"/>
        <v>-1</v>
      </c>
      <c r="O43" s="11"/>
      <c r="P43" s="7"/>
      <c r="Q43" s="2"/>
      <c r="R43" s="6">
        <f t="shared" si="20"/>
        <v>0</v>
      </c>
      <c r="S43" s="2"/>
      <c r="T43" s="7">
        <v>350</v>
      </c>
      <c r="U43" s="2"/>
      <c r="V43" s="6">
        <f t="shared" si="21"/>
        <v>0</v>
      </c>
      <c r="W43" s="2"/>
      <c r="X43" s="7">
        <f t="shared" si="22"/>
        <v>-350</v>
      </c>
      <c r="Y43" s="2"/>
      <c r="Z43" s="6">
        <f t="shared" si="23"/>
        <v>-1</v>
      </c>
    </row>
    <row r="44" spans="1:26" s="27" customFormat="1" outlineLevel="1" collapsed="1" x14ac:dyDescent="0.25">
      <c r="A44" s="26"/>
      <c r="B44" s="13" t="str">
        <f>CONCATENATE("     ","Equipment Rental                                  ")</f>
        <v xml:space="preserve">     Equipment Rental                                  </v>
      </c>
      <c r="C44" s="13"/>
      <c r="D44" s="1">
        <f>SUM(OSRRefD22_4x_0)</f>
        <v>91.26</v>
      </c>
      <c r="E44" s="1"/>
      <c r="F44" s="5">
        <f t="shared" si="16"/>
        <v>0</v>
      </c>
      <c r="G44" s="1"/>
      <c r="H44" s="1">
        <f>SUM(OSRRefH22_4x_0)</f>
        <v>125</v>
      </c>
      <c r="I44" s="1"/>
      <c r="J44" s="5">
        <f t="shared" si="17"/>
        <v>0</v>
      </c>
      <c r="K44" s="1"/>
      <c r="L44" s="1">
        <f t="shared" si="18"/>
        <v>-33.739999999999995</v>
      </c>
      <c r="M44" s="1"/>
      <c r="N44" s="5">
        <f t="shared" si="19"/>
        <v>-0.26991999999999994</v>
      </c>
      <c r="O44" s="13"/>
      <c r="P44" s="1">
        <f>SUM(OSRRefP22_4x_0)</f>
        <v>701.68</v>
      </c>
      <c r="Q44" s="1"/>
      <c r="R44" s="5">
        <f t="shared" si="20"/>
        <v>0</v>
      </c>
      <c r="S44" s="1"/>
      <c r="T44" s="1">
        <f>SUM(OSRRefT22_4x_0)</f>
        <v>875</v>
      </c>
      <c r="U44" s="1"/>
      <c r="V44" s="5">
        <f t="shared" si="21"/>
        <v>0</v>
      </c>
      <c r="W44" s="1"/>
      <c r="X44" s="1">
        <f t="shared" si="22"/>
        <v>-173.32000000000005</v>
      </c>
      <c r="Y44" s="1"/>
      <c r="Z44" s="5">
        <f t="shared" si="23"/>
        <v>-0.19808000000000006</v>
      </c>
    </row>
    <row r="45" spans="1:26" s="24" customFormat="1" hidden="1" outlineLevel="2" x14ac:dyDescent="0.25">
      <c r="A45" s="25"/>
      <c r="B45" s="11" t="str">
        <f>CONCATENATE("          ", "6351", " - ", "EQUIPMENT RENTAL")</f>
        <v xml:space="preserve">          6351 - EQUIPMENT RENTAL</v>
      </c>
      <c r="C45" s="11"/>
      <c r="D45" s="7">
        <v>91.26</v>
      </c>
      <c r="E45" s="2"/>
      <c r="F45" s="6">
        <f t="shared" si="16"/>
        <v>0</v>
      </c>
      <c r="G45" s="2"/>
      <c r="H45" s="7">
        <v>125</v>
      </c>
      <c r="I45" s="2"/>
      <c r="J45" s="6">
        <f t="shared" si="17"/>
        <v>0</v>
      </c>
      <c r="K45" s="2"/>
      <c r="L45" s="7">
        <f t="shared" si="18"/>
        <v>-33.739999999999995</v>
      </c>
      <c r="M45" s="2"/>
      <c r="N45" s="6">
        <f t="shared" si="19"/>
        <v>-0.26991999999999994</v>
      </c>
      <c r="O45" s="11"/>
      <c r="P45" s="7">
        <v>701.68</v>
      </c>
      <c r="Q45" s="2"/>
      <c r="R45" s="6">
        <f t="shared" si="20"/>
        <v>0</v>
      </c>
      <c r="S45" s="2"/>
      <c r="T45" s="7">
        <v>875</v>
      </c>
      <c r="U45" s="2"/>
      <c r="V45" s="6">
        <f t="shared" si="21"/>
        <v>0</v>
      </c>
      <c r="W45" s="2"/>
      <c r="X45" s="7">
        <f t="shared" si="22"/>
        <v>-173.32000000000005</v>
      </c>
      <c r="Y45" s="2"/>
      <c r="Z45" s="6">
        <f t="shared" si="23"/>
        <v>-0.19808000000000006</v>
      </c>
    </row>
    <row r="46" spans="1:26" s="27" customFormat="1" outlineLevel="1" collapsed="1" x14ac:dyDescent="0.25">
      <c r="A46" s="26"/>
      <c r="B46" s="13" t="str">
        <f>CONCATENATE("     ","Freight out/Postage                               ")</f>
        <v xml:space="preserve">     Freight out/Postage                               </v>
      </c>
      <c r="C46" s="13"/>
      <c r="D46" s="1">
        <f>SUM(OSRRefD22_5x_0)</f>
        <v>565.95000000000005</v>
      </c>
      <c r="E46" s="1"/>
      <c r="F46" s="5">
        <f t="shared" si="16"/>
        <v>0</v>
      </c>
      <c r="G46" s="1"/>
      <c r="H46" s="1">
        <f>SUM(OSRRefH22_5x_0)</f>
        <v>10</v>
      </c>
      <c r="I46" s="1"/>
      <c r="J46" s="5">
        <f t="shared" si="17"/>
        <v>0</v>
      </c>
      <c r="K46" s="1"/>
      <c r="L46" s="1">
        <f t="shared" si="18"/>
        <v>555.95000000000005</v>
      </c>
      <c r="M46" s="1"/>
      <c r="N46" s="5">
        <f t="shared" si="19"/>
        <v>55.595000000000006</v>
      </c>
      <c r="O46" s="13"/>
      <c r="P46" s="1">
        <f>SUM(OSRRefP22_5x_0)</f>
        <v>965.95</v>
      </c>
      <c r="Q46" s="1"/>
      <c r="R46" s="5">
        <f t="shared" si="20"/>
        <v>0</v>
      </c>
      <c r="S46" s="1"/>
      <c r="T46" s="1">
        <f>SUM(OSRRefT22_5x_0)</f>
        <v>70</v>
      </c>
      <c r="U46" s="1"/>
      <c r="V46" s="5">
        <f t="shared" si="21"/>
        <v>0</v>
      </c>
      <c r="W46" s="1"/>
      <c r="X46" s="1">
        <f t="shared" si="22"/>
        <v>895.95</v>
      </c>
      <c r="Y46" s="1"/>
      <c r="Z46" s="5">
        <f t="shared" si="23"/>
        <v>12.799285714285714</v>
      </c>
    </row>
    <row r="47" spans="1:26" s="24" customFormat="1" hidden="1" outlineLevel="2" x14ac:dyDescent="0.25">
      <c r="A47" s="25"/>
      <c r="B47" s="11" t="str">
        <f>CONCATENATE("          ", "6307", " - ", "POSTAGE")</f>
        <v xml:space="preserve">          6307 - POSTAGE</v>
      </c>
      <c r="C47" s="11"/>
      <c r="D47" s="7">
        <v>565.95000000000005</v>
      </c>
      <c r="E47" s="2"/>
      <c r="F47" s="6">
        <f t="shared" si="16"/>
        <v>0</v>
      </c>
      <c r="G47" s="2"/>
      <c r="H47" s="7">
        <v>10</v>
      </c>
      <c r="I47" s="2"/>
      <c r="J47" s="6">
        <f t="shared" si="17"/>
        <v>0</v>
      </c>
      <c r="K47" s="2"/>
      <c r="L47" s="7">
        <f t="shared" si="18"/>
        <v>555.95000000000005</v>
      </c>
      <c r="M47" s="2"/>
      <c r="N47" s="6">
        <f t="shared" si="19"/>
        <v>55.595000000000006</v>
      </c>
      <c r="O47" s="11"/>
      <c r="P47" s="7">
        <v>965.95</v>
      </c>
      <c r="Q47" s="2"/>
      <c r="R47" s="6">
        <f t="shared" si="20"/>
        <v>0</v>
      </c>
      <c r="S47" s="2"/>
      <c r="T47" s="7">
        <v>70</v>
      </c>
      <c r="U47" s="2"/>
      <c r="V47" s="6">
        <f t="shared" si="21"/>
        <v>0</v>
      </c>
      <c r="W47" s="2"/>
      <c r="X47" s="7">
        <f t="shared" si="22"/>
        <v>895.95</v>
      </c>
      <c r="Y47" s="2"/>
      <c r="Z47" s="6">
        <f t="shared" si="23"/>
        <v>12.799285714285714</v>
      </c>
    </row>
    <row r="48" spans="1:26" s="27" customFormat="1" outlineLevel="1" collapsed="1" x14ac:dyDescent="0.25">
      <c r="A48" s="26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89.45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89.45</v>
      </c>
      <c r="Y48" s="1"/>
      <c r="Z48" s="5">
        <f t="shared" si="23"/>
        <v>0</v>
      </c>
    </row>
    <row r="49" spans="1:26" s="24" customFormat="1" hidden="1" outlineLevel="2" x14ac:dyDescent="0.25">
      <c r="A49" s="25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>
        <v>89.45</v>
      </c>
      <c r="Q49" s="2"/>
      <c r="R49" s="6">
        <f t="shared" si="20"/>
        <v>0</v>
      </c>
      <c r="S49" s="2"/>
      <c r="T49" s="7"/>
      <c r="U49" s="2"/>
      <c r="V49" s="6">
        <f t="shared" si="21"/>
        <v>0</v>
      </c>
      <c r="W49" s="2"/>
      <c r="X49" s="7">
        <f t="shared" si="22"/>
        <v>89.45</v>
      </c>
      <c r="Y49" s="2"/>
      <c r="Z49" s="6">
        <f t="shared" si="23"/>
        <v>0</v>
      </c>
    </row>
    <row r="50" spans="1:26" s="27" customFormat="1" outlineLevel="1" collapsed="1" x14ac:dyDescent="0.25">
      <c r="A50" s="26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125</v>
      </c>
      <c r="I50" s="1"/>
      <c r="J50" s="5">
        <f t="shared" si="17"/>
        <v>0</v>
      </c>
      <c r="K50" s="1"/>
      <c r="L50" s="1">
        <f t="shared" si="18"/>
        <v>-125</v>
      </c>
      <c r="M50" s="1"/>
      <c r="N50" s="5">
        <f t="shared" si="19"/>
        <v>-1</v>
      </c>
      <c r="O50" s="13"/>
      <c r="P50" s="1">
        <f>SUM(OSRRefP22_7x_0)</f>
        <v>251.55</v>
      </c>
      <c r="Q50" s="1"/>
      <c r="R50" s="5">
        <f t="shared" si="20"/>
        <v>0</v>
      </c>
      <c r="S50" s="1"/>
      <c r="T50" s="1">
        <f>SUM(OSRRefT22_7x_0)</f>
        <v>875</v>
      </c>
      <c r="U50" s="1"/>
      <c r="V50" s="5">
        <f t="shared" si="21"/>
        <v>0</v>
      </c>
      <c r="W50" s="1"/>
      <c r="X50" s="1">
        <f t="shared" si="22"/>
        <v>-623.45000000000005</v>
      </c>
      <c r="Y50" s="1"/>
      <c r="Z50" s="5">
        <f t="shared" si="23"/>
        <v>-0.71251428571428577</v>
      </c>
    </row>
    <row r="51" spans="1:26" s="24" customFormat="1" hidden="1" outlineLevel="2" x14ac:dyDescent="0.25">
      <c r="A51" s="25"/>
      <c r="B51" s="11" t="str">
        <f>CONCATENATE("          ", "6373", " - ", "MAINTENANCE CONTRACTS")</f>
        <v xml:space="preserve">          6373 - MAINTENANCE CONTRACTS</v>
      </c>
      <c r="C51" s="11"/>
      <c r="D51" s="7"/>
      <c r="E51" s="2"/>
      <c r="F51" s="6">
        <f t="shared" si="16"/>
        <v>0</v>
      </c>
      <c r="G51" s="2"/>
      <c r="H51" s="7"/>
      <c r="I51" s="2"/>
      <c r="J51" s="6">
        <f t="shared" si="17"/>
        <v>0</v>
      </c>
      <c r="K51" s="2"/>
      <c r="L51" s="7">
        <f t="shared" si="18"/>
        <v>0</v>
      </c>
      <c r="M51" s="2"/>
      <c r="N51" s="6">
        <f t="shared" si="19"/>
        <v>0</v>
      </c>
      <c r="O51" s="11"/>
      <c r="P51" s="7">
        <v>59.22</v>
      </c>
      <c r="Q51" s="2"/>
      <c r="R51" s="6">
        <f t="shared" si="20"/>
        <v>0</v>
      </c>
      <c r="S51" s="2"/>
      <c r="T51" s="7"/>
      <c r="U51" s="2"/>
      <c r="V51" s="6">
        <f t="shared" si="21"/>
        <v>0</v>
      </c>
      <c r="W51" s="2"/>
      <c r="X51" s="7">
        <f t="shared" si="22"/>
        <v>59.22</v>
      </c>
      <c r="Y51" s="2"/>
      <c r="Z51" s="6">
        <f t="shared" si="23"/>
        <v>0</v>
      </c>
    </row>
    <row r="52" spans="1:26" s="24" customFormat="1" hidden="1" outlineLevel="2" x14ac:dyDescent="0.25">
      <c r="A52" s="25"/>
      <c r="B52" s="11" t="str">
        <f>CONCATENATE("          ", "6375", " - ", "OUTSIDE REPAIRS &amp; MAINTENANCE")</f>
        <v xml:space="preserve">          6375 - OUTSIDE REPAIRS &amp; MAINTENANCE</v>
      </c>
      <c r="C52" s="11"/>
      <c r="D52" s="7"/>
      <c r="E52" s="2"/>
      <c r="F52" s="6">
        <f t="shared" si="16"/>
        <v>0</v>
      </c>
      <c r="G52" s="2"/>
      <c r="H52" s="7">
        <v>125</v>
      </c>
      <c r="I52" s="2"/>
      <c r="J52" s="6">
        <f t="shared" si="17"/>
        <v>0</v>
      </c>
      <c r="K52" s="2"/>
      <c r="L52" s="7">
        <f t="shared" si="18"/>
        <v>-125</v>
      </c>
      <c r="M52" s="2"/>
      <c r="N52" s="6">
        <f t="shared" si="19"/>
        <v>-1</v>
      </c>
      <c r="O52" s="11"/>
      <c r="P52" s="7">
        <v>192.33</v>
      </c>
      <c r="Q52" s="2"/>
      <c r="R52" s="6">
        <f t="shared" si="20"/>
        <v>0</v>
      </c>
      <c r="S52" s="2"/>
      <c r="T52" s="7">
        <v>875</v>
      </c>
      <c r="U52" s="2"/>
      <c r="V52" s="6">
        <f t="shared" si="21"/>
        <v>0</v>
      </c>
      <c r="W52" s="2"/>
      <c r="X52" s="7">
        <f t="shared" si="22"/>
        <v>-682.67</v>
      </c>
      <c r="Y52" s="2"/>
      <c r="Z52" s="6">
        <f t="shared" si="23"/>
        <v>-0.78019428571428562</v>
      </c>
    </row>
    <row r="53" spans="1:26" s="27" customFormat="1" outlineLevel="1" collapsed="1" x14ac:dyDescent="0.25">
      <c r="A53" s="26"/>
      <c r="B53" s="13" t="str">
        <f>CONCATENATE("     ","Supplies                                          ")</f>
        <v xml:space="preserve">     Supplies                                          </v>
      </c>
      <c r="C53" s="13"/>
      <c r="D53" s="1">
        <f>SUM(OSRRefD22_8x_0)</f>
        <v>668.66</v>
      </c>
      <c r="E53" s="1"/>
      <c r="F53" s="5">
        <f t="shared" ref="F53:F57" si="24">IF(D$12=0,0,D53/D$12)</f>
        <v>0</v>
      </c>
      <c r="G53" s="1"/>
      <c r="H53" s="1">
        <f>SUM(OSRRefH22_8x_0)</f>
        <v>950</v>
      </c>
      <c r="I53" s="1"/>
      <c r="J53" s="5">
        <f t="shared" ref="J53:J57" si="25">IF(H$12=0,0,H53/H$12)</f>
        <v>0</v>
      </c>
      <c r="K53" s="1"/>
      <c r="L53" s="1">
        <f t="shared" ref="L53:L57" si="26">+D53-H53</f>
        <v>-281.34000000000003</v>
      </c>
      <c r="M53" s="1"/>
      <c r="N53" s="5">
        <f t="shared" ref="N53:N57" si="27">IF(H53=0,0,L53/H53)</f>
        <v>-0.29614736842105266</v>
      </c>
      <c r="O53" s="13"/>
      <c r="P53" s="1">
        <f>SUM(OSRRefP22_8x_0)</f>
        <v>2881.39</v>
      </c>
      <c r="Q53" s="1"/>
      <c r="R53" s="5">
        <f t="shared" ref="R53:R57" si="28">IF(P$12=0,0,P53/P$12)</f>
        <v>0</v>
      </c>
      <c r="S53" s="1"/>
      <c r="T53" s="1">
        <f>SUM(OSRRefT22_8x_0)</f>
        <v>4650</v>
      </c>
      <c r="U53" s="1"/>
      <c r="V53" s="5">
        <f t="shared" ref="V53:V57" si="29">IF(T$12=0,0,T53/T$12)</f>
        <v>0</v>
      </c>
      <c r="W53" s="1"/>
      <c r="X53" s="1">
        <f t="shared" ref="X53:X57" si="30">+P53-T53</f>
        <v>-1768.6100000000001</v>
      </c>
      <c r="Y53" s="1"/>
      <c r="Z53" s="5">
        <f t="shared" ref="Z53:Z57" si="31">IF(T53=0,0,X53/T53)</f>
        <v>-0.38034623655913979</v>
      </c>
    </row>
    <row r="54" spans="1:26" s="24" customFormat="1" hidden="1" outlineLevel="2" x14ac:dyDescent="0.25">
      <c r="A54" s="25"/>
      <c r="B54" s="11" t="str">
        <f>CONCATENATE("          ", "6237", " - ", "JANITORIAL SUPPLIES")</f>
        <v xml:space="preserve">          6237 - JANITORIAL SUPPLIES</v>
      </c>
      <c r="C54" s="11"/>
      <c r="D54" s="7"/>
      <c r="E54" s="2"/>
      <c r="F54" s="6">
        <f t="shared" si="24"/>
        <v>0</v>
      </c>
      <c r="G54" s="2"/>
      <c r="H54" s="7"/>
      <c r="I54" s="2"/>
      <c r="J54" s="6">
        <f t="shared" si="25"/>
        <v>0</v>
      </c>
      <c r="K54" s="2"/>
      <c r="L54" s="7">
        <f t="shared" si="26"/>
        <v>0</v>
      </c>
      <c r="M54" s="2"/>
      <c r="N54" s="6">
        <f t="shared" si="27"/>
        <v>0</v>
      </c>
      <c r="O54" s="11"/>
      <c r="P54" s="7">
        <v>226.95</v>
      </c>
      <c r="Q54" s="2"/>
      <c r="R54" s="6">
        <f t="shared" si="28"/>
        <v>0</v>
      </c>
      <c r="S54" s="2"/>
      <c r="T54" s="7"/>
      <c r="U54" s="2"/>
      <c r="V54" s="6">
        <f t="shared" si="29"/>
        <v>0</v>
      </c>
      <c r="W54" s="2"/>
      <c r="X54" s="7">
        <f t="shared" si="30"/>
        <v>226.95</v>
      </c>
      <c r="Y54" s="2"/>
      <c r="Z54" s="6">
        <f t="shared" si="31"/>
        <v>0</v>
      </c>
    </row>
    <row r="55" spans="1:26" s="24" customFormat="1" hidden="1" outlineLevel="2" x14ac:dyDescent="0.25">
      <c r="A55" s="25"/>
      <c r="B55" s="11" t="str">
        <f>CONCATENATE("          ", "6241", " - ", "OFFICE EXPENSE")</f>
        <v xml:space="preserve">          6241 - OFFICE EXPENSE</v>
      </c>
      <c r="C55" s="11"/>
      <c r="D55" s="7">
        <v>668.66</v>
      </c>
      <c r="E55" s="2"/>
      <c r="F55" s="6">
        <f t="shared" si="24"/>
        <v>0</v>
      </c>
      <c r="G55" s="2"/>
      <c r="H55" s="7">
        <v>150</v>
      </c>
      <c r="I55" s="2"/>
      <c r="J55" s="6">
        <f t="shared" si="25"/>
        <v>0</v>
      </c>
      <c r="K55" s="2"/>
      <c r="L55" s="7">
        <f t="shared" si="26"/>
        <v>518.66</v>
      </c>
      <c r="M55" s="2"/>
      <c r="N55" s="6">
        <f t="shared" si="27"/>
        <v>3.4577333333333331</v>
      </c>
      <c r="O55" s="11"/>
      <c r="P55" s="7">
        <v>2019.71</v>
      </c>
      <c r="Q55" s="2"/>
      <c r="R55" s="6">
        <f t="shared" si="28"/>
        <v>0</v>
      </c>
      <c r="S55" s="2"/>
      <c r="T55" s="7">
        <v>1550</v>
      </c>
      <c r="U55" s="2"/>
      <c r="V55" s="6">
        <f t="shared" si="29"/>
        <v>0</v>
      </c>
      <c r="W55" s="2"/>
      <c r="X55" s="7">
        <f t="shared" si="30"/>
        <v>469.71000000000004</v>
      </c>
      <c r="Y55" s="2"/>
      <c r="Z55" s="6">
        <f t="shared" si="31"/>
        <v>0.30303870967741936</v>
      </c>
    </row>
    <row r="56" spans="1:26" s="24" customFormat="1" hidden="1" outlineLevel="2" x14ac:dyDescent="0.25">
      <c r="A56" s="25"/>
      <c r="B56" s="11" t="str">
        <f>CONCATENATE("          ", "6243", " - ", "PAPER SUPPLIES")</f>
        <v xml:space="preserve">          6243 - PAPER SUPPLIES</v>
      </c>
      <c r="C56" s="11"/>
      <c r="D56" s="7"/>
      <c r="E56" s="2"/>
      <c r="F56" s="6">
        <f t="shared" si="24"/>
        <v>0</v>
      </c>
      <c r="G56" s="2"/>
      <c r="H56" s="7">
        <v>500</v>
      </c>
      <c r="I56" s="2"/>
      <c r="J56" s="6">
        <f t="shared" si="25"/>
        <v>0</v>
      </c>
      <c r="K56" s="2"/>
      <c r="L56" s="7">
        <f t="shared" si="26"/>
        <v>-500</v>
      </c>
      <c r="M56" s="2"/>
      <c r="N56" s="6">
        <f t="shared" si="27"/>
        <v>-1</v>
      </c>
      <c r="O56" s="11"/>
      <c r="P56" s="7"/>
      <c r="Q56" s="2"/>
      <c r="R56" s="6">
        <f t="shared" si="28"/>
        <v>0</v>
      </c>
      <c r="S56" s="2"/>
      <c r="T56" s="7">
        <v>1000</v>
      </c>
      <c r="U56" s="2"/>
      <c r="V56" s="6">
        <f t="shared" si="29"/>
        <v>0</v>
      </c>
      <c r="W56" s="2"/>
      <c r="X56" s="7">
        <f t="shared" si="30"/>
        <v>-1000</v>
      </c>
      <c r="Y56" s="2"/>
      <c r="Z56" s="6">
        <f t="shared" si="31"/>
        <v>-1</v>
      </c>
    </row>
    <row r="57" spans="1:26" s="24" customFormat="1" hidden="1" outlineLevel="2" x14ac:dyDescent="0.25">
      <c r="A57" s="25"/>
      <c r="B57" s="11" t="str">
        <f>CONCATENATE("          ", "6247", " - ", "STORE SUPPLIES")</f>
        <v xml:space="preserve">          6247 - STORE SUPPLIES</v>
      </c>
      <c r="C57" s="11"/>
      <c r="D57" s="7"/>
      <c r="E57" s="2"/>
      <c r="F57" s="6">
        <f t="shared" si="24"/>
        <v>0</v>
      </c>
      <c r="G57" s="2"/>
      <c r="H57" s="7">
        <v>300</v>
      </c>
      <c r="I57" s="2"/>
      <c r="J57" s="6">
        <f t="shared" si="25"/>
        <v>0</v>
      </c>
      <c r="K57" s="2"/>
      <c r="L57" s="7">
        <f t="shared" si="26"/>
        <v>-300</v>
      </c>
      <c r="M57" s="2"/>
      <c r="N57" s="6">
        <f t="shared" si="27"/>
        <v>-1</v>
      </c>
      <c r="O57" s="11"/>
      <c r="P57" s="7">
        <v>634.73</v>
      </c>
      <c r="Q57" s="2"/>
      <c r="R57" s="6">
        <f t="shared" si="28"/>
        <v>0</v>
      </c>
      <c r="S57" s="2"/>
      <c r="T57" s="7">
        <v>2100</v>
      </c>
      <c r="U57" s="2"/>
      <c r="V57" s="6">
        <f t="shared" si="29"/>
        <v>0</v>
      </c>
      <c r="W57" s="2"/>
      <c r="X57" s="7">
        <f t="shared" si="30"/>
        <v>-1465.27</v>
      </c>
      <c r="Y57" s="2"/>
      <c r="Z57" s="6">
        <f t="shared" si="31"/>
        <v>-0.69774761904761906</v>
      </c>
    </row>
    <row r="58" spans="1:26" s="27" customFormat="1" outlineLevel="1" collapsed="1" x14ac:dyDescent="0.25">
      <c r="A58" s="26"/>
      <c r="B58" s="13" t="str">
        <f>CONCATENATE("     ","Telephone/Data Lines                              ")</f>
        <v xml:space="preserve">     Telephone/Data Lines                              </v>
      </c>
      <c r="C58" s="13"/>
      <c r="D58" s="1">
        <f>SUM(OSRRefD22_9x_0)</f>
        <v>150</v>
      </c>
      <c r="E58" s="1"/>
      <c r="F58" s="5">
        <f t="shared" ref="F58:F61" si="32">IF(D$12=0,0,D58/D$12)</f>
        <v>0</v>
      </c>
      <c r="G58" s="1"/>
      <c r="H58" s="1">
        <f>SUM(OSRRefH22_9x_0)</f>
        <v>165</v>
      </c>
      <c r="I58" s="1"/>
      <c r="J58" s="5">
        <f t="shared" ref="J58:J61" si="33">IF(H$12=0,0,H58/H$12)</f>
        <v>0</v>
      </c>
      <c r="K58" s="1"/>
      <c r="L58" s="1">
        <f t="shared" ref="L58:L61" si="34">+D58-H58</f>
        <v>-15</v>
      </c>
      <c r="M58" s="1"/>
      <c r="N58" s="5">
        <f t="shared" ref="N58:N61" si="35">IF(H58=0,0,L58/H58)</f>
        <v>-9.0909090909090912E-2</v>
      </c>
      <c r="O58" s="13"/>
      <c r="P58" s="1">
        <f>SUM(OSRRefP22_9x_0)</f>
        <v>1081.9000000000001</v>
      </c>
      <c r="Q58" s="1"/>
      <c r="R58" s="5">
        <f t="shared" ref="R58:R61" si="36">IF(P$12=0,0,P58/P$12)</f>
        <v>0</v>
      </c>
      <c r="S58" s="1"/>
      <c r="T58" s="1">
        <f>SUM(OSRRefT22_9x_0)</f>
        <v>1155</v>
      </c>
      <c r="U58" s="1"/>
      <c r="V58" s="5">
        <f t="shared" ref="V58:V61" si="37">IF(T$12=0,0,T58/T$12)</f>
        <v>0</v>
      </c>
      <c r="W58" s="1"/>
      <c r="X58" s="1">
        <f t="shared" ref="X58:X61" si="38">+P58-T58</f>
        <v>-73.099999999999909</v>
      </c>
      <c r="Y58" s="1"/>
      <c r="Z58" s="5">
        <f t="shared" ref="Z58:Z61" si="39">IF(T58=0,0,X58/T58)</f>
        <v>-6.3290043290043216E-2</v>
      </c>
    </row>
    <row r="59" spans="1:26" s="24" customFormat="1" hidden="1" outlineLevel="2" x14ac:dyDescent="0.25">
      <c r="A59" s="25"/>
      <c r="B59" s="11" t="str">
        <f>CONCATENATE("          ", "6309", " - ", "TELEPHONE")</f>
        <v xml:space="preserve">          6309 - TELEPHONE</v>
      </c>
      <c r="C59" s="11"/>
      <c r="D59" s="7">
        <v>150</v>
      </c>
      <c r="E59" s="2"/>
      <c r="F59" s="6">
        <f t="shared" si="32"/>
        <v>0</v>
      </c>
      <c r="G59" s="2"/>
      <c r="H59" s="7">
        <v>165</v>
      </c>
      <c r="I59" s="2"/>
      <c r="J59" s="6">
        <f t="shared" si="33"/>
        <v>0</v>
      </c>
      <c r="K59" s="2"/>
      <c r="L59" s="7">
        <f t="shared" si="34"/>
        <v>-15</v>
      </c>
      <c r="M59" s="2"/>
      <c r="N59" s="6">
        <f t="shared" si="35"/>
        <v>-9.0909090909090912E-2</v>
      </c>
      <c r="O59" s="11"/>
      <c r="P59" s="7">
        <v>1081.9000000000001</v>
      </c>
      <c r="Q59" s="2"/>
      <c r="R59" s="6">
        <f t="shared" si="36"/>
        <v>0</v>
      </c>
      <c r="S59" s="2"/>
      <c r="T59" s="7">
        <v>1155</v>
      </c>
      <c r="U59" s="2"/>
      <c r="V59" s="6">
        <f t="shared" si="37"/>
        <v>0</v>
      </c>
      <c r="W59" s="2"/>
      <c r="X59" s="7">
        <f t="shared" si="38"/>
        <v>-73.099999999999909</v>
      </c>
      <c r="Y59" s="2"/>
      <c r="Z59" s="6">
        <f t="shared" si="39"/>
        <v>-6.3290043290043216E-2</v>
      </c>
    </row>
    <row r="60" spans="1:26" s="27" customFormat="1" outlineLevel="1" collapsed="1" x14ac:dyDescent="0.25">
      <c r="A60" s="26"/>
      <c r="B60" s="13" t="str">
        <f>CONCATENATE("     ","Training                                          ")</f>
        <v xml:space="preserve">     Training                                          </v>
      </c>
      <c r="C60" s="13"/>
      <c r="D60" s="1">
        <f>SUM(OSRRefD22_10x_0)</f>
        <v>0</v>
      </c>
      <c r="E60" s="1"/>
      <c r="F60" s="5">
        <f t="shared" si="32"/>
        <v>0</v>
      </c>
      <c r="G60" s="1"/>
      <c r="H60" s="1">
        <f>SUM(OSRRefH22_10x_0)</f>
        <v>0</v>
      </c>
      <c r="I60" s="1"/>
      <c r="J60" s="5">
        <f t="shared" si="33"/>
        <v>0</v>
      </c>
      <c r="K60" s="1"/>
      <c r="L60" s="1">
        <f t="shared" si="34"/>
        <v>0</v>
      </c>
      <c r="M60" s="1"/>
      <c r="N60" s="5">
        <f t="shared" si="35"/>
        <v>0</v>
      </c>
      <c r="O60" s="13"/>
      <c r="P60" s="1">
        <f>SUM(OSRRefP22_10x_0)</f>
        <v>80</v>
      </c>
      <c r="Q60" s="1"/>
      <c r="R60" s="5">
        <f t="shared" si="36"/>
        <v>0</v>
      </c>
      <c r="S60" s="1"/>
      <c r="T60" s="1">
        <f>SUM(OSRRefT22_10x_0)</f>
        <v>750</v>
      </c>
      <c r="U60" s="1"/>
      <c r="V60" s="5">
        <f t="shared" si="37"/>
        <v>0</v>
      </c>
      <c r="W60" s="1"/>
      <c r="X60" s="1">
        <f t="shared" si="38"/>
        <v>-670</v>
      </c>
      <c r="Y60" s="1"/>
      <c r="Z60" s="5">
        <f t="shared" si="39"/>
        <v>-0.89333333333333331</v>
      </c>
    </row>
    <row r="61" spans="1:26" s="24" customFormat="1" hidden="1" outlineLevel="2" x14ac:dyDescent="0.25">
      <c r="A61" s="25"/>
      <c r="B61" s="11" t="str">
        <f>CONCATENATE("          ", "6376", " - ", "TRAINING")</f>
        <v xml:space="preserve">          6376 - TRAINING</v>
      </c>
      <c r="C61" s="11"/>
      <c r="D61" s="7"/>
      <c r="E61" s="2"/>
      <c r="F61" s="6">
        <f t="shared" si="32"/>
        <v>0</v>
      </c>
      <c r="G61" s="2"/>
      <c r="H61" s="7"/>
      <c r="I61" s="2"/>
      <c r="J61" s="6">
        <f t="shared" si="33"/>
        <v>0</v>
      </c>
      <c r="K61" s="2"/>
      <c r="L61" s="7">
        <f t="shared" si="34"/>
        <v>0</v>
      </c>
      <c r="M61" s="2"/>
      <c r="N61" s="6">
        <f t="shared" si="35"/>
        <v>0</v>
      </c>
      <c r="O61" s="11"/>
      <c r="P61" s="7">
        <v>80</v>
      </c>
      <c r="Q61" s="2"/>
      <c r="R61" s="6">
        <f t="shared" si="36"/>
        <v>0</v>
      </c>
      <c r="S61" s="2"/>
      <c r="T61" s="7">
        <v>750</v>
      </c>
      <c r="U61" s="2"/>
      <c r="V61" s="6">
        <f t="shared" si="37"/>
        <v>0</v>
      </c>
      <c r="W61" s="2"/>
      <c r="X61" s="7">
        <f t="shared" si="38"/>
        <v>-670</v>
      </c>
      <c r="Y61" s="2"/>
      <c r="Z61" s="6">
        <f t="shared" si="39"/>
        <v>-0.89333333333333331</v>
      </c>
    </row>
    <row r="62" spans="1:26" s="53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8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9" t="s">
        <v>3</v>
      </c>
      <c r="C65" s="29"/>
      <c r="D65" s="21">
        <f>+D16-D18+D63</f>
        <v>-91836.680000000008</v>
      </c>
      <c r="E65" s="14"/>
      <c r="F65" s="20">
        <f>IF(D$12=0,0,D65/D$12)</f>
        <v>0</v>
      </c>
      <c r="G65" s="14"/>
      <c r="H65" s="21">
        <f>+H16-H18+H63</f>
        <v>-78806.453648544993</v>
      </c>
      <c r="I65" s="14"/>
      <c r="J65" s="20">
        <f>IF(H$12=0,0,H65/H$12)</f>
        <v>0</v>
      </c>
      <c r="K65" s="16"/>
      <c r="L65" s="21">
        <f>+D65-H65</f>
        <v>-13030.226351455014</v>
      </c>
      <c r="M65" s="16"/>
      <c r="N65" s="20">
        <f>IF(H65=0,0,L65/H65)</f>
        <v>0.16534466085184119</v>
      </c>
      <c r="O65" s="28"/>
      <c r="P65" s="21">
        <f>+P16-P18+P63</f>
        <v>-342972.46</v>
      </c>
      <c r="Q65" s="14"/>
      <c r="R65" s="20">
        <f>IF(P$12=0,0,P65/P$12)</f>
        <v>0</v>
      </c>
      <c r="S65" s="14"/>
      <c r="T65" s="21">
        <f>+T16-T18+T63</f>
        <v>-340938.84959067905</v>
      </c>
      <c r="U65" s="14"/>
      <c r="V65" s="20">
        <f>IF(T$12=0,0,T65/T$12)</f>
        <v>0</v>
      </c>
      <c r="W65" s="16"/>
      <c r="X65" s="21">
        <f>+P65-T65</f>
        <v>-2033.6104093209724</v>
      </c>
      <c r="Y65" s="16"/>
      <c r="Z65" s="20">
        <f>IF(T65=0,0,X65/T65)</f>
        <v>5.964736526102743E-3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2"/>
      <c r="B67" s="10" t="s">
        <v>14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4</v>
      </c>
      <c r="C69" s="29"/>
      <c r="D69" s="34">
        <f>+D65-D67</f>
        <v>-91836.680000000008</v>
      </c>
      <c r="E69" s="14"/>
      <c r="F69" s="32">
        <f>IF(D$12=0,0,D69/D$12)</f>
        <v>0</v>
      </c>
      <c r="G69" s="14"/>
      <c r="H69" s="34">
        <f>+H65-H67</f>
        <v>-78806.453648544993</v>
      </c>
      <c r="I69" s="14"/>
      <c r="J69" s="32">
        <f>IF(H$12=0,0,H69/H$12)</f>
        <v>0</v>
      </c>
      <c r="K69" s="16"/>
      <c r="L69" s="34">
        <f>D69-H69</f>
        <v>-13030.226351455014</v>
      </c>
      <c r="M69" s="16"/>
      <c r="N69" s="32">
        <f>IF(H69=0,0,L69/H69)</f>
        <v>0.16534466085184119</v>
      </c>
      <c r="O69" s="28"/>
      <c r="P69" s="34">
        <f>+P65-P67</f>
        <v>-342972.46</v>
      </c>
      <c r="Q69" s="14"/>
      <c r="R69" s="32">
        <f>IF(P$12=0,0,P69/P$12)</f>
        <v>0</v>
      </c>
      <c r="S69" s="14"/>
      <c r="T69" s="34">
        <f>+T65-T67</f>
        <v>-340938.84959067905</v>
      </c>
      <c r="U69" s="14"/>
      <c r="V69" s="32">
        <f>IF(T$12=0,0,T69/T$12)</f>
        <v>0</v>
      </c>
      <c r="W69" s="16"/>
      <c r="X69" s="34">
        <f>P69-T69</f>
        <v>-2033.6104093209724</v>
      </c>
      <c r="Y69" s="16"/>
      <c r="Z69" s="32">
        <f>IF(T69=0,0,X69/T69)</f>
        <v>5.964736526102743E-3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9" t="s">
        <v>5</v>
      </c>
      <c r="C72" s="29"/>
      <c r="D72" s="31">
        <f>SUM(D69:D71)</f>
        <v>-91836.680000000008</v>
      </c>
      <c r="E72" s="14"/>
      <c r="F72" s="30">
        <f>IF(D$12=0,0,D72/D$12)</f>
        <v>0</v>
      </c>
      <c r="G72" s="14"/>
      <c r="H72" s="31">
        <f>SUM(H69:H71)</f>
        <v>-78806.453648544993</v>
      </c>
      <c r="I72" s="14"/>
      <c r="J72" s="30">
        <f>IF(H$12=0,0,H72/H$12)</f>
        <v>0</v>
      </c>
      <c r="K72" s="16"/>
      <c r="L72" s="31">
        <f>+D72-H72</f>
        <v>-13030.226351455014</v>
      </c>
      <c r="M72" s="16"/>
      <c r="N72" s="30">
        <f>IF(H72=0,0,L72/H72)</f>
        <v>0.16534466085184119</v>
      </c>
      <c r="O72" s="28"/>
      <c r="P72" s="31">
        <f>SUM(P69:P71)</f>
        <v>-342972.46</v>
      </c>
      <c r="Q72" s="14"/>
      <c r="R72" s="30">
        <f>IF(P$12=0,0,P72/P$12)</f>
        <v>0</v>
      </c>
      <c r="S72" s="14"/>
      <c r="T72" s="31">
        <f>SUM(T69:T71)</f>
        <v>-340938.84959067905</v>
      </c>
      <c r="U72" s="14"/>
      <c r="V72" s="30">
        <f>IF(T$12=0,0,T72/T$12)</f>
        <v>0</v>
      </c>
      <c r="W72" s="16"/>
      <c r="X72" s="31">
        <f>+P72-T72</f>
        <v>-2033.6104093209724</v>
      </c>
      <c r="Y72" s="16"/>
      <c r="Z72" s="30">
        <f>IF(T72=0,0,X72/T72)</f>
        <v>5.964736526102743E-3</v>
      </c>
    </row>
    <row r="73" spans="1:26" ht="15.75" thickTop="1" x14ac:dyDescent="0.25">
      <c r="A73" s="9"/>
      <c r="C73" s="9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63">
        <v>43879.546127974536</v>
      </c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57" t="s">
        <v>314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60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5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306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137907.52000000002</v>
      </c>
      <c r="E12" s="4"/>
      <c r="F12" s="12"/>
      <c r="G12" s="4"/>
      <c r="H12" s="4">
        <f>SUM(OSRRefH13x_0)</f>
        <v>132951</v>
      </c>
      <c r="I12" s="4"/>
      <c r="J12" s="12"/>
      <c r="K12" s="4"/>
      <c r="L12" s="4">
        <f t="shared" ref="L12:L49" si="0">+D12-H12</f>
        <v>4956.5200000000186</v>
      </c>
      <c r="M12" s="4"/>
      <c r="N12" s="12">
        <f t="shared" ref="N12:N49" si="1">IF(H12=0,0,L12/H12)</f>
        <v>3.7280802701747398E-2</v>
      </c>
      <c r="O12" s="10"/>
      <c r="P12" s="4">
        <f>SUM(OSRRefP13x_0)</f>
        <v>653884.83000000019</v>
      </c>
      <c r="Q12" s="4"/>
      <c r="R12" s="12"/>
      <c r="S12" s="4"/>
      <c r="T12" s="4">
        <f>SUM(OSRRefT13x_0)</f>
        <v>697354</v>
      </c>
      <c r="U12" s="4"/>
      <c r="V12" s="12"/>
      <c r="W12" s="4"/>
      <c r="X12" s="4">
        <f t="shared" ref="X12:X49" si="2">+P12-T12</f>
        <v>-43469.169999999809</v>
      </c>
      <c r="Y12" s="4"/>
      <c r="Z12" s="12">
        <f t="shared" ref="Z12:Z49" si="3">IF(T12=0,0,X12/T12)</f>
        <v>-6.2334438463104547E-2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119009</v>
      </c>
      <c r="I13" s="2"/>
      <c r="J13" s="19"/>
      <c r="K13" s="2"/>
      <c r="L13" s="2">
        <f t="shared" si="0"/>
        <v>-119009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592855</v>
      </c>
      <c r="U13" s="2"/>
      <c r="V13" s="19"/>
      <c r="W13" s="2"/>
      <c r="X13" s="2">
        <f t="shared" si="2"/>
        <v>-592855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--12.98</f>
        <v>12.98</v>
      </c>
      <c r="E14" s="2"/>
      <c r="F14" s="19"/>
      <c r="G14" s="2"/>
      <c r="H14" s="2"/>
      <c r="I14" s="2"/>
      <c r="J14" s="19"/>
      <c r="K14" s="2"/>
      <c r="L14" s="2">
        <f t="shared" si="0"/>
        <v>12.98</v>
      </c>
      <c r="M14" s="2"/>
      <c r="N14" s="19">
        <f t="shared" si="1"/>
        <v>0</v>
      </c>
      <c r="O14" s="11"/>
      <c r="P14" s="2">
        <f>--255.12</f>
        <v>255.12</v>
      </c>
      <c r="Q14" s="2"/>
      <c r="R14" s="19"/>
      <c r="S14" s="2"/>
      <c r="T14" s="2"/>
      <c r="U14" s="2"/>
      <c r="V14" s="19"/>
      <c r="W14" s="2"/>
      <c r="X14" s="2">
        <f t="shared" si="2"/>
        <v>255.12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--33.88</f>
        <v>33.880000000000003</v>
      </c>
      <c r="Q15" s="2"/>
      <c r="R15" s="19"/>
      <c r="S15" s="2"/>
      <c r="T15" s="2"/>
      <c r="U15" s="2"/>
      <c r="V15" s="19"/>
      <c r="W15" s="2"/>
      <c r="X15" s="2">
        <f t="shared" si="2"/>
        <v>33.880000000000003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--5293.73</f>
        <v>5293.73</v>
      </c>
      <c r="E16" s="2"/>
      <c r="F16" s="19"/>
      <c r="G16" s="2"/>
      <c r="H16" s="2"/>
      <c r="I16" s="2"/>
      <c r="J16" s="19"/>
      <c r="K16" s="2"/>
      <c r="L16" s="2">
        <f t="shared" si="0"/>
        <v>5293.73</v>
      </c>
      <c r="M16" s="2"/>
      <c r="N16" s="19">
        <f t="shared" si="1"/>
        <v>0</v>
      </c>
      <c r="O16" s="11"/>
      <c r="P16" s="2">
        <f>--40426.83</f>
        <v>40426.83</v>
      </c>
      <c r="Q16" s="2"/>
      <c r="R16" s="19"/>
      <c r="S16" s="2"/>
      <c r="T16" s="2"/>
      <c r="U16" s="2"/>
      <c r="V16" s="19"/>
      <c r="W16" s="2"/>
      <c r="X16" s="2">
        <f t="shared" si="2"/>
        <v>40426.83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--13736.34</f>
        <v>13736.34</v>
      </c>
      <c r="E17" s="2"/>
      <c r="F17" s="19"/>
      <c r="G17" s="2"/>
      <c r="H17" s="2"/>
      <c r="I17" s="2"/>
      <c r="J17" s="19"/>
      <c r="K17" s="2"/>
      <c r="L17" s="2">
        <f t="shared" si="0"/>
        <v>13736.34</v>
      </c>
      <c r="M17" s="2"/>
      <c r="N17" s="19">
        <f t="shared" si="1"/>
        <v>0</v>
      </c>
      <c r="O17" s="11"/>
      <c r="P17" s="2">
        <f>--63514.86</f>
        <v>63514.86</v>
      </c>
      <c r="Q17" s="2"/>
      <c r="R17" s="19"/>
      <c r="S17" s="2"/>
      <c r="T17" s="2"/>
      <c r="U17" s="2"/>
      <c r="V17" s="19"/>
      <c r="W17" s="2"/>
      <c r="X17" s="2">
        <f t="shared" si="2"/>
        <v>63514.86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--66198.12</f>
        <v>66198.12</v>
      </c>
      <c r="E18" s="2"/>
      <c r="F18" s="19"/>
      <c r="G18" s="2"/>
      <c r="H18" s="2"/>
      <c r="I18" s="2"/>
      <c r="J18" s="19"/>
      <c r="K18" s="2"/>
      <c r="L18" s="2">
        <f t="shared" si="0"/>
        <v>66198.12</v>
      </c>
      <c r="M18" s="2"/>
      <c r="N18" s="19">
        <f t="shared" si="1"/>
        <v>0</v>
      </c>
      <c r="O18" s="11"/>
      <c r="P18" s="2">
        <f>--231507.68</f>
        <v>231507.68</v>
      </c>
      <c r="Q18" s="2"/>
      <c r="R18" s="19"/>
      <c r="S18" s="2"/>
      <c r="T18" s="2"/>
      <c r="U18" s="2"/>
      <c r="V18" s="19"/>
      <c r="W18" s="2"/>
      <c r="X18" s="2">
        <f t="shared" si="2"/>
        <v>231507.68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--43035.21</f>
        <v>43035.21</v>
      </c>
      <c r="E19" s="2"/>
      <c r="F19" s="19"/>
      <c r="G19" s="2"/>
      <c r="H19" s="2"/>
      <c r="I19" s="2"/>
      <c r="J19" s="19"/>
      <c r="K19" s="2"/>
      <c r="L19" s="2">
        <f t="shared" si="0"/>
        <v>43035.21</v>
      </c>
      <c r="M19" s="2"/>
      <c r="N19" s="19">
        <f t="shared" si="1"/>
        <v>0</v>
      </c>
      <c r="O19" s="11"/>
      <c r="P19" s="2">
        <f>--232672.78</f>
        <v>232672.78</v>
      </c>
      <c r="Q19" s="2"/>
      <c r="R19" s="19"/>
      <c r="S19" s="2"/>
      <c r="T19" s="2"/>
      <c r="U19" s="2"/>
      <c r="V19" s="19"/>
      <c r="W19" s="2"/>
      <c r="X19" s="2">
        <f t="shared" si="2"/>
        <v>232672.78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--43.03</f>
        <v>43.03</v>
      </c>
      <c r="E20" s="2"/>
      <c r="F20" s="19"/>
      <c r="G20" s="2"/>
      <c r="H20" s="2"/>
      <c r="I20" s="2"/>
      <c r="J20" s="19"/>
      <c r="K20" s="2"/>
      <c r="L20" s="2">
        <f t="shared" si="0"/>
        <v>43.03</v>
      </c>
      <c r="M20" s="2"/>
      <c r="N20" s="19">
        <f t="shared" si="1"/>
        <v>0</v>
      </c>
      <c r="O20" s="11"/>
      <c r="P20" s="2">
        <f>--349.97</f>
        <v>349.97</v>
      </c>
      <c r="Q20" s="2"/>
      <c r="R20" s="19"/>
      <c r="S20" s="2"/>
      <c r="T20" s="2"/>
      <c r="U20" s="2"/>
      <c r="V20" s="19"/>
      <c r="W20" s="2"/>
      <c r="X20" s="2">
        <f t="shared" si="2"/>
        <v>349.97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>--242.25</f>
        <v>242.25</v>
      </c>
      <c r="E21" s="2"/>
      <c r="F21" s="19"/>
      <c r="G21" s="2"/>
      <c r="H21" s="2"/>
      <c r="I21" s="2"/>
      <c r="J21" s="19"/>
      <c r="K21" s="2"/>
      <c r="L21" s="2">
        <f t="shared" si="0"/>
        <v>242.25</v>
      </c>
      <c r="M21" s="2"/>
      <c r="N21" s="19">
        <f t="shared" si="1"/>
        <v>0</v>
      </c>
      <c r="O21" s="11"/>
      <c r="P21" s="2">
        <f>--1108.59</f>
        <v>1108.5899999999999</v>
      </c>
      <c r="Q21" s="2"/>
      <c r="R21" s="19"/>
      <c r="S21" s="2"/>
      <c r="T21" s="2"/>
      <c r="U21" s="2"/>
      <c r="V21" s="19"/>
      <c r="W21" s="2"/>
      <c r="X21" s="2">
        <f t="shared" si="2"/>
        <v>1108.5899999999999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>--15.13</f>
        <v>15.13</v>
      </c>
      <c r="E22" s="2"/>
      <c r="F22" s="19"/>
      <c r="G22" s="2"/>
      <c r="H22" s="2"/>
      <c r="I22" s="2"/>
      <c r="J22" s="19"/>
      <c r="K22" s="2"/>
      <c r="L22" s="2">
        <f t="shared" si="0"/>
        <v>15.13</v>
      </c>
      <c r="M22" s="2"/>
      <c r="N22" s="19">
        <f t="shared" si="1"/>
        <v>0</v>
      </c>
      <c r="O22" s="11"/>
      <c r="P22" s="2">
        <f>--146.15</f>
        <v>146.15</v>
      </c>
      <c r="Q22" s="2"/>
      <c r="R22" s="19"/>
      <c r="S22" s="2"/>
      <c r="T22" s="2"/>
      <c r="U22" s="2"/>
      <c r="V22" s="19"/>
      <c r="W22" s="2"/>
      <c r="X22" s="2">
        <f t="shared" si="2"/>
        <v>146.15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>--479.73</f>
        <v>479.73</v>
      </c>
      <c r="E23" s="2"/>
      <c r="F23" s="19"/>
      <c r="G23" s="2"/>
      <c r="H23" s="2"/>
      <c r="I23" s="2"/>
      <c r="J23" s="19"/>
      <c r="K23" s="2"/>
      <c r="L23" s="2">
        <f t="shared" si="0"/>
        <v>479.73</v>
      </c>
      <c r="M23" s="2"/>
      <c r="N23" s="19">
        <f t="shared" si="1"/>
        <v>0</v>
      </c>
      <c r="O23" s="11"/>
      <c r="P23" s="2">
        <f>--5751.24</f>
        <v>5751.24</v>
      </c>
      <c r="Q23" s="2"/>
      <c r="R23" s="19"/>
      <c r="S23" s="2"/>
      <c r="T23" s="2"/>
      <c r="U23" s="2"/>
      <c r="V23" s="19"/>
      <c r="W23" s="2"/>
      <c r="X23" s="2">
        <f t="shared" si="2"/>
        <v>5751.24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--171.4</f>
        <v>171.4</v>
      </c>
      <c r="E24" s="2"/>
      <c r="F24" s="19"/>
      <c r="G24" s="2"/>
      <c r="H24" s="2"/>
      <c r="I24" s="2"/>
      <c r="J24" s="19"/>
      <c r="K24" s="2"/>
      <c r="L24" s="2">
        <f t="shared" si="0"/>
        <v>171.4</v>
      </c>
      <c r="M24" s="2"/>
      <c r="N24" s="19">
        <f t="shared" si="1"/>
        <v>0</v>
      </c>
      <c r="O24" s="11"/>
      <c r="P24" s="2">
        <f>--1438.49</f>
        <v>1438.49</v>
      </c>
      <c r="Q24" s="2"/>
      <c r="R24" s="19"/>
      <c r="S24" s="2"/>
      <c r="T24" s="2"/>
      <c r="U24" s="2"/>
      <c r="V24" s="19"/>
      <c r="W24" s="2"/>
      <c r="X24" s="2">
        <f t="shared" si="2"/>
        <v>1438.49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>--17.84</f>
        <v>17.84</v>
      </c>
      <c r="E25" s="2"/>
      <c r="F25" s="19"/>
      <c r="G25" s="2"/>
      <c r="H25" s="2"/>
      <c r="I25" s="2"/>
      <c r="J25" s="19"/>
      <c r="K25" s="2"/>
      <c r="L25" s="2">
        <f t="shared" si="0"/>
        <v>17.84</v>
      </c>
      <c r="M25" s="2"/>
      <c r="N25" s="19">
        <f t="shared" si="1"/>
        <v>0</v>
      </c>
      <c r="O25" s="11"/>
      <c r="P25" s="2">
        <f>--414.1</f>
        <v>414.1</v>
      </c>
      <c r="Q25" s="2"/>
      <c r="R25" s="19"/>
      <c r="S25" s="2"/>
      <c r="T25" s="2"/>
      <c r="U25" s="2"/>
      <c r="V25" s="19"/>
      <c r="W25" s="2"/>
      <c r="X25" s="2">
        <f t="shared" si="2"/>
        <v>414.1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"4042", " - ", "TAXABLE SALES-EVERYDAY GIFTS")</f>
        <v xml:space="preserve">          4042 - TAXABLE SALES-EVERYDAY GIFTS</v>
      </c>
      <c r="C26" s="11"/>
      <c r="D26" s="2">
        <f>--32.95</f>
        <v>32.950000000000003</v>
      </c>
      <c r="E26" s="2"/>
      <c r="F26" s="19"/>
      <c r="G26" s="2"/>
      <c r="H26" s="2"/>
      <c r="I26" s="2"/>
      <c r="J26" s="19"/>
      <c r="K26" s="2"/>
      <c r="L26" s="2">
        <f t="shared" si="0"/>
        <v>32.950000000000003</v>
      </c>
      <c r="M26" s="2"/>
      <c r="N26" s="19">
        <f t="shared" si="1"/>
        <v>0</v>
      </c>
      <c r="O26" s="11"/>
      <c r="P26" s="2">
        <f>--32.95</f>
        <v>32.950000000000003</v>
      </c>
      <c r="Q26" s="2"/>
      <c r="R26" s="19"/>
      <c r="S26" s="2"/>
      <c r="T26" s="2"/>
      <c r="U26" s="2"/>
      <c r="V26" s="19"/>
      <c r="W26" s="2"/>
      <c r="X26" s="2">
        <f t="shared" si="2"/>
        <v>32.950000000000003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"4081", " - ", "TAXABLE SALES-ELECTRONICS")</f>
        <v xml:space="preserve">          4081 - TAXABLE SALES-ELECTRONICS</v>
      </c>
      <c r="C27" s="11"/>
      <c r="D27" s="2">
        <f>--266.85</f>
        <v>266.85000000000002</v>
      </c>
      <c r="E27" s="2"/>
      <c r="F27" s="19"/>
      <c r="G27" s="2"/>
      <c r="H27" s="2"/>
      <c r="I27" s="2"/>
      <c r="J27" s="19"/>
      <c r="K27" s="2"/>
      <c r="L27" s="2">
        <f t="shared" si="0"/>
        <v>266.85000000000002</v>
      </c>
      <c r="M27" s="2"/>
      <c r="N27" s="19">
        <f t="shared" si="1"/>
        <v>0</v>
      </c>
      <c r="O27" s="11"/>
      <c r="P27" s="2">
        <f>--2801.28</f>
        <v>2801.28</v>
      </c>
      <c r="Q27" s="2"/>
      <c r="R27" s="19"/>
      <c r="S27" s="2"/>
      <c r="T27" s="2"/>
      <c r="U27" s="2"/>
      <c r="V27" s="19"/>
      <c r="W27" s="2"/>
      <c r="X27" s="2">
        <f t="shared" si="2"/>
        <v>2801.28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"4082", " - ", "TAXABLE SALES-COMPUTER HARDWAR")</f>
        <v xml:space="preserve">          4082 - TAXABLE SALES-COMPUTER HARDWAR</v>
      </c>
      <c r="C28" s="11"/>
      <c r="D28" s="2">
        <f>--38</f>
        <v>38</v>
      </c>
      <c r="E28" s="2"/>
      <c r="F28" s="19"/>
      <c r="G28" s="2"/>
      <c r="H28" s="2"/>
      <c r="I28" s="2"/>
      <c r="J28" s="19"/>
      <c r="K28" s="2"/>
      <c r="L28" s="2">
        <f t="shared" si="0"/>
        <v>38</v>
      </c>
      <c r="M28" s="2"/>
      <c r="N28" s="19">
        <f t="shared" si="1"/>
        <v>0</v>
      </c>
      <c r="O28" s="11"/>
      <c r="P28" s="2">
        <f>--219</f>
        <v>219</v>
      </c>
      <c r="Q28" s="2"/>
      <c r="R28" s="19"/>
      <c r="S28" s="2"/>
      <c r="T28" s="2"/>
      <c r="U28" s="2"/>
      <c r="V28" s="19"/>
      <c r="W28" s="2"/>
      <c r="X28" s="2">
        <f t="shared" si="2"/>
        <v>219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"4083", " - ", "TAXABLE SALES-COMPUTER EQUIPME")</f>
        <v xml:space="preserve">          4083 - TAXABLE SALES-COMPUTER EQUIPME</v>
      </c>
      <c r="C29" s="11"/>
      <c r="D29" s="2">
        <f>--149.91</f>
        <v>149.91</v>
      </c>
      <c r="E29" s="2"/>
      <c r="F29" s="19"/>
      <c r="G29" s="2"/>
      <c r="H29" s="2"/>
      <c r="I29" s="2"/>
      <c r="J29" s="19"/>
      <c r="K29" s="2"/>
      <c r="L29" s="2">
        <f t="shared" si="0"/>
        <v>149.91</v>
      </c>
      <c r="M29" s="2"/>
      <c r="N29" s="19">
        <f t="shared" si="1"/>
        <v>0</v>
      </c>
      <c r="O29" s="11"/>
      <c r="P29" s="2">
        <f>--849.39</f>
        <v>849.39</v>
      </c>
      <c r="Q29" s="2"/>
      <c r="R29" s="19"/>
      <c r="S29" s="2"/>
      <c r="T29" s="2"/>
      <c r="U29" s="2"/>
      <c r="V29" s="19"/>
      <c r="W29" s="2"/>
      <c r="X29" s="2">
        <f t="shared" si="2"/>
        <v>849.39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"4086", " - ", "TAXABLE SALES-COMPUTER SUPPLIE")</f>
        <v xml:space="preserve">          4086 - TAXABLE SALES-COMPUTER SUPPLIE</v>
      </c>
      <c r="C30" s="11"/>
      <c r="D30" s="2">
        <f>--76.99</f>
        <v>76.989999999999995</v>
      </c>
      <c r="E30" s="2"/>
      <c r="F30" s="19"/>
      <c r="G30" s="2"/>
      <c r="H30" s="2"/>
      <c r="I30" s="2"/>
      <c r="J30" s="19"/>
      <c r="K30" s="2"/>
      <c r="L30" s="2">
        <f t="shared" si="0"/>
        <v>76.989999999999995</v>
      </c>
      <c r="M30" s="2"/>
      <c r="N30" s="19">
        <f t="shared" si="1"/>
        <v>0</v>
      </c>
      <c r="O30" s="11"/>
      <c r="P30" s="2">
        <f>--775.76</f>
        <v>775.76</v>
      </c>
      <c r="Q30" s="2"/>
      <c r="R30" s="19"/>
      <c r="S30" s="2"/>
      <c r="T30" s="2"/>
      <c r="U30" s="2"/>
      <c r="V30" s="19"/>
      <c r="W30" s="2"/>
      <c r="X30" s="2">
        <f t="shared" si="2"/>
        <v>775.76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"4100", " - ", "NON-TAXABLE SALES")</f>
        <v xml:space="preserve">          4100 - NON-TAXABLE SALES</v>
      </c>
      <c r="C31" s="11"/>
      <c r="D31" s="2">
        <f>0</f>
        <v>0</v>
      </c>
      <c r="E31" s="2"/>
      <c r="F31" s="19"/>
      <c r="G31" s="2"/>
      <c r="H31" s="2">
        <v>13942</v>
      </c>
      <c r="I31" s="2"/>
      <c r="J31" s="19"/>
      <c r="K31" s="2"/>
      <c r="L31" s="2">
        <f t="shared" si="0"/>
        <v>-13942</v>
      </c>
      <c r="M31" s="2"/>
      <c r="N31" s="19">
        <f t="shared" si="1"/>
        <v>-1</v>
      </c>
      <c r="O31" s="11"/>
      <c r="P31" s="2">
        <f>0</f>
        <v>0</v>
      </c>
      <c r="Q31" s="2"/>
      <c r="R31" s="19"/>
      <c r="S31" s="2"/>
      <c r="T31" s="2">
        <v>104499</v>
      </c>
      <c r="U31" s="2"/>
      <c r="V31" s="19"/>
      <c r="W31" s="2"/>
      <c r="X31" s="2">
        <f t="shared" si="2"/>
        <v>-104499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"4125", " - ", "NON-TAXABLE SALES-TEST FORMS")</f>
        <v xml:space="preserve">          4125 - NON-TAXABLE SALES-TEST FORMS</v>
      </c>
      <c r="C32" s="11"/>
      <c r="D32" s="2">
        <f>--98.5</f>
        <v>98.5</v>
      </c>
      <c r="E32" s="2"/>
      <c r="F32" s="19"/>
      <c r="G32" s="2"/>
      <c r="H32" s="2"/>
      <c r="I32" s="2"/>
      <c r="J32" s="19"/>
      <c r="K32" s="2"/>
      <c r="L32" s="2">
        <f t="shared" si="0"/>
        <v>98.5</v>
      </c>
      <c r="M32" s="2"/>
      <c r="N32" s="19">
        <f t="shared" si="1"/>
        <v>0</v>
      </c>
      <c r="O32" s="11"/>
      <c r="P32" s="2">
        <f>--222.68</f>
        <v>222.68</v>
      </c>
      <c r="Q32" s="2"/>
      <c r="R32" s="19"/>
      <c r="S32" s="2"/>
      <c r="T32" s="2"/>
      <c r="U32" s="2"/>
      <c r="V32" s="19"/>
      <c r="W32" s="2"/>
      <c r="X32" s="2">
        <f t="shared" si="2"/>
        <v>222.68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"4126", " - ", "NON-TAXABLE SALES-WRITING INST")</f>
        <v xml:space="preserve">          4126 - NON-TAXABLE SALES-WRITING INST</v>
      </c>
      <c r="C33" s="11"/>
      <c r="D33" s="2">
        <f>--1047.53</f>
        <v>1047.53</v>
      </c>
      <c r="E33" s="2"/>
      <c r="F33" s="19"/>
      <c r="G33" s="2"/>
      <c r="H33" s="2"/>
      <c r="I33" s="2"/>
      <c r="J33" s="19"/>
      <c r="K33" s="2"/>
      <c r="L33" s="2">
        <f t="shared" si="0"/>
        <v>1047.53</v>
      </c>
      <c r="M33" s="2"/>
      <c r="N33" s="19">
        <f t="shared" si="1"/>
        <v>0</v>
      </c>
      <c r="O33" s="11"/>
      <c r="P33" s="2">
        <f>--2556.64</f>
        <v>2556.64</v>
      </c>
      <c r="Q33" s="2"/>
      <c r="R33" s="19"/>
      <c r="S33" s="2"/>
      <c r="T33" s="2"/>
      <c r="U33" s="2"/>
      <c r="V33" s="19"/>
      <c r="W33" s="2"/>
      <c r="X33" s="2">
        <f t="shared" si="2"/>
        <v>2556.64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"4127", " - ", "NON-TAXABLE SALES-SCHOOL SUPPL")</f>
        <v xml:space="preserve">          4127 - NON-TAXABLE SALES-SCHOOL SUPPL</v>
      </c>
      <c r="C34" s="11"/>
      <c r="D34" s="2">
        <f>--1531.2</f>
        <v>1531.2</v>
      </c>
      <c r="E34" s="2"/>
      <c r="F34" s="19"/>
      <c r="G34" s="2"/>
      <c r="H34" s="2"/>
      <c r="I34" s="2"/>
      <c r="J34" s="19"/>
      <c r="K34" s="2"/>
      <c r="L34" s="2">
        <f t="shared" si="0"/>
        <v>1531.2</v>
      </c>
      <c r="M34" s="2"/>
      <c r="N34" s="19">
        <f t="shared" si="1"/>
        <v>0</v>
      </c>
      <c r="O34" s="11"/>
      <c r="P34" s="2">
        <f>--4134.6</f>
        <v>4134.6000000000004</v>
      </c>
      <c r="Q34" s="2"/>
      <c r="R34" s="19"/>
      <c r="S34" s="2"/>
      <c r="T34" s="2"/>
      <c r="U34" s="2"/>
      <c r="V34" s="19"/>
      <c r="W34" s="2"/>
      <c r="X34" s="2">
        <f t="shared" si="2"/>
        <v>4134.6000000000004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"4128", " - ", "NON-TAXABLE SALES-ART/TECH")</f>
        <v xml:space="preserve">          4128 - NON-TAXABLE SALES-ART/TECH</v>
      </c>
      <c r="C35" s="11"/>
      <c r="D35" s="2">
        <f>--182.3</f>
        <v>182.3</v>
      </c>
      <c r="E35" s="2"/>
      <c r="F35" s="19"/>
      <c r="G35" s="2"/>
      <c r="H35" s="2"/>
      <c r="I35" s="2"/>
      <c r="J35" s="19"/>
      <c r="K35" s="2"/>
      <c r="L35" s="2">
        <f t="shared" si="0"/>
        <v>182.3</v>
      </c>
      <c r="M35" s="2"/>
      <c r="N35" s="19">
        <f t="shared" si="1"/>
        <v>0</v>
      </c>
      <c r="O35" s="11"/>
      <c r="P35" s="2">
        <f>--531.02</f>
        <v>531.02</v>
      </c>
      <c r="Q35" s="2"/>
      <c r="R35" s="19"/>
      <c r="S35" s="2"/>
      <c r="T35" s="2"/>
      <c r="U35" s="2"/>
      <c r="V35" s="19"/>
      <c r="W35" s="2"/>
      <c r="X35" s="2">
        <f t="shared" si="2"/>
        <v>531.02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"4131", " - ", "NON-TAXABLE SALES-FOOD")</f>
        <v xml:space="preserve">          4131 - NON-TAXABLE SALES-FOOD</v>
      </c>
      <c r="C36" s="11"/>
      <c r="D36" s="2">
        <f>--3944.61</f>
        <v>3944.61</v>
      </c>
      <c r="E36" s="2"/>
      <c r="F36" s="19"/>
      <c r="G36" s="2"/>
      <c r="H36" s="2"/>
      <c r="I36" s="2"/>
      <c r="J36" s="19"/>
      <c r="K36" s="2"/>
      <c r="L36" s="2">
        <f t="shared" si="0"/>
        <v>3944.61</v>
      </c>
      <c r="M36" s="2"/>
      <c r="N36" s="19">
        <f t="shared" si="1"/>
        <v>0</v>
      </c>
      <c r="O36" s="11"/>
      <c r="P36" s="2">
        <f>--43030.34</f>
        <v>43030.34</v>
      </c>
      <c r="Q36" s="2"/>
      <c r="R36" s="19"/>
      <c r="S36" s="2"/>
      <c r="T36" s="2"/>
      <c r="U36" s="2"/>
      <c r="V36" s="19"/>
      <c r="W36" s="2"/>
      <c r="X36" s="2">
        <f t="shared" si="2"/>
        <v>43030.34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"4132", " - ", "NON-TAXABLE SALES-JUICE")</f>
        <v xml:space="preserve">          4132 - NON-TAXABLE SALES-JUICE</v>
      </c>
      <c r="C37" s="11"/>
      <c r="D37" s="2">
        <f>--1102.23</f>
        <v>1102.23</v>
      </c>
      <c r="E37" s="2"/>
      <c r="F37" s="19"/>
      <c r="G37" s="2"/>
      <c r="H37" s="2"/>
      <c r="I37" s="2"/>
      <c r="J37" s="19"/>
      <c r="K37" s="2"/>
      <c r="L37" s="2">
        <f t="shared" si="0"/>
        <v>1102.23</v>
      </c>
      <c r="M37" s="2"/>
      <c r="N37" s="19">
        <f t="shared" si="1"/>
        <v>0</v>
      </c>
      <c r="O37" s="11"/>
      <c r="P37" s="2">
        <f>--12547.43</f>
        <v>12547.43</v>
      </c>
      <c r="Q37" s="2"/>
      <c r="R37" s="19"/>
      <c r="S37" s="2"/>
      <c r="T37" s="2"/>
      <c r="U37" s="2"/>
      <c r="V37" s="19"/>
      <c r="W37" s="2"/>
      <c r="X37" s="2">
        <f t="shared" si="2"/>
        <v>12547.43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"4133", " - ", "NON-TAXABLE SALES-CANDY")</f>
        <v xml:space="preserve">          4133 - NON-TAXABLE SALES-CANDY</v>
      </c>
      <c r="C38" s="11"/>
      <c r="D38" s="2">
        <f>--1436.4</f>
        <v>1436.4</v>
      </c>
      <c r="E38" s="2"/>
      <c r="F38" s="19"/>
      <c r="G38" s="2"/>
      <c r="H38" s="2"/>
      <c r="I38" s="2"/>
      <c r="J38" s="19"/>
      <c r="K38" s="2"/>
      <c r="L38" s="2">
        <f t="shared" si="0"/>
        <v>1436.4</v>
      </c>
      <c r="M38" s="2"/>
      <c r="N38" s="19">
        <f t="shared" si="1"/>
        <v>0</v>
      </c>
      <c r="O38" s="11"/>
      <c r="P38" s="2">
        <f>--13558.18</f>
        <v>13558.18</v>
      </c>
      <c r="Q38" s="2"/>
      <c r="R38" s="19"/>
      <c r="S38" s="2"/>
      <c r="T38" s="2"/>
      <c r="U38" s="2"/>
      <c r="V38" s="19"/>
      <c r="W38" s="2"/>
      <c r="X38" s="2">
        <f t="shared" si="2"/>
        <v>13558.18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"4135", " - ", "NON-TAXABLE SALES")</f>
        <v xml:space="preserve">          4135 - NON-TAXABLE SALES</v>
      </c>
      <c r="C39" s="11"/>
      <c r="D39" s="2">
        <f>--21.54</f>
        <v>21.54</v>
      </c>
      <c r="E39" s="2"/>
      <c r="F39" s="19"/>
      <c r="G39" s="2"/>
      <c r="H39" s="2"/>
      <c r="I39" s="2"/>
      <c r="J39" s="19"/>
      <c r="K39" s="2"/>
      <c r="L39" s="2">
        <f t="shared" si="0"/>
        <v>21.54</v>
      </c>
      <c r="M39" s="2"/>
      <c r="N39" s="19">
        <f t="shared" si="1"/>
        <v>0</v>
      </c>
      <c r="O39" s="11"/>
      <c r="P39" s="2">
        <f>--139.86</f>
        <v>139.86000000000001</v>
      </c>
      <c r="Q39" s="2"/>
      <c r="R39" s="19"/>
      <c r="S39" s="2"/>
      <c r="T39" s="2"/>
      <c r="U39" s="2"/>
      <c r="V39" s="19"/>
      <c r="W39" s="2"/>
      <c r="X39" s="2">
        <f t="shared" si="2"/>
        <v>139.86000000000001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"4137", " - ", "NON-TAXABLE SALES-WATER")</f>
        <v xml:space="preserve">          4137 - NON-TAXABLE SALES-WATER</v>
      </c>
      <c r="C40" s="11"/>
      <c r="D40" s="2">
        <f>--625.39</f>
        <v>625.39</v>
      </c>
      <c r="E40" s="2"/>
      <c r="F40" s="19"/>
      <c r="G40" s="2"/>
      <c r="H40" s="2"/>
      <c r="I40" s="2"/>
      <c r="J40" s="19"/>
      <c r="K40" s="2"/>
      <c r="L40" s="2">
        <f t="shared" si="0"/>
        <v>625.39</v>
      </c>
      <c r="M40" s="2"/>
      <c r="N40" s="19">
        <f t="shared" si="1"/>
        <v>0</v>
      </c>
      <c r="O40" s="11"/>
      <c r="P40" s="2">
        <f>--6445.46</f>
        <v>6445.46</v>
      </c>
      <c r="Q40" s="2"/>
      <c r="R40" s="19"/>
      <c r="S40" s="2"/>
      <c r="T40" s="2"/>
      <c r="U40" s="2"/>
      <c r="V40" s="19"/>
      <c r="W40" s="2"/>
      <c r="X40" s="2">
        <f t="shared" si="2"/>
        <v>6445.46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"4186", " - ", "NON-TAXABLE SALES-COMPUTER SUP")</f>
        <v xml:space="preserve">          4186 - NON-TAXABLE SALES-COMPUTER SUP</v>
      </c>
      <c r="C41" s="11"/>
      <c r="D41" s="2">
        <f t="shared" ref="D41:D42" si="4"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-30.97</f>
        <v>-30.97</v>
      </c>
      <c r="Q41" s="2"/>
      <c r="R41" s="19"/>
      <c r="S41" s="2"/>
      <c r="T41" s="2"/>
      <c r="U41" s="2"/>
      <c r="V41" s="19"/>
      <c r="W41" s="2"/>
      <c r="X41" s="2">
        <f t="shared" si="2"/>
        <v>-30.97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"4217", " - ", "NON-TAXABLE SALES-DORM/HOUSEWA")</f>
        <v xml:space="preserve">          4217 - NON-TAXABLE SALES-DORM/HOUSEWA</v>
      </c>
      <c r="C42" s="11"/>
      <c r="D42" s="2">
        <f t="shared" si="4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-2.98</f>
        <v>-2.98</v>
      </c>
      <c r="Q42" s="2"/>
      <c r="R42" s="19"/>
      <c r="S42" s="2"/>
      <c r="T42" s="2"/>
      <c r="U42" s="2"/>
      <c r="V42" s="19"/>
      <c r="W42" s="2"/>
      <c r="X42" s="2">
        <f t="shared" si="2"/>
        <v>-2.98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"4225", " - ", "SALES RETURN TAXABLE-TEST FORM")</f>
        <v xml:space="preserve">          4225 - SALES RETURN TAXABLE-TEST FORM</v>
      </c>
      <c r="C43" s="11"/>
      <c r="D43" s="2">
        <f>-14.74</f>
        <v>-14.74</v>
      </c>
      <c r="E43" s="2"/>
      <c r="F43" s="19"/>
      <c r="G43" s="2"/>
      <c r="H43" s="2"/>
      <c r="I43" s="2"/>
      <c r="J43" s="19"/>
      <c r="K43" s="2"/>
      <c r="L43" s="2">
        <f t="shared" si="0"/>
        <v>-14.74</v>
      </c>
      <c r="M43" s="2"/>
      <c r="N43" s="19">
        <f t="shared" si="1"/>
        <v>0</v>
      </c>
      <c r="O43" s="11"/>
      <c r="P43" s="2">
        <f>-95.71</f>
        <v>-95.71</v>
      </c>
      <c r="Q43" s="2"/>
      <c r="R43" s="19"/>
      <c r="S43" s="2"/>
      <c r="T43" s="2"/>
      <c r="U43" s="2"/>
      <c r="V43" s="19"/>
      <c r="W43" s="2"/>
      <c r="X43" s="2">
        <f t="shared" si="2"/>
        <v>-95.71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"4226", " - ", "SALES RETURN TAXABLE-WRITING I")</f>
        <v xml:space="preserve">          4226 - SALES RETURN TAXABLE-WRITING I</v>
      </c>
      <c r="C44" s="11"/>
      <c r="D44" s="2">
        <f>-149.55</f>
        <v>-149.55000000000001</v>
      </c>
      <c r="E44" s="2"/>
      <c r="F44" s="19"/>
      <c r="G44" s="2"/>
      <c r="H44" s="2"/>
      <c r="I44" s="2"/>
      <c r="J44" s="19"/>
      <c r="K44" s="2"/>
      <c r="L44" s="2">
        <f t="shared" si="0"/>
        <v>-149.55000000000001</v>
      </c>
      <c r="M44" s="2"/>
      <c r="N44" s="19">
        <f t="shared" si="1"/>
        <v>0</v>
      </c>
      <c r="O44" s="11"/>
      <c r="P44" s="2">
        <f>-546.11</f>
        <v>-546.11</v>
      </c>
      <c r="Q44" s="2"/>
      <c r="R44" s="19"/>
      <c r="S44" s="2"/>
      <c r="T44" s="2"/>
      <c r="U44" s="2"/>
      <c r="V44" s="19"/>
      <c r="W44" s="2"/>
      <c r="X44" s="2">
        <f t="shared" si="2"/>
        <v>-546.11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"4227", " - ", "SALES RETURN TAXABLE-SCHOOL SU")</f>
        <v xml:space="preserve">          4227 - SALES RETURN TAXABLE-SCHOOL SU</v>
      </c>
      <c r="C45" s="11"/>
      <c r="D45" s="2">
        <f>-962.28</f>
        <v>-962.28</v>
      </c>
      <c r="E45" s="2"/>
      <c r="F45" s="19"/>
      <c r="G45" s="2"/>
      <c r="H45" s="2"/>
      <c r="I45" s="2"/>
      <c r="J45" s="19"/>
      <c r="K45" s="2"/>
      <c r="L45" s="2">
        <f t="shared" si="0"/>
        <v>-962.28</v>
      </c>
      <c r="M45" s="2"/>
      <c r="N45" s="19">
        <f t="shared" si="1"/>
        <v>0</v>
      </c>
      <c r="O45" s="11"/>
      <c r="P45" s="2">
        <f>-6910.86</f>
        <v>-6910.86</v>
      </c>
      <c r="Q45" s="2"/>
      <c r="R45" s="19"/>
      <c r="S45" s="2"/>
      <c r="T45" s="2"/>
      <c r="U45" s="2"/>
      <c r="V45" s="19"/>
      <c r="W45" s="2"/>
      <c r="X45" s="2">
        <f t="shared" si="2"/>
        <v>-6910.86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"4228", " - ", "SALES RETURN TAXABLE-ART/TECH")</f>
        <v xml:space="preserve">          4228 - SALES RETURN TAXABLE-ART/TECH</v>
      </c>
      <c r="C46" s="11"/>
      <c r="D46" s="2">
        <f>-766.07</f>
        <v>-766.07</v>
      </c>
      <c r="E46" s="2"/>
      <c r="F46" s="19"/>
      <c r="G46" s="2"/>
      <c r="H46" s="2"/>
      <c r="I46" s="2"/>
      <c r="J46" s="19"/>
      <c r="K46" s="2"/>
      <c r="L46" s="2">
        <f t="shared" si="0"/>
        <v>-766.07</v>
      </c>
      <c r="M46" s="2"/>
      <c r="N46" s="19">
        <f t="shared" si="1"/>
        <v>0</v>
      </c>
      <c r="O46" s="11"/>
      <c r="P46" s="2">
        <f>-3914.69</f>
        <v>-3914.69</v>
      </c>
      <c r="Q46" s="2"/>
      <c r="R46" s="19"/>
      <c r="S46" s="2"/>
      <c r="T46" s="2"/>
      <c r="U46" s="2"/>
      <c r="V46" s="19"/>
      <c r="W46" s="2"/>
      <c r="X46" s="2">
        <f t="shared" si="2"/>
        <v>-3914.69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"4233", " - ", "SALES RETURN TAXABLE-CANDY")</f>
        <v xml:space="preserve">          4233 - SALES RETURN TAXABLE-CANDY</v>
      </c>
      <c r="C47" s="11"/>
      <c r="D47" s="2">
        <f t="shared" ref="D47:D49" si="5">0</f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-1.29</f>
        <v>-1.29</v>
      </c>
      <c r="Q47" s="2"/>
      <c r="R47" s="19"/>
      <c r="S47" s="2"/>
      <c r="T47" s="2"/>
      <c r="U47" s="2"/>
      <c r="V47" s="19"/>
      <c r="W47" s="2"/>
      <c r="X47" s="2">
        <f t="shared" si="2"/>
        <v>-1.29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"4281", " - ", "SALES RETURN TAXABLE-ELECTRONI")</f>
        <v xml:space="preserve">          4281 - SALES RETURN TAXABLE-ELECTRONI</v>
      </c>
      <c r="C48" s="11"/>
      <c r="D48" s="2">
        <f t="shared" si="5"/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-54.97</f>
        <v>-54.97</v>
      </c>
      <c r="Q48" s="2"/>
      <c r="R48" s="19"/>
      <c r="S48" s="2"/>
      <c r="T48" s="2"/>
      <c r="U48" s="2"/>
      <c r="V48" s="19"/>
      <c r="W48" s="2"/>
      <c r="X48" s="2">
        <f t="shared" si="2"/>
        <v>-54.97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"4327", " - ", "SALES RETURN NON TAXABLE-SCHOO")</f>
        <v xml:space="preserve">          4327 - SALES RETURN NON TAXABLE-SCHOO</v>
      </c>
      <c r="C49" s="11"/>
      <c r="D49" s="2">
        <f t="shared" si="5"/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-21.87</f>
        <v>-21.87</v>
      </c>
      <c r="Q49" s="2"/>
      <c r="R49" s="19"/>
      <c r="S49" s="2"/>
      <c r="T49" s="2"/>
      <c r="U49" s="2"/>
      <c r="V49" s="19"/>
      <c r="W49" s="2"/>
      <c r="X49" s="2">
        <f t="shared" si="2"/>
        <v>-21.87</v>
      </c>
      <c r="Y49" s="2"/>
      <c r="Z49" s="19">
        <f t="shared" si="3"/>
        <v>0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collapsed="1" x14ac:dyDescent="0.25">
      <c r="A51" s="10"/>
      <c r="B51" s="28" t="s">
        <v>8</v>
      </c>
      <c r="C51" s="10"/>
      <c r="D51" s="4">
        <f>SUM(OSRRefD16x_0)</f>
        <v>70170.920000000027</v>
      </c>
      <c r="E51" s="4"/>
      <c r="F51" s="12">
        <f t="shared" ref="F51:F75" si="6">IF(D$12=0,0,D51/D$12)</f>
        <v>0.50882591464192828</v>
      </c>
      <c r="G51" s="4"/>
      <c r="H51" s="4">
        <f>SUM(OSRRefH16x_0)</f>
        <v>63688.999999999993</v>
      </c>
      <c r="I51" s="4"/>
      <c r="J51" s="12">
        <f t="shared" ref="J51:J75" si="7">IF(H$12=0,0,H51/H$12)</f>
        <v>0.47904115049905599</v>
      </c>
      <c r="K51" s="4"/>
      <c r="L51" s="4">
        <f t="shared" ref="L51:L75" si="8">+D51-H51</f>
        <v>6481.9200000000346</v>
      </c>
      <c r="M51" s="4"/>
      <c r="N51" s="12">
        <f t="shared" ref="N51:N75" si="9">IF(H51=0,0,L51/H51)</f>
        <v>0.10177456075617509</v>
      </c>
      <c r="O51" s="10"/>
      <c r="P51" s="4">
        <f>SUM(OSRRefP16x_0)</f>
        <v>326763.63</v>
      </c>
      <c r="Q51" s="4"/>
      <c r="R51" s="12">
        <f t="shared" ref="R51:R75" si="10">IF(P$12=0,0,P51/P$12)</f>
        <v>0.49972658029090522</v>
      </c>
      <c r="S51" s="4"/>
      <c r="T51" s="4">
        <f>SUM(OSRRefT16x_0)</f>
        <v>330727</v>
      </c>
      <c r="U51" s="4"/>
      <c r="V51" s="12">
        <f t="shared" ref="V51:V75" si="11">IF(T$12=0,0,T51/T$12)</f>
        <v>0.4742598450715132</v>
      </c>
      <c r="W51" s="4"/>
      <c r="X51" s="4">
        <f t="shared" ref="X51:X75" si="12">+P51-T51</f>
        <v>-3963.3699999999953</v>
      </c>
      <c r="Y51" s="4"/>
      <c r="Z51" s="12">
        <f t="shared" ref="Z51:Z75" si="13">IF(T51=0,0,X51/T51)</f>
        <v>-1.1983811421504731E-2</v>
      </c>
    </row>
    <row r="52" spans="1:26" s="24" customFormat="1" hidden="1" outlineLevel="1" x14ac:dyDescent="0.25">
      <c r="A52" s="44"/>
      <c r="B52" s="11" t="str">
        <f>CONCATENATE("          ", "5000", " - ", "PURCHASES @ COST")</f>
        <v xml:space="preserve">          5000 - PURCHASES @ COST</v>
      </c>
      <c r="C52" s="11"/>
      <c r="D52" s="2"/>
      <c r="E52" s="2"/>
      <c r="F52" s="19">
        <f t="shared" si="6"/>
        <v>0</v>
      </c>
      <c r="G52" s="2"/>
      <c r="H52" s="2">
        <v>63688.999999999993</v>
      </c>
      <c r="I52" s="2"/>
      <c r="J52" s="19">
        <f t="shared" si="7"/>
        <v>0.47904115049905599</v>
      </c>
      <c r="K52" s="2"/>
      <c r="L52" s="2">
        <f t="shared" si="8"/>
        <v>-63688.999999999993</v>
      </c>
      <c r="M52" s="2"/>
      <c r="N52" s="19">
        <f t="shared" si="9"/>
        <v>-1</v>
      </c>
      <c r="O52" s="11"/>
      <c r="P52" s="2"/>
      <c r="Q52" s="2"/>
      <c r="R52" s="19">
        <f t="shared" si="10"/>
        <v>0</v>
      </c>
      <c r="S52" s="2"/>
      <c r="T52" s="2">
        <v>330727</v>
      </c>
      <c r="U52" s="2"/>
      <c r="V52" s="19">
        <f t="shared" si="11"/>
        <v>0.4742598450715132</v>
      </c>
      <c r="W52" s="2"/>
      <c r="X52" s="2">
        <f t="shared" si="12"/>
        <v>-330727</v>
      </c>
      <c r="Y52" s="2"/>
      <c r="Z52" s="19">
        <f t="shared" si="13"/>
        <v>-1</v>
      </c>
    </row>
    <row r="53" spans="1:26" s="24" customFormat="1" hidden="1" outlineLevel="1" x14ac:dyDescent="0.25">
      <c r="A53" s="44"/>
      <c r="B53" s="11" t="str">
        <f>CONCATENATE("          ", "5014", " - ", "PURCHASES @ COST-REMAINDERS")</f>
        <v xml:space="preserve">          5014 - PURCHASES @ COST-REMAINDERS</v>
      </c>
      <c r="C53" s="11"/>
      <c r="D53" s="2"/>
      <c r="E53" s="2"/>
      <c r="F53" s="19">
        <f t="shared" si="6"/>
        <v>0</v>
      </c>
      <c r="G53" s="2"/>
      <c r="H53" s="2"/>
      <c r="I53" s="2"/>
      <c r="J53" s="19">
        <f t="shared" si="7"/>
        <v>0</v>
      </c>
      <c r="K53" s="2"/>
      <c r="L53" s="2">
        <f t="shared" si="8"/>
        <v>0</v>
      </c>
      <c r="M53" s="2"/>
      <c r="N53" s="19">
        <f t="shared" si="9"/>
        <v>0</v>
      </c>
      <c r="O53" s="11"/>
      <c r="P53" s="2">
        <v>14.46</v>
      </c>
      <c r="Q53" s="2"/>
      <c r="R53" s="19">
        <f t="shared" si="10"/>
        <v>2.2113986036348322E-5</v>
      </c>
      <c r="S53" s="2"/>
      <c r="T53" s="2"/>
      <c r="U53" s="2"/>
      <c r="V53" s="19">
        <f t="shared" si="11"/>
        <v>0</v>
      </c>
      <c r="W53" s="2"/>
      <c r="X53" s="2">
        <f t="shared" si="12"/>
        <v>14.46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"5017", " - ", "PURCHASES @ COST-DORM/HOUSEWAR")</f>
        <v xml:space="preserve">          5017 - PURCHASES @ COST-DORM/HOUSEWAR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0</v>
      </c>
      <c r="Q54" s="2"/>
      <c r="R54" s="19">
        <f t="shared" si="10"/>
        <v>0</v>
      </c>
      <c r="S54" s="2"/>
      <c r="T54" s="2"/>
      <c r="U54" s="2"/>
      <c r="V54" s="19">
        <f t="shared" si="11"/>
        <v>0</v>
      </c>
      <c r="W54" s="2"/>
      <c r="X54" s="2">
        <f t="shared" si="12"/>
        <v>0</v>
      </c>
      <c r="Y54" s="2"/>
      <c r="Z54" s="19">
        <f t="shared" si="13"/>
        <v>0</v>
      </c>
    </row>
    <row r="55" spans="1:26" s="24" customFormat="1" hidden="1" outlineLevel="1" x14ac:dyDescent="0.25">
      <c r="A55" s="44"/>
      <c r="B55" s="11" t="str">
        <f>CONCATENATE("          ", "5025", " - ", "PURCHASES @ COST-TEST FORMS")</f>
        <v xml:space="preserve">          5025 - PURCHASES @ COST-TEST FORMS</v>
      </c>
      <c r="C55" s="11"/>
      <c r="D55" s="2">
        <v>873.94</v>
      </c>
      <c r="E55" s="2"/>
      <c r="F55" s="19">
        <f t="shared" si="6"/>
        <v>6.3371453565403829E-3</v>
      </c>
      <c r="G55" s="2"/>
      <c r="H55" s="2"/>
      <c r="I55" s="2"/>
      <c r="J55" s="19">
        <f t="shared" si="7"/>
        <v>0</v>
      </c>
      <c r="K55" s="2"/>
      <c r="L55" s="2">
        <f t="shared" si="8"/>
        <v>873.94</v>
      </c>
      <c r="M55" s="2"/>
      <c r="N55" s="19">
        <f t="shared" si="9"/>
        <v>0</v>
      </c>
      <c r="O55" s="11"/>
      <c r="P55" s="2">
        <v>22972.329999999998</v>
      </c>
      <c r="Q55" s="2"/>
      <c r="R55" s="19">
        <f t="shared" si="10"/>
        <v>3.5132073640552257E-2</v>
      </c>
      <c r="S55" s="2"/>
      <c r="T55" s="2"/>
      <c r="U55" s="2"/>
      <c r="V55" s="19">
        <f t="shared" si="11"/>
        <v>0</v>
      </c>
      <c r="W55" s="2"/>
      <c r="X55" s="2">
        <f t="shared" si="12"/>
        <v>22972.329999999998</v>
      </c>
      <c r="Y55" s="2"/>
      <c r="Z55" s="19">
        <f t="shared" si="13"/>
        <v>0</v>
      </c>
    </row>
    <row r="56" spans="1:26" s="24" customFormat="1" hidden="1" outlineLevel="1" x14ac:dyDescent="0.25">
      <c r="A56" s="44"/>
      <c r="B56" s="11" t="str">
        <f>CONCATENATE("          ", "5026", " - ", "PURCHASES @ COST-WRITING INSTR")</f>
        <v xml:space="preserve">          5026 - PURCHASES @ COST-WRITING INSTR</v>
      </c>
      <c r="C56" s="11"/>
      <c r="D56" s="2">
        <v>7905</v>
      </c>
      <c r="E56" s="2"/>
      <c r="F56" s="19">
        <f t="shared" si="6"/>
        <v>5.7321022087845529E-2</v>
      </c>
      <c r="G56" s="2"/>
      <c r="H56" s="2"/>
      <c r="I56" s="2"/>
      <c r="J56" s="19">
        <f t="shared" si="7"/>
        <v>0</v>
      </c>
      <c r="K56" s="2"/>
      <c r="L56" s="2">
        <f t="shared" si="8"/>
        <v>7905</v>
      </c>
      <c r="M56" s="2"/>
      <c r="N56" s="19">
        <f t="shared" si="9"/>
        <v>0</v>
      </c>
      <c r="O56" s="11"/>
      <c r="P56" s="2">
        <v>42221.009999999995</v>
      </c>
      <c r="Q56" s="2"/>
      <c r="R56" s="19">
        <f t="shared" si="10"/>
        <v>6.4569490012484285E-2</v>
      </c>
      <c r="S56" s="2"/>
      <c r="T56" s="2"/>
      <c r="U56" s="2"/>
      <c r="V56" s="19">
        <f t="shared" si="11"/>
        <v>0</v>
      </c>
      <c r="W56" s="2"/>
      <c r="X56" s="2">
        <f t="shared" si="12"/>
        <v>42221.009999999995</v>
      </c>
      <c r="Y56" s="2"/>
      <c r="Z56" s="19">
        <f t="shared" si="13"/>
        <v>0</v>
      </c>
    </row>
    <row r="57" spans="1:26" s="24" customFormat="1" hidden="1" outlineLevel="1" x14ac:dyDescent="0.25">
      <c r="A57" s="44"/>
      <c r="B57" s="11" t="str">
        <f>CONCATENATE("          ", "5027", " - ", "PURCHASES @ COST-SCHOOL SUPPLI")</f>
        <v xml:space="preserve">          5027 - PURCHASES @ COST-SCHOOL SUPPLI</v>
      </c>
      <c r="C57" s="11"/>
      <c r="D57" s="2">
        <v>42558.76</v>
      </c>
      <c r="E57" s="2"/>
      <c r="F57" s="19">
        <f t="shared" si="6"/>
        <v>0.30860362074526465</v>
      </c>
      <c r="G57" s="2"/>
      <c r="H57" s="2"/>
      <c r="I57" s="2"/>
      <c r="J57" s="19">
        <f t="shared" si="7"/>
        <v>0</v>
      </c>
      <c r="K57" s="2"/>
      <c r="L57" s="2">
        <f t="shared" si="8"/>
        <v>42558.76</v>
      </c>
      <c r="M57" s="2"/>
      <c r="N57" s="19">
        <f t="shared" si="9"/>
        <v>0</v>
      </c>
      <c r="O57" s="11"/>
      <c r="P57" s="2">
        <v>120507.47</v>
      </c>
      <c r="Q57" s="2"/>
      <c r="R57" s="19">
        <f t="shared" si="10"/>
        <v>0.18429464099970017</v>
      </c>
      <c r="S57" s="2"/>
      <c r="T57" s="2"/>
      <c r="U57" s="2"/>
      <c r="V57" s="19">
        <f t="shared" si="11"/>
        <v>0</v>
      </c>
      <c r="W57" s="2"/>
      <c r="X57" s="2">
        <f t="shared" si="12"/>
        <v>120507.47</v>
      </c>
      <c r="Y57" s="2"/>
      <c r="Z57" s="19">
        <f t="shared" si="13"/>
        <v>0</v>
      </c>
    </row>
    <row r="58" spans="1:26" s="24" customFormat="1" hidden="1" outlineLevel="1" x14ac:dyDescent="0.25">
      <c r="A58" s="44"/>
      <c r="B58" s="11" t="str">
        <f>CONCATENATE("          ", "5028", " - ", "PURCHASES @ COST-ART/TECH")</f>
        <v xml:space="preserve">          5028 - PURCHASES @ COST-ART/TECH</v>
      </c>
      <c r="C58" s="11"/>
      <c r="D58" s="2">
        <v>32126.68</v>
      </c>
      <c r="E58" s="2"/>
      <c r="F58" s="19">
        <f t="shared" si="6"/>
        <v>0.23295814470450921</v>
      </c>
      <c r="G58" s="2"/>
      <c r="H58" s="2"/>
      <c r="I58" s="2"/>
      <c r="J58" s="19">
        <f t="shared" si="7"/>
        <v>0</v>
      </c>
      <c r="K58" s="2"/>
      <c r="L58" s="2">
        <f t="shared" si="8"/>
        <v>32126.68</v>
      </c>
      <c r="M58" s="2"/>
      <c r="N58" s="19">
        <f t="shared" si="9"/>
        <v>0</v>
      </c>
      <c r="O58" s="11"/>
      <c r="P58" s="2">
        <v>135127.5</v>
      </c>
      <c r="Q58" s="2"/>
      <c r="R58" s="19">
        <f t="shared" si="10"/>
        <v>0.20665336432411188</v>
      </c>
      <c r="S58" s="2"/>
      <c r="T58" s="2"/>
      <c r="U58" s="2"/>
      <c r="V58" s="19">
        <f t="shared" si="11"/>
        <v>0</v>
      </c>
      <c r="W58" s="2"/>
      <c r="X58" s="2">
        <f t="shared" si="12"/>
        <v>135127.5</v>
      </c>
      <c r="Y58" s="2"/>
      <c r="Z58" s="19">
        <f t="shared" si="13"/>
        <v>0</v>
      </c>
    </row>
    <row r="59" spans="1:26" s="24" customFormat="1" hidden="1" outlineLevel="1" x14ac:dyDescent="0.25">
      <c r="A59" s="44"/>
      <c r="B59" s="11" t="str">
        <f>CONCATENATE("          ", "5031", " - ", "PURCHASES @ COST-FOOD")</f>
        <v xml:space="preserve">          5031 - PURCHASES @ COST-FOOD</v>
      </c>
      <c r="C59" s="11"/>
      <c r="D59" s="2">
        <v>2390.66</v>
      </c>
      <c r="E59" s="2"/>
      <c r="F59" s="19">
        <f t="shared" si="6"/>
        <v>1.7335240311768346E-2</v>
      </c>
      <c r="G59" s="2"/>
      <c r="H59" s="2"/>
      <c r="I59" s="2"/>
      <c r="J59" s="19">
        <f t="shared" si="7"/>
        <v>0</v>
      </c>
      <c r="K59" s="2"/>
      <c r="L59" s="2">
        <f t="shared" si="8"/>
        <v>2390.66</v>
      </c>
      <c r="M59" s="2"/>
      <c r="N59" s="19">
        <f t="shared" si="9"/>
        <v>0</v>
      </c>
      <c r="O59" s="11"/>
      <c r="P59" s="2">
        <v>24900.390000000003</v>
      </c>
      <c r="Q59" s="2"/>
      <c r="R59" s="19">
        <f t="shared" si="10"/>
        <v>3.8080696871343529E-2</v>
      </c>
      <c r="S59" s="2"/>
      <c r="T59" s="2"/>
      <c r="U59" s="2"/>
      <c r="V59" s="19">
        <f t="shared" si="11"/>
        <v>0</v>
      </c>
      <c r="W59" s="2"/>
      <c r="X59" s="2">
        <f t="shared" si="12"/>
        <v>24900.390000000003</v>
      </c>
      <c r="Y59" s="2"/>
      <c r="Z59" s="19">
        <f t="shared" si="13"/>
        <v>0</v>
      </c>
    </row>
    <row r="60" spans="1:26" s="24" customFormat="1" hidden="1" outlineLevel="1" x14ac:dyDescent="0.25">
      <c r="A60" s="44"/>
      <c r="B60" s="11" t="str">
        <f>CONCATENATE("          ", "5032", " - ", "PURCHASES @ COST-JUICE")</f>
        <v xml:space="preserve">          5032 - PURCHASES @ COST-JUICE</v>
      </c>
      <c r="C60" s="11"/>
      <c r="D60" s="2">
        <v>371.03</v>
      </c>
      <c r="E60" s="2"/>
      <c r="F60" s="19">
        <f t="shared" si="6"/>
        <v>2.6904261638524131E-3</v>
      </c>
      <c r="G60" s="2"/>
      <c r="H60" s="2"/>
      <c r="I60" s="2"/>
      <c r="J60" s="19">
        <f t="shared" si="7"/>
        <v>0</v>
      </c>
      <c r="K60" s="2"/>
      <c r="L60" s="2">
        <f t="shared" si="8"/>
        <v>371.03</v>
      </c>
      <c r="M60" s="2"/>
      <c r="N60" s="19">
        <f t="shared" si="9"/>
        <v>0</v>
      </c>
      <c r="O60" s="11"/>
      <c r="P60" s="2">
        <v>5392.51</v>
      </c>
      <c r="Q60" s="2"/>
      <c r="R60" s="19">
        <f t="shared" si="10"/>
        <v>8.246880417764087E-3</v>
      </c>
      <c r="S60" s="2"/>
      <c r="T60" s="2"/>
      <c r="U60" s="2"/>
      <c r="V60" s="19">
        <f t="shared" si="11"/>
        <v>0</v>
      </c>
      <c r="W60" s="2"/>
      <c r="X60" s="2">
        <f t="shared" si="12"/>
        <v>5392.51</v>
      </c>
      <c r="Y60" s="2"/>
      <c r="Z60" s="19">
        <f t="shared" si="13"/>
        <v>0</v>
      </c>
    </row>
    <row r="61" spans="1:26" s="24" customFormat="1" hidden="1" outlineLevel="1" x14ac:dyDescent="0.25">
      <c r="A61" s="44"/>
      <c r="B61" s="11" t="str">
        <f>CONCATENATE("          ", "5033", " - ", "PURCHASES @ COST-CANDY")</f>
        <v xml:space="preserve">          5033 - PURCHASES @ COST-CANDY</v>
      </c>
      <c r="C61" s="11"/>
      <c r="D61" s="2">
        <v>805.69</v>
      </c>
      <c r="E61" s="2"/>
      <c r="F61" s="19">
        <f t="shared" si="6"/>
        <v>5.842248486521982E-3</v>
      </c>
      <c r="G61" s="2"/>
      <c r="H61" s="2"/>
      <c r="I61" s="2"/>
      <c r="J61" s="19">
        <f t="shared" si="7"/>
        <v>0</v>
      </c>
      <c r="K61" s="2"/>
      <c r="L61" s="2">
        <f t="shared" si="8"/>
        <v>805.69</v>
      </c>
      <c r="M61" s="2"/>
      <c r="N61" s="19">
        <f t="shared" si="9"/>
        <v>0</v>
      </c>
      <c r="O61" s="11"/>
      <c r="P61" s="2">
        <v>7003.62</v>
      </c>
      <c r="Q61" s="2"/>
      <c r="R61" s="19">
        <f t="shared" si="10"/>
        <v>1.0710785261679795E-2</v>
      </c>
      <c r="S61" s="2"/>
      <c r="T61" s="2"/>
      <c r="U61" s="2"/>
      <c r="V61" s="19">
        <f t="shared" si="11"/>
        <v>0</v>
      </c>
      <c r="W61" s="2"/>
      <c r="X61" s="2">
        <f t="shared" si="12"/>
        <v>7003.62</v>
      </c>
      <c r="Y61" s="2"/>
      <c r="Z61" s="19">
        <f t="shared" si="13"/>
        <v>0</v>
      </c>
    </row>
    <row r="62" spans="1:26" s="24" customFormat="1" hidden="1" outlineLevel="1" x14ac:dyDescent="0.25">
      <c r="A62" s="44"/>
      <c r="B62" s="11" t="str">
        <f>CONCATENATE("          ", "5034", " - ", "PURCHASES @ COST-SODA")</f>
        <v xml:space="preserve">          5034 - PURCHASES @ COST-SODA</v>
      </c>
      <c r="C62" s="11"/>
      <c r="D62" s="2"/>
      <c r="E62" s="2"/>
      <c r="F62" s="19">
        <f t="shared" si="6"/>
        <v>0</v>
      </c>
      <c r="G62" s="2"/>
      <c r="H62" s="2"/>
      <c r="I62" s="2"/>
      <c r="J62" s="19">
        <f t="shared" si="7"/>
        <v>0</v>
      </c>
      <c r="K62" s="2"/>
      <c r="L62" s="2">
        <f t="shared" si="8"/>
        <v>0</v>
      </c>
      <c r="M62" s="2"/>
      <c r="N62" s="19">
        <f t="shared" si="9"/>
        <v>0</v>
      </c>
      <c r="O62" s="11"/>
      <c r="P62" s="2">
        <v>2124.16</v>
      </c>
      <c r="Q62" s="2"/>
      <c r="R62" s="19">
        <f t="shared" si="10"/>
        <v>3.2485231382413308E-3</v>
      </c>
      <c r="S62" s="2"/>
      <c r="T62" s="2"/>
      <c r="U62" s="2"/>
      <c r="V62" s="19">
        <f t="shared" si="11"/>
        <v>0</v>
      </c>
      <c r="W62" s="2"/>
      <c r="X62" s="2">
        <f t="shared" si="12"/>
        <v>2124.16</v>
      </c>
      <c r="Y62" s="2"/>
      <c r="Z62" s="19">
        <f t="shared" si="13"/>
        <v>0</v>
      </c>
    </row>
    <row r="63" spans="1:26" s="24" customFormat="1" hidden="1" outlineLevel="1" x14ac:dyDescent="0.25">
      <c r="A63" s="44"/>
      <c r="B63" s="11" t="str">
        <f>CONCATENATE("          ", "5035", " - ", "PURCHASES @ COST-HEALTH &amp; BEAU")</f>
        <v xml:space="preserve">          5035 - PURCHASES @ COST-HEALTH &amp; BEAU</v>
      </c>
      <c r="C63" s="11"/>
      <c r="D63" s="2">
        <v>32.82</v>
      </c>
      <c r="E63" s="2"/>
      <c r="F63" s="19">
        <f t="shared" si="6"/>
        <v>2.3798557178027706E-4</v>
      </c>
      <c r="G63" s="2"/>
      <c r="H63" s="2"/>
      <c r="I63" s="2"/>
      <c r="J63" s="19">
        <f t="shared" si="7"/>
        <v>0</v>
      </c>
      <c r="K63" s="2"/>
      <c r="L63" s="2">
        <f t="shared" si="8"/>
        <v>32.82</v>
      </c>
      <c r="M63" s="2"/>
      <c r="N63" s="19">
        <f t="shared" si="9"/>
        <v>0</v>
      </c>
      <c r="O63" s="11"/>
      <c r="P63" s="2">
        <v>857.2</v>
      </c>
      <c r="Q63" s="2"/>
      <c r="R63" s="19">
        <f t="shared" si="10"/>
        <v>1.3109342206333182E-3</v>
      </c>
      <c r="S63" s="2"/>
      <c r="T63" s="2"/>
      <c r="U63" s="2"/>
      <c r="V63" s="19">
        <f t="shared" si="11"/>
        <v>0</v>
      </c>
      <c r="W63" s="2"/>
      <c r="X63" s="2">
        <f t="shared" si="12"/>
        <v>857.2</v>
      </c>
      <c r="Y63" s="2"/>
      <c r="Z63" s="19">
        <f t="shared" si="13"/>
        <v>0</v>
      </c>
    </row>
    <row r="64" spans="1:26" s="24" customFormat="1" hidden="1" outlineLevel="1" x14ac:dyDescent="0.25">
      <c r="A64" s="44"/>
      <c r="B64" s="11" t="str">
        <f>CONCATENATE("          ", "5037", " - ", "PURCHASES @ COST-WATER")</f>
        <v xml:space="preserve">          5037 - PURCHASES @ COST-WATER</v>
      </c>
      <c r="C64" s="11"/>
      <c r="D64" s="2"/>
      <c r="E64" s="2"/>
      <c r="F64" s="19">
        <f t="shared" si="6"/>
        <v>0</v>
      </c>
      <c r="G64" s="2"/>
      <c r="H64" s="2"/>
      <c r="I64" s="2"/>
      <c r="J64" s="19">
        <f t="shared" si="7"/>
        <v>0</v>
      </c>
      <c r="K64" s="2"/>
      <c r="L64" s="2">
        <f t="shared" si="8"/>
        <v>0</v>
      </c>
      <c r="M64" s="2"/>
      <c r="N64" s="19">
        <f t="shared" si="9"/>
        <v>0</v>
      </c>
      <c r="O64" s="11"/>
      <c r="P64" s="2">
        <v>3729.51</v>
      </c>
      <c r="Q64" s="2"/>
      <c r="R64" s="19">
        <f t="shared" si="10"/>
        <v>5.7036190914537639E-3</v>
      </c>
      <c r="S64" s="2"/>
      <c r="T64" s="2"/>
      <c r="U64" s="2"/>
      <c r="V64" s="19">
        <f t="shared" si="11"/>
        <v>0</v>
      </c>
      <c r="W64" s="2"/>
      <c r="X64" s="2">
        <f t="shared" si="12"/>
        <v>3729.51</v>
      </c>
      <c r="Y64" s="2"/>
      <c r="Z64" s="19">
        <f t="shared" si="13"/>
        <v>0</v>
      </c>
    </row>
    <row r="65" spans="1:26" s="24" customFormat="1" hidden="1" outlineLevel="1" x14ac:dyDescent="0.25">
      <c r="A65" s="44"/>
      <c r="B65" s="11" t="str">
        <f>CONCATENATE("          ", "5081", " - ", "PURCHASES @ COST-ELECTRONICS")</f>
        <v xml:space="preserve">          5081 - PURCHASES @ COST-ELECTRONICS</v>
      </c>
      <c r="C65" s="11"/>
      <c r="D65" s="2">
        <v>119.66</v>
      </c>
      <c r="E65" s="2"/>
      <c r="F65" s="19">
        <f t="shared" si="6"/>
        <v>8.6768292258464208E-4</v>
      </c>
      <c r="G65" s="2"/>
      <c r="H65" s="2"/>
      <c r="I65" s="2"/>
      <c r="J65" s="19">
        <f t="shared" si="7"/>
        <v>0</v>
      </c>
      <c r="K65" s="2"/>
      <c r="L65" s="2">
        <f t="shared" si="8"/>
        <v>119.66</v>
      </c>
      <c r="M65" s="2"/>
      <c r="N65" s="19">
        <f t="shared" si="9"/>
        <v>0</v>
      </c>
      <c r="O65" s="11"/>
      <c r="P65" s="2">
        <v>1891.21</v>
      </c>
      <c r="Q65" s="2"/>
      <c r="R65" s="19">
        <f t="shared" si="10"/>
        <v>2.8922677407885416E-3</v>
      </c>
      <c r="S65" s="2"/>
      <c r="T65" s="2"/>
      <c r="U65" s="2"/>
      <c r="V65" s="19">
        <f t="shared" si="11"/>
        <v>0</v>
      </c>
      <c r="W65" s="2"/>
      <c r="X65" s="2">
        <f t="shared" si="12"/>
        <v>1891.21</v>
      </c>
      <c r="Y65" s="2"/>
      <c r="Z65" s="19">
        <f t="shared" si="13"/>
        <v>0</v>
      </c>
    </row>
    <row r="66" spans="1:26" s="24" customFormat="1" hidden="1" outlineLevel="1" x14ac:dyDescent="0.25">
      <c r="A66" s="44"/>
      <c r="B66" s="11" t="str">
        <f>CONCATENATE("          ", "5082", " - ", "PURCHASES @ COST-COMPUTER HARD")</f>
        <v xml:space="preserve">          5082 - PURCHASES @ COST-COMPUTER HARD</v>
      </c>
      <c r="C66" s="11"/>
      <c r="D66" s="2"/>
      <c r="E66" s="2"/>
      <c r="F66" s="19">
        <f t="shared" si="6"/>
        <v>0</v>
      </c>
      <c r="G66" s="2"/>
      <c r="H66" s="2"/>
      <c r="I66" s="2"/>
      <c r="J66" s="19">
        <f t="shared" si="7"/>
        <v>0</v>
      </c>
      <c r="K66" s="2"/>
      <c r="L66" s="2">
        <f t="shared" si="8"/>
        <v>0</v>
      </c>
      <c r="M66" s="2"/>
      <c r="N66" s="19">
        <f t="shared" si="9"/>
        <v>0</v>
      </c>
      <c r="O66" s="11"/>
      <c r="P66" s="2">
        <v>349.6</v>
      </c>
      <c r="Q66" s="2"/>
      <c r="R66" s="19">
        <f t="shared" si="10"/>
        <v>5.3465072740714896E-4</v>
      </c>
      <c r="S66" s="2"/>
      <c r="T66" s="2"/>
      <c r="U66" s="2"/>
      <c r="V66" s="19">
        <f t="shared" si="11"/>
        <v>0</v>
      </c>
      <c r="W66" s="2"/>
      <c r="X66" s="2">
        <f t="shared" si="12"/>
        <v>349.6</v>
      </c>
      <c r="Y66" s="2"/>
      <c r="Z66" s="19">
        <f t="shared" si="13"/>
        <v>0</v>
      </c>
    </row>
    <row r="67" spans="1:26" s="24" customFormat="1" hidden="1" outlineLevel="1" x14ac:dyDescent="0.25">
      <c r="A67" s="44"/>
      <c r="B67" s="11" t="str">
        <f>CONCATENATE("          ", "5083", " - ", "PURCHASES @ COST-COMPUTER EQUI")</f>
        <v xml:space="preserve">          5083 - PURCHASES @ COST-COMPUTER EQUI</v>
      </c>
      <c r="C67" s="11"/>
      <c r="D67" s="2">
        <v>32.96</v>
      </c>
      <c r="E67" s="2"/>
      <c r="F67" s="19">
        <f t="shared" si="6"/>
        <v>2.3900074484698149E-4</v>
      </c>
      <c r="G67" s="2"/>
      <c r="H67" s="2"/>
      <c r="I67" s="2"/>
      <c r="J67" s="19">
        <f t="shared" si="7"/>
        <v>0</v>
      </c>
      <c r="K67" s="2"/>
      <c r="L67" s="2">
        <f t="shared" si="8"/>
        <v>32.96</v>
      </c>
      <c r="M67" s="2"/>
      <c r="N67" s="19">
        <f t="shared" si="9"/>
        <v>0</v>
      </c>
      <c r="O67" s="11"/>
      <c r="P67" s="2">
        <v>372.36</v>
      </c>
      <c r="Q67" s="2"/>
      <c r="R67" s="19">
        <f t="shared" si="10"/>
        <v>5.6945808025550906E-4</v>
      </c>
      <c r="S67" s="2"/>
      <c r="T67" s="2"/>
      <c r="U67" s="2"/>
      <c r="V67" s="19">
        <f t="shared" si="11"/>
        <v>0</v>
      </c>
      <c r="W67" s="2"/>
      <c r="X67" s="2">
        <f t="shared" si="12"/>
        <v>372.36</v>
      </c>
      <c r="Y67" s="2"/>
      <c r="Z67" s="19">
        <f t="shared" si="13"/>
        <v>0</v>
      </c>
    </row>
    <row r="68" spans="1:26" s="24" customFormat="1" hidden="1" outlineLevel="1" x14ac:dyDescent="0.25">
      <c r="A68" s="44"/>
      <c r="B68" s="11" t="str">
        <f>CONCATENATE("          ", "5086", " - ", "PURCHASES @ COST-COMPUTER SUPP")</f>
        <v xml:space="preserve">          5086 - PURCHASES @ COST-COMPUTER SUPP</v>
      </c>
      <c r="C68" s="11"/>
      <c r="D68" s="2">
        <v>36.979999999999997</v>
      </c>
      <c r="E68" s="2"/>
      <c r="F68" s="19">
        <f t="shared" si="6"/>
        <v>2.6815071433377956E-4</v>
      </c>
      <c r="G68" s="2"/>
      <c r="H68" s="2"/>
      <c r="I68" s="2"/>
      <c r="J68" s="19">
        <f t="shared" si="7"/>
        <v>0</v>
      </c>
      <c r="K68" s="2"/>
      <c r="L68" s="2">
        <f t="shared" si="8"/>
        <v>36.979999999999997</v>
      </c>
      <c r="M68" s="2"/>
      <c r="N68" s="19">
        <f t="shared" si="9"/>
        <v>0</v>
      </c>
      <c r="O68" s="11"/>
      <c r="P68" s="2">
        <v>416.24</v>
      </c>
      <c r="Q68" s="2"/>
      <c r="R68" s="19">
        <f t="shared" si="10"/>
        <v>6.3656469901588006E-4</v>
      </c>
      <c r="S68" s="2"/>
      <c r="T68" s="2"/>
      <c r="U68" s="2"/>
      <c r="V68" s="19">
        <f t="shared" si="11"/>
        <v>0</v>
      </c>
      <c r="W68" s="2"/>
      <c r="X68" s="2">
        <f t="shared" si="12"/>
        <v>416.24</v>
      </c>
      <c r="Y68" s="2"/>
      <c r="Z68" s="19">
        <f t="shared" si="13"/>
        <v>0</v>
      </c>
    </row>
    <row r="69" spans="1:26" s="24" customFormat="1" hidden="1" outlineLevel="1" x14ac:dyDescent="0.25">
      <c r="A69" s="44"/>
      <c r="B69" s="11" t="str">
        <f>CONCATENATE("          ", "5200", " - ", "PURCHASES OFFSET")</f>
        <v xml:space="preserve">          5200 - PURCHASES OFFSET</v>
      </c>
      <c r="C69" s="11"/>
      <c r="D69" s="2">
        <v>-87797</v>
      </c>
      <c r="E69" s="2"/>
      <c r="F69" s="19">
        <f t="shared" si="6"/>
        <v>-0.63663678383890876</v>
      </c>
      <c r="G69" s="2"/>
      <c r="H69" s="2"/>
      <c r="I69" s="2"/>
      <c r="J69" s="19">
        <f t="shared" si="7"/>
        <v>0</v>
      </c>
      <c r="K69" s="2"/>
      <c r="L69" s="2">
        <f t="shared" si="8"/>
        <v>-87797</v>
      </c>
      <c r="M69" s="2"/>
      <c r="N69" s="19">
        <f t="shared" si="9"/>
        <v>0</v>
      </c>
      <c r="O69" s="11"/>
      <c r="P69" s="2">
        <v>-371317</v>
      </c>
      <c r="Q69" s="2"/>
      <c r="R69" s="19">
        <f t="shared" si="10"/>
        <v>-0.56786299813684293</v>
      </c>
      <c r="S69" s="2"/>
      <c r="T69" s="2"/>
      <c r="U69" s="2"/>
      <c r="V69" s="19">
        <f t="shared" si="11"/>
        <v>0</v>
      </c>
      <c r="W69" s="2"/>
      <c r="X69" s="2">
        <f t="shared" si="12"/>
        <v>-371317</v>
      </c>
      <c r="Y69" s="2"/>
      <c r="Z69" s="19">
        <f t="shared" si="13"/>
        <v>0</v>
      </c>
    </row>
    <row r="70" spans="1:26" s="24" customFormat="1" hidden="1" outlineLevel="1" x14ac:dyDescent="0.25">
      <c r="A70" s="44"/>
      <c r="B70" s="11" t="str">
        <f>CONCATENATE("          ", "5300", " - ", "COG$ OFFSET")</f>
        <v xml:space="preserve">          5300 - COG$ OFFSET</v>
      </c>
      <c r="C70" s="11"/>
      <c r="D70" s="2">
        <v>70171</v>
      </c>
      <c r="E70" s="2"/>
      <c r="F70" s="19">
        <f t="shared" si="6"/>
        <v>0.50882649474082331</v>
      </c>
      <c r="G70" s="2"/>
      <c r="H70" s="2"/>
      <c r="I70" s="2"/>
      <c r="J70" s="19">
        <f t="shared" si="7"/>
        <v>0</v>
      </c>
      <c r="K70" s="2"/>
      <c r="L70" s="2">
        <f t="shared" si="8"/>
        <v>70171</v>
      </c>
      <c r="M70" s="2"/>
      <c r="N70" s="19">
        <f t="shared" si="9"/>
        <v>0</v>
      </c>
      <c r="O70" s="11"/>
      <c r="P70" s="2">
        <v>326681</v>
      </c>
      <c r="Q70" s="2"/>
      <c r="R70" s="19">
        <f t="shared" si="10"/>
        <v>0.49960021247166708</v>
      </c>
      <c r="S70" s="2"/>
      <c r="T70" s="2"/>
      <c r="U70" s="2"/>
      <c r="V70" s="19">
        <f t="shared" si="11"/>
        <v>0</v>
      </c>
      <c r="W70" s="2"/>
      <c r="X70" s="2">
        <f t="shared" si="12"/>
        <v>326681</v>
      </c>
      <c r="Y70" s="2"/>
      <c r="Z70" s="19">
        <f t="shared" si="13"/>
        <v>0</v>
      </c>
    </row>
    <row r="71" spans="1:26" s="24" customFormat="1" hidden="1" outlineLevel="1" x14ac:dyDescent="0.25">
      <c r="A71" s="44"/>
      <c r="B71" s="11" t="str">
        <f>CONCATENATE("          ", "5500", " - ", "FREIGHT-IN")</f>
        <v xml:space="preserve">          5500 - FREIGHT-IN</v>
      </c>
      <c r="C71" s="11"/>
      <c r="D71" s="2"/>
      <c r="E71" s="2"/>
      <c r="F71" s="19">
        <f t="shared" si="6"/>
        <v>0</v>
      </c>
      <c r="G71" s="2"/>
      <c r="H71" s="2"/>
      <c r="I71" s="2"/>
      <c r="J71" s="19">
        <f t="shared" si="7"/>
        <v>0</v>
      </c>
      <c r="K71" s="2"/>
      <c r="L71" s="2">
        <f t="shared" si="8"/>
        <v>0</v>
      </c>
      <c r="M71" s="2"/>
      <c r="N71" s="19">
        <f t="shared" si="9"/>
        <v>0</v>
      </c>
      <c r="O71" s="11"/>
      <c r="P71" s="2">
        <v>86</v>
      </c>
      <c r="Q71" s="2"/>
      <c r="R71" s="19">
        <f t="shared" si="10"/>
        <v>1.3152163202807438E-4</v>
      </c>
      <c r="S71" s="2"/>
      <c r="T71" s="2"/>
      <c r="U71" s="2"/>
      <c r="V71" s="19">
        <f t="shared" si="11"/>
        <v>0</v>
      </c>
      <c r="W71" s="2"/>
      <c r="X71" s="2">
        <f t="shared" si="12"/>
        <v>86</v>
      </c>
      <c r="Y71" s="2"/>
      <c r="Z71" s="19">
        <f t="shared" si="13"/>
        <v>0</v>
      </c>
    </row>
    <row r="72" spans="1:26" s="24" customFormat="1" hidden="1" outlineLevel="1" x14ac:dyDescent="0.25">
      <c r="A72" s="44"/>
      <c r="B72" s="11" t="str">
        <f>CONCATENATE("          ", "5525", " - ", "FREIGHT-IN-TEST FORMS")</f>
        <v xml:space="preserve">          5525 - FREIGHT-IN-TEST FORMS</v>
      </c>
      <c r="C72" s="11"/>
      <c r="D72" s="2"/>
      <c r="E72" s="2"/>
      <c r="F72" s="19">
        <f t="shared" si="6"/>
        <v>0</v>
      </c>
      <c r="G72" s="2"/>
      <c r="H72" s="2"/>
      <c r="I72" s="2"/>
      <c r="J72" s="19">
        <f t="shared" si="7"/>
        <v>0</v>
      </c>
      <c r="K72" s="2"/>
      <c r="L72" s="2">
        <f t="shared" si="8"/>
        <v>0</v>
      </c>
      <c r="M72" s="2"/>
      <c r="N72" s="19">
        <f t="shared" si="9"/>
        <v>0</v>
      </c>
      <c r="O72" s="11"/>
      <c r="P72" s="2">
        <v>622.41</v>
      </c>
      <c r="Q72" s="2"/>
      <c r="R72" s="19">
        <f t="shared" si="10"/>
        <v>9.5186487198364856E-4</v>
      </c>
      <c r="S72" s="2"/>
      <c r="T72" s="2"/>
      <c r="U72" s="2"/>
      <c r="V72" s="19">
        <f t="shared" si="11"/>
        <v>0</v>
      </c>
      <c r="W72" s="2"/>
      <c r="X72" s="2">
        <f t="shared" si="12"/>
        <v>622.41</v>
      </c>
      <c r="Y72" s="2"/>
      <c r="Z72" s="19">
        <f t="shared" si="13"/>
        <v>0</v>
      </c>
    </row>
    <row r="73" spans="1:26" s="24" customFormat="1" hidden="1" outlineLevel="1" x14ac:dyDescent="0.25">
      <c r="A73" s="44"/>
      <c r="B73" s="11" t="str">
        <f>CONCATENATE("          ", "5526", " - ", "FREIGHT-IN-WRITING INSTRUMENTS")</f>
        <v xml:space="preserve">          5526 - FREIGHT-IN-WRITING INSTRUMENTS</v>
      </c>
      <c r="C73" s="11"/>
      <c r="D73" s="2"/>
      <c r="E73" s="2"/>
      <c r="F73" s="19">
        <f t="shared" si="6"/>
        <v>0</v>
      </c>
      <c r="G73" s="2"/>
      <c r="H73" s="2"/>
      <c r="I73" s="2"/>
      <c r="J73" s="19">
        <f t="shared" si="7"/>
        <v>0</v>
      </c>
      <c r="K73" s="2"/>
      <c r="L73" s="2">
        <f t="shared" si="8"/>
        <v>0</v>
      </c>
      <c r="M73" s="2"/>
      <c r="N73" s="19">
        <f t="shared" si="9"/>
        <v>0</v>
      </c>
      <c r="O73" s="11"/>
      <c r="P73" s="2">
        <v>260.35000000000002</v>
      </c>
      <c r="Q73" s="2"/>
      <c r="R73" s="19">
        <f t="shared" si="10"/>
        <v>3.9815880114545544E-4</v>
      </c>
      <c r="S73" s="2"/>
      <c r="T73" s="2"/>
      <c r="U73" s="2"/>
      <c r="V73" s="19">
        <f t="shared" si="11"/>
        <v>0</v>
      </c>
      <c r="W73" s="2"/>
      <c r="X73" s="2">
        <f t="shared" si="12"/>
        <v>260.35000000000002</v>
      </c>
      <c r="Y73" s="2"/>
      <c r="Z73" s="19">
        <f t="shared" si="13"/>
        <v>0</v>
      </c>
    </row>
    <row r="74" spans="1:26" s="24" customFormat="1" hidden="1" outlineLevel="1" x14ac:dyDescent="0.25">
      <c r="A74" s="44"/>
      <c r="B74" s="11" t="str">
        <f>CONCATENATE("          ", "5527", " - ", "FREIGHT-IN-SCHOOL SUPPLIES")</f>
        <v xml:space="preserve">          5527 - FREIGHT-IN-SCHOOL SUPPLIES</v>
      </c>
      <c r="C74" s="11"/>
      <c r="D74" s="2">
        <v>321.92</v>
      </c>
      <c r="E74" s="2"/>
      <c r="F74" s="19">
        <f t="shared" si="6"/>
        <v>2.3343179545248873E-3</v>
      </c>
      <c r="G74" s="2"/>
      <c r="H74" s="2"/>
      <c r="I74" s="2"/>
      <c r="J74" s="19">
        <f t="shared" si="7"/>
        <v>0</v>
      </c>
      <c r="K74" s="2"/>
      <c r="L74" s="2">
        <f t="shared" si="8"/>
        <v>321.92</v>
      </c>
      <c r="M74" s="2"/>
      <c r="N74" s="19">
        <f t="shared" si="9"/>
        <v>0</v>
      </c>
      <c r="O74" s="11"/>
      <c r="P74" s="2">
        <v>1219.8399999999999</v>
      </c>
      <c r="Q74" s="2"/>
      <c r="R74" s="19">
        <f t="shared" si="10"/>
        <v>1.8655272978270493E-3</v>
      </c>
      <c r="S74" s="2"/>
      <c r="T74" s="2"/>
      <c r="U74" s="2"/>
      <c r="V74" s="19">
        <f t="shared" si="11"/>
        <v>0</v>
      </c>
      <c r="W74" s="2"/>
      <c r="X74" s="2">
        <f t="shared" si="12"/>
        <v>1219.8399999999999</v>
      </c>
      <c r="Y74" s="2"/>
      <c r="Z74" s="19">
        <f t="shared" si="13"/>
        <v>0</v>
      </c>
    </row>
    <row r="75" spans="1:26" s="24" customFormat="1" hidden="1" outlineLevel="1" x14ac:dyDescent="0.25">
      <c r="A75" s="44"/>
      <c r="B75" s="11" t="str">
        <f>CONCATENATE("          ", "5528", " - ", "FREIGHT-IN-ART/TECH")</f>
        <v xml:space="preserve">          5528 - FREIGHT-IN-ART/TECH</v>
      </c>
      <c r="C75" s="11"/>
      <c r="D75" s="2">
        <v>220.82</v>
      </c>
      <c r="E75" s="2"/>
      <c r="F75" s="19">
        <f t="shared" si="6"/>
        <v>1.6012179756404869E-3</v>
      </c>
      <c r="G75" s="2"/>
      <c r="H75" s="2"/>
      <c r="I75" s="2"/>
      <c r="J75" s="19">
        <f t="shared" si="7"/>
        <v>0</v>
      </c>
      <c r="K75" s="2"/>
      <c r="L75" s="2">
        <f t="shared" si="8"/>
        <v>220.82</v>
      </c>
      <c r="M75" s="2"/>
      <c r="N75" s="19">
        <f t="shared" si="9"/>
        <v>0</v>
      </c>
      <c r="O75" s="11"/>
      <c r="P75" s="2">
        <v>1331.46</v>
      </c>
      <c r="Q75" s="2"/>
      <c r="R75" s="19">
        <f t="shared" si="10"/>
        <v>2.0362301416290687E-3</v>
      </c>
      <c r="S75" s="2"/>
      <c r="T75" s="2"/>
      <c r="U75" s="2"/>
      <c r="V75" s="19">
        <f t="shared" si="11"/>
        <v>0</v>
      </c>
      <c r="W75" s="2"/>
      <c r="X75" s="2">
        <f t="shared" si="12"/>
        <v>1331.46</v>
      </c>
      <c r="Y75" s="2"/>
      <c r="Z75" s="19">
        <f t="shared" si="13"/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9" t="s">
        <v>6</v>
      </c>
      <c r="C77" s="29"/>
      <c r="D77" s="21">
        <f>D12-D51</f>
        <v>67736.599999999991</v>
      </c>
      <c r="E77" s="14"/>
      <c r="F77" s="20">
        <f>IF(D$12=0,0,D77/D$12)</f>
        <v>0.49117408535807172</v>
      </c>
      <c r="G77" s="14"/>
      <c r="H77" s="21">
        <f>H12-H51</f>
        <v>69262</v>
      </c>
      <c r="I77" s="14"/>
      <c r="J77" s="20">
        <f>IF(H$12=0,0,H77/H$12)</f>
        <v>0.52095884950094395</v>
      </c>
      <c r="K77" s="16"/>
      <c r="L77" s="21">
        <f>+D77-H77</f>
        <v>-1525.4000000000087</v>
      </c>
      <c r="M77" s="16"/>
      <c r="N77" s="20">
        <f>IF(H77=0,0,L77/H77)</f>
        <v>-2.2023620455661239E-2</v>
      </c>
      <c r="O77" s="28"/>
      <c r="P77" s="21">
        <f>P12-P51</f>
        <v>327121.20000000019</v>
      </c>
      <c r="Q77" s="14"/>
      <c r="R77" s="20">
        <f>IF(P$12=0,0,P77/P$12)</f>
        <v>0.50027341970909478</v>
      </c>
      <c r="S77" s="14"/>
      <c r="T77" s="21">
        <f>T12-T51</f>
        <v>366627</v>
      </c>
      <c r="U77" s="14"/>
      <c r="V77" s="20">
        <f>IF(T$12=0,0,T77/T$12)</f>
        <v>0.5257401549284868</v>
      </c>
      <c r="W77" s="16"/>
      <c r="X77" s="21">
        <f>+P77-T77</f>
        <v>-39505.799999999814</v>
      </c>
      <c r="Y77" s="16"/>
      <c r="Z77" s="20">
        <f>IF(T77=0,0,X77/T77)</f>
        <v>-0.10775474801364825</v>
      </c>
    </row>
    <row r="78" spans="1:26" x14ac:dyDescent="0.25">
      <c r="A78" s="9"/>
      <c r="B78" s="10"/>
      <c r="C78" s="9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8" t="s">
        <v>9</v>
      </c>
      <c r="C79" s="10"/>
      <c r="D79" s="22">
        <f>SUM(OSRRefD22x_0)</f>
        <v>26692.71</v>
      </c>
      <c r="E79" s="22"/>
      <c r="F79" s="35">
        <f t="shared" ref="F79:F89" si="14">IF(D$12=0,0,D79/D$12)</f>
        <v>0.19355514478108224</v>
      </c>
      <c r="G79" s="22"/>
      <c r="H79" s="22">
        <f>SUM(OSRRefH22x_0)</f>
        <v>23050.342191936765</v>
      </c>
      <c r="I79" s="22"/>
      <c r="J79" s="35">
        <f t="shared" ref="J79:J89" si="15">IF(H$12=0,0,H79/H$12)</f>
        <v>0.17337471844466582</v>
      </c>
      <c r="K79" s="4"/>
      <c r="L79" s="22">
        <f t="shared" ref="L79:L89" si="16">+D79-H79</f>
        <v>3642.3678080632344</v>
      </c>
      <c r="M79" s="4"/>
      <c r="N79" s="35">
        <f t="shared" ref="N79:N89" si="17">IF(H79=0,0,L79/H79)</f>
        <v>0.15801794948351658</v>
      </c>
      <c r="O79" s="10"/>
      <c r="P79" s="22">
        <f>SUM(OSRRefP22x_0)</f>
        <v>156941.86999999997</v>
      </c>
      <c r="Q79" s="22"/>
      <c r="R79" s="35">
        <f t="shared" ref="R79:R89" si="18">IF(P$12=0,0,P79/P$12)</f>
        <v>0.24001454506904515</v>
      </c>
      <c r="S79" s="22"/>
      <c r="T79" s="22">
        <f>SUM(OSRRefT22x_0)</f>
        <v>152988.90986097674</v>
      </c>
      <c r="U79" s="22"/>
      <c r="V79" s="35">
        <f t="shared" ref="V79:V89" si="19">IF(T$12=0,0,T79/T$12)</f>
        <v>0.21938486028756807</v>
      </c>
      <c r="W79" s="4"/>
      <c r="X79" s="22">
        <f t="shared" ref="X79:X89" si="20">+P79-T79</f>
        <v>3952.9601390232274</v>
      </c>
      <c r="Y79" s="4"/>
      <c r="Z79" s="35">
        <f t="shared" ref="Z79:Z89" si="21">IF(T79=0,0,X79/T79)</f>
        <v>2.5838213649704022E-2</v>
      </c>
    </row>
    <row r="80" spans="1:26" s="27" customFormat="1" outlineLevel="1" collapsed="1" x14ac:dyDescent="0.25">
      <c r="A80" s="26"/>
      <c r="B80" s="13" t="str">
        <f>CONCATENATE("     ","*Benefits                                         ")</f>
        <v xml:space="preserve">     *Benefits                                         </v>
      </c>
      <c r="C80" s="13"/>
      <c r="D80" s="1">
        <f>SUM(OSRRefD22_0x_0)</f>
        <v>4503.6000000000004</v>
      </c>
      <c r="E80" s="1"/>
      <c r="F80" s="5">
        <f t="shared" si="14"/>
        <v>3.2656667308642778E-2</v>
      </c>
      <c r="G80" s="1"/>
      <c r="H80" s="1">
        <f>SUM(OSRRefH22_0x_0)</f>
        <v>3670.6542856290771</v>
      </c>
      <c r="I80" s="1"/>
      <c r="J80" s="5">
        <f t="shared" si="15"/>
        <v>2.760907616813019E-2</v>
      </c>
      <c r="K80" s="1"/>
      <c r="L80" s="1">
        <f t="shared" si="16"/>
        <v>832.94571437092327</v>
      </c>
      <c r="M80" s="1"/>
      <c r="N80" s="5">
        <f t="shared" si="17"/>
        <v>0.22692022989797117</v>
      </c>
      <c r="O80" s="13"/>
      <c r="P80" s="1">
        <f>SUM(OSRRefP22_0x_0)</f>
        <v>26747.590000000004</v>
      </c>
      <c r="Q80" s="1"/>
      <c r="R80" s="5">
        <f t="shared" si="18"/>
        <v>4.0905659181602355E-2</v>
      </c>
      <c r="S80" s="1"/>
      <c r="T80" s="1">
        <f>SUM(OSRRefT22_0x_0)</f>
        <v>24844.087594669076</v>
      </c>
      <c r="U80" s="1"/>
      <c r="V80" s="5">
        <f t="shared" si="19"/>
        <v>3.5626220821374906E-2</v>
      </c>
      <c r="W80" s="1"/>
      <c r="X80" s="1">
        <f t="shared" si="20"/>
        <v>1903.502405330928</v>
      </c>
      <c r="Y80" s="1"/>
      <c r="Z80" s="5">
        <f t="shared" si="21"/>
        <v>7.6617923603657406E-2</v>
      </c>
    </row>
    <row r="81" spans="1:26" s="24" customFormat="1" hidden="1" outlineLevel="2" x14ac:dyDescent="0.25">
      <c r="A81" s="25"/>
      <c r="B81" s="11" t="str">
        <f>CONCATENATE("          ", "6111", " - ", "F.I.C.A.")</f>
        <v xml:space="preserve">          6111 - F.I.C.A.</v>
      </c>
      <c r="C81" s="11"/>
      <c r="D81" s="7">
        <v>508.91</v>
      </c>
      <c r="E81" s="2"/>
      <c r="F81" s="6">
        <f t="shared" si="14"/>
        <v>3.6902266098324441E-3</v>
      </c>
      <c r="G81" s="2"/>
      <c r="H81" s="7">
        <v>864.67309001676904</v>
      </c>
      <c r="I81" s="2"/>
      <c r="J81" s="6">
        <f t="shared" si="15"/>
        <v>6.5036975277866964E-3</v>
      </c>
      <c r="K81" s="2"/>
      <c r="L81" s="7">
        <f t="shared" si="16"/>
        <v>-355.76309001676901</v>
      </c>
      <c r="M81" s="2"/>
      <c r="N81" s="6">
        <f t="shared" si="17"/>
        <v>-0.4114423059122489</v>
      </c>
      <c r="O81" s="11"/>
      <c r="P81" s="7">
        <v>3956.01</v>
      </c>
      <c r="Q81" s="2"/>
      <c r="R81" s="6">
        <f t="shared" si="18"/>
        <v>6.0500103665044489E-3</v>
      </c>
      <c r="S81" s="2"/>
      <c r="T81" s="7">
        <v>6194.1616782567671</v>
      </c>
      <c r="U81" s="2"/>
      <c r="V81" s="6">
        <f t="shared" si="19"/>
        <v>8.882377785539004E-3</v>
      </c>
      <c r="W81" s="2"/>
      <c r="X81" s="7">
        <f t="shared" si="20"/>
        <v>-2238.1516782567669</v>
      </c>
      <c r="Y81" s="2"/>
      <c r="Z81" s="6">
        <f t="shared" si="21"/>
        <v>-0.36133246022836357</v>
      </c>
    </row>
    <row r="82" spans="1:26" s="24" customFormat="1" hidden="1" outlineLevel="2" x14ac:dyDescent="0.25">
      <c r="A82" s="25"/>
      <c r="B82" s="11" t="str">
        <f>CONCATENATE("          ", "6112", " - ", "COMPENSATION INSURANCE")</f>
        <v xml:space="preserve">          6112 - COMPENSATION INSURANCE</v>
      </c>
      <c r="C82" s="11"/>
      <c r="D82" s="7">
        <v>233.57</v>
      </c>
      <c r="E82" s="2"/>
      <c r="F82" s="6">
        <f t="shared" si="14"/>
        <v>1.6936712370724959E-3</v>
      </c>
      <c r="G82" s="2"/>
      <c r="H82" s="7">
        <v>307.51225318461502</v>
      </c>
      <c r="I82" s="2"/>
      <c r="J82" s="6">
        <f t="shared" si="15"/>
        <v>2.3129743528413852E-3</v>
      </c>
      <c r="K82" s="2"/>
      <c r="L82" s="7">
        <f t="shared" si="16"/>
        <v>-73.942253184615026</v>
      </c>
      <c r="M82" s="2"/>
      <c r="N82" s="6">
        <f t="shared" si="17"/>
        <v>-0.24045303046907787</v>
      </c>
      <c r="O82" s="11"/>
      <c r="P82" s="7">
        <v>1749.42</v>
      </c>
      <c r="Q82" s="2"/>
      <c r="R82" s="6">
        <f t="shared" si="18"/>
        <v>2.6754252732855105E-3</v>
      </c>
      <c r="S82" s="2"/>
      <c r="T82" s="7">
        <v>2005.845455184613</v>
      </c>
      <c r="U82" s="2"/>
      <c r="V82" s="6">
        <f t="shared" si="19"/>
        <v>2.8763661715349924E-3</v>
      </c>
      <c r="W82" s="2"/>
      <c r="X82" s="7">
        <f t="shared" si="20"/>
        <v>-256.42545518461293</v>
      </c>
      <c r="Y82" s="2"/>
      <c r="Z82" s="6">
        <f t="shared" si="21"/>
        <v>-0.12783908876021166</v>
      </c>
    </row>
    <row r="83" spans="1:26" s="24" customFormat="1" hidden="1" outlineLevel="2" x14ac:dyDescent="0.25">
      <c r="A83" s="25"/>
      <c r="B83" s="11" t="str">
        <f>CONCATENATE("          ", "6113", " - ", "GROUP INSURANCE")</f>
        <v xml:space="preserve">          6113 - GROUP INSURANCE</v>
      </c>
      <c r="C83" s="11"/>
      <c r="D83" s="7">
        <v>2240.4499999999998</v>
      </c>
      <c r="E83" s="2"/>
      <c r="F83" s="6">
        <f t="shared" si="14"/>
        <v>1.6246032123556419E-2</v>
      </c>
      <c r="G83" s="2"/>
      <c r="H83" s="7">
        <v>1288.05</v>
      </c>
      <c r="I83" s="2"/>
      <c r="J83" s="6">
        <f t="shared" si="15"/>
        <v>9.6881557867184147E-3</v>
      </c>
      <c r="K83" s="2"/>
      <c r="L83" s="7">
        <f t="shared" si="16"/>
        <v>952.39999999999986</v>
      </c>
      <c r="M83" s="2"/>
      <c r="N83" s="6">
        <f t="shared" si="17"/>
        <v>0.7394122898955785</v>
      </c>
      <c r="O83" s="11"/>
      <c r="P83" s="7">
        <v>12320.69</v>
      </c>
      <c r="Q83" s="2"/>
      <c r="R83" s="6">
        <f t="shared" si="18"/>
        <v>1.8842293680371814E-2</v>
      </c>
      <c r="S83" s="2"/>
      <c r="T83" s="7">
        <v>9016.35</v>
      </c>
      <c r="U83" s="2"/>
      <c r="V83" s="6">
        <f t="shared" si="19"/>
        <v>1.2929373030053603E-2</v>
      </c>
      <c r="W83" s="2"/>
      <c r="X83" s="7">
        <f t="shared" si="20"/>
        <v>3304.34</v>
      </c>
      <c r="Y83" s="2"/>
      <c r="Z83" s="6">
        <f t="shared" si="21"/>
        <v>0.36648311123680871</v>
      </c>
    </row>
    <row r="84" spans="1:26" s="24" customFormat="1" hidden="1" outlineLevel="2" x14ac:dyDescent="0.25">
      <c r="A84" s="25"/>
      <c r="B84" s="11" t="str">
        <f>CONCATENATE("          ", "6114", " - ", "STATE UNEMPLOYMENT INSURANCE")</f>
        <v xml:space="preserve">          6114 - STATE UNEMPLOYMENT INSURANCE</v>
      </c>
      <c r="C84" s="11"/>
      <c r="D84" s="7">
        <v>31.97</v>
      </c>
      <c r="E84" s="2"/>
      <c r="F84" s="6">
        <f t="shared" si="14"/>
        <v>2.3182202101814314E-4</v>
      </c>
      <c r="G84" s="2"/>
      <c r="H84" s="7">
        <v>42.080624120000003</v>
      </c>
      <c r="I84" s="2"/>
      <c r="J84" s="6">
        <f t="shared" si="15"/>
        <v>3.1651227986250575E-4</v>
      </c>
      <c r="K84" s="2"/>
      <c r="L84" s="7">
        <f t="shared" si="16"/>
        <v>-10.110624120000004</v>
      </c>
      <c r="M84" s="2"/>
      <c r="N84" s="6">
        <f t="shared" si="17"/>
        <v>-0.24026792214791903</v>
      </c>
      <c r="O84" s="11"/>
      <c r="P84" s="7">
        <v>281.37</v>
      </c>
      <c r="Q84" s="2"/>
      <c r="R84" s="6">
        <f t="shared" si="18"/>
        <v>4.3030513492720105E-4</v>
      </c>
      <c r="S84" s="2"/>
      <c r="T84" s="7">
        <v>274.48411492000002</v>
      </c>
      <c r="U84" s="2"/>
      <c r="V84" s="6">
        <f t="shared" si="19"/>
        <v>3.9360800242057838E-4</v>
      </c>
      <c r="W84" s="2"/>
      <c r="X84" s="7">
        <f t="shared" si="20"/>
        <v>6.88588507999998</v>
      </c>
      <c r="Y84" s="2"/>
      <c r="Z84" s="6">
        <f t="shared" si="21"/>
        <v>2.5086643290840021E-2</v>
      </c>
    </row>
    <row r="85" spans="1:26" s="24" customFormat="1" hidden="1" outlineLevel="2" x14ac:dyDescent="0.25">
      <c r="A85" s="25"/>
      <c r="B85" s="11" t="str">
        <f>CONCATENATE("          ", "6115", " - ", "P.E.R.S.")</f>
        <v xml:space="preserve">          6115 - P.E.R.S.</v>
      </c>
      <c r="C85" s="11"/>
      <c r="D85" s="7">
        <v>593.26</v>
      </c>
      <c r="E85" s="2"/>
      <c r="F85" s="6">
        <f t="shared" si="14"/>
        <v>4.3018683825218514E-3</v>
      </c>
      <c r="G85" s="2"/>
      <c r="H85" s="7">
        <v>563.907093846154</v>
      </c>
      <c r="I85" s="2"/>
      <c r="J85" s="6">
        <f t="shared" si="15"/>
        <v>4.2414656064727156E-3</v>
      </c>
      <c r="K85" s="2"/>
      <c r="L85" s="7">
        <f t="shared" si="16"/>
        <v>29.352906153845993</v>
      </c>
      <c r="M85" s="2"/>
      <c r="N85" s="6">
        <f t="shared" si="17"/>
        <v>5.2052734349630467E-2</v>
      </c>
      <c r="O85" s="11"/>
      <c r="P85" s="7">
        <v>2863.9</v>
      </c>
      <c r="Q85" s="2"/>
      <c r="R85" s="6">
        <f t="shared" si="18"/>
        <v>4.3798232786651427E-3</v>
      </c>
      <c r="S85" s="2"/>
      <c r="T85" s="7">
        <v>3496.2239818461539</v>
      </c>
      <c r="U85" s="2"/>
      <c r="V85" s="6">
        <f t="shared" si="19"/>
        <v>5.0135569335605073E-3</v>
      </c>
      <c r="W85" s="2"/>
      <c r="X85" s="7">
        <f t="shared" si="20"/>
        <v>-632.32398184615386</v>
      </c>
      <c r="Y85" s="2"/>
      <c r="Z85" s="6">
        <f t="shared" si="21"/>
        <v>-0.18085911690138917</v>
      </c>
    </row>
    <row r="86" spans="1:26" s="24" customFormat="1" hidden="1" outlineLevel="2" x14ac:dyDescent="0.25">
      <c r="A86" s="25"/>
      <c r="B86" s="11" t="str">
        <f>CONCATENATE("          ", "6116", " - ", "EDUCATIONAL BENEFITS")</f>
        <v xml:space="preserve">          6116 - EDUCATIONAL BENEFITS</v>
      </c>
      <c r="C86" s="11"/>
      <c r="D86" s="7"/>
      <c r="E86" s="2"/>
      <c r="F86" s="6">
        <f t="shared" si="14"/>
        <v>0</v>
      </c>
      <c r="G86" s="2"/>
      <c r="H86" s="7">
        <v>0</v>
      </c>
      <c r="I86" s="2"/>
      <c r="J86" s="6">
        <f t="shared" si="15"/>
        <v>0</v>
      </c>
      <c r="K86" s="2"/>
      <c r="L86" s="7">
        <f t="shared" si="16"/>
        <v>0</v>
      </c>
      <c r="M86" s="2"/>
      <c r="N86" s="6">
        <f t="shared" si="17"/>
        <v>0</v>
      </c>
      <c r="O86" s="11"/>
      <c r="P86" s="7"/>
      <c r="Q86" s="2"/>
      <c r="R86" s="6">
        <f t="shared" si="18"/>
        <v>0</v>
      </c>
      <c r="S86" s="2"/>
      <c r="T86" s="7">
        <v>0</v>
      </c>
      <c r="U86" s="2"/>
      <c r="V86" s="6">
        <f t="shared" si="19"/>
        <v>0</v>
      </c>
      <c r="W86" s="2"/>
      <c r="X86" s="7">
        <f t="shared" si="20"/>
        <v>0</v>
      </c>
      <c r="Y86" s="2"/>
      <c r="Z86" s="6">
        <f t="shared" si="21"/>
        <v>0</v>
      </c>
    </row>
    <row r="87" spans="1:26" s="24" customFormat="1" hidden="1" outlineLevel="2" x14ac:dyDescent="0.25">
      <c r="A87" s="25"/>
      <c r="B87" s="11" t="str">
        <f>CONCATENATE("          ", "6118", " - ", "VACATION")</f>
        <v xml:space="preserve">          6118 - VACATION</v>
      </c>
      <c r="C87" s="11"/>
      <c r="D87" s="7">
        <v>281.82</v>
      </c>
      <c r="E87" s="2"/>
      <c r="F87" s="6">
        <f t="shared" si="14"/>
        <v>2.0435433832759805E-3</v>
      </c>
      <c r="G87" s="2"/>
      <c r="H87" s="7">
        <v>253.69296153846201</v>
      </c>
      <c r="I87" s="2"/>
      <c r="J87" s="6">
        <f t="shared" si="15"/>
        <v>1.9081688858185498E-3</v>
      </c>
      <c r="K87" s="2"/>
      <c r="L87" s="7">
        <f t="shared" si="16"/>
        <v>28.127038461537978</v>
      </c>
      <c r="M87" s="2"/>
      <c r="N87" s="6">
        <f t="shared" si="17"/>
        <v>0.11087039345107602</v>
      </c>
      <c r="O87" s="11"/>
      <c r="P87" s="7">
        <v>2529</v>
      </c>
      <c r="Q87" s="2"/>
      <c r="R87" s="6">
        <f t="shared" si="18"/>
        <v>3.8676535744069781E-3</v>
      </c>
      <c r="S87" s="2"/>
      <c r="T87" s="7">
        <v>1572.8963615384621</v>
      </c>
      <c r="U87" s="2"/>
      <c r="V87" s="6">
        <f t="shared" si="19"/>
        <v>2.2555206703316565E-3</v>
      </c>
      <c r="W87" s="2"/>
      <c r="X87" s="7">
        <f t="shared" si="20"/>
        <v>956.10363846153791</v>
      </c>
      <c r="Y87" s="2"/>
      <c r="Z87" s="6">
        <f t="shared" si="21"/>
        <v>0.60786181584549259</v>
      </c>
    </row>
    <row r="88" spans="1:26" s="24" customFormat="1" hidden="1" outlineLevel="2" x14ac:dyDescent="0.25">
      <c r="A88" s="25"/>
      <c r="B88" s="11" t="str">
        <f>CONCATENATE("          ", "6119", " - ", "SICK LEAVE")</f>
        <v xml:space="preserve">          6119 - SICK LEAVE</v>
      </c>
      <c r="C88" s="11"/>
      <c r="D88" s="7">
        <v>263.62</v>
      </c>
      <c r="E88" s="2"/>
      <c r="F88" s="6">
        <f t="shared" si="14"/>
        <v>1.9115708846044071E-3</v>
      </c>
      <c r="G88" s="2"/>
      <c r="H88" s="7">
        <v>350.738262923077</v>
      </c>
      <c r="I88" s="2"/>
      <c r="J88" s="6">
        <f t="shared" si="15"/>
        <v>2.6381017286299237E-3</v>
      </c>
      <c r="K88" s="2"/>
      <c r="L88" s="7">
        <f t="shared" si="16"/>
        <v>-87.118262923076998</v>
      </c>
      <c r="M88" s="2"/>
      <c r="N88" s="6">
        <f t="shared" si="17"/>
        <v>-0.24838539769521395</v>
      </c>
      <c r="O88" s="11"/>
      <c r="P88" s="7">
        <v>1745.14</v>
      </c>
      <c r="Q88" s="2"/>
      <c r="R88" s="6">
        <f t="shared" si="18"/>
        <v>2.6688797781101599E-3</v>
      </c>
      <c r="S88" s="2"/>
      <c r="T88" s="7">
        <v>2284.1260029230789</v>
      </c>
      <c r="U88" s="2"/>
      <c r="V88" s="6">
        <f t="shared" si="19"/>
        <v>3.2754182279345623E-3</v>
      </c>
      <c r="W88" s="2"/>
      <c r="X88" s="7">
        <f t="shared" si="20"/>
        <v>-538.98600292307879</v>
      </c>
      <c r="Y88" s="2"/>
      <c r="Z88" s="6">
        <f t="shared" si="21"/>
        <v>-0.23597034587116422</v>
      </c>
    </row>
    <row r="89" spans="1:26" s="24" customFormat="1" hidden="1" outlineLevel="2" x14ac:dyDescent="0.25">
      <c r="A89" s="25"/>
      <c r="B89" s="11" t="str">
        <f>CONCATENATE("          ", "6156", " - ", "EMPLOYEE MEALS")</f>
        <v xml:space="preserve">          6156 - EMPLOYEE MEALS</v>
      </c>
      <c r="C89" s="11"/>
      <c r="D89" s="7">
        <v>350</v>
      </c>
      <c r="E89" s="2"/>
      <c r="F89" s="6">
        <f t="shared" si="14"/>
        <v>2.5379326667610289E-3</v>
      </c>
      <c r="G89" s="2"/>
      <c r="H89" s="7"/>
      <c r="I89" s="2"/>
      <c r="J89" s="6">
        <f t="shared" si="15"/>
        <v>0</v>
      </c>
      <c r="K89" s="2"/>
      <c r="L89" s="7">
        <f t="shared" si="16"/>
        <v>350</v>
      </c>
      <c r="M89" s="2"/>
      <c r="N89" s="6">
        <f t="shared" si="17"/>
        <v>0</v>
      </c>
      <c r="O89" s="11"/>
      <c r="P89" s="7">
        <v>1302.06</v>
      </c>
      <c r="Q89" s="2"/>
      <c r="R89" s="6">
        <f t="shared" si="18"/>
        <v>1.9912680953310989E-3</v>
      </c>
      <c r="S89" s="2"/>
      <c r="T89" s="7"/>
      <c r="U89" s="2"/>
      <c r="V89" s="6">
        <f t="shared" si="19"/>
        <v>0</v>
      </c>
      <c r="W89" s="2"/>
      <c r="X89" s="7">
        <f t="shared" si="20"/>
        <v>1302.06</v>
      </c>
      <c r="Y89" s="2"/>
      <c r="Z89" s="6">
        <f t="shared" si="21"/>
        <v>0</v>
      </c>
    </row>
    <row r="90" spans="1:26" s="27" customFormat="1" outlineLevel="1" collapsed="1" x14ac:dyDescent="0.25">
      <c r="A90" s="26"/>
      <c r="B90" s="13" t="str">
        <f>CONCATENATE("     ","*Payroll                                          ")</f>
        <v xml:space="preserve">     *Payroll                                          </v>
      </c>
      <c r="C90" s="13"/>
      <c r="D90" s="1">
        <f>SUM(OSRRefD22_1x_0)</f>
        <v>18220.940000000002</v>
      </c>
      <c r="E90" s="1"/>
      <c r="F90" s="5">
        <f t="shared" ref="F90:F100" si="22">IF(D$12=0,0,D90/D$12)</f>
        <v>0.13212433955740774</v>
      </c>
      <c r="G90" s="1"/>
      <c r="H90" s="1">
        <f>SUM(OSRRefH22_1x_0)</f>
        <v>15814.687906307689</v>
      </c>
      <c r="I90" s="1"/>
      <c r="J90" s="5">
        <f t="shared" ref="J90:J100" si="23">IF(H$12=0,0,H90/H$12)</f>
        <v>0.11895125201245338</v>
      </c>
      <c r="K90" s="1"/>
      <c r="L90" s="1">
        <f t="shared" ref="L90:L100" si="24">+D90-H90</f>
        <v>2406.2520936923138</v>
      </c>
      <c r="M90" s="1"/>
      <c r="N90" s="5">
        <f t="shared" ref="N90:N100" si="25">IF(H90=0,0,L90/H90)</f>
        <v>0.15215299270828989</v>
      </c>
      <c r="O90" s="13"/>
      <c r="P90" s="1">
        <f>SUM(OSRRefP22_1x_0)</f>
        <v>107768.93000000001</v>
      </c>
      <c r="Q90" s="1"/>
      <c r="R90" s="5">
        <f t="shared" ref="R90:R100" si="26">IF(P$12=0,0,P90/P$12)</f>
        <v>0.16481332041301519</v>
      </c>
      <c r="S90" s="1"/>
      <c r="T90" s="1">
        <f>SUM(OSRRefT22_1x_0)</f>
        <v>103189.82226630767</v>
      </c>
      <c r="U90" s="1"/>
      <c r="V90" s="5">
        <f t="shared" ref="V90:V100" si="27">IF(T$12=0,0,T90/T$12)</f>
        <v>0.1479733711519654</v>
      </c>
      <c r="W90" s="1"/>
      <c r="X90" s="1">
        <f t="shared" ref="X90:X100" si="28">+P90-T90</f>
        <v>4579.1077336923336</v>
      </c>
      <c r="Y90" s="1"/>
      <c r="Z90" s="5">
        <f t="shared" ref="Z90:Z100" si="29">IF(T90=0,0,X90/T90)</f>
        <v>4.43755753534954E-2</v>
      </c>
    </row>
    <row r="91" spans="1:26" s="24" customFormat="1" hidden="1" outlineLevel="2" x14ac:dyDescent="0.25">
      <c r="A91" s="25"/>
      <c r="B91" s="11" t="str">
        <f>CONCATENATE("          ", "6001", " - ", "ADMINISTRATIVE SALARIES")</f>
        <v xml:space="preserve">          6001 - ADMINISTRATIVE SALARIES</v>
      </c>
      <c r="C91" s="11"/>
      <c r="D91" s="7"/>
      <c r="E91" s="2"/>
      <c r="F91" s="6">
        <f t="shared" si="22"/>
        <v>0</v>
      </c>
      <c r="G91" s="2"/>
      <c r="H91" s="7">
        <v>6329.1344923076904</v>
      </c>
      <c r="I91" s="2"/>
      <c r="J91" s="6">
        <f t="shared" si="23"/>
        <v>4.7605016075905338E-2</v>
      </c>
      <c r="K91" s="2"/>
      <c r="L91" s="7">
        <f t="shared" si="24"/>
        <v>-6329.1344923076904</v>
      </c>
      <c r="M91" s="2"/>
      <c r="N91" s="6">
        <f t="shared" si="25"/>
        <v>-1</v>
      </c>
      <c r="O91" s="11"/>
      <c r="P91" s="7"/>
      <c r="Q91" s="2"/>
      <c r="R91" s="6">
        <f t="shared" si="26"/>
        <v>0</v>
      </c>
      <c r="S91" s="2"/>
      <c r="T91" s="7">
        <v>39240.63385230767</v>
      </c>
      <c r="U91" s="2"/>
      <c r="V91" s="6">
        <f t="shared" si="27"/>
        <v>5.6270751802252043E-2</v>
      </c>
      <c r="W91" s="2"/>
      <c r="X91" s="7">
        <f t="shared" si="28"/>
        <v>-39240.63385230767</v>
      </c>
      <c r="Y91" s="2"/>
      <c r="Z91" s="6">
        <f t="shared" si="29"/>
        <v>-1</v>
      </c>
    </row>
    <row r="92" spans="1:26" s="24" customFormat="1" hidden="1" outlineLevel="2" x14ac:dyDescent="0.25">
      <c r="A92" s="25"/>
      <c r="B92" s="11" t="str">
        <f>CONCATENATE("          ", "6002", " - ", "STAFF SALARIES")</f>
        <v xml:space="preserve">          6002 - STAFF SALARIES</v>
      </c>
      <c r="C92" s="11"/>
      <c r="D92" s="7">
        <v>7374.5</v>
      </c>
      <c r="E92" s="2"/>
      <c r="F92" s="6">
        <f t="shared" si="22"/>
        <v>5.3474241288654883E-2</v>
      </c>
      <c r="G92" s="2"/>
      <c r="H92" s="7">
        <v>0</v>
      </c>
      <c r="I92" s="2"/>
      <c r="J92" s="6">
        <f t="shared" si="23"/>
        <v>0</v>
      </c>
      <c r="K92" s="2"/>
      <c r="L92" s="7">
        <f t="shared" si="24"/>
        <v>7374.5</v>
      </c>
      <c r="M92" s="2"/>
      <c r="N92" s="6">
        <f t="shared" si="25"/>
        <v>0</v>
      </c>
      <c r="O92" s="11"/>
      <c r="P92" s="7">
        <v>37436.230000000003</v>
      </c>
      <c r="Q92" s="2"/>
      <c r="R92" s="6">
        <f t="shared" si="26"/>
        <v>5.7252024029980926E-2</v>
      </c>
      <c r="S92" s="2"/>
      <c r="T92" s="7">
        <v>0</v>
      </c>
      <c r="U92" s="2"/>
      <c r="V92" s="6">
        <f t="shared" si="27"/>
        <v>0</v>
      </c>
      <c r="W92" s="2"/>
      <c r="X92" s="7">
        <f t="shared" si="28"/>
        <v>37436.230000000003</v>
      </c>
      <c r="Y92" s="2"/>
      <c r="Z92" s="6">
        <f t="shared" si="29"/>
        <v>0</v>
      </c>
    </row>
    <row r="93" spans="1:26" s="24" customFormat="1" hidden="1" outlineLevel="2" x14ac:dyDescent="0.25">
      <c r="A93" s="25"/>
      <c r="B93" s="11" t="str">
        <f>CONCATENATE("          ", "6003", " - ", "STAFF HOURLY-9 MONTH")</f>
        <v xml:space="preserve">          6003 - STAFF HOURLY-9 MONTH</v>
      </c>
      <c r="C93" s="11"/>
      <c r="D93" s="7"/>
      <c r="E93" s="2"/>
      <c r="F93" s="6">
        <f t="shared" si="22"/>
        <v>0</v>
      </c>
      <c r="G93" s="2"/>
      <c r="H93" s="7">
        <v>0</v>
      </c>
      <c r="I93" s="2"/>
      <c r="J93" s="6">
        <f t="shared" si="23"/>
        <v>0</v>
      </c>
      <c r="K93" s="2"/>
      <c r="L93" s="7">
        <f t="shared" si="24"/>
        <v>0</v>
      </c>
      <c r="M93" s="2"/>
      <c r="N93" s="6">
        <f t="shared" si="25"/>
        <v>0</v>
      </c>
      <c r="O93" s="11"/>
      <c r="P93" s="7"/>
      <c r="Q93" s="2"/>
      <c r="R93" s="6">
        <f t="shared" si="26"/>
        <v>0</v>
      </c>
      <c r="S93" s="2"/>
      <c r="T93" s="7">
        <v>0</v>
      </c>
      <c r="U93" s="2"/>
      <c r="V93" s="6">
        <f t="shared" si="27"/>
        <v>0</v>
      </c>
      <c r="W93" s="2"/>
      <c r="X93" s="7">
        <f t="shared" si="28"/>
        <v>0</v>
      </c>
      <c r="Y93" s="2"/>
      <c r="Z93" s="6">
        <f t="shared" si="29"/>
        <v>0</v>
      </c>
    </row>
    <row r="94" spans="1:26" s="24" customFormat="1" hidden="1" outlineLevel="2" x14ac:dyDescent="0.25">
      <c r="A94" s="25"/>
      <c r="B94" s="11" t="str">
        <f>CONCATENATE("          ", "6004", " - ", "STAFF HOURLY")</f>
        <v xml:space="preserve">          6004 - STAFF HOURLY</v>
      </c>
      <c r="C94" s="11"/>
      <c r="D94" s="7"/>
      <c r="E94" s="2"/>
      <c r="F94" s="6">
        <f t="shared" si="22"/>
        <v>0</v>
      </c>
      <c r="G94" s="2"/>
      <c r="H94" s="7">
        <v>0</v>
      </c>
      <c r="I94" s="2"/>
      <c r="J94" s="6">
        <f t="shared" si="23"/>
        <v>0</v>
      </c>
      <c r="K94" s="2"/>
      <c r="L94" s="7">
        <f t="shared" si="24"/>
        <v>0</v>
      </c>
      <c r="M94" s="2"/>
      <c r="N94" s="6">
        <f t="shared" si="25"/>
        <v>0</v>
      </c>
      <c r="O94" s="11"/>
      <c r="P94" s="7">
        <v>-48</v>
      </c>
      <c r="Q94" s="2"/>
      <c r="R94" s="6">
        <f t="shared" si="26"/>
        <v>-7.3407422527297327E-5</v>
      </c>
      <c r="S94" s="2"/>
      <c r="T94" s="7">
        <v>0</v>
      </c>
      <c r="U94" s="2"/>
      <c r="V94" s="6">
        <f t="shared" si="27"/>
        <v>0</v>
      </c>
      <c r="W94" s="2"/>
      <c r="X94" s="7">
        <f t="shared" si="28"/>
        <v>-48</v>
      </c>
      <c r="Y94" s="2"/>
      <c r="Z94" s="6">
        <f t="shared" si="29"/>
        <v>0</v>
      </c>
    </row>
    <row r="95" spans="1:26" s="24" customFormat="1" hidden="1" outlineLevel="2" x14ac:dyDescent="0.25">
      <c r="A95" s="25"/>
      <c r="B95" s="11" t="str">
        <f>CONCATENATE("          ", "6005", " - ", "TEMPORARY WAGES-HOURLY")</f>
        <v xml:space="preserve">          6005 - TEMPORARY WAGES-HOURLY</v>
      </c>
      <c r="C95" s="11"/>
      <c r="D95" s="7">
        <v>937.07</v>
      </c>
      <c r="E95" s="2"/>
      <c r="F95" s="6">
        <f t="shared" si="22"/>
        <v>6.7949158972621651E-3</v>
      </c>
      <c r="G95" s="2"/>
      <c r="H95" s="7">
        <v>0</v>
      </c>
      <c r="I95" s="2"/>
      <c r="J95" s="6">
        <f t="shared" si="23"/>
        <v>0</v>
      </c>
      <c r="K95" s="2"/>
      <c r="L95" s="7">
        <f t="shared" si="24"/>
        <v>937.07</v>
      </c>
      <c r="M95" s="2"/>
      <c r="N95" s="6">
        <f t="shared" si="25"/>
        <v>0</v>
      </c>
      <c r="O95" s="11"/>
      <c r="P95" s="7">
        <v>3713.84</v>
      </c>
      <c r="Q95" s="2"/>
      <c r="R95" s="6">
        <f t="shared" si="26"/>
        <v>5.6796546266412069E-3</v>
      </c>
      <c r="S95" s="2"/>
      <c r="T95" s="7">
        <v>0</v>
      </c>
      <c r="U95" s="2"/>
      <c r="V95" s="6">
        <f t="shared" si="27"/>
        <v>0</v>
      </c>
      <c r="W95" s="2"/>
      <c r="X95" s="7">
        <f t="shared" si="28"/>
        <v>3713.84</v>
      </c>
      <c r="Y95" s="2"/>
      <c r="Z95" s="6">
        <f t="shared" si="29"/>
        <v>0</v>
      </c>
    </row>
    <row r="96" spans="1:26" s="24" customFormat="1" hidden="1" outlineLevel="2" x14ac:dyDescent="0.25">
      <c r="A96" s="25"/>
      <c r="B96" s="11" t="str">
        <f>CONCATENATE("          ", "6006", " - ", "TEMPORARY PART TIME")</f>
        <v xml:space="preserve">          6006 - TEMPORARY PART TIME</v>
      </c>
      <c r="C96" s="11"/>
      <c r="D96" s="7"/>
      <c r="E96" s="2"/>
      <c r="F96" s="6">
        <f t="shared" si="22"/>
        <v>0</v>
      </c>
      <c r="G96" s="2"/>
      <c r="H96" s="7">
        <v>0</v>
      </c>
      <c r="I96" s="2"/>
      <c r="J96" s="6">
        <f t="shared" si="23"/>
        <v>0</v>
      </c>
      <c r="K96" s="2"/>
      <c r="L96" s="7">
        <f t="shared" si="24"/>
        <v>0</v>
      </c>
      <c r="M96" s="2"/>
      <c r="N96" s="6">
        <f t="shared" si="25"/>
        <v>0</v>
      </c>
      <c r="O96" s="11"/>
      <c r="P96" s="7">
        <v>25.5</v>
      </c>
      <c r="Q96" s="2"/>
      <c r="R96" s="6">
        <f t="shared" si="26"/>
        <v>3.8997693217626707E-5</v>
      </c>
      <c r="S96" s="2"/>
      <c r="T96" s="7">
        <v>0</v>
      </c>
      <c r="U96" s="2"/>
      <c r="V96" s="6">
        <f t="shared" si="27"/>
        <v>0</v>
      </c>
      <c r="W96" s="2"/>
      <c r="X96" s="7">
        <f t="shared" si="28"/>
        <v>25.5</v>
      </c>
      <c r="Y96" s="2"/>
      <c r="Z96" s="6">
        <f t="shared" si="29"/>
        <v>0</v>
      </c>
    </row>
    <row r="97" spans="1:26" s="24" customFormat="1" hidden="1" outlineLevel="2" x14ac:dyDescent="0.25">
      <c r="A97" s="25"/>
      <c r="B97" s="11" t="str">
        <f>CONCATENATE("          ", "6007", " - ", "STUDENT HOURLY")</f>
        <v xml:space="preserve">          6007 - STUDENT HOURLY</v>
      </c>
      <c r="C97" s="11"/>
      <c r="D97" s="7">
        <v>9909.3700000000008</v>
      </c>
      <c r="E97" s="2"/>
      <c r="F97" s="6">
        <f t="shared" si="22"/>
        <v>7.1855182371490689E-2</v>
      </c>
      <c r="G97" s="2"/>
      <c r="H97" s="7">
        <v>4599.1834140000001</v>
      </c>
      <c r="I97" s="2"/>
      <c r="J97" s="6">
        <f t="shared" si="23"/>
        <v>3.4593071236771446E-2</v>
      </c>
      <c r="K97" s="2"/>
      <c r="L97" s="7">
        <f t="shared" si="24"/>
        <v>5310.1865860000007</v>
      </c>
      <c r="M97" s="2"/>
      <c r="N97" s="6">
        <f t="shared" si="25"/>
        <v>1.1545933501663999</v>
      </c>
      <c r="O97" s="11"/>
      <c r="P97" s="7">
        <v>66641.36</v>
      </c>
      <c r="Q97" s="2"/>
      <c r="R97" s="6">
        <f t="shared" si="26"/>
        <v>0.10191605148570274</v>
      </c>
      <c r="S97" s="2"/>
      <c r="T97" s="7">
        <v>39367.233413999995</v>
      </c>
      <c r="U97" s="2"/>
      <c r="V97" s="6">
        <f t="shared" si="27"/>
        <v>5.6452294550543909E-2</v>
      </c>
      <c r="W97" s="2"/>
      <c r="X97" s="7">
        <f t="shared" si="28"/>
        <v>27274.126586000006</v>
      </c>
      <c r="Y97" s="2"/>
      <c r="Z97" s="6">
        <f t="shared" si="29"/>
        <v>0.69281288576150313</v>
      </c>
    </row>
    <row r="98" spans="1:26" s="24" customFormat="1" hidden="1" outlineLevel="2" x14ac:dyDescent="0.25">
      <c r="A98" s="25"/>
      <c r="B98" s="11" t="str">
        <f>CONCATENATE("          ", "6008", " - ", "STUDENT HOURLY-FICA EXEMPT")</f>
        <v xml:space="preserve">          6008 - STUDENT HOURLY-FICA EXEMPT</v>
      </c>
      <c r="C98" s="11"/>
      <c r="D98" s="7"/>
      <c r="E98" s="2"/>
      <c r="F98" s="6">
        <f t="shared" si="22"/>
        <v>0</v>
      </c>
      <c r="G98" s="2"/>
      <c r="H98" s="7">
        <v>4886.37</v>
      </c>
      <c r="I98" s="2"/>
      <c r="J98" s="6">
        <f t="shared" si="23"/>
        <v>3.675316469977661E-2</v>
      </c>
      <c r="K98" s="2"/>
      <c r="L98" s="7">
        <f t="shared" si="24"/>
        <v>-4886.37</v>
      </c>
      <c r="M98" s="2"/>
      <c r="N98" s="6">
        <f t="shared" si="25"/>
        <v>-1</v>
      </c>
      <c r="O98" s="11"/>
      <c r="P98" s="7"/>
      <c r="Q98" s="2"/>
      <c r="R98" s="6">
        <f t="shared" si="26"/>
        <v>0</v>
      </c>
      <c r="S98" s="2"/>
      <c r="T98" s="7">
        <v>24581.955000000002</v>
      </c>
      <c r="U98" s="2"/>
      <c r="V98" s="6">
        <f t="shared" si="27"/>
        <v>3.5250324799169432E-2</v>
      </c>
      <c r="W98" s="2"/>
      <c r="X98" s="7">
        <f t="shared" si="28"/>
        <v>-24581.955000000002</v>
      </c>
      <c r="Y98" s="2"/>
      <c r="Z98" s="6">
        <f t="shared" si="29"/>
        <v>-1</v>
      </c>
    </row>
    <row r="99" spans="1:26" s="24" customFormat="1" hidden="1" outlineLevel="2" x14ac:dyDescent="0.25">
      <c r="A99" s="25"/>
      <c r="B99" s="11" t="str">
        <f>CONCATENATE("          ", "6009", " - ", "TEMPORARY-SEASONAL")</f>
        <v xml:space="preserve">          6009 - TEMPORARY-SEASONAL</v>
      </c>
      <c r="C99" s="11"/>
      <c r="D99" s="7"/>
      <c r="E99" s="2"/>
      <c r="F99" s="6">
        <f t="shared" si="22"/>
        <v>0</v>
      </c>
      <c r="G99" s="2"/>
      <c r="H99" s="7">
        <v>0</v>
      </c>
      <c r="I99" s="2"/>
      <c r="J99" s="6">
        <f t="shared" si="23"/>
        <v>0</v>
      </c>
      <c r="K99" s="2"/>
      <c r="L99" s="7">
        <f t="shared" si="24"/>
        <v>0</v>
      </c>
      <c r="M99" s="2"/>
      <c r="N99" s="6">
        <f t="shared" si="25"/>
        <v>0</v>
      </c>
      <c r="O99" s="11"/>
      <c r="P99" s="7"/>
      <c r="Q99" s="2"/>
      <c r="R99" s="6">
        <f t="shared" si="26"/>
        <v>0</v>
      </c>
      <c r="S99" s="2"/>
      <c r="T99" s="7">
        <v>0</v>
      </c>
      <c r="U99" s="2"/>
      <c r="V99" s="6">
        <f t="shared" si="27"/>
        <v>0</v>
      </c>
      <c r="W99" s="2"/>
      <c r="X99" s="7">
        <f t="shared" si="28"/>
        <v>0</v>
      </c>
      <c r="Y99" s="2"/>
      <c r="Z99" s="6">
        <f t="shared" si="29"/>
        <v>0</v>
      </c>
    </row>
    <row r="100" spans="1:26" s="24" customFormat="1" hidden="1" outlineLevel="2" x14ac:dyDescent="0.25">
      <c r="A100" s="25"/>
      <c r="B100" s="11" t="str">
        <f>CONCATENATE("          ", "6010", " - ", "GRATUITY")</f>
        <v xml:space="preserve">          6010 - GRATUITY</v>
      </c>
      <c r="C100" s="11"/>
      <c r="D100" s="7"/>
      <c r="E100" s="2"/>
      <c r="F100" s="6">
        <f t="shared" si="22"/>
        <v>0</v>
      </c>
      <c r="G100" s="2"/>
      <c r="H100" s="7">
        <v>0</v>
      </c>
      <c r="I100" s="2"/>
      <c r="J100" s="6">
        <f t="shared" si="23"/>
        <v>0</v>
      </c>
      <c r="K100" s="2"/>
      <c r="L100" s="7">
        <f t="shared" si="24"/>
        <v>0</v>
      </c>
      <c r="M100" s="2"/>
      <c r="N100" s="6">
        <f t="shared" si="25"/>
        <v>0</v>
      </c>
      <c r="O100" s="11"/>
      <c r="P100" s="7"/>
      <c r="Q100" s="2"/>
      <c r="R100" s="6">
        <f t="shared" si="26"/>
        <v>0</v>
      </c>
      <c r="S100" s="2"/>
      <c r="T100" s="7">
        <v>0</v>
      </c>
      <c r="U100" s="2"/>
      <c r="V100" s="6">
        <f t="shared" si="27"/>
        <v>0</v>
      </c>
      <c r="W100" s="2"/>
      <c r="X100" s="7">
        <f t="shared" si="28"/>
        <v>0</v>
      </c>
      <c r="Y100" s="2"/>
      <c r="Z100" s="6">
        <f t="shared" si="29"/>
        <v>0</v>
      </c>
    </row>
    <row r="101" spans="1:26" s="27" customFormat="1" outlineLevel="1" collapsed="1" x14ac:dyDescent="0.25">
      <c r="A101" s="26"/>
      <c r="B101" s="13" t="str">
        <f>CONCATENATE("     ","Advertising/Promo                                 ")</f>
        <v xml:space="preserve">     Advertising/Promo                                 </v>
      </c>
      <c r="C101" s="13"/>
      <c r="D101" s="1">
        <f>SUM(OSRRefD22_2x_0)</f>
        <v>30.64</v>
      </c>
      <c r="E101" s="1"/>
      <c r="F101" s="5">
        <f t="shared" ref="F101:F107" si="30">IF(D$12=0,0,D101/D$12)</f>
        <v>2.2217787688445122E-4</v>
      </c>
      <c r="G101" s="1"/>
      <c r="H101" s="1">
        <f>SUM(OSRRefH22_2x_0)</f>
        <v>120</v>
      </c>
      <c r="I101" s="1"/>
      <c r="J101" s="5">
        <f t="shared" ref="J101:J107" si="31">IF(H$12=0,0,H101/H$12)</f>
        <v>9.0258817158201147E-4</v>
      </c>
      <c r="K101" s="1"/>
      <c r="L101" s="1">
        <f t="shared" ref="L101:L107" si="32">+D101-H101</f>
        <v>-89.36</v>
      </c>
      <c r="M101" s="1"/>
      <c r="N101" s="5">
        <f t="shared" ref="N101:N107" si="33">IF(H101=0,0,L101/H101)</f>
        <v>-0.7446666666666667</v>
      </c>
      <c r="O101" s="13"/>
      <c r="P101" s="1">
        <f>SUM(OSRRefP22_2x_0)</f>
        <v>2134.63</v>
      </c>
      <c r="Q101" s="1"/>
      <c r="R101" s="5">
        <f t="shared" ref="R101:R107" si="34">IF(P$12=0,0,P101/P$12)</f>
        <v>3.2645351322800982E-3</v>
      </c>
      <c r="S101" s="1"/>
      <c r="T101" s="1">
        <f>SUM(OSRRefT22_2x_0)</f>
        <v>840</v>
      </c>
      <c r="U101" s="1"/>
      <c r="V101" s="5">
        <f t="shared" ref="V101:V107" si="35">IF(T$12=0,0,T101/T$12)</f>
        <v>1.2045532111381019E-3</v>
      </c>
      <c r="W101" s="1"/>
      <c r="X101" s="1">
        <f t="shared" ref="X101:X107" si="36">+P101-T101</f>
        <v>1294.6300000000001</v>
      </c>
      <c r="Y101" s="1"/>
      <c r="Z101" s="5">
        <f t="shared" ref="Z101:Z107" si="37">IF(T101=0,0,X101/T101)</f>
        <v>1.5412261904761906</v>
      </c>
    </row>
    <row r="102" spans="1:26" s="24" customFormat="1" hidden="1" outlineLevel="2" x14ac:dyDescent="0.25">
      <c r="A102" s="25"/>
      <c r="B102" s="11" t="str">
        <f>CONCATENATE("          ", "6362", " - ", "ADVERTISING EXPENSE")</f>
        <v xml:space="preserve">          6362 - ADVERTISING EXPENSE</v>
      </c>
      <c r="C102" s="11"/>
      <c r="D102" s="7">
        <v>30.64</v>
      </c>
      <c r="E102" s="2"/>
      <c r="F102" s="6">
        <f t="shared" si="30"/>
        <v>2.2217787688445122E-4</v>
      </c>
      <c r="G102" s="2"/>
      <c r="H102" s="7">
        <v>120</v>
      </c>
      <c r="I102" s="2"/>
      <c r="J102" s="6">
        <f t="shared" si="31"/>
        <v>9.0258817158201147E-4</v>
      </c>
      <c r="K102" s="2"/>
      <c r="L102" s="7">
        <f t="shared" si="32"/>
        <v>-89.36</v>
      </c>
      <c r="M102" s="2"/>
      <c r="N102" s="6">
        <f t="shared" si="33"/>
        <v>-0.7446666666666667</v>
      </c>
      <c r="O102" s="11"/>
      <c r="P102" s="7">
        <v>2134.63</v>
      </c>
      <c r="Q102" s="2"/>
      <c r="R102" s="6">
        <f t="shared" si="34"/>
        <v>3.2645351322800982E-3</v>
      </c>
      <c r="S102" s="2"/>
      <c r="T102" s="7">
        <v>840</v>
      </c>
      <c r="U102" s="2"/>
      <c r="V102" s="6">
        <f t="shared" si="35"/>
        <v>1.2045532111381019E-3</v>
      </c>
      <c r="W102" s="2"/>
      <c r="X102" s="7">
        <f t="shared" si="36"/>
        <v>1294.6300000000001</v>
      </c>
      <c r="Y102" s="2"/>
      <c r="Z102" s="6">
        <f t="shared" si="37"/>
        <v>1.5412261904761906</v>
      </c>
    </row>
    <row r="103" spans="1:26" s="27" customFormat="1" outlineLevel="1" collapsed="1" x14ac:dyDescent="0.25">
      <c r="A103" s="26"/>
      <c r="B103" s="13" t="str">
        <f>CONCATENATE("     ","Bad Debts/Over/Short                              ")</f>
        <v xml:space="preserve">     Bad Debts/Over/Short                              </v>
      </c>
      <c r="C103" s="13"/>
      <c r="D103" s="1">
        <f>SUM(OSRRefD22_3x_0)</f>
        <v>-21.52</v>
      </c>
      <c r="E103" s="1"/>
      <c r="F103" s="5">
        <f t="shared" si="30"/>
        <v>-1.5604660282484954E-4</v>
      </c>
      <c r="G103" s="1"/>
      <c r="H103" s="1">
        <f>SUM(OSRRefH22_3x_0)</f>
        <v>0</v>
      </c>
      <c r="I103" s="1"/>
      <c r="J103" s="5">
        <f t="shared" si="31"/>
        <v>0</v>
      </c>
      <c r="K103" s="1"/>
      <c r="L103" s="1">
        <f t="shared" si="32"/>
        <v>-21.52</v>
      </c>
      <c r="M103" s="1"/>
      <c r="N103" s="5">
        <f t="shared" si="33"/>
        <v>0</v>
      </c>
      <c r="O103" s="13"/>
      <c r="P103" s="1">
        <f>SUM(OSRRefP22_3x_0)</f>
        <v>-68.5</v>
      </c>
      <c r="Q103" s="1"/>
      <c r="R103" s="5">
        <f t="shared" si="34"/>
        <v>-1.0475850923166391E-4</v>
      </c>
      <c r="S103" s="1"/>
      <c r="T103" s="1">
        <f>SUM(OSRRefT22_3x_0)</f>
        <v>0</v>
      </c>
      <c r="U103" s="1"/>
      <c r="V103" s="5">
        <f t="shared" si="35"/>
        <v>0</v>
      </c>
      <c r="W103" s="1"/>
      <c r="X103" s="1">
        <f t="shared" si="36"/>
        <v>-68.5</v>
      </c>
      <c r="Y103" s="1"/>
      <c r="Z103" s="5">
        <f t="shared" si="37"/>
        <v>0</v>
      </c>
    </row>
    <row r="104" spans="1:26" s="24" customFormat="1" hidden="1" outlineLevel="2" x14ac:dyDescent="0.25">
      <c r="A104" s="25"/>
      <c r="B104" s="11" t="str">
        <f>CONCATENATE("          ", "6272", " - ", "CASH (OVER/SHORT)")</f>
        <v xml:space="preserve">          6272 - CASH (OVER/SHORT)</v>
      </c>
      <c r="C104" s="11"/>
      <c r="D104" s="7">
        <v>-21.52</v>
      </c>
      <c r="E104" s="2"/>
      <c r="F104" s="6">
        <f t="shared" si="30"/>
        <v>-1.5604660282484954E-4</v>
      </c>
      <c r="G104" s="2"/>
      <c r="H104" s="7"/>
      <c r="I104" s="2"/>
      <c r="J104" s="6">
        <f t="shared" si="31"/>
        <v>0</v>
      </c>
      <c r="K104" s="2"/>
      <c r="L104" s="7">
        <f t="shared" si="32"/>
        <v>-21.52</v>
      </c>
      <c r="M104" s="2"/>
      <c r="N104" s="6">
        <f t="shared" si="33"/>
        <v>0</v>
      </c>
      <c r="O104" s="11"/>
      <c r="P104" s="7">
        <v>-68.5</v>
      </c>
      <c r="Q104" s="2"/>
      <c r="R104" s="6">
        <f t="shared" si="34"/>
        <v>-1.0475850923166391E-4</v>
      </c>
      <c r="S104" s="2"/>
      <c r="T104" s="7"/>
      <c r="U104" s="2"/>
      <c r="V104" s="6">
        <f t="shared" si="35"/>
        <v>0</v>
      </c>
      <c r="W104" s="2"/>
      <c r="X104" s="7">
        <f t="shared" si="36"/>
        <v>-68.5</v>
      </c>
      <c r="Y104" s="2"/>
      <c r="Z104" s="6">
        <f t="shared" si="37"/>
        <v>0</v>
      </c>
    </row>
    <row r="105" spans="1:26" s="27" customFormat="1" outlineLevel="1" collapsed="1" x14ac:dyDescent="0.25">
      <c r="A105" s="26"/>
      <c r="B105" s="13" t="str">
        <f>CONCATENATE("     ","Discounts and Markdowns                           ")</f>
        <v xml:space="preserve">     Discounts and Markdowns                           </v>
      </c>
      <c r="C105" s="13"/>
      <c r="D105" s="1">
        <f>SUM(OSRRefD22_4x_0)</f>
        <v>3459.9900000000002</v>
      </c>
      <c r="E105" s="1"/>
      <c r="F105" s="5">
        <f t="shared" si="30"/>
        <v>2.5089204707618554E-2</v>
      </c>
      <c r="G105" s="1"/>
      <c r="H105" s="1">
        <f>SUM(OSRRefH22_4x_0)</f>
        <v>2500</v>
      </c>
      <c r="I105" s="1"/>
      <c r="J105" s="5">
        <f t="shared" si="31"/>
        <v>1.8803920241291905E-2</v>
      </c>
      <c r="K105" s="1"/>
      <c r="L105" s="1">
        <f t="shared" si="32"/>
        <v>959.99000000000024</v>
      </c>
      <c r="M105" s="1"/>
      <c r="N105" s="5">
        <f t="shared" si="33"/>
        <v>0.38399600000000012</v>
      </c>
      <c r="O105" s="13"/>
      <c r="P105" s="1">
        <f>SUM(OSRRefP22_4x_0)</f>
        <v>14834.699999999999</v>
      </c>
      <c r="Q105" s="1"/>
      <c r="R105" s="5">
        <f t="shared" si="34"/>
        <v>2.2687022728452036E-2</v>
      </c>
      <c r="S105" s="1"/>
      <c r="T105" s="1">
        <f>SUM(OSRRefT22_4x_0)</f>
        <v>17500</v>
      </c>
      <c r="U105" s="1"/>
      <c r="V105" s="5">
        <f t="shared" si="35"/>
        <v>2.5094858565377125E-2</v>
      </c>
      <c r="W105" s="1"/>
      <c r="X105" s="1">
        <f t="shared" si="36"/>
        <v>-2665.3000000000011</v>
      </c>
      <c r="Y105" s="1"/>
      <c r="Z105" s="5">
        <f t="shared" si="37"/>
        <v>-0.15230285714285721</v>
      </c>
    </row>
    <row r="106" spans="1:26" s="24" customFormat="1" hidden="1" outlineLevel="2" x14ac:dyDescent="0.25">
      <c r="A106" s="25"/>
      <c r="B106" s="11" t="str">
        <f>CONCATENATE("          ", "6382", " - ", "DISCOUNTS/MARK DOWNS")</f>
        <v xml:space="preserve">          6382 - DISCOUNTS/MARK DOWNS</v>
      </c>
      <c r="C106" s="11"/>
      <c r="D106" s="7">
        <v>3493.82</v>
      </c>
      <c r="E106" s="2"/>
      <c r="F106" s="6">
        <f t="shared" si="30"/>
        <v>2.5334514027951484E-2</v>
      </c>
      <c r="G106" s="2"/>
      <c r="H106" s="7">
        <v>2500</v>
      </c>
      <c r="I106" s="2"/>
      <c r="J106" s="6">
        <f t="shared" si="31"/>
        <v>1.8803920241291905E-2</v>
      </c>
      <c r="K106" s="2"/>
      <c r="L106" s="7">
        <f t="shared" si="32"/>
        <v>993.82000000000016</v>
      </c>
      <c r="M106" s="2"/>
      <c r="N106" s="6">
        <f t="shared" si="33"/>
        <v>0.39752800000000005</v>
      </c>
      <c r="O106" s="11"/>
      <c r="P106" s="7">
        <v>14868.529999999999</v>
      </c>
      <c r="Q106" s="2"/>
      <c r="R106" s="6">
        <f t="shared" si="34"/>
        <v>2.2738759668120754E-2</v>
      </c>
      <c r="S106" s="2"/>
      <c r="T106" s="7">
        <v>17500</v>
      </c>
      <c r="U106" s="2"/>
      <c r="V106" s="6">
        <f t="shared" si="35"/>
        <v>2.5094858565377125E-2</v>
      </c>
      <c r="W106" s="2"/>
      <c r="X106" s="7">
        <f t="shared" si="36"/>
        <v>-2631.4700000000012</v>
      </c>
      <c r="Y106" s="2"/>
      <c r="Z106" s="6">
        <f t="shared" si="37"/>
        <v>-0.15036971428571436</v>
      </c>
    </row>
    <row r="107" spans="1:26" s="24" customFormat="1" hidden="1" outlineLevel="2" x14ac:dyDescent="0.25">
      <c r="A107" s="25"/>
      <c r="B107" s="11" t="str">
        <f>CONCATENATE("          ", "9175", " - ", "EARNED DISCOUNTS")</f>
        <v xml:space="preserve">          9175 - EARNED DISCOUNTS</v>
      </c>
      <c r="C107" s="11"/>
      <c r="D107" s="7">
        <v>-33.83</v>
      </c>
      <c r="E107" s="2"/>
      <c r="F107" s="6">
        <f t="shared" si="30"/>
        <v>-2.453093203329303E-4</v>
      </c>
      <c r="G107" s="2"/>
      <c r="H107" s="7"/>
      <c r="I107" s="2"/>
      <c r="J107" s="6">
        <f t="shared" si="31"/>
        <v>0</v>
      </c>
      <c r="K107" s="2"/>
      <c r="L107" s="7">
        <f t="shared" si="32"/>
        <v>-33.83</v>
      </c>
      <c r="M107" s="2"/>
      <c r="N107" s="6">
        <f t="shared" si="33"/>
        <v>0</v>
      </c>
      <c r="O107" s="11"/>
      <c r="P107" s="7">
        <v>-33.83</v>
      </c>
      <c r="Q107" s="2"/>
      <c r="R107" s="6">
        <f t="shared" si="34"/>
        <v>-5.1736939668718095E-5</v>
      </c>
      <c r="S107" s="2"/>
      <c r="T107" s="7"/>
      <c r="U107" s="2"/>
      <c r="V107" s="6">
        <f t="shared" si="35"/>
        <v>0</v>
      </c>
      <c r="W107" s="2"/>
      <c r="X107" s="7">
        <f t="shared" si="36"/>
        <v>-33.83</v>
      </c>
      <c r="Y107" s="2"/>
      <c r="Z107" s="6">
        <f t="shared" si="37"/>
        <v>0</v>
      </c>
    </row>
    <row r="108" spans="1:26" s="27" customFormat="1" outlineLevel="1" collapsed="1" x14ac:dyDescent="0.25">
      <c r="A108" s="26"/>
      <c r="B108" s="13" t="str">
        <f>CONCATENATE("     ","Employees' Appreciation                           ")</f>
        <v xml:space="preserve">     Employees' Appreciation                           </v>
      </c>
      <c r="C108" s="13"/>
      <c r="D108" s="1">
        <f>SUM(OSRRefD22_5x_0)</f>
        <v>0</v>
      </c>
      <c r="E108" s="1"/>
      <c r="F108" s="5">
        <f t="shared" ref="F108:F118" si="38">IF(D$12=0,0,D108/D$12)</f>
        <v>0</v>
      </c>
      <c r="G108" s="1"/>
      <c r="H108" s="1">
        <f>SUM(OSRRefH22_5x_0)</f>
        <v>50</v>
      </c>
      <c r="I108" s="1"/>
      <c r="J108" s="5">
        <f t="shared" ref="J108:J118" si="39">IF(H$12=0,0,H108/H$12)</f>
        <v>3.7607840482583807E-4</v>
      </c>
      <c r="K108" s="1"/>
      <c r="L108" s="1">
        <f t="shared" ref="L108:L118" si="40">+D108-H108</f>
        <v>-50</v>
      </c>
      <c r="M108" s="1"/>
      <c r="N108" s="5">
        <f t="shared" ref="N108:N118" si="41">IF(H108=0,0,L108/H108)</f>
        <v>-1</v>
      </c>
      <c r="O108" s="13"/>
      <c r="P108" s="1">
        <f>SUM(OSRRefP22_5x_0)</f>
        <v>0</v>
      </c>
      <c r="Q108" s="1"/>
      <c r="R108" s="5">
        <f t="shared" ref="R108:R118" si="42">IF(P$12=0,0,P108/P$12)</f>
        <v>0</v>
      </c>
      <c r="S108" s="1"/>
      <c r="T108" s="1">
        <f>SUM(OSRRefT22_5x_0)</f>
        <v>350</v>
      </c>
      <c r="U108" s="1"/>
      <c r="V108" s="5">
        <f t="shared" ref="V108:V118" si="43">IF(T$12=0,0,T108/T$12)</f>
        <v>5.0189717130754254E-4</v>
      </c>
      <c r="W108" s="1"/>
      <c r="X108" s="1">
        <f t="shared" ref="X108:X118" si="44">+P108-T108</f>
        <v>-350</v>
      </c>
      <c r="Y108" s="1"/>
      <c r="Z108" s="5">
        <f t="shared" ref="Z108:Z118" si="45">IF(T108=0,0,X108/T108)</f>
        <v>-1</v>
      </c>
    </row>
    <row r="109" spans="1:26" s="24" customFormat="1" hidden="1" outlineLevel="2" x14ac:dyDescent="0.25">
      <c r="A109" s="25"/>
      <c r="B109" s="11" t="str">
        <f>CONCATENATE("          ", "6277", " - ", "EMPLOYEE APPRECIATION")</f>
        <v xml:space="preserve">          6277 - EMPLOYEE APPRECIATION</v>
      </c>
      <c r="C109" s="11"/>
      <c r="D109" s="7"/>
      <c r="E109" s="2"/>
      <c r="F109" s="6">
        <f t="shared" si="38"/>
        <v>0</v>
      </c>
      <c r="G109" s="2"/>
      <c r="H109" s="7">
        <v>50</v>
      </c>
      <c r="I109" s="2"/>
      <c r="J109" s="6">
        <f t="shared" si="39"/>
        <v>3.7607840482583807E-4</v>
      </c>
      <c r="K109" s="2"/>
      <c r="L109" s="7">
        <f t="shared" si="40"/>
        <v>-50</v>
      </c>
      <c r="M109" s="2"/>
      <c r="N109" s="6">
        <f t="shared" si="41"/>
        <v>-1</v>
      </c>
      <c r="O109" s="11"/>
      <c r="P109" s="7"/>
      <c r="Q109" s="2"/>
      <c r="R109" s="6">
        <f t="shared" si="42"/>
        <v>0</v>
      </c>
      <c r="S109" s="2"/>
      <c r="T109" s="7">
        <v>350</v>
      </c>
      <c r="U109" s="2"/>
      <c r="V109" s="6">
        <f t="shared" si="43"/>
        <v>5.0189717130754254E-4</v>
      </c>
      <c r="W109" s="2"/>
      <c r="X109" s="7">
        <f t="shared" si="44"/>
        <v>-350</v>
      </c>
      <c r="Y109" s="2"/>
      <c r="Z109" s="6">
        <f t="shared" si="45"/>
        <v>-1</v>
      </c>
    </row>
    <row r="110" spans="1:26" s="27" customFormat="1" outlineLevel="1" collapsed="1" x14ac:dyDescent="0.25">
      <c r="A110" s="26"/>
      <c r="B110" s="13" t="str">
        <f>CONCATENATE("     ","Freight out/Postage                               ")</f>
        <v xml:space="preserve">     Freight out/Postage                               </v>
      </c>
      <c r="C110" s="13"/>
      <c r="D110" s="1">
        <f>SUM(OSRRefD22_6x_0)</f>
        <v>0</v>
      </c>
      <c r="E110" s="1"/>
      <c r="F110" s="5">
        <f t="shared" si="38"/>
        <v>0</v>
      </c>
      <c r="G110" s="1"/>
      <c r="H110" s="1">
        <f>SUM(OSRRefH22_6x_0)</f>
        <v>0</v>
      </c>
      <c r="I110" s="1"/>
      <c r="J110" s="5">
        <f t="shared" si="39"/>
        <v>0</v>
      </c>
      <c r="K110" s="1"/>
      <c r="L110" s="1">
        <f t="shared" si="40"/>
        <v>0</v>
      </c>
      <c r="M110" s="1"/>
      <c r="N110" s="5">
        <f t="shared" si="41"/>
        <v>0</v>
      </c>
      <c r="O110" s="13"/>
      <c r="P110" s="1">
        <f>SUM(OSRRefP22_6x_0)</f>
        <v>15.81</v>
      </c>
      <c r="Q110" s="1"/>
      <c r="R110" s="5">
        <f t="shared" si="42"/>
        <v>2.417856979492856E-5</v>
      </c>
      <c r="S110" s="1"/>
      <c r="T110" s="1">
        <f>SUM(OSRRefT22_6x_0)</f>
        <v>0</v>
      </c>
      <c r="U110" s="1"/>
      <c r="V110" s="5">
        <f t="shared" si="43"/>
        <v>0</v>
      </c>
      <c r="W110" s="1"/>
      <c r="X110" s="1">
        <f t="shared" si="44"/>
        <v>15.81</v>
      </c>
      <c r="Y110" s="1"/>
      <c r="Z110" s="5">
        <f t="shared" si="45"/>
        <v>0</v>
      </c>
    </row>
    <row r="111" spans="1:26" s="24" customFormat="1" hidden="1" outlineLevel="2" x14ac:dyDescent="0.25">
      <c r="A111" s="25"/>
      <c r="B111" s="11" t="str">
        <f>CONCATENATE("          ", "6305", " - ", "FREIGHT OUT")</f>
        <v xml:space="preserve">          6305 - FREIGHT OUT</v>
      </c>
      <c r="C111" s="11"/>
      <c r="D111" s="7"/>
      <c r="E111" s="2"/>
      <c r="F111" s="6">
        <f t="shared" si="38"/>
        <v>0</v>
      </c>
      <c r="G111" s="2"/>
      <c r="H111" s="7"/>
      <c r="I111" s="2"/>
      <c r="J111" s="6">
        <f t="shared" si="39"/>
        <v>0</v>
      </c>
      <c r="K111" s="2"/>
      <c r="L111" s="7">
        <f t="shared" si="40"/>
        <v>0</v>
      </c>
      <c r="M111" s="2"/>
      <c r="N111" s="6">
        <f t="shared" si="41"/>
        <v>0</v>
      </c>
      <c r="O111" s="11"/>
      <c r="P111" s="7">
        <v>15.81</v>
      </c>
      <c r="Q111" s="2"/>
      <c r="R111" s="6">
        <f t="shared" si="42"/>
        <v>2.417856979492856E-5</v>
      </c>
      <c r="S111" s="2"/>
      <c r="T111" s="7"/>
      <c r="U111" s="2"/>
      <c r="V111" s="6">
        <f t="shared" si="43"/>
        <v>0</v>
      </c>
      <c r="W111" s="2"/>
      <c r="X111" s="7">
        <f t="shared" si="44"/>
        <v>15.81</v>
      </c>
      <c r="Y111" s="2"/>
      <c r="Z111" s="6">
        <f t="shared" si="45"/>
        <v>0</v>
      </c>
    </row>
    <row r="112" spans="1:26" s="27" customFormat="1" outlineLevel="1" collapsed="1" x14ac:dyDescent="0.25">
      <c r="A112" s="26"/>
      <c r="B112" s="13" t="str">
        <f>CONCATENATE("     ","General                                           ")</f>
        <v xml:space="preserve">     General                                           </v>
      </c>
      <c r="C112" s="13"/>
      <c r="D112" s="1">
        <f>SUM(OSRRefD22_7x_0)</f>
        <v>0</v>
      </c>
      <c r="E112" s="1"/>
      <c r="F112" s="5">
        <f t="shared" si="38"/>
        <v>0</v>
      </c>
      <c r="G112" s="1"/>
      <c r="H112" s="1">
        <f>SUM(OSRRefH22_7x_0)</f>
        <v>80</v>
      </c>
      <c r="I112" s="1"/>
      <c r="J112" s="5">
        <f t="shared" si="39"/>
        <v>6.0172544772134091E-4</v>
      </c>
      <c r="K112" s="1"/>
      <c r="L112" s="1">
        <f t="shared" si="40"/>
        <v>-80</v>
      </c>
      <c r="M112" s="1"/>
      <c r="N112" s="5">
        <f t="shared" si="41"/>
        <v>-1</v>
      </c>
      <c r="O112" s="13"/>
      <c r="P112" s="1">
        <f>SUM(OSRRefP22_7x_0)</f>
        <v>954.05</v>
      </c>
      <c r="Q112" s="1"/>
      <c r="R112" s="5">
        <f t="shared" si="42"/>
        <v>1.459048988795167E-3</v>
      </c>
      <c r="S112" s="1"/>
      <c r="T112" s="1">
        <f>SUM(OSRRefT22_7x_0)</f>
        <v>560</v>
      </c>
      <c r="U112" s="1"/>
      <c r="V112" s="5">
        <f t="shared" si="43"/>
        <v>8.0303547409206802E-4</v>
      </c>
      <c r="W112" s="1"/>
      <c r="X112" s="1">
        <f t="shared" si="44"/>
        <v>394.04999999999995</v>
      </c>
      <c r="Y112" s="1"/>
      <c r="Z112" s="5">
        <f t="shared" si="45"/>
        <v>0.70366071428571419</v>
      </c>
    </row>
    <row r="113" spans="1:26" s="24" customFormat="1" hidden="1" outlineLevel="2" x14ac:dyDescent="0.25">
      <c r="A113" s="25"/>
      <c r="B113" s="11" t="str">
        <f>CONCATENATE("          ", "6279", " - ", "GENERAL EXPENSE")</f>
        <v xml:space="preserve">          6279 - GENERAL EXPENSE</v>
      </c>
      <c r="C113" s="11"/>
      <c r="D113" s="7"/>
      <c r="E113" s="2"/>
      <c r="F113" s="6">
        <f t="shared" si="38"/>
        <v>0</v>
      </c>
      <c r="G113" s="2"/>
      <c r="H113" s="7">
        <v>80</v>
      </c>
      <c r="I113" s="2"/>
      <c r="J113" s="6">
        <f t="shared" si="39"/>
        <v>6.0172544772134091E-4</v>
      </c>
      <c r="K113" s="2"/>
      <c r="L113" s="7">
        <f t="shared" si="40"/>
        <v>-80</v>
      </c>
      <c r="M113" s="2"/>
      <c r="N113" s="6">
        <f t="shared" si="41"/>
        <v>-1</v>
      </c>
      <c r="O113" s="11"/>
      <c r="P113" s="7">
        <v>954.05</v>
      </c>
      <c r="Q113" s="2"/>
      <c r="R113" s="6">
        <f t="shared" si="42"/>
        <v>1.459048988795167E-3</v>
      </c>
      <c r="S113" s="2"/>
      <c r="T113" s="7">
        <v>560</v>
      </c>
      <c r="U113" s="2"/>
      <c r="V113" s="6">
        <f t="shared" si="43"/>
        <v>8.0303547409206802E-4</v>
      </c>
      <c r="W113" s="2"/>
      <c r="X113" s="7">
        <f t="shared" si="44"/>
        <v>394.04999999999995</v>
      </c>
      <c r="Y113" s="2"/>
      <c r="Z113" s="6">
        <f t="shared" si="45"/>
        <v>0.70366071428571419</v>
      </c>
    </row>
    <row r="114" spans="1:26" s="27" customFormat="1" outlineLevel="1" collapsed="1" x14ac:dyDescent="0.25">
      <c r="A114" s="26"/>
      <c r="B114" s="13" t="str">
        <f>CONCATENATE("     ","Professional Services                             ")</f>
        <v xml:space="preserve">     Professional Services                             </v>
      </c>
      <c r="C114" s="13"/>
      <c r="D114" s="1">
        <f>SUM(OSRRefD22_8x_0)</f>
        <v>0</v>
      </c>
      <c r="E114" s="1"/>
      <c r="F114" s="5">
        <f t="shared" si="38"/>
        <v>0</v>
      </c>
      <c r="G114" s="1"/>
      <c r="H114" s="1">
        <f>SUM(OSRRefH22_8x_0)</f>
        <v>115</v>
      </c>
      <c r="I114" s="1"/>
      <c r="J114" s="5">
        <f t="shared" si="39"/>
        <v>8.6498033109942761E-4</v>
      </c>
      <c r="K114" s="1"/>
      <c r="L114" s="1">
        <f t="shared" si="40"/>
        <v>-115</v>
      </c>
      <c r="M114" s="1"/>
      <c r="N114" s="5">
        <f t="shared" si="41"/>
        <v>-1</v>
      </c>
      <c r="O114" s="13"/>
      <c r="P114" s="1">
        <f>SUM(OSRRefP22_8x_0)</f>
        <v>791.15</v>
      </c>
      <c r="Q114" s="1"/>
      <c r="R114" s="5">
        <f t="shared" si="42"/>
        <v>1.2099225485931518E-3</v>
      </c>
      <c r="S114" s="1"/>
      <c r="T114" s="1">
        <f>SUM(OSRRefT22_8x_0)</f>
        <v>805</v>
      </c>
      <c r="U114" s="1"/>
      <c r="V114" s="5">
        <f t="shared" si="43"/>
        <v>1.1543634940073479E-3</v>
      </c>
      <c r="W114" s="1"/>
      <c r="X114" s="1">
        <f t="shared" si="44"/>
        <v>-13.850000000000023</v>
      </c>
      <c r="Y114" s="1"/>
      <c r="Z114" s="5">
        <f t="shared" si="45"/>
        <v>-1.7204968944099407E-2</v>
      </c>
    </row>
    <row r="115" spans="1:26" s="24" customFormat="1" hidden="1" outlineLevel="2" x14ac:dyDescent="0.25">
      <c r="A115" s="25"/>
      <c r="B115" s="11" t="str">
        <f>CONCATENATE("          ", "6336", " - ", "PROFESSIONAL SERVICES")</f>
        <v xml:space="preserve">          6336 - PROFESSIONAL SERVICES</v>
      </c>
      <c r="C115" s="11"/>
      <c r="D115" s="7"/>
      <c r="E115" s="2"/>
      <c r="F115" s="6">
        <f t="shared" si="38"/>
        <v>0</v>
      </c>
      <c r="G115" s="2"/>
      <c r="H115" s="7">
        <v>115</v>
      </c>
      <c r="I115" s="2"/>
      <c r="J115" s="6">
        <f t="shared" si="39"/>
        <v>8.6498033109942761E-4</v>
      </c>
      <c r="K115" s="2"/>
      <c r="L115" s="7">
        <f t="shared" si="40"/>
        <v>-115</v>
      </c>
      <c r="M115" s="2"/>
      <c r="N115" s="6">
        <f t="shared" si="41"/>
        <v>-1</v>
      </c>
      <c r="O115" s="11"/>
      <c r="P115" s="7">
        <v>791.15</v>
      </c>
      <c r="Q115" s="2"/>
      <c r="R115" s="6">
        <f t="shared" si="42"/>
        <v>1.2099225485931518E-3</v>
      </c>
      <c r="S115" s="2"/>
      <c r="T115" s="7">
        <v>805</v>
      </c>
      <c r="U115" s="2"/>
      <c r="V115" s="6">
        <f t="shared" si="43"/>
        <v>1.1543634940073479E-3</v>
      </c>
      <c r="W115" s="2"/>
      <c r="X115" s="7">
        <f t="shared" si="44"/>
        <v>-13.850000000000023</v>
      </c>
      <c r="Y115" s="2"/>
      <c r="Z115" s="6">
        <f t="shared" si="45"/>
        <v>-1.7204968944099407E-2</v>
      </c>
    </row>
    <row r="116" spans="1:26" s="27" customFormat="1" outlineLevel="1" collapsed="1" x14ac:dyDescent="0.25">
      <c r="A116" s="26"/>
      <c r="B116" s="13" t="str">
        <f>CONCATENATE("     ","Repair and Maintenance                            ")</f>
        <v xml:space="preserve">     Repair and Maintenance                            </v>
      </c>
      <c r="C116" s="13"/>
      <c r="D116" s="1">
        <f>SUM(OSRRefD22_9x_0)</f>
        <v>0</v>
      </c>
      <c r="E116" s="1"/>
      <c r="F116" s="5">
        <f t="shared" si="38"/>
        <v>0</v>
      </c>
      <c r="G116" s="1"/>
      <c r="H116" s="1">
        <f>SUM(OSRRefH22_9x_0)</f>
        <v>125</v>
      </c>
      <c r="I116" s="1"/>
      <c r="J116" s="5">
        <f t="shared" si="39"/>
        <v>9.4019601206459522E-4</v>
      </c>
      <c r="K116" s="1"/>
      <c r="L116" s="1">
        <f t="shared" si="40"/>
        <v>-125</v>
      </c>
      <c r="M116" s="1"/>
      <c r="N116" s="5">
        <f t="shared" si="41"/>
        <v>-1</v>
      </c>
      <c r="O116" s="13"/>
      <c r="P116" s="1">
        <f>SUM(OSRRefP22_9x_0)</f>
        <v>129.53</v>
      </c>
      <c r="Q116" s="1"/>
      <c r="R116" s="5">
        <f t="shared" si="42"/>
        <v>1.9809298833251715E-4</v>
      </c>
      <c r="S116" s="1"/>
      <c r="T116" s="1">
        <f>SUM(OSRRefT22_9x_0)</f>
        <v>875</v>
      </c>
      <c r="U116" s="1"/>
      <c r="V116" s="5">
        <f t="shared" si="43"/>
        <v>1.2547429282688562E-3</v>
      </c>
      <c r="W116" s="1"/>
      <c r="X116" s="1">
        <f t="shared" si="44"/>
        <v>-745.47</v>
      </c>
      <c r="Y116" s="1"/>
      <c r="Z116" s="5">
        <f t="shared" si="45"/>
        <v>-0.85196571428571433</v>
      </c>
    </row>
    <row r="117" spans="1:26" s="24" customFormat="1" hidden="1" outlineLevel="2" x14ac:dyDescent="0.25">
      <c r="A117" s="25"/>
      <c r="B117" s="11" t="str">
        <f>CONCATENATE("          ", "6373", " - ", "MAINTENANCE CONTRACTS")</f>
        <v xml:space="preserve">          6373 - MAINTENANCE CONTRACTS</v>
      </c>
      <c r="C117" s="11"/>
      <c r="D117" s="7"/>
      <c r="E117" s="2"/>
      <c r="F117" s="6">
        <f t="shared" si="38"/>
        <v>0</v>
      </c>
      <c r="G117" s="2"/>
      <c r="H117" s="7"/>
      <c r="I117" s="2"/>
      <c r="J117" s="6">
        <f t="shared" si="39"/>
        <v>0</v>
      </c>
      <c r="K117" s="2"/>
      <c r="L117" s="7">
        <f t="shared" si="40"/>
        <v>0</v>
      </c>
      <c r="M117" s="2"/>
      <c r="N117" s="6">
        <f t="shared" si="41"/>
        <v>0</v>
      </c>
      <c r="O117" s="11"/>
      <c r="P117" s="7">
        <v>119.73</v>
      </c>
      <c r="Q117" s="2"/>
      <c r="R117" s="6">
        <f t="shared" si="42"/>
        <v>1.8310563956652729E-4</v>
      </c>
      <c r="S117" s="2"/>
      <c r="T117" s="7"/>
      <c r="U117" s="2"/>
      <c r="V117" s="6">
        <f t="shared" si="43"/>
        <v>0</v>
      </c>
      <c r="W117" s="2"/>
      <c r="X117" s="7">
        <f t="shared" si="44"/>
        <v>119.73</v>
      </c>
      <c r="Y117" s="2"/>
      <c r="Z117" s="6">
        <f t="shared" si="45"/>
        <v>0</v>
      </c>
    </row>
    <row r="118" spans="1:26" s="24" customFormat="1" hidden="1" outlineLevel="2" x14ac:dyDescent="0.25">
      <c r="A118" s="25"/>
      <c r="B118" s="11" t="str">
        <f>CONCATENATE("          ", "6375", " - ", "OUTSIDE REPAIRS &amp; MAINTENANCE")</f>
        <v xml:space="preserve">          6375 - OUTSIDE REPAIRS &amp; MAINTENANCE</v>
      </c>
      <c r="C118" s="11"/>
      <c r="D118" s="7"/>
      <c r="E118" s="2"/>
      <c r="F118" s="6">
        <f t="shared" si="38"/>
        <v>0</v>
      </c>
      <c r="G118" s="2"/>
      <c r="H118" s="7">
        <v>125</v>
      </c>
      <c r="I118" s="2"/>
      <c r="J118" s="6">
        <f t="shared" si="39"/>
        <v>9.4019601206459522E-4</v>
      </c>
      <c r="K118" s="2"/>
      <c r="L118" s="7">
        <f t="shared" si="40"/>
        <v>-125</v>
      </c>
      <c r="M118" s="2"/>
      <c r="N118" s="6">
        <f t="shared" si="41"/>
        <v>-1</v>
      </c>
      <c r="O118" s="11"/>
      <c r="P118" s="7">
        <v>9.8000000000000007</v>
      </c>
      <c r="Q118" s="2"/>
      <c r="R118" s="6">
        <f t="shared" si="42"/>
        <v>1.4987348765989873E-5</v>
      </c>
      <c r="S118" s="2"/>
      <c r="T118" s="7">
        <v>875</v>
      </c>
      <c r="U118" s="2"/>
      <c r="V118" s="6">
        <f t="shared" si="43"/>
        <v>1.2547429282688562E-3</v>
      </c>
      <c r="W118" s="2"/>
      <c r="X118" s="7">
        <f t="shared" si="44"/>
        <v>-865.2</v>
      </c>
      <c r="Y118" s="2"/>
      <c r="Z118" s="6">
        <f t="shared" si="45"/>
        <v>-0.98880000000000001</v>
      </c>
    </row>
    <row r="119" spans="1:26" s="27" customFormat="1" outlineLevel="1" collapsed="1" x14ac:dyDescent="0.25">
      <c r="A119" s="26"/>
      <c r="B119" s="13" t="str">
        <f>CONCATENATE("     ","Services                                          ")</f>
        <v xml:space="preserve">     Services                                          </v>
      </c>
      <c r="C119" s="13"/>
      <c r="D119" s="1">
        <f>SUM(OSRRefD22_10x_0)</f>
        <v>338.16999999999996</v>
      </c>
      <c r="E119" s="1"/>
      <c r="F119" s="5">
        <f t="shared" ref="F119:F121" si="46">IF(D$12=0,0,D119/D$12)</f>
        <v>2.4521505426245058E-3</v>
      </c>
      <c r="G119" s="1"/>
      <c r="H119" s="1">
        <f>SUM(OSRRefH22_10x_0)</f>
        <v>100</v>
      </c>
      <c r="I119" s="1"/>
      <c r="J119" s="5">
        <f t="shared" ref="J119:J121" si="47">IF(H$12=0,0,H119/H$12)</f>
        <v>7.5215680965167613E-4</v>
      </c>
      <c r="K119" s="1"/>
      <c r="L119" s="1">
        <f t="shared" ref="L119:L121" si="48">+D119-H119</f>
        <v>238.16999999999996</v>
      </c>
      <c r="M119" s="1"/>
      <c r="N119" s="5">
        <f t="shared" ref="N119:N121" si="49">IF(H119=0,0,L119/H119)</f>
        <v>2.3816999999999995</v>
      </c>
      <c r="O119" s="13"/>
      <c r="P119" s="1">
        <f>SUM(OSRRefP22_10x_0)</f>
        <v>1568.86</v>
      </c>
      <c r="Q119" s="1"/>
      <c r="R119" s="5">
        <f t="shared" ref="R119:R121" si="50">IF(P$12=0,0,P119/P$12)</f>
        <v>2.3992910188786599E-3</v>
      </c>
      <c r="S119" s="1"/>
      <c r="T119" s="1">
        <f>SUM(OSRRefT22_10x_0)</f>
        <v>700</v>
      </c>
      <c r="U119" s="1"/>
      <c r="V119" s="5">
        <f t="shared" ref="V119:V121" si="51">IF(T$12=0,0,T119/T$12)</f>
        <v>1.0037943426150851E-3</v>
      </c>
      <c r="W119" s="1"/>
      <c r="X119" s="1">
        <f t="shared" ref="X119:X121" si="52">+P119-T119</f>
        <v>868.8599999999999</v>
      </c>
      <c r="Y119" s="1"/>
      <c r="Z119" s="5">
        <f t="shared" ref="Z119:Z121" si="53">IF(T119=0,0,X119/T119)</f>
        <v>1.2412285714285713</v>
      </c>
    </row>
    <row r="120" spans="1:26" s="24" customFormat="1" hidden="1" outlineLevel="2" x14ac:dyDescent="0.25">
      <c r="A120" s="25"/>
      <c r="B120" s="11" t="str">
        <f>CONCATENATE("          ", "6282", " - ", "JANITORIAL/EXTERMINATOR EXPENS")</f>
        <v xml:space="preserve">          6282 - JANITORIAL/EXTERMINATOR EXPENS</v>
      </c>
      <c r="C120" s="11"/>
      <c r="D120" s="7">
        <v>65.02</v>
      </c>
      <c r="E120" s="2"/>
      <c r="F120" s="6">
        <f t="shared" si="46"/>
        <v>4.7147537712229174E-4</v>
      </c>
      <c r="G120" s="2"/>
      <c r="H120" s="7">
        <v>50</v>
      </c>
      <c r="I120" s="2"/>
      <c r="J120" s="6">
        <f t="shared" si="47"/>
        <v>3.7607840482583807E-4</v>
      </c>
      <c r="K120" s="2"/>
      <c r="L120" s="7">
        <f t="shared" si="48"/>
        <v>15.019999999999996</v>
      </c>
      <c r="M120" s="2"/>
      <c r="N120" s="6">
        <f t="shared" si="49"/>
        <v>0.30039999999999994</v>
      </c>
      <c r="O120" s="11"/>
      <c r="P120" s="7">
        <v>329.02</v>
      </c>
      <c r="Q120" s="2"/>
      <c r="R120" s="6">
        <f t="shared" si="50"/>
        <v>5.0317729499857011E-4</v>
      </c>
      <c r="S120" s="2"/>
      <c r="T120" s="7">
        <v>350</v>
      </c>
      <c r="U120" s="2"/>
      <c r="V120" s="6">
        <f t="shared" si="51"/>
        <v>5.0189717130754254E-4</v>
      </c>
      <c r="W120" s="2"/>
      <c r="X120" s="7">
        <f t="shared" si="52"/>
        <v>-20.980000000000018</v>
      </c>
      <c r="Y120" s="2"/>
      <c r="Z120" s="6">
        <f t="shared" si="53"/>
        <v>-5.9942857142857194E-2</v>
      </c>
    </row>
    <row r="121" spans="1:26" s="24" customFormat="1" hidden="1" outlineLevel="2" x14ac:dyDescent="0.25">
      <c r="A121" s="25"/>
      <c r="B121" s="11" t="str">
        <f>CONCATENATE("          ", "6285", " - ", "JANITORIAL SERVICES")</f>
        <v xml:space="preserve">          6285 - JANITORIAL SERVICES</v>
      </c>
      <c r="C121" s="11"/>
      <c r="D121" s="7">
        <v>273.14999999999998</v>
      </c>
      <c r="E121" s="2"/>
      <c r="F121" s="6">
        <f t="shared" si="46"/>
        <v>1.9806751655022142E-3</v>
      </c>
      <c r="G121" s="2"/>
      <c r="H121" s="7">
        <v>50</v>
      </c>
      <c r="I121" s="2"/>
      <c r="J121" s="6">
        <f t="shared" si="47"/>
        <v>3.7607840482583807E-4</v>
      </c>
      <c r="K121" s="2"/>
      <c r="L121" s="7">
        <f t="shared" si="48"/>
        <v>223.14999999999998</v>
      </c>
      <c r="M121" s="2"/>
      <c r="N121" s="6">
        <f t="shared" si="49"/>
        <v>4.4629999999999992</v>
      </c>
      <c r="O121" s="11"/>
      <c r="P121" s="7">
        <v>1239.8399999999999</v>
      </c>
      <c r="Q121" s="2"/>
      <c r="R121" s="6">
        <f t="shared" si="50"/>
        <v>1.89611372388009E-3</v>
      </c>
      <c r="S121" s="2"/>
      <c r="T121" s="7">
        <v>350</v>
      </c>
      <c r="U121" s="2"/>
      <c r="V121" s="6">
        <f t="shared" si="51"/>
        <v>5.0189717130754254E-4</v>
      </c>
      <c r="W121" s="2"/>
      <c r="X121" s="7">
        <f t="shared" si="52"/>
        <v>889.83999999999992</v>
      </c>
      <c r="Y121" s="2"/>
      <c r="Z121" s="6">
        <f t="shared" si="53"/>
        <v>2.5423999999999998</v>
      </c>
    </row>
    <row r="122" spans="1:26" s="27" customFormat="1" outlineLevel="1" collapsed="1" x14ac:dyDescent="0.25">
      <c r="A122" s="26"/>
      <c r="B122" s="13" t="str">
        <f>CONCATENATE("     ","Subscriptions &amp; Dues                              ")</f>
        <v xml:space="preserve">     Subscriptions &amp; Dues                              </v>
      </c>
      <c r="C122" s="13"/>
      <c r="D122" s="1">
        <f>SUM(OSRRefD22_11x_0)</f>
        <v>0</v>
      </c>
      <c r="E122" s="1"/>
      <c r="F122" s="5">
        <f t="shared" ref="F122:F127" si="54">IF(D$12=0,0,D122/D$12)</f>
        <v>0</v>
      </c>
      <c r="G122" s="1"/>
      <c r="H122" s="1">
        <f>SUM(OSRRefH22_11x_0)</f>
        <v>0</v>
      </c>
      <c r="I122" s="1"/>
      <c r="J122" s="5">
        <f t="shared" ref="J122:J127" si="55">IF(H$12=0,0,H122/H$12)</f>
        <v>0</v>
      </c>
      <c r="K122" s="1"/>
      <c r="L122" s="1">
        <f t="shared" ref="L122:L127" si="56">+D122-H122</f>
        <v>0</v>
      </c>
      <c r="M122" s="1"/>
      <c r="N122" s="5">
        <f t="shared" ref="N122:N127" si="57">IF(H122=0,0,L122/H122)</f>
        <v>0</v>
      </c>
      <c r="O122" s="13"/>
      <c r="P122" s="1">
        <f>SUM(OSRRefP22_11x_0)</f>
        <v>120</v>
      </c>
      <c r="Q122" s="1"/>
      <c r="R122" s="5">
        <f t="shared" ref="R122:R127" si="58">IF(P$12=0,0,P122/P$12)</f>
        <v>1.8351855631824332E-4</v>
      </c>
      <c r="S122" s="1"/>
      <c r="T122" s="1">
        <f>SUM(OSRRefT22_11x_0)</f>
        <v>0</v>
      </c>
      <c r="U122" s="1"/>
      <c r="V122" s="5">
        <f t="shared" ref="V122:V127" si="59">IF(T$12=0,0,T122/T$12)</f>
        <v>0</v>
      </c>
      <c r="W122" s="1"/>
      <c r="X122" s="1">
        <f t="shared" ref="X122:X127" si="60">+P122-T122</f>
        <v>120</v>
      </c>
      <c r="Y122" s="1"/>
      <c r="Z122" s="5">
        <f t="shared" ref="Z122:Z127" si="61">IF(T122=0,0,X122/T122)</f>
        <v>0</v>
      </c>
    </row>
    <row r="123" spans="1:26" s="24" customFormat="1" hidden="1" outlineLevel="2" x14ac:dyDescent="0.25">
      <c r="A123" s="25"/>
      <c r="B123" s="11" t="str">
        <f>CONCATENATE("          ", "6258", " - ", "MEMBERSHIP DUES")</f>
        <v xml:space="preserve">          6258 - MEMBERSHIP DUES</v>
      </c>
      <c r="C123" s="11"/>
      <c r="D123" s="7"/>
      <c r="E123" s="2"/>
      <c r="F123" s="6">
        <f t="shared" si="54"/>
        <v>0</v>
      </c>
      <c r="G123" s="2"/>
      <c r="H123" s="7"/>
      <c r="I123" s="2"/>
      <c r="J123" s="6">
        <f t="shared" si="55"/>
        <v>0</v>
      </c>
      <c r="K123" s="2"/>
      <c r="L123" s="7">
        <f t="shared" si="56"/>
        <v>0</v>
      </c>
      <c r="M123" s="2"/>
      <c r="N123" s="6">
        <f t="shared" si="57"/>
        <v>0</v>
      </c>
      <c r="O123" s="11"/>
      <c r="P123" s="7">
        <v>120</v>
      </c>
      <c r="Q123" s="2"/>
      <c r="R123" s="6">
        <f t="shared" si="58"/>
        <v>1.8351855631824332E-4</v>
      </c>
      <c r="S123" s="2"/>
      <c r="T123" s="7"/>
      <c r="U123" s="2"/>
      <c r="V123" s="6">
        <f t="shared" si="59"/>
        <v>0</v>
      </c>
      <c r="W123" s="2"/>
      <c r="X123" s="7">
        <f t="shared" si="60"/>
        <v>120</v>
      </c>
      <c r="Y123" s="2"/>
      <c r="Z123" s="6">
        <f t="shared" si="61"/>
        <v>0</v>
      </c>
    </row>
    <row r="124" spans="1:26" s="27" customFormat="1" outlineLevel="1" collapsed="1" x14ac:dyDescent="0.25">
      <c r="A124" s="26"/>
      <c r="B124" s="13" t="str">
        <f>CONCATENATE("     ","Supplies                                          ")</f>
        <v xml:space="preserve">     Supplies                                          </v>
      </c>
      <c r="C124" s="13"/>
      <c r="D124" s="1">
        <f>SUM(OSRRefD22_12x_0)</f>
        <v>57.89</v>
      </c>
      <c r="E124" s="1"/>
      <c r="F124" s="5">
        <f t="shared" si="54"/>
        <v>4.197740630822742E-4</v>
      </c>
      <c r="G124" s="1"/>
      <c r="H124" s="1">
        <f>SUM(OSRRefH22_12x_0)</f>
        <v>225</v>
      </c>
      <c r="I124" s="1"/>
      <c r="J124" s="5">
        <f t="shared" si="55"/>
        <v>1.6923528217162715E-3</v>
      </c>
      <c r="K124" s="1"/>
      <c r="L124" s="1">
        <f t="shared" si="56"/>
        <v>-167.11</v>
      </c>
      <c r="M124" s="1"/>
      <c r="N124" s="5">
        <f t="shared" si="57"/>
        <v>-0.74271111111111121</v>
      </c>
      <c r="O124" s="13"/>
      <c r="P124" s="1">
        <f>SUM(OSRRefP22_12x_0)</f>
        <v>1508.56</v>
      </c>
      <c r="Q124" s="1"/>
      <c r="R124" s="5">
        <f t="shared" si="58"/>
        <v>2.3070729443287431E-3</v>
      </c>
      <c r="S124" s="1"/>
      <c r="T124" s="1">
        <f>SUM(OSRRefT22_12x_0)</f>
        <v>1575</v>
      </c>
      <c r="U124" s="1"/>
      <c r="V124" s="5">
        <f t="shared" si="59"/>
        <v>2.2585372708839413E-3</v>
      </c>
      <c r="W124" s="1"/>
      <c r="X124" s="1">
        <f t="shared" si="60"/>
        <v>-66.440000000000055</v>
      </c>
      <c r="Y124" s="1"/>
      <c r="Z124" s="5">
        <f t="shared" si="61"/>
        <v>-4.2184126984127018E-2</v>
      </c>
    </row>
    <row r="125" spans="1:26" s="24" customFormat="1" hidden="1" outlineLevel="2" x14ac:dyDescent="0.25">
      <c r="A125" s="25"/>
      <c r="B125" s="11" t="str">
        <f>CONCATENATE("          ", "6241", " - ", "OFFICE EXPENSE")</f>
        <v xml:space="preserve">          6241 - OFFICE EXPENSE</v>
      </c>
      <c r="C125" s="11"/>
      <c r="D125" s="7">
        <v>36.04</v>
      </c>
      <c r="E125" s="2"/>
      <c r="F125" s="6">
        <f t="shared" si="54"/>
        <v>2.6133455231447855E-4</v>
      </c>
      <c r="G125" s="2"/>
      <c r="H125" s="7">
        <v>225</v>
      </c>
      <c r="I125" s="2"/>
      <c r="J125" s="6">
        <f t="shared" si="55"/>
        <v>1.6923528217162715E-3</v>
      </c>
      <c r="K125" s="2"/>
      <c r="L125" s="7">
        <f t="shared" si="56"/>
        <v>-188.96</v>
      </c>
      <c r="M125" s="2"/>
      <c r="N125" s="6">
        <f t="shared" si="57"/>
        <v>-0.83982222222222225</v>
      </c>
      <c r="O125" s="11"/>
      <c r="P125" s="7">
        <v>1487.21</v>
      </c>
      <c r="Q125" s="2"/>
      <c r="R125" s="6">
        <f t="shared" si="58"/>
        <v>2.2744219345171221E-3</v>
      </c>
      <c r="S125" s="2"/>
      <c r="T125" s="7">
        <v>1575</v>
      </c>
      <c r="U125" s="2"/>
      <c r="V125" s="6">
        <f t="shared" si="59"/>
        <v>2.2585372708839413E-3</v>
      </c>
      <c r="W125" s="2"/>
      <c r="X125" s="7">
        <f t="shared" si="60"/>
        <v>-87.789999999999964</v>
      </c>
      <c r="Y125" s="2"/>
      <c r="Z125" s="6">
        <f t="shared" si="61"/>
        <v>-5.573968253968252E-2</v>
      </c>
    </row>
    <row r="126" spans="1:26" s="24" customFormat="1" hidden="1" outlineLevel="2" x14ac:dyDescent="0.25">
      <c r="A126" s="25"/>
      <c r="B126" s="11" t="str">
        <f>CONCATENATE("          ", "6245", " - ", "PRINTING")</f>
        <v xml:space="preserve">          6245 - PRINTING</v>
      </c>
      <c r="C126" s="11"/>
      <c r="D126" s="7">
        <v>22.05</v>
      </c>
      <c r="E126" s="2"/>
      <c r="F126" s="6">
        <f t="shared" si="54"/>
        <v>1.5988975800594485E-4</v>
      </c>
      <c r="G126" s="2"/>
      <c r="H126" s="7"/>
      <c r="I126" s="2"/>
      <c r="J126" s="6">
        <f t="shared" si="55"/>
        <v>0</v>
      </c>
      <c r="K126" s="2"/>
      <c r="L126" s="7">
        <f t="shared" si="56"/>
        <v>22.05</v>
      </c>
      <c r="M126" s="2"/>
      <c r="N126" s="6">
        <f t="shared" si="57"/>
        <v>0</v>
      </c>
      <c r="O126" s="11"/>
      <c r="P126" s="7">
        <v>22.05</v>
      </c>
      <c r="Q126" s="2"/>
      <c r="R126" s="6">
        <f t="shared" si="58"/>
        <v>3.3721534723477212E-5</v>
      </c>
      <c r="S126" s="2"/>
      <c r="T126" s="7"/>
      <c r="U126" s="2"/>
      <c r="V126" s="6">
        <f t="shared" si="59"/>
        <v>0</v>
      </c>
      <c r="W126" s="2"/>
      <c r="X126" s="7">
        <f t="shared" si="60"/>
        <v>22.05</v>
      </c>
      <c r="Y126" s="2"/>
      <c r="Z126" s="6">
        <f t="shared" si="61"/>
        <v>0</v>
      </c>
    </row>
    <row r="127" spans="1:26" s="24" customFormat="1" hidden="1" outlineLevel="2" x14ac:dyDescent="0.25">
      <c r="A127" s="25"/>
      <c r="B127" s="11" t="str">
        <f>CONCATENATE("          ", "6247", " - ", "STORE SUPPLIES")</f>
        <v xml:space="preserve">          6247 - STORE SUPPLIES</v>
      </c>
      <c r="C127" s="11"/>
      <c r="D127" s="7">
        <v>-0.2</v>
      </c>
      <c r="E127" s="2"/>
      <c r="F127" s="6">
        <f t="shared" si="54"/>
        <v>-1.4502472381491595E-6</v>
      </c>
      <c r="G127" s="2"/>
      <c r="H127" s="7"/>
      <c r="I127" s="2"/>
      <c r="J127" s="6">
        <f t="shared" si="55"/>
        <v>0</v>
      </c>
      <c r="K127" s="2"/>
      <c r="L127" s="7">
        <f t="shared" si="56"/>
        <v>-0.2</v>
      </c>
      <c r="M127" s="2"/>
      <c r="N127" s="6">
        <f t="shared" si="57"/>
        <v>0</v>
      </c>
      <c r="O127" s="11"/>
      <c r="P127" s="7">
        <v>-0.7</v>
      </c>
      <c r="Q127" s="2"/>
      <c r="R127" s="6">
        <f t="shared" si="58"/>
        <v>-1.0705249118564193E-6</v>
      </c>
      <c r="S127" s="2"/>
      <c r="T127" s="7"/>
      <c r="U127" s="2"/>
      <c r="V127" s="6">
        <f t="shared" si="59"/>
        <v>0</v>
      </c>
      <c r="W127" s="2"/>
      <c r="X127" s="7">
        <f t="shared" si="60"/>
        <v>-0.7</v>
      </c>
      <c r="Y127" s="2"/>
      <c r="Z127" s="6">
        <f t="shared" si="61"/>
        <v>0</v>
      </c>
    </row>
    <row r="128" spans="1:26" s="27" customFormat="1" outlineLevel="1" collapsed="1" x14ac:dyDescent="0.25">
      <c r="A128" s="26"/>
      <c r="B128" s="13" t="str">
        <f>CONCATENATE("     ","Telephone/Data Lines                              ")</f>
        <v xml:space="preserve">     Telephone/Data Lines                              </v>
      </c>
      <c r="C128" s="13"/>
      <c r="D128" s="1">
        <f>SUM(OSRRefD22_13x_0)</f>
        <v>103</v>
      </c>
      <c r="E128" s="1"/>
      <c r="F128" s="5">
        <f t="shared" ref="F128:F133" si="62">IF(D$12=0,0,D128/D$12)</f>
        <v>7.4687732764681708E-4</v>
      </c>
      <c r="G128" s="1"/>
      <c r="H128" s="1">
        <f>SUM(OSRRefH22_13x_0)</f>
        <v>75</v>
      </c>
      <c r="I128" s="1"/>
      <c r="J128" s="5">
        <f t="shared" ref="J128:J133" si="63">IF(H$12=0,0,H128/H$12)</f>
        <v>5.6411760723875715E-4</v>
      </c>
      <c r="K128" s="1"/>
      <c r="L128" s="1">
        <f t="shared" ref="L128:L133" si="64">+D128-H128</f>
        <v>28</v>
      </c>
      <c r="M128" s="1"/>
      <c r="N128" s="5">
        <f t="shared" ref="N128:N133" si="65">IF(H128=0,0,L128/H128)</f>
        <v>0.37333333333333335</v>
      </c>
      <c r="O128" s="13"/>
      <c r="P128" s="1">
        <f>SUM(OSRRefP22_13x_0)</f>
        <v>679.57</v>
      </c>
      <c r="Q128" s="1"/>
      <c r="R128" s="5">
        <f t="shared" ref="R128:R133" si="66">IF(P$12=0,0,P128/P$12)</f>
        <v>1.0392808776432385E-3</v>
      </c>
      <c r="S128" s="1"/>
      <c r="T128" s="1">
        <f>SUM(OSRRefT22_13x_0)</f>
        <v>525</v>
      </c>
      <c r="U128" s="1"/>
      <c r="V128" s="5">
        <f t="shared" ref="V128:V133" si="67">IF(T$12=0,0,T128/T$12)</f>
        <v>7.5284575696131376E-4</v>
      </c>
      <c r="W128" s="1"/>
      <c r="X128" s="1">
        <f t="shared" ref="X128:X133" si="68">+P128-T128</f>
        <v>154.57000000000005</v>
      </c>
      <c r="Y128" s="1"/>
      <c r="Z128" s="5">
        <f t="shared" ref="Z128:Z133" si="69">IF(T128=0,0,X128/T128)</f>
        <v>0.29441904761904769</v>
      </c>
    </row>
    <row r="129" spans="1:26" s="24" customFormat="1" hidden="1" outlineLevel="2" x14ac:dyDescent="0.25">
      <c r="A129" s="25"/>
      <c r="B129" s="11" t="str">
        <f>CONCATENATE("          ", "6309", " - ", "TELEPHONE")</f>
        <v xml:space="preserve">          6309 - TELEPHONE</v>
      </c>
      <c r="C129" s="11"/>
      <c r="D129" s="7">
        <v>103</v>
      </c>
      <c r="E129" s="2"/>
      <c r="F129" s="6">
        <f t="shared" si="62"/>
        <v>7.4687732764681708E-4</v>
      </c>
      <c r="G129" s="2"/>
      <c r="H129" s="7">
        <v>75</v>
      </c>
      <c r="I129" s="2"/>
      <c r="J129" s="6">
        <f t="shared" si="63"/>
        <v>5.6411760723875715E-4</v>
      </c>
      <c r="K129" s="2"/>
      <c r="L129" s="7">
        <f t="shared" si="64"/>
        <v>28</v>
      </c>
      <c r="M129" s="2"/>
      <c r="N129" s="6">
        <f t="shared" si="65"/>
        <v>0.37333333333333335</v>
      </c>
      <c r="O129" s="11"/>
      <c r="P129" s="7">
        <v>679.57</v>
      </c>
      <c r="Q129" s="2"/>
      <c r="R129" s="6">
        <f t="shared" si="66"/>
        <v>1.0392808776432385E-3</v>
      </c>
      <c r="S129" s="2"/>
      <c r="T129" s="7">
        <v>525</v>
      </c>
      <c r="U129" s="2"/>
      <c r="V129" s="6">
        <f t="shared" si="67"/>
        <v>7.5284575696131376E-4</v>
      </c>
      <c r="W129" s="2"/>
      <c r="X129" s="7">
        <f t="shared" si="68"/>
        <v>154.57000000000005</v>
      </c>
      <c r="Y129" s="2"/>
      <c r="Z129" s="6">
        <f t="shared" si="69"/>
        <v>0.29441904761904769</v>
      </c>
    </row>
    <row r="130" spans="1:26" s="27" customFormat="1" outlineLevel="1" collapsed="1" x14ac:dyDescent="0.25">
      <c r="A130" s="26"/>
      <c r="B130" s="13" t="str">
        <f>CONCATENATE("     ","Training                                          ")</f>
        <v xml:space="preserve">     Training                                          </v>
      </c>
      <c r="C130" s="13"/>
      <c r="D130" s="1">
        <f>SUM(OSRRefD22_14x_0)</f>
        <v>0</v>
      </c>
      <c r="E130" s="1"/>
      <c r="F130" s="5">
        <f t="shared" si="62"/>
        <v>0</v>
      </c>
      <c r="G130" s="1"/>
      <c r="H130" s="1">
        <f>SUM(OSRRefH22_14x_0)</f>
        <v>175</v>
      </c>
      <c r="I130" s="1"/>
      <c r="J130" s="5">
        <f t="shared" si="63"/>
        <v>1.3162744168904333E-3</v>
      </c>
      <c r="K130" s="1"/>
      <c r="L130" s="1">
        <f t="shared" si="64"/>
        <v>-175</v>
      </c>
      <c r="M130" s="1"/>
      <c r="N130" s="5">
        <f t="shared" si="65"/>
        <v>-1</v>
      </c>
      <c r="O130" s="13"/>
      <c r="P130" s="1">
        <f>SUM(OSRRefP22_14x_0)</f>
        <v>80</v>
      </c>
      <c r="Q130" s="1"/>
      <c r="R130" s="5">
        <f t="shared" si="66"/>
        <v>1.2234570421216221E-4</v>
      </c>
      <c r="S130" s="1"/>
      <c r="T130" s="1">
        <f>SUM(OSRRefT22_14x_0)</f>
        <v>1225</v>
      </c>
      <c r="U130" s="1"/>
      <c r="V130" s="5">
        <f t="shared" si="67"/>
        <v>1.7566400995763988E-3</v>
      </c>
      <c r="W130" s="1"/>
      <c r="X130" s="1">
        <f t="shared" si="68"/>
        <v>-1145</v>
      </c>
      <c r="Y130" s="1"/>
      <c r="Z130" s="5">
        <f t="shared" si="69"/>
        <v>-0.9346938775510204</v>
      </c>
    </row>
    <row r="131" spans="1:26" s="24" customFormat="1" hidden="1" outlineLevel="2" x14ac:dyDescent="0.25">
      <c r="A131" s="25"/>
      <c r="B131" s="11" t="str">
        <f>CONCATENATE("          ", "6376", " - ", "TRAINING")</f>
        <v xml:space="preserve">          6376 - TRAINING</v>
      </c>
      <c r="C131" s="11"/>
      <c r="D131" s="7"/>
      <c r="E131" s="2"/>
      <c r="F131" s="6">
        <f t="shared" si="62"/>
        <v>0</v>
      </c>
      <c r="G131" s="2"/>
      <c r="H131" s="7">
        <v>175</v>
      </c>
      <c r="I131" s="2"/>
      <c r="J131" s="6">
        <f t="shared" si="63"/>
        <v>1.3162744168904333E-3</v>
      </c>
      <c r="K131" s="2"/>
      <c r="L131" s="7">
        <f t="shared" si="64"/>
        <v>-175</v>
      </c>
      <c r="M131" s="2"/>
      <c r="N131" s="6">
        <f t="shared" si="65"/>
        <v>-1</v>
      </c>
      <c r="O131" s="11"/>
      <c r="P131" s="7">
        <v>80</v>
      </c>
      <c r="Q131" s="2"/>
      <c r="R131" s="6">
        <f t="shared" si="66"/>
        <v>1.2234570421216221E-4</v>
      </c>
      <c r="S131" s="2"/>
      <c r="T131" s="7">
        <v>1225</v>
      </c>
      <c r="U131" s="2"/>
      <c r="V131" s="6">
        <f t="shared" si="67"/>
        <v>1.7566400995763988E-3</v>
      </c>
      <c r="W131" s="2"/>
      <c r="X131" s="7">
        <f t="shared" si="68"/>
        <v>-1145</v>
      </c>
      <c r="Y131" s="2"/>
      <c r="Z131" s="6">
        <f t="shared" si="69"/>
        <v>-0.9346938775510204</v>
      </c>
    </row>
    <row r="132" spans="1:26" s="27" customFormat="1" outlineLevel="1" collapsed="1" x14ac:dyDescent="0.25">
      <c r="A132" s="26"/>
      <c r="B132" s="13" t="str">
        <f>CONCATENATE("     ","Travel                                            ")</f>
        <v xml:space="preserve">     Travel                                            </v>
      </c>
      <c r="C132" s="13"/>
      <c r="D132" s="1">
        <f>SUM(OSRRefD22_15x_0)</f>
        <v>0</v>
      </c>
      <c r="E132" s="1"/>
      <c r="F132" s="5">
        <f t="shared" si="62"/>
        <v>0</v>
      </c>
      <c r="G132" s="1"/>
      <c r="H132" s="1">
        <f>SUM(OSRRefH22_15x_0)</f>
        <v>0</v>
      </c>
      <c r="I132" s="1"/>
      <c r="J132" s="5">
        <f t="shared" si="63"/>
        <v>0</v>
      </c>
      <c r="K132" s="1"/>
      <c r="L132" s="1">
        <f t="shared" si="64"/>
        <v>0</v>
      </c>
      <c r="M132" s="1"/>
      <c r="N132" s="5">
        <f t="shared" si="65"/>
        <v>0</v>
      </c>
      <c r="O132" s="13"/>
      <c r="P132" s="1">
        <f>SUM(OSRRefP22_15x_0)</f>
        <v>-323.01</v>
      </c>
      <c r="Q132" s="1"/>
      <c r="R132" s="5">
        <f t="shared" si="66"/>
        <v>-4.939860739696315E-4</v>
      </c>
      <c r="S132" s="1"/>
      <c r="T132" s="1">
        <f>SUM(OSRRefT22_15x_0)</f>
        <v>0</v>
      </c>
      <c r="U132" s="1"/>
      <c r="V132" s="5">
        <f t="shared" si="67"/>
        <v>0</v>
      </c>
      <c r="W132" s="1"/>
      <c r="X132" s="1">
        <f t="shared" si="68"/>
        <v>-323.01</v>
      </c>
      <c r="Y132" s="1"/>
      <c r="Z132" s="5">
        <f t="shared" si="69"/>
        <v>0</v>
      </c>
    </row>
    <row r="133" spans="1:26" s="24" customFormat="1" hidden="1" outlineLevel="2" x14ac:dyDescent="0.25">
      <c r="A133" s="25"/>
      <c r="B133" s="11" t="str">
        <f>CONCATENATE("          ", "6292", " - ", "TRAVEL/CONFERENCE")</f>
        <v xml:space="preserve">          6292 - TRAVEL/CONFERENCE</v>
      </c>
      <c r="C133" s="11"/>
      <c r="D133" s="7"/>
      <c r="E133" s="2"/>
      <c r="F133" s="6">
        <f t="shared" si="62"/>
        <v>0</v>
      </c>
      <c r="G133" s="2"/>
      <c r="H133" s="7"/>
      <c r="I133" s="2"/>
      <c r="J133" s="6">
        <f t="shared" si="63"/>
        <v>0</v>
      </c>
      <c r="K133" s="2"/>
      <c r="L133" s="7">
        <f t="shared" si="64"/>
        <v>0</v>
      </c>
      <c r="M133" s="2"/>
      <c r="N133" s="6">
        <f t="shared" si="65"/>
        <v>0</v>
      </c>
      <c r="O133" s="11"/>
      <c r="P133" s="7">
        <v>-323.01</v>
      </c>
      <c r="Q133" s="2"/>
      <c r="R133" s="6">
        <f t="shared" si="66"/>
        <v>-4.939860739696315E-4</v>
      </c>
      <c r="S133" s="2"/>
      <c r="T133" s="7"/>
      <c r="U133" s="2"/>
      <c r="V133" s="6">
        <f t="shared" si="67"/>
        <v>0</v>
      </c>
      <c r="W133" s="2"/>
      <c r="X133" s="7">
        <f t="shared" si="68"/>
        <v>-323.01</v>
      </c>
      <c r="Y133" s="2"/>
      <c r="Z133" s="6">
        <f t="shared" si="69"/>
        <v>0</v>
      </c>
    </row>
    <row r="134" spans="1:26" s="53" customFormat="1" x14ac:dyDescent="0.25">
      <c r="A134" s="36"/>
      <c r="B134" s="36"/>
      <c r="C134" s="36"/>
      <c r="D134" s="1"/>
      <c r="E134" s="1"/>
      <c r="F134" s="5"/>
      <c r="G134" s="1"/>
      <c r="H134" s="1"/>
      <c r="I134" s="1"/>
      <c r="J134" s="5"/>
      <c r="K134" s="1"/>
      <c r="L134" s="1"/>
      <c r="M134" s="1"/>
      <c r="N134" s="5"/>
      <c r="O134" s="36"/>
      <c r="P134" s="1"/>
      <c r="Q134" s="1"/>
      <c r="R134" s="5"/>
      <c r="S134" s="1"/>
      <c r="T134" s="1"/>
      <c r="U134" s="1"/>
      <c r="V134" s="5"/>
      <c r="W134" s="1"/>
      <c r="X134" s="1"/>
      <c r="Y134" s="1"/>
      <c r="Z134" s="5"/>
    </row>
    <row r="135" spans="1:26" s="23" customFormat="1" collapsed="1" x14ac:dyDescent="0.25">
      <c r="A135" s="10"/>
      <c r="B135" s="28" t="s">
        <v>0</v>
      </c>
      <c r="C135" s="10"/>
      <c r="D135" s="4">
        <f>SUM(OSRRefD25x_0)</f>
        <v>0</v>
      </c>
      <c r="E135" s="4"/>
      <c r="F135" s="12">
        <f t="shared" ref="F135:F136" si="70">IF(D$12=0,0,D135/D$12)</f>
        <v>0</v>
      </c>
      <c r="G135" s="4"/>
      <c r="H135" s="4">
        <f>SUM(OSRRefH25x_0)</f>
        <v>0</v>
      </c>
      <c r="I135" s="4"/>
      <c r="J135" s="12">
        <f t="shared" ref="J135:J136" si="71">IF(H$12=0,0,H135/H$12)</f>
        <v>0</v>
      </c>
      <c r="K135" s="4"/>
      <c r="L135" s="4">
        <f t="shared" ref="L135:L136" si="72">+D135-H135</f>
        <v>0</v>
      </c>
      <c r="M135" s="4"/>
      <c r="N135" s="12">
        <f t="shared" ref="N135:N136" si="73">IF(H135=0,0,L135/H135)</f>
        <v>0</v>
      </c>
      <c r="O135" s="10"/>
      <c r="P135" s="4">
        <f>SUM(OSRRefP25x_0)</f>
        <v>68.760000000000005</v>
      </c>
      <c r="Q135" s="4"/>
      <c r="R135" s="12">
        <f t="shared" ref="R135:R136" si="74">IF(P$12=0,0,P135/P$12)</f>
        <v>1.0515613277035343E-4</v>
      </c>
      <c r="S135" s="4"/>
      <c r="T135" s="4">
        <f>SUM(OSRRefT25x_0)</f>
        <v>0</v>
      </c>
      <c r="U135" s="4"/>
      <c r="V135" s="12">
        <f t="shared" ref="V135:V136" si="75">IF(T$12=0,0,T135/T$12)</f>
        <v>0</v>
      </c>
      <c r="W135" s="4"/>
      <c r="X135" s="4">
        <f t="shared" ref="X135:X136" si="76">+P135-T135</f>
        <v>68.760000000000005</v>
      </c>
      <c r="Y135" s="4"/>
      <c r="Z135" s="12">
        <f t="shared" ref="Z135:Z136" si="77">IF(T135=0,0,X135/T135)</f>
        <v>0</v>
      </c>
    </row>
    <row r="136" spans="1:26" s="24" customFormat="1" hidden="1" outlineLevel="1" x14ac:dyDescent="0.25">
      <c r="A136" s="44"/>
      <c r="B136" s="11" t="str">
        <f>CONCATENATE("          ", "9150", " - ", "MISC. INCOME")</f>
        <v xml:space="preserve">          9150 - MISC. INCOME</v>
      </c>
      <c r="C136" s="11"/>
      <c r="D136" s="2">
        <f>0</f>
        <v>0</v>
      </c>
      <c r="E136" s="2"/>
      <c r="F136" s="19">
        <f t="shared" si="70"/>
        <v>0</v>
      </c>
      <c r="G136" s="2"/>
      <c r="H136" s="2"/>
      <c r="I136" s="2"/>
      <c r="J136" s="19">
        <f t="shared" si="71"/>
        <v>0</v>
      </c>
      <c r="K136" s="2"/>
      <c r="L136" s="2">
        <f t="shared" si="72"/>
        <v>0</v>
      </c>
      <c r="M136" s="2"/>
      <c r="N136" s="19">
        <f t="shared" si="73"/>
        <v>0</v>
      </c>
      <c r="O136" s="11"/>
      <c r="P136" s="2">
        <f>--68.76</f>
        <v>68.760000000000005</v>
      </c>
      <c r="Q136" s="2"/>
      <c r="R136" s="19">
        <f t="shared" si="74"/>
        <v>1.0515613277035343E-4</v>
      </c>
      <c r="S136" s="2"/>
      <c r="T136" s="2"/>
      <c r="U136" s="2"/>
      <c r="V136" s="19">
        <f t="shared" si="75"/>
        <v>0</v>
      </c>
      <c r="W136" s="2"/>
      <c r="X136" s="2">
        <f t="shared" si="76"/>
        <v>68.760000000000005</v>
      </c>
      <c r="Y136" s="2"/>
      <c r="Z136" s="19">
        <f t="shared" si="77"/>
        <v>0</v>
      </c>
    </row>
    <row r="137" spans="1:26" x14ac:dyDescent="0.25">
      <c r="A137" s="9"/>
      <c r="B137" s="10"/>
      <c r="C137" s="10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O137" s="10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x14ac:dyDescent="0.25">
      <c r="A138" s="10"/>
      <c r="B138" s="29" t="s">
        <v>3</v>
      </c>
      <c r="C138" s="29"/>
      <c r="D138" s="21">
        <f>+D77-D79+D135</f>
        <v>41043.889999999992</v>
      </c>
      <c r="E138" s="14"/>
      <c r="F138" s="20">
        <f>IF(D$12=0,0,D138/D$12)</f>
        <v>0.29761894057698945</v>
      </c>
      <c r="G138" s="14"/>
      <c r="H138" s="21">
        <f>+H77-H79+H135</f>
        <v>46211.657808063232</v>
      </c>
      <c r="I138" s="14"/>
      <c r="J138" s="20">
        <f>IF(H$12=0,0,H138/H$12)</f>
        <v>0.34758413105627811</v>
      </c>
      <c r="K138" s="16"/>
      <c r="L138" s="21">
        <f>+D138-H138</f>
        <v>-5167.7678080632395</v>
      </c>
      <c r="M138" s="16"/>
      <c r="N138" s="20">
        <f>IF(H138=0,0,L138/H138)</f>
        <v>-0.11182822805291227</v>
      </c>
      <c r="O138" s="28"/>
      <c r="P138" s="21">
        <f>+P77-P79+P135</f>
        <v>170248.09000000023</v>
      </c>
      <c r="Q138" s="14"/>
      <c r="R138" s="20">
        <f>IF(P$12=0,0,P138/P$12)</f>
        <v>0.26036403077282</v>
      </c>
      <c r="S138" s="14"/>
      <c r="T138" s="21">
        <f>+T77-T79+T135</f>
        <v>213638.09013902326</v>
      </c>
      <c r="U138" s="14"/>
      <c r="V138" s="20">
        <f>IF(T$12=0,0,T138/T$12)</f>
        <v>0.30635529464091876</v>
      </c>
      <c r="W138" s="16"/>
      <c r="X138" s="21">
        <f>+P138-T138</f>
        <v>-43390.000139023032</v>
      </c>
      <c r="Y138" s="16"/>
      <c r="Z138" s="20">
        <f>IF(T138=0,0,X138/T138)</f>
        <v>-0.20310048695336744</v>
      </c>
    </row>
    <row r="139" spans="1:26" x14ac:dyDescent="0.25">
      <c r="A139" s="9"/>
      <c r="B139" s="10"/>
      <c r="C139" s="9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x14ac:dyDescent="0.25">
      <c r="A140" s="52"/>
      <c r="B140" s="10" t="s">
        <v>14</v>
      </c>
      <c r="C140" s="10"/>
      <c r="D140" s="4">
        <v>12461.41</v>
      </c>
      <c r="E140" s="4"/>
      <c r="F140" s="12">
        <f>IF(D$12=0,0,D140/D$12)</f>
        <v>9.0360627179721584E-2</v>
      </c>
      <c r="G140" s="4"/>
      <c r="H140" s="4">
        <v>13157</v>
      </c>
      <c r="I140" s="4"/>
      <c r="J140" s="12">
        <f>IF(H$12=0,0,H140/H$12)</f>
        <v>9.8961271445871038E-2</v>
      </c>
      <c r="K140" s="4"/>
      <c r="L140" s="4">
        <f>+D140-H140</f>
        <v>-695.59000000000015</v>
      </c>
      <c r="M140" s="4"/>
      <c r="N140" s="12">
        <f>IF(H140=0,0,L140/H140)</f>
        <v>-5.2868435053583657E-2</v>
      </c>
      <c r="O140" s="10"/>
      <c r="P140" s="4">
        <v>68190.930000000008</v>
      </c>
      <c r="Q140" s="4"/>
      <c r="R140" s="12">
        <f>IF(P$12=0,0,P140/P$12)</f>
        <v>0.10428584189665326</v>
      </c>
      <c r="S140" s="4"/>
      <c r="T140" s="4">
        <v>85859</v>
      </c>
      <c r="U140" s="4"/>
      <c r="V140" s="12">
        <f>IF(T$12=0,0,T140/T$12)</f>
        <v>0.12312111208941226</v>
      </c>
      <c r="W140" s="4"/>
      <c r="X140" s="4">
        <f>+P140-T140</f>
        <v>-17668.069999999992</v>
      </c>
      <c r="Y140" s="4"/>
      <c r="Z140" s="12">
        <f>IF(T140=0,0,X140/T140)</f>
        <v>-0.20578005800207308</v>
      </c>
    </row>
    <row r="141" spans="1:26" x14ac:dyDescent="0.25">
      <c r="A141" s="9"/>
      <c r="B141" s="10"/>
      <c r="C141" s="10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O141" s="10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3" customFormat="1" ht="15.75" thickBot="1" x14ac:dyDescent="0.3">
      <c r="A142" s="10"/>
      <c r="B142" s="29" t="s">
        <v>4</v>
      </c>
      <c r="C142" s="29"/>
      <c r="D142" s="34">
        <f>+D138-D140</f>
        <v>28582.479999999992</v>
      </c>
      <c r="E142" s="14"/>
      <c r="F142" s="32">
        <f>IF(D$12=0,0,D142/D$12)</f>
        <v>0.20725831339726788</v>
      </c>
      <c r="G142" s="14"/>
      <c r="H142" s="34">
        <f>+H138-H140</f>
        <v>33054.657808063232</v>
      </c>
      <c r="I142" s="14"/>
      <c r="J142" s="32">
        <f>IF(H$12=0,0,H142/H$12)</f>
        <v>0.24862285961040709</v>
      </c>
      <c r="K142" s="16"/>
      <c r="L142" s="34">
        <f>D142-H142</f>
        <v>-4472.1778080632394</v>
      </c>
      <c r="M142" s="16"/>
      <c r="N142" s="32">
        <f>IF(H142=0,0,L142/H142)</f>
        <v>-0.1352964485075478</v>
      </c>
      <c r="O142" s="28"/>
      <c r="P142" s="34">
        <f>+P138-P140</f>
        <v>102057.16000000022</v>
      </c>
      <c r="Q142" s="14"/>
      <c r="R142" s="32">
        <f>IF(P$12=0,0,P142/P$12)</f>
        <v>0.15607818887616676</v>
      </c>
      <c r="S142" s="14"/>
      <c r="T142" s="34">
        <f>+T138-T140</f>
        <v>127779.09013902326</v>
      </c>
      <c r="U142" s="14"/>
      <c r="V142" s="32">
        <f>IF(T$12=0,0,T142/T$12)</f>
        <v>0.1832341825515065</v>
      </c>
      <c r="W142" s="16"/>
      <c r="X142" s="34">
        <f>P142-T142</f>
        <v>-25721.930139023039</v>
      </c>
      <c r="Y142" s="16"/>
      <c r="Z142" s="32">
        <f>IF(T142=0,0,X142/T142)</f>
        <v>-0.20129999447513405</v>
      </c>
    </row>
    <row r="143" spans="1:26" ht="15.75" thickTop="1" x14ac:dyDescent="0.25">
      <c r="A143" s="9"/>
      <c r="B143" s="9"/>
      <c r="C143" s="9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x14ac:dyDescent="0.25">
      <c r="A144" s="9"/>
      <c r="B144" s="9"/>
      <c r="C144" s="9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3" customFormat="1" ht="15.75" thickBot="1" x14ac:dyDescent="0.3">
      <c r="A145" s="10"/>
      <c r="B145" s="29" t="s">
        <v>5</v>
      </c>
      <c r="C145" s="29"/>
      <c r="D145" s="31">
        <f>SUM(D142:D144)</f>
        <v>28582.479999999992</v>
      </c>
      <c r="E145" s="14"/>
      <c r="F145" s="30">
        <f>IF(D$12=0,0,D145/D$12)</f>
        <v>0.20725831339726788</v>
      </c>
      <c r="G145" s="14"/>
      <c r="H145" s="31">
        <f>SUM(H142:H144)</f>
        <v>33054.657808063232</v>
      </c>
      <c r="I145" s="14"/>
      <c r="J145" s="30">
        <f>IF(H$12=0,0,H145/H$12)</f>
        <v>0.24862285961040709</v>
      </c>
      <c r="K145" s="16"/>
      <c r="L145" s="31">
        <f>+D145-H145</f>
        <v>-4472.1778080632394</v>
      </c>
      <c r="M145" s="16"/>
      <c r="N145" s="30">
        <f>IF(H145=0,0,L145/H145)</f>
        <v>-0.1352964485075478</v>
      </c>
      <c r="O145" s="28"/>
      <c r="P145" s="31">
        <f>SUM(P142:P144)</f>
        <v>102057.16000000022</v>
      </c>
      <c r="Q145" s="14"/>
      <c r="R145" s="30">
        <f>IF(P$12=0,0,P145/P$12)</f>
        <v>0.15607818887616676</v>
      </c>
      <c r="S145" s="14"/>
      <c r="T145" s="31">
        <f>SUM(T142:T144)</f>
        <v>127779.09013902326</v>
      </c>
      <c r="U145" s="14"/>
      <c r="V145" s="30">
        <f>IF(T$12=0,0,T145/T$12)</f>
        <v>0.1832341825515065</v>
      </c>
      <c r="W145" s="16"/>
      <c r="X145" s="31">
        <f>+P145-T145</f>
        <v>-25721.930139023039</v>
      </c>
      <c r="Y145" s="16"/>
      <c r="Z145" s="30">
        <f>IF(T145=0,0,X145/T145)</f>
        <v>-0.20129999447513405</v>
      </c>
    </row>
    <row r="146" spans="1:26" ht="15.75" thickTop="1" x14ac:dyDescent="0.25">
      <c r="A146" s="9"/>
      <c r="C146" s="9"/>
      <c r="D146" s="18"/>
      <c r="E146" s="18"/>
      <c r="G146" s="18"/>
      <c r="H146" s="18"/>
      <c r="I146" s="18"/>
      <c r="J146" s="43"/>
      <c r="K146" s="18"/>
      <c r="L146" s="18"/>
      <c r="M146" s="18"/>
      <c r="P146" s="18"/>
      <c r="Q146" s="18"/>
      <c r="R146" s="43"/>
      <c r="S146" s="18"/>
      <c r="T146" s="18"/>
      <c r="U146" s="18"/>
      <c r="V146" s="43"/>
      <c r="W146" s="18"/>
      <c r="X146" s="18"/>
    </row>
    <row r="147" spans="1:26" x14ac:dyDescent="0.25">
      <c r="A147" s="9"/>
      <c r="B147" s="63">
        <v>43879.545741006943</v>
      </c>
      <c r="D147" s="18"/>
      <c r="E147" s="18"/>
      <c r="G147" s="18"/>
      <c r="H147" s="18"/>
      <c r="I147" s="18"/>
      <c r="J147" s="43"/>
      <c r="K147" s="18"/>
      <c r="L147" s="18"/>
      <c r="M147" s="18"/>
      <c r="P147" s="18"/>
      <c r="Q147" s="18"/>
      <c r="R147" s="43"/>
      <c r="S147" s="18"/>
      <c r="T147" s="18"/>
      <c r="U147" s="18"/>
      <c r="V147" s="43"/>
      <c r="W147" s="18"/>
      <c r="X147" s="18"/>
    </row>
    <row r="148" spans="1:26" x14ac:dyDescent="0.25">
      <c r="A148" s="9"/>
      <c r="B148" s="57" t="s">
        <v>314</v>
      </c>
      <c r="D148" s="18"/>
      <c r="E148" s="18"/>
      <c r="G148" s="18"/>
      <c r="H148" s="18"/>
      <c r="I148" s="18"/>
      <c r="J148" s="43"/>
      <c r="K148" s="18"/>
      <c r="L148" s="18"/>
      <c r="M148" s="18"/>
      <c r="P148" s="18"/>
      <c r="Q148" s="18"/>
      <c r="R148" s="43"/>
      <c r="S148" s="18"/>
      <c r="T148" s="18"/>
      <c r="U148" s="18"/>
      <c r="V148" s="43"/>
      <c r="W148" s="18"/>
      <c r="X148" s="18"/>
    </row>
    <row r="149" spans="1:26" x14ac:dyDescent="0.25">
      <c r="A149" s="9"/>
      <c r="B149" s="60"/>
      <c r="D149" s="18"/>
      <c r="E149" s="18"/>
      <c r="G149" s="18"/>
      <c r="H149" s="18"/>
      <c r="I149" s="18"/>
      <c r="J149" s="43"/>
      <c r="K149" s="18"/>
      <c r="L149" s="18"/>
      <c r="M149" s="18"/>
      <c r="P149" s="18"/>
      <c r="Q149" s="18"/>
      <c r="R149" s="43"/>
      <c r="S149" s="18"/>
      <c r="T149" s="18"/>
      <c r="U149" s="18"/>
      <c r="V149" s="43"/>
      <c r="W149" s="18"/>
      <c r="X149" s="18"/>
    </row>
    <row r="150" spans="1:26" x14ac:dyDescent="0.25">
      <c r="D150" s="18"/>
      <c r="E150" s="18"/>
      <c r="G150" s="18"/>
      <c r="H150" s="18"/>
      <c r="I150" s="18"/>
      <c r="J150" s="43"/>
      <c r="K150" s="18"/>
      <c r="L150" s="18"/>
      <c r="M150" s="18"/>
      <c r="P150" s="18"/>
      <c r="Q150" s="18"/>
      <c r="R150" s="43"/>
      <c r="S150" s="18"/>
      <c r="T150" s="18"/>
      <c r="U150" s="18"/>
      <c r="V150" s="43"/>
      <c r="W150" s="18"/>
      <c r="X150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","307", " - ", "Art Store")</f>
        <v>Department 307 - Art Store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52148.82</v>
      </c>
      <c r="E12" s="4"/>
      <c r="F12" s="12"/>
      <c r="G12" s="4"/>
      <c r="H12" s="4">
        <f>SUM(OSRRefH13x_0)</f>
        <v>48899</v>
      </c>
      <c r="I12" s="4"/>
      <c r="J12" s="12"/>
      <c r="K12" s="4"/>
      <c r="L12" s="4">
        <f t="shared" ref="L12:L44" si="0">+D12-H12</f>
        <v>3249.8199999999997</v>
      </c>
      <c r="M12" s="4"/>
      <c r="N12" s="12">
        <f t="shared" ref="N12:N44" si="1">IF(H12=0,0,L12/H12)</f>
        <v>6.6459845804617682E-2</v>
      </c>
      <c r="O12" s="10"/>
      <c r="P12" s="4">
        <f>SUM(OSRRefP13x_0)</f>
        <v>320992.9200000001</v>
      </c>
      <c r="Q12" s="4"/>
      <c r="R12" s="12"/>
      <c r="S12" s="4"/>
      <c r="T12" s="4">
        <f>SUM(OSRRefT13x_0)</f>
        <v>336435</v>
      </c>
      <c r="U12" s="4"/>
      <c r="V12" s="12"/>
      <c r="W12" s="4"/>
      <c r="X12" s="4">
        <f t="shared" ref="X12:X44" si="2">+P12-T12</f>
        <v>-15442.0799999999</v>
      </c>
      <c r="Y12" s="4"/>
      <c r="Z12" s="12">
        <f t="shared" ref="Z12:Z44" si="3">IF(T12=0,0,X12/T12)</f>
        <v>-4.5899148423915168E-2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41682</v>
      </c>
      <c r="I13" s="2"/>
      <c r="J13" s="19"/>
      <c r="K13" s="2"/>
      <c r="L13" s="2">
        <f t="shared" si="0"/>
        <v>-41682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260810.99999999997</v>
      </c>
      <c r="U13" s="2"/>
      <c r="V13" s="19"/>
      <c r="W13" s="2"/>
      <c r="X13" s="2">
        <f t="shared" si="2"/>
        <v>-260810.99999999997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--10.98</f>
        <v>10.98</v>
      </c>
      <c r="E14" s="2"/>
      <c r="F14" s="19"/>
      <c r="G14" s="2"/>
      <c r="H14" s="2"/>
      <c r="I14" s="2"/>
      <c r="J14" s="19"/>
      <c r="K14" s="2"/>
      <c r="L14" s="2">
        <f t="shared" si="0"/>
        <v>10.98</v>
      </c>
      <c r="M14" s="2"/>
      <c r="N14" s="19">
        <f t="shared" si="1"/>
        <v>0</v>
      </c>
      <c r="O14" s="11"/>
      <c r="P14" s="2">
        <f>--43.92</f>
        <v>43.92</v>
      </c>
      <c r="Q14" s="2"/>
      <c r="R14" s="19"/>
      <c r="S14" s="2"/>
      <c r="T14" s="2"/>
      <c r="U14" s="2"/>
      <c r="V14" s="19"/>
      <c r="W14" s="2"/>
      <c r="X14" s="2">
        <f t="shared" si="2"/>
        <v>43.92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--75.7</f>
        <v>75.7</v>
      </c>
      <c r="E15" s="2"/>
      <c r="F15" s="19"/>
      <c r="G15" s="2"/>
      <c r="H15" s="2"/>
      <c r="I15" s="2"/>
      <c r="J15" s="19"/>
      <c r="K15" s="2"/>
      <c r="L15" s="2">
        <f t="shared" si="0"/>
        <v>75.7</v>
      </c>
      <c r="M15" s="2"/>
      <c r="N15" s="19">
        <f t="shared" si="1"/>
        <v>0</v>
      </c>
      <c r="O15" s="11"/>
      <c r="P15" s="2">
        <f>--1680.71</f>
        <v>1680.71</v>
      </c>
      <c r="Q15" s="2"/>
      <c r="R15" s="19"/>
      <c r="S15" s="2"/>
      <c r="T15" s="2"/>
      <c r="U15" s="2"/>
      <c r="V15" s="19"/>
      <c r="W15" s="2"/>
      <c r="X15" s="2">
        <f t="shared" si="2"/>
        <v>1680.71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--1068.59</f>
        <v>1068.5899999999999</v>
      </c>
      <c r="E16" s="2"/>
      <c r="F16" s="19"/>
      <c r="G16" s="2"/>
      <c r="H16" s="2"/>
      <c r="I16" s="2"/>
      <c r="J16" s="19"/>
      <c r="K16" s="2"/>
      <c r="L16" s="2">
        <f t="shared" si="0"/>
        <v>1068.5899999999999</v>
      </c>
      <c r="M16" s="2"/>
      <c r="N16" s="19">
        <f t="shared" si="1"/>
        <v>0</v>
      </c>
      <c r="O16" s="11"/>
      <c r="P16" s="2">
        <f>--5026.13</f>
        <v>5026.13</v>
      </c>
      <c r="Q16" s="2"/>
      <c r="R16" s="19"/>
      <c r="S16" s="2"/>
      <c r="T16" s="2"/>
      <c r="U16" s="2"/>
      <c r="V16" s="19"/>
      <c r="W16" s="2"/>
      <c r="X16" s="2">
        <f t="shared" si="2"/>
        <v>5026.13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--2351.94</f>
        <v>2351.94</v>
      </c>
      <c r="E17" s="2"/>
      <c r="F17" s="19"/>
      <c r="G17" s="2"/>
      <c r="H17" s="2"/>
      <c r="I17" s="2"/>
      <c r="J17" s="19"/>
      <c r="K17" s="2"/>
      <c r="L17" s="2">
        <f t="shared" si="0"/>
        <v>2351.94</v>
      </c>
      <c r="M17" s="2"/>
      <c r="N17" s="19">
        <f t="shared" si="1"/>
        <v>0</v>
      </c>
      <c r="O17" s="11"/>
      <c r="P17" s="2">
        <f>--8167.86</f>
        <v>8167.86</v>
      </c>
      <c r="Q17" s="2"/>
      <c r="R17" s="19"/>
      <c r="S17" s="2"/>
      <c r="T17" s="2"/>
      <c r="U17" s="2"/>
      <c r="V17" s="19"/>
      <c r="W17" s="2"/>
      <c r="X17" s="2">
        <f t="shared" si="2"/>
        <v>8167.86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--41021.26</f>
        <v>41021.26</v>
      </c>
      <c r="E18" s="2"/>
      <c r="F18" s="19"/>
      <c r="G18" s="2"/>
      <c r="H18" s="2"/>
      <c r="I18" s="2"/>
      <c r="J18" s="19"/>
      <c r="K18" s="2"/>
      <c r="L18" s="2">
        <f t="shared" si="0"/>
        <v>41021.26</v>
      </c>
      <c r="M18" s="2"/>
      <c r="N18" s="19">
        <f t="shared" si="1"/>
        <v>0</v>
      </c>
      <c r="O18" s="11"/>
      <c r="P18" s="2">
        <f>--222972.32</f>
        <v>222972.32</v>
      </c>
      <c r="Q18" s="2"/>
      <c r="R18" s="19"/>
      <c r="S18" s="2"/>
      <c r="T18" s="2"/>
      <c r="U18" s="2"/>
      <c r="V18" s="19"/>
      <c r="W18" s="2"/>
      <c r="X18" s="2">
        <f t="shared" si="2"/>
        <v>222972.32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>--43.03</f>
        <v>43.03</v>
      </c>
      <c r="E19" s="2"/>
      <c r="F19" s="19"/>
      <c r="G19" s="2"/>
      <c r="H19" s="2"/>
      <c r="I19" s="2"/>
      <c r="J19" s="19"/>
      <c r="K19" s="2"/>
      <c r="L19" s="2">
        <f t="shared" si="0"/>
        <v>43.03</v>
      </c>
      <c r="M19" s="2"/>
      <c r="N19" s="19">
        <f t="shared" si="1"/>
        <v>0</v>
      </c>
      <c r="O19" s="11"/>
      <c r="P19" s="2">
        <f>--349.97</f>
        <v>349.97</v>
      </c>
      <c r="Q19" s="2"/>
      <c r="R19" s="19"/>
      <c r="S19" s="2"/>
      <c r="T19" s="2"/>
      <c r="U19" s="2"/>
      <c r="V19" s="19"/>
      <c r="W19" s="2"/>
      <c r="X19" s="2">
        <f t="shared" si="2"/>
        <v>349.97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>--242.25</f>
        <v>242.25</v>
      </c>
      <c r="E20" s="2"/>
      <c r="F20" s="19"/>
      <c r="G20" s="2"/>
      <c r="H20" s="2"/>
      <c r="I20" s="2"/>
      <c r="J20" s="19"/>
      <c r="K20" s="2"/>
      <c r="L20" s="2">
        <f t="shared" si="0"/>
        <v>242.25</v>
      </c>
      <c r="M20" s="2"/>
      <c r="N20" s="19">
        <f t="shared" si="1"/>
        <v>0</v>
      </c>
      <c r="O20" s="11"/>
      <c r="P20" s="2">
        <f>--1108.59</f>
        <v>1108.5899999999999</v>
      </c>
      <c r="Q20" s="2"/>
      <c r="R20" s="19"/>
      <c r="S20" s="2"/>
      <c r="T20" s="2"/>
      <c r="U20" s="2"/>
      <c r="V20" s="19"/>
      <c r="W20" s="2"/>
      <c r="X20" s="2">
        <f t="shared" si="2"/>
        <v>1108.5899999999999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>--15.13</f>
        <v>15.13</v>
      </c>
      <c r="E21" s="2"/>
      <c r="F21" s="19"/>
      <c r="G21" s="2"/>
      <c r="H21" s="2"/>
      <c r="I21" s="2"/>
      <c r="J21" s="19"/>
      <c r="K21" s="2"/>
      <c r="L21" s="2">
        <f t="shared" si="0"/>
        <v>15.13</v>
      </c>
      <c r="M21" s="2"/>
      <c r="N21" s="19">
        <f t="shared" si="1"/>
        <v>0</v>
      </c>
      <c r="O21" s="11"/>
      <c r="P21" s="2">
        <f>--146.15</f>
        <v>146.15</v>
      </c>
      <c r="Q21" s="2"/>
      <c r="R21" s="19"/>
      <c r="S21" s="2"/>
      <c r="T21" s="2"/>
      <c r="U21" s="2"/>
      <c r="V21" s="19"/>
      <c r="W21" s="2"/>
      <c r="X21" s="2">
        <f t="shared" si="2"/>
        <v>146.15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>--479.73</f>
        <v>479.73</v>
      </c>
      <c r="E22" s="2"/>
      <c r="F22" s="19"/>
      <c r="G22" s="2"/>
      <c r="H22" s="2"/>
      <c r="I22" s="2"/>
      <c r="J22" s="19"/>
      <c r="K22" s="2"/>
      <c r="L22" s="2">
        <f t="shared" si="0"/>
        <v>479.73</v>
      </c>
      <c r="M22" s="2"/>
      <c r="N22" s="19">
        <f t="shared" si="1"/>
        <v>0</v>
      </c>
      <c r="O22" s="11"/>
      <c r="P22" s="2">
        <f>--5751.24</f>
        <v>5751.24</v>
      </c>
      <c r="Q22" s="2"/>
      <c r="R22" s="19"/>
      <c r="S22" s="2"/>
      <c r="T22" s="2"/>
      <c r="U22" s="2"/>
      <c r="V22" s="19"/>
      <c r="W22" s="2"/>
      <c r="X22" s="2">
        <f t="shared" si="2"/>
        <v>5751.24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>--171.4</f>
        <v>171.4</v>
      </c>
      <c r="E23" s="2"/>
      <c r="F23" s="19"/>
      <c r="G23" s="2"/>
      <c r="H23" s="2"/>
      <c r="I23" s="2"/>
      <c r="J23" s="19"/>
      <c r="K23" s="2"/>
      <c r="L23" s="2">
        <f t="shared" si="0"/>
        <v>171.4</v>
      </c>
      <c r="M23" s="2"/>
      <c r="N23" s="19">
        <f t="shared" si="1"/>
        <v>0</v>
      </c>
      <c r="O23" s="11"/>
      <c r="P23" s="2">
        <f>--1422.29</f>
        <v>1422.29</v>
      </c>
      <c r="Q23" s="2"/>
      <c r="R23" s="19"/>
      <c r="S23" s="2"/>
      <c r="T23" s="2"/>
      <c r="U23" s="2"/>
      <c r="V23" s="19"/>
      <c r="W23" s="2"/>
      <c r="X23" s="2">
        <f t="shared" si="2"/>
        <v>1422.29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>--17.84</f>
        <v>17.84</v>
      </c>
      <c r="E24" s="2"/>
      <c r="F24" s="19"/>
      <c r="G24" s="2"/>
      <c r="H24" s="2"/>
      <c r="I24" s="2"/>
      <c r="J24" s="19"/>
      <c r="K24" s="2"/>
      <c r="L24" s="2">
        <f t="shared" si="0"/>
        <v>17.84</v>
      </c>
      <c r="M24" s="2"/>
      <c r="N24" s="19">
        <f t="shared" si="1"/>
        <v>0</v>
      </c>
      <c r="O24" s="11"/>
      <c r="P24" s="2">
        <f>--414.1</f>
        <v>414.1</v>
      </c>
      <c r="Q24" s="2"/>
      <c r="R24" s="19"/>
      <c r="S24" s="2"/>
      <c r="T24" s="2"/>
      <c r="U24" s="2"/>
      <c r="V24" s="19"/>
      <c r="W24" s="2"/>
      <c r="X24" s="2">
        <f t="shared" si="2"/>
        <v>414.1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"4042", " - ", "TAXABLE SALES-EVERYDAY GIFTS")</f>
        <v xml:space="preserve">          4042 - TAXABLE SALES-EVERYDAY GIFTS</v>
      </c>
      <c r="C25" s="11"/>
      <c r="D25" s="2">
        <f>--32.95</f>
        <v>32.950000000000003</v>
      </c>
      <c r="E25" s="2"/>
      <c r="F25" s="19"/>
      <c r="G25" s="2"/>
      <c r="H25" s="2"/>
      <c r="I25" s="2"/>
      <c r="J25" s="19"/>
      <c r="K25" s="2"/>
      <c r="L25" s="2">
        <f t="shared" si="0"/>
        <v>32.950000000000003</v>
      </c>
      <c r="M25" s="2"/>
      <c r="N25" s="19">
        <f t="shared" si="1"/>
        <v>0</v>
      </c>
      <c r="O25" s="11"/>
      <c r="P25" s="2">
        <f>--32.95</f>
        <v>32.950000000000003</v>
      </c>
      <c r="Q25" s="2"/>
      <c r="R25" s="19"/>
      <c r="S25" s="2"/>
      <c r="T25" s="2"/>
      <c r="U25" s="2"/>
      <c r="V25" s="19"/>
      <c r="W25" s="2"/>
      <c r="X25" s="2">
        <f t="shared" si="2"/>
        <v>32.950000000000003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"4081", " - ", "TAXABLE SALES-ELECTRONICS")</f>
        <v xml:space="preserve">          4081 - TAXABLE SALES-ELECTRONICS</v>
      </c>
      <c r="C26" s="11"/>
      <c r="D26" s="2">
        <f>--266.85</f>
        <v>266.85000000000002</v>
      </c>
      <c r="E26" s="2"/>
      <c r="F26" s="19"/>
      <c r="G26" s="2"/>
      <c r="H26" s="2"/>
      <c r="I26" s="2"/>
      <c r="J26" s="19"/>
      <c r="K26" s="2"/>
      <c r="L26" s="2">
        <f t="shared" si="0"/>
        <v>266.85000000000002</v>
      </c>
      <c r="M26" s="2"/>
      <c r="N26" s="19">
        <f t="shared" si="1"/>
        <v>0</v>
      </c>
      <c r="O26" s="11"/>
      <c r="P26" s="2">
        <f>--2801.28</f>
        <v>2801.28</v>
      </c>
      <c r="Q26" s="2"/>
      <c r="R26" s="19"/>
      <c r="S26" s="2"/>
      <c r="T26" s="2"/>
      <c r="U26" s="2"/>
      <c r="V26" s="19"/>
      <c r="W26" s="2"/>
      <c r="X26" s="2">
        <f t="shared" si="2"/>
        <v>2801.28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>--38</f>
        <v>38</v>
      </c>
      <c r="E27" s="2"/>
      <c r="F27" s="19"/>
      <c r="G27" s="2"/>
      <c r="H27" s="2"/>
      <c r="I27" s="2"/>
      <c r="J27" s="19"/>
      <c r="K27" s="2"/>
      <c r="L27" s="2">
        <f t="shared" si="0"/>
        <v>38</v>
      </c>
      <c r="M27" s="2"/>
      <c r="N27" s="19">
        <f t="shared" si="1"/>
        <v>0</v>
      </c>
      <c r="O27" s="11"/>
      <c r="P27" s="2">
        <f>--219</f>
        <v>219</v>
      </c>
      <c r="Q27" s="2"/>
      <c r="R27" s="19"/>
      <c r="S27" s="2"/>
      <c r="T27" s="2"/>
      <c r="U27" s="2"/>
      <c r="V27" s="19"/>
      <c r="W27" s="2"/>
      <c r="X27" s="2">
        <f t="shared" si="2"/>
        <v>219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>--149.91</f>
        <v>149.91</v>
      </c>
      <c r="E28" s="2"/>
      <c r="F28" s="19"/>
      <c r="G28" s="2"/>
      <c r="H28" s="2"/>
      <c r="I28" s="2"/>
      <c r="J28" s="19"/>
      <c r="K28" s="2"/>
      <c r="L28" s="2">
        <f t="shared" si="0"/>
        <v>149.91</v>
      </c>
      <c r="M28" s="2"/>
      <c r="N28" s="19">
        <f t="shared" si="1"/>
        <v>0</v>
      </c>
      <c r="O28" s="11"/>
      <c r="P28" s="2">
        <f>--849.39</f>
        <v>849.39</v>
      </c>
      <c r="Q28" s="2"/>
      <c r="R28" s="19"/>
      <c r="S28" s="2"/>
      <c r="T28" s="2"/>
      <c r="U28" s="2"/>
      <c r="V28" s="19"/>
      <c r="W28" s="2"/>
      <c r="X28" s="2">
        <f t="shared" si="2"/>
        <v>849.39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>--76.99</f>
        <v>76.989999999999995</v>
      </c>
      <c r="E29" s="2"/>
      <c r="F29" s="19"/>
      <c r="G29" s="2"/>
      <c r="H29" s="2"/>
      <c r="I29" s="2"/>
      <c r="J29" s="19"/>
      <c r="K29" s="2"/>
      <c r="L29" s="2">
        <f t="shared" si="0"/>
        <v>76.989999999999995</v>
      </c>
      <c r="M29" s="2"/>
      <c r="N29" s="19">
        <f t="shared" si="1"/>
        <v>0</v>
      </c>
      <c r="O29" s="11"/>
      <c r="P29" s="2">
        <f>--775.76</f>
        <v>775.76</v>
      </c>
      <c r="Q29" s="2"/>
      <c r="R29" s="19"/>
      <c r="S29" s="2"/>
      <c r="T29" s="2"/>
      <c r="U29" s="2"/>
      <c r="V29" s="19"/>
      <c r="W29" s="2"/>
      <c r="X29" s="2">
        <f t="shared" si="2"/>
        <v>775.76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"4100", " - ", "NON-TAXABLE SALES")</f>
        <v xml:space="preserve">          4100 - NON-TAXABLE SALES</v>
      </c>
      <c r="C30" s="11"/>
      <c r="D30" s="2">
        <f>0</f>
        <v>0</v>
      </c>
      <c r="E30" s="2"/>
      <c r="F30" s="19"/>
      <c r="G30" s="2"/>
      <c r="H30" s="2">
        <v>7217</v>
      </c>
      <c r="I30" s="2"/>
      <c r="J30" s="19"/>
      <c r="K30" s="2"/>
      <c r="L30" s="2">
        <f t="shared" si="0"/>
        <v>-7217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v>75624</v>
      </c>
      <c r="U30" s="2"/>
      <c r="V30" s="19"/>
      <c r="W30" s="2"/>
      <c r="X30" s="2">
        <f t="shared" si="2"/>
        <v>-75624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"4127", " - ", "NON-TAXABLE SALES-SCHOOL SUPPL")</f>
        <v xml:space="preserve">          4127 - NON-TAXABLE SALES-SCHOOL SUPPL</v>
      </c>
      <c r="C31" s="11"/>
      <c r="D31" s="2">
        <f>--1.99</f>
        <v>1.99</v>
      </c>
      <c r="E31" s="2"/>
      <c r="F31" s="19"/>
      <c r="G31" s="2"/>
      <c r="H31" s="2"/>
      <c r="I31" s="2"/>
      <c r="J31" s="19"/>
      <c r="K31" s="2"/>
      <c r="L31" s="2">
        <f t="shared" si="0"/>
        <v>1.99</v>
      </c>
      <c r="M31" s="2"/>
      <c r="N31" s="19">
        <f t="shared" si="1"/>
        <v>0</v>
      </c>
      <c r="O31" s="11"/>
      <c r="P31" s="2">
        <f>--14.16</f>
        <v>14.16</v>
      </c>
      <c r="Q31" s="2"/>
      <c r="R31" s="19"/>
      <c r="S31" s="2"/>
      <c r="T31" s="2"/>
      <c r="U31" s="2"/>
      <c r="V31" s="19"/>
      <c r="W31" s="2"/>
      <c r="X31" s="2">
        <f t="shared" si="2"/>
        <v>14.16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"4128", " - ", "NON-TAXABLE SALES-ART/TECH")</f>
        <v xml:space="preserve">          4128 - NON-TAXABLE SALES-ART/TECH</v>
      </c>
      <c r="C32" s="11"/>
      <c r="D32" s="2">
        <f>--80.97</f>
        <v>80.97</v>
      </c>
      <c r="E32" s="2"/>
      <c r="F32" s="19"/>
      <c r="G32" s="2"/>
      <c r="H32" s="2"/>
      <c r="I32" s="2"/>
      <c r="J32" s="19"/>
      <c r="K32" s="2"/>
      <c r="L32" s="2">
        <f t="shared" si="0"/>
        <v>80.97</v>
      </c>
      <c r="M32" s="2"/>
      <c r="N32" s="19">
        <f t="shared" si="1"/>
        <v>0</v>
      </c>
      <c r="O32" s="11"/>
      <c r="P32" s="2">
        <f>--176.37</f>
        <v>176.37</v>
      </c>
      <c r="Q32" s="2"/>
      <c r="R32" s="19"/>
      <c r="S32" s="2"/>
      <c r="T32" s="2"/>
      <c r="U32" s="2"/>
      <c r="V32" s="19"/>
      <c r="W32" s="2"/>
      <c r="X32" s="2">
        <f t="shared" si="2"/>
        <v>176.37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"4131", " - ", "NON-TAXABLE SALES-FOOD")</f>
        <v xml:space="preserve">          4131 - NON-TAXABLE SALES-FOOD</v>
      </c>
      <c r="C33" s="11"/>
      <c r="D33" s="2">
        <f>--3794.43</f>
        <v>3794.43</v>
      </c>
      <c r="E33" s="2"/>
      <c r="F33" s="19"/>
      <c r="G33" s="2"/>
      <c r="H33" s="2"/>
      <c r="I33" s="2"/>
      <c r="J33" s="19"/>
      <c r="K33" s="2"/>
      <c r="L33" s="2">
        <f t="shared" si="0"/>
        <v>3794.43</v>
      </c>
      <c r="M33" s="2"/>
      <c r="N33" s="19">
        <f t="shared" si="1"/>
        <v>0</v>
      </c>
      <c r="O33" s="11"/>
      <c r="P33" s="2">
        <f>--41925.67</f>
        <v>41925.67</v>
      </c>
      <c r="Q33" s="2"/>
      <c r="R33" s="19"/>
      <c r="S33" s="2"/>
      <c r="T33" s="2"/>
      <c r="U33" s="2"/>
      <c r="V33" s="19"/>
      <c r="W33" s="2"/>
      <c r="X33" s="2">
        <f t="shared" si="2"/>
        <v>41925.67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"4132", " - ", "NON-TAXABLE SALES-JUICE")</f>
        <v xml:space="preserve">          4132 - NON-TAXABLE SALES-JUICE</v>
      </c>
      <c r="C34" s="11"/>
      <c r="D34" s="2">
        <f>--1102.23</f>
        <v>1102.23</v>
      </c>
      <c r="E34" s="2"/>
      <c r="F34" s="19"/>
      <c r="G34" s="2"/>
      <c r="H34" s="2"/>
      <c r="I34" s="2"/>
      <c r="J34" s="19"/>
      <c r="K34" s="2"/>
      <c r="L34" s="2">
        <f t="shared" si="0"/>
        <v>1102.23</v>
      </c>
      <c r="M34" s="2"/>
      <c r="N34" s="19">
        <f t="shared" si="1"/>
        <v>0</v>
      </c>
      <c r="O34" s="11"/>
      <c r="P34" s="2">
        <f>--12547.43</f>
        <v>12547.43</v>
      </c>
      <c r="Q34" s="2"/>
      <c r="R34" s="19"/>
      <c r="S34" s="2"/>
      <c r="T34" s="2"/>
      <c r="U34" s="2"/>
      <c r="V34" s="19"/>
      <c r="W34" s="2"/>
      <c r="X34" s="2">
        <f t="shared" si="2"/>
        <v>12547.43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"4133", " - ", "NON-TAXABLE SALES-CANDY")</f>
        <v xml:space="preserve">          4133 - NON-TAXABLE SALES-CANDY</v>
      </c>
      <c r="C35" s="11"/>
      <c r="D35" s="2">
        <f>--1239.37</f>
        <v>1239.3699999999999</v>
      </c>
      <c r="E35" s="2"/>
      <c r="F35" s="19"/>
      <c r="G35" s="2"/>
      <c r="H35" s="2"/>
      <c r="I35" s="2"/>
      <c r="J35" s="19"/>
      <c r="K35" s="2"/>
      <c r="L35" s="2">
        <f t="shared" si="0"/>
        <v>1239.3699999999999</v>
      </c>
      <c r="M35" s="2"/>
      <c r="N35" s="19">
        <f t="shared" si="1"/>
        <v>0</v>
      </c>
      <c r="O35" s="11"/>
      <c r="P35" s="2">
        <f>--11846.36</f>
        <v>11846.36</v>
      </c>
      <c r="Q35" s="2"/>
      <c r="R35" s="19"/>
      <c r="S35" s="2"/>
      <c r="T35" s="2"/>
      <c r="U35" s="2"/>
      <c r="V35" s="19"/>
      <c r="W35" s="2"/>
      <c r="X35" s="2">
        <f t="shared" si="2"/>
        <v>11846.36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"4135", " - ", "NON-TAXABLE SALES")</f>
        <v xml:space="preserve">          4135 - NON-TAXABLE SALES</v>
      </c>
      <c r="C36" s="11"/>
      <c r="D36" s="2">
        <f>--21.54</f>
        <v>21.54</v>
      </c>
      <c r="E36" s="2"/>
      <c r="F36" s="19"/>
      <c r="G36" s="2"/>
      <c r="H36" s="2"/>
      <c r="I36" s="2"/>
      <c r="J36" s="19"/>
      <c r="K36" s="2"/>
      <c r="L36" s="2">
        <f t="shared" si="0"/>
        <v>21.54</v>
      </c>
      <c r="M36" s="2"/>
      <c r="N36" s="19">
        <f t="shared" si="1"/>
        <v>0</v>
      </c>
      <c r="O36" s="11"/>
      <c r="P36" s="2">
        <f>--89.7</f>
        <v>89.7</v>
      </c>
      <c r="Q36" s="2"/>
      <c r="R36" s="19"/>
      <c r="S36" s="2"/>
      <c r="T36" s="2"/>
      <c r="U36" s="2"/>
      <c r="V36" s="19"/>
      <c r="W36" s="2"/>
      <c r="X36" s="2">
        <f t="shared" si="2"/>
        <v>89.7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"4137", " - ", "NON-TAXABLE SALES-WATER")</f>
        <v xml:space="preserve">          4137 - NON-TAXABLE SALES-WATER</v>
      </c>
      <c r="C37" s="11"/>
      <c r="D37" s="2">
        <f>--625.39</f>
        <v>625.39</v>
      </c>
      <c r="E37" s="2"/>
      <c r="F37" s="19"/>
      <c r="G37" s="2"/>
      <c r="H37" s="2"/>
      <c r="I37" s="2"/>
      <c r="J37" s="19"/>
      <c r="K37" s="2"/>
      <c r="L37" s="2">
        <f t="shared" si="0"/>
        <v>625.39</v>
      </c>
      <c r="M37" s="2"/>
      <c r="N37" s="19">
        <f t="shared" si="1"/>
        <v>0</v>
      </c>
      <c r="O37" s="11"/>
      <c r="P37" s="2">
        <f>--6445.46</f>
        <v>6445.46</v>
      </c>
      <c r="Q37" s="2"/>
      <c r="R37" s="19"/>
      <c r="S37" s="2"/>
      <c r="T37" s="2"/>
      <c r="U37" s="2"/>
      <c r="V37" s="19"/>
      <c r="W37" s="2"/>
      <c r="X37" s="2">
        <f t="shared" si="2"/>
        <v>6445.46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"4186", " - ", "NON-TAXABLE SALES-COMPUTER SUP")</f>
        <v xml:space="preserve">          4186 - NON-TAXABLE SALES-COMPUTER SUP</v>
      </c>
      <c r="C38" s="11"/>
      <c r="D38" s="2">
        <f t="shared" ref="D38:D39" si="4">0</f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-30.97</f>
        <v>-30.97</v>
      </c>
      <c r="Q38" s="2"/>
      <c r="R38" s="19"/>
      <c r="S38" s="2"/>
      <c r="T38" s="2"/>
      <c r="U38" s="2"/>
      <c r="V38" s="19"/>
      <c r="W38" s="2"/>
      <c r="X38" s="2">
        <f t="shared" si="2"/>
        <v>-30.97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"4225", " - ", "SALES RETURN TAXABLE-TEST FORM")</f>
        <v xml:space="preserve">          4225 - SALES RETURN TAXABLE-TEST FORM</v>
      </c>
      <c r="C39" s="11"/>
      <c r="D39" s="2">
        <f t="shared" si="4"/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-1.39</f>
        <v>-1.39</v>
      </c>
      <c r="Q39" s="2"/>
      <c r="R39" s="19"/>
      <c r="S39" s="2"/>
      <c r="T39" s="2"/>
      <c r="U39" s="2"/>
      <c r="V39" s="19"/>
      <c r="W39" s="2"/>
      <c r="X39" s="2">
        <f t="shared" si="2"/>
        <v>-1.39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"4226", " - ", "SALES RETURN TAXABLE-WRITING I")</f>
        <v xml:space="preserve">          4226 - SALES RETURN TAXABLE-WRITING I</v>
      </c>
      <c r="C40" s="11"/>
      <c r="D40" s="2">
        <f>-1.99</f>
        <v>-1.99</v>
      </c>
      <c r="E40" s="2"/>
      <c r="F40" s="19"/>
      <c r="G40" s="2"/>
      <c r="H40" s="2"/>
      <c r="I40" s="2"/>
      <c r="J40" s="19"/>
      <c r="K40" s="2"/>
      <c r="L40" s="2">
        <f t="shared" si="0"/>
        <v>-1.99</v>
      </c>
      <c r="M40" s="2"/>
      <c r="N40" s="19">
        <f t="shared" si="1"/>
        <v>0</v>
      </c>
      <c r="O40" s="11"/>
      <c r="P40" s="2">
        <f>-8.76</f>
        <v>-8.76</v>
      </c>
      <c r="Q40" s="2"/>
      <c r="R40" s="19"/>
      <c r="S40" s="2"/>
      <c r="T40" s="2"/>
      <c r="U40" s="2"/>
      <c r="V40" s="19"/>
      <c r="W40" s="2"/>
      <c r="X40" s="2">
        <f t="shared" si="2"/>
        <v>-8.76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"4227", " - ", "SALES RETURN TAXABLE-SCHOOL SU")</f>
        <v xml:space="preserve">          4227 - SALES RETURN TAXABLE-SCHOOL SU</v>
      </c>
      <c r="C41" s="11"/>
      <c r="D41" s="2">
        <f>-14.08</f>
        <v>-14.08</v>
      </c>
      <c r="E41" s="2"/>
      <c r="F41" s="19"/>
      <c r="G41" s="2"/>
      <c r="H41" s="2"/>
      <c r="I41" s="2"/>
      <c r="J41" s="19"/>
      <c r="K41" s="2"/>
      <c r="L41" s="2">
        <f t="shared" si="0"/>
        <v>-14.08</v>
      </c>
      <c r="M41" s="2"/>
      <c r="N41" s="19">
        <f t="shared" si="1"/>
        <v>0</v>
      </c>
      <c r="O41" s="11"/>
      <c r="P41" s="2">
        <f>-42.06</f>
        <v>-42.06</v>
      </c>
      <c r="Q41" s="2"/>
      <c r="R41" s="19"/>
      <c r="S41" s="2"/>
      <c r="T41" s="2"/>
      <c r="U41" s="2"/>
      <c r="V41" s="19"/>
      <c r="W41" s="2"/>
      <c r="X41" s="2">
        <f t="shared" si="2"/>
        <v>-42.06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"4228", " - ", "SALES RETURN TAXABLE-ART/TECH")</f>
        <v xml:space="preserve">          4228 - SALES RETURN TAXABLE-ART/TECH</v>
      </c>
      <c r="C42" s="11"/>
      <c r="D42" s="2">
        <f>-763.58</f>
        <v>-763.58</v>
      </c>
      <c r="E42" s="2"/>
      <c r="F42" s="19"/>
      <c r="G42" s="2"/>
      <c r="H42" s="2"/>
      <c r="I42" s="2"/>
      <c r="J42" s="19"/>
      <c r="K42" s="2"/>
      <c r="L42" s="2">
        <f t="shared" si="0"/>
        <v>-763.58</v>
      </c>
      <c r="M42" s="2"/>
      <c r="N42" s="19">
        <f t="shared" si="1"/>
        <v>0</v>
      </c>
      <c r="O42" s="11"/>
      <c r="P42" s="2">
        <f>-3674.45</f>
        <v>-3674.45</v>
      </c>
      <c r="Q42" s="2"/>
      <c r="R42" s="19"/>
      <c r="S42" s="2"/>
      <c r="T42" s="2"/>
      <c r="U42" s="2"/>
      <c r="V42" s="19"/>
      <c r="W42" s="2"/>
      <c r="X42" s="2">
        <f t="shared" si="2"/>
        <v>-3674.45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"4233", " - ", "SALES RETURN TAXABLE-CANDY")</f>
        <v xml:space="preserve">          4233 - SALES RETURN TAXABLE-CANDY</v>
      </c>
      <c r="C43" s="11"/>
      <c r="D43" s="2">
        <f t="shared" ref="D43:D44" si="5">0</f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-1.29</f>
        <v>-1.29</v>
      </c>
      <c r="Q43" s="2"/>
      <c r="R43" s="19"/>
      <c r="S43" s="2"/>
      <c r="T43" s="2"/>
      <c r="U43" s="2"/>
      <c r="V43" s="19"/>
      <c r="W43" s="2"/>
      <c r="X43" s="2">
        <f t="shared" si="2"/>
        <v>-1.29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"4281", " - ", "SALES RETURN TAXABLE-ELECTRONI")</f>
        <v xml:space="preserve">          4281 - SALES RETURN TAXABLE-ELECTRONI</v>
      </c>
      <c r="C44" s="11"/>
      <c r="D44" s="2">
        <f t="shared" si="5"/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-54.97</f>
        <v>-54.97</v>
      </c>
      <c r="Q44" s="2"/>
      <c r="R44" s="19"/>
      <c r="S44" s="2"/>
      <c r="T44" s="2"/>
      <c r="U44" s="2"/>
      <c r="V44" s="19"/>
      <c r="W44" s="2"/>
      <c r="X44" s="2">
        <f t="shared" si="2"/>
        <v>-54.97</v>
      </c>
      <c r="Y44" s="2"/>
      <c r="Z44" s="19">
        <f t="shared" si="3"/>
        <v>0</v>
      </c>
    </row>
    <row r="45" spans="1:26" x14ac:dyDescent="0.25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collapsed="1" x14ac:dyDescent="0.25">
      <c r="A46" s="10"/>
      <c r="B46" s="28" t="s">
        <v>8</v>
      </c>
      <c r="C46" s="10"/>
      <c r="D46" s="4">
        <f>SUM(OSRRefD16x_0)</f>
        <v>27594.300000000007</v>
      </c>
      <c r="E46" s="4"/>
      <c r="F46" s="12">
        <f t="shared" ref="F46:F67" si="6">IF(D$12=0,0,D46/D$12)</f>
        <v>0.52914524240433447</v>
      </c>
      <c r="G46" s="4"/>
      <c r="H46" s="4">
        <f>SUM(OSRRefH16x_0)</f>
        <v>20823</v>
      </c>
      <c r="I46" s="4"/>
      <c r="J46" s="12">
        <f t="shared" ref="J46:J67" si="7">IF(H$12=0,0,H46/H$12)</f>
        <v>0.42583692918055582</v>
      </c>
      <c r="K46" s="4"/>
      <c r="L46" s="4">
        <f t="shared" ref="L46:L67" si="8">+D46-H46</f>
        <v>6771.3000000000065</v>
      </c>
      <c r="M46" s="4"/>
      <c r="N46" s="12">
        <f t="shared" ref="N46:N67" si="9">IF(H46=0,0,L46/H46)</f>
        <v>0.32518369111079126</v>
      </c>
      <c r="O46" s="10"/>
      <c r="P46" s="4">
        <f>SUM(OSRRefP16x_0)</f>
        <v>168781.30999999997</v>
      </c>
      <c r="Q46" s="4"/>
      <c r="R46" s="12">
        <f t="shared" ref="R46:R67" si="10">IF(P$12=0,0,P46/P$12)</f>
        <v>0.52581007082648401</v>
      </c>
      <c r="S46" s="4"/>
      <c r="T46" s="4">
        <f>SUM(OSRRefT16x_0)</f>
        <v>146661</v>
      </c>
      <c r="U46" s="4"/>
      <c r="V46" s="12">
        <f t="shared" ref="V46:V67" si="11">IF(T$12=0,0,T46/T$12)</f>
        <v>0.43592670203754069</v>
      </c>
      <c r="W46" s="4"/>
      <c r="X46" s="4">
        <f t="shared" ref="X46:X67" si="12">+P46-T46</f>
        <v>22120.309999999969</v>
      </c>
      <c r="Y46" s="4"/>
      <c r="Z46" s="12">
        <f t="shared" ref="Z46:Z67" si="13">IF(T46=0,0,X46/T46)</f>
        <v>0.15082612282747265</v>
      </c>
    </row>
    <row r="47" spans="1:26" s="24" customFormat="1" hidden="1" outlineLevel="1" x14ac:dyDescent="0.25">
      <c r="A47" s="44"/>
      <c r="B47" s="11" t="str">
        <f>CONCATENATE("          ", "5000", " - ", "PURCHASES @ COST")</f>
        <v xml:space="preserve">          5000 - PURCHASES @ COST</v>
      </c>
      <c r="C47" s="11"/>
      <c r="D47" s="2"/>
      <c r="E47" s="2"/>
      <c r="F47" s="19">
        <f t="shared" si="6"/>
        <v>0</v>
      </c>
      <c r="G47" s="2"/>
      <c r="H47" s="2">
        <v>20823</v>
      </c>
      <c r="I47" s="2"/>
      <c r="J47" s="19">
        <f t="shared" si="7"/>
        <v>0.42583692918055582</v>
      </c>
      <c r="K47" s="2"/>
      <c r="L47" s="2">
        <f t="shared" si="8"/>
        <v>-20823</v>
      </c>
      <c r="M47" s="2"/>
      <c r="N47" s="19">
        <f t="shared" si="9"/>
        <v>-1</v>
      </c>
      <c r="O47" s="11"/>
      <c r="P47" s="2"/>
      <c r="Q47" s="2"/>
      <c r="R47" s="19">
        <f t="shared" si="10"/>
        <v>0</v>
      </c>
      <c r="S47" s="2"/>
      <c r="T47" s="2">
        <v>146661</v>
      </c>
      <c r="U47" s="2"/>
      <c r="V47" s="19">
        <f t="shared" si="11"/>
        <v>0.43592670203754069</v>
      </c>
      <c r="W47" s="2"/>
      <c r="X47" s="2">
        <f t="shared" si="12"/>
        <v>-146661</v>
      </c>
      <c r="Y47" s="2"/>
      <c r="Z47" s="19">
        <f t="shared" si="13"/>
        <v>-1</v>
      </c>
    </row>
    <row r="48" spans="1:26" s="24" customFormat="1" hidden="1" outlineLevel="1" x14ac:dyDescent="0.25">
      <c r="A48" s="44"/>
      <c r="B48" s="11" t="str">
        <f>CONCATENATE("          ", "5014", " - ", "PURCHASES @ COST-REMAINDERS")</f>
        <v xml:space="preserve">          5014 - PURCHASES @ COST-REMAINDERS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14.46</v>
      </c>
      <c r="Q48" s="2"/>
      <c r="R48" s="19">
        <f t="shared" si="10"/>
        <v>4.5047722547899175E-5</v>
      </c>
      <c r="S48" s="2"/>
      <c r="T48" s="2"/>
      <c r="U48" s="2"/>
      <c r="V48" s="19">
        <f t="shared" si="11"/>
        <v>0</v>
      </c>
      <c r="W48" s="2"/>
      <c r="X48" s="2">
        <f t="shared" si="12"/>
        <v>14.46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"5025", " - ", "PURCHASES @ COST-TEST FORMS")</f>
        <v xml:space="preserve">          5025 - PURCHASES @ COST-TEST FORMS</v>
      </c>
      <c r="C49" s="11"/>
      <c r="D49" s="2">
        <v>33</v>
      </c>
      <c r="E49" s="2"/>
      <c r="F49" s="19">
        <f t="shared" si="6"/>
        <v>6.3280434725081029E-4</v>
      </c>
      <c r="G49" s="2"/>
      <c r="H49" s="2"/>
      <c r="I49" s="2"/>
      <c r="J49" s="19">
        <f t="shared" si="7"/>
        <v>0</v>
      </c>
      <c r="K49" s="2"/>
      <c r="L49" s="2">
        <f t="shared" si="8"/>
        <v>33</v>
      </c>
      <c r="M49" s="2"/>
      <c r="N49" s="19">
        <f t="shared" si="9"/>
        <v>0</v>
      </c>
      <c r="O49" s="11"/>
      <c r="P49" s="2">
        <v>505.36</v>
      </c>
      <c r="Q49" s="2"/>
      <c r="R49" s="19">
        <f t="shared" si="10"/>
        <v>1.5743649423794141E-3</v>
      </c>
      <c r="S49" s="2"/>
      <c r="T49" s="2"/>
      <c r="U49" s="2"/>
      <c r="V49" s="19">
        <f t="shared" si="11"/>
        <v>0</v>
      </c>
      <c r="W49" s="2"/>
      <c r="X49" s="2">
        <f t="shared" si="12"/>
        <v>505.36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"5026", " - ", "PURCHASES @ COST-WRITING INSTR")</f>
        <v xml:space="preserve">          5026 - PURCHASES @ COST-WRITING INSTR</v>
      </c>
      <c r="C50" s="11"/>
      <c r="D50" s="2">
        <v>1242.5999999999999</v>
      </c>
      <c r="E50" s="2"/>
      <c r="F50" s="19">
        <f t="shared" si="6"/>
        <v>2.3827960057389599E-2</v>
      </c>
      <c r="G50" s="2"/>
      <c r="H50" s="2"/>
      <c r="I50" s="2"/>
      <c r="J50" s="19">
        <f t="shared" si="7"/>
        <v>0</v>
      </c>
      <c r="K50" s="2"/>
      <c r="L50" s="2">
        <f t="shared" si="8"/>
        <v>1242.5999999999999</v>
      </c>
      <c r="M50" s="2"/>
      <c r="N50" s="19">
        <f t="shared" si="9"/>
        <v>0</v>
      </c>
      <c r="O50" s="11"/>
      <c r="P50" s="2">
        <v>3830.79</v>
      </c>
      <c r="Q50" s="2"/>
      <c r="R50" s="19">
        <f t="shared" si="10"/>
        <v>1.1934188454997696E-2</v>
      </c>
      <c r="S50" s="2"/>
      <c r="T50" s="2"/>
      <c r="U50" s="2"/>
      <c r="V50" s="19">
        <f t="shared" si="11"/>
        <v>0</v>
      </c>
      <c r="W50" s="2"/>
      <c r="X50" s="2">
        <f t="shared" si="12"/>
        <v>3830.79</v>
      </c>
      <c r="Y50" s="2"/>
      <c r="Z50" s="19">
        <f t="shared" si="13"/>
        <v>0</v>
      </c>
    </row>
    <row r="51" spans="1:26" s="24" customFormat="1" hidden="1" outlineLevel="1" x14ac:dyDescent="0.25">
      <c r="A51" s="44"/>
      <c r="B51" s="11" t="str">
        <f>CONCATENATE("          ", "5027", " - ", "PURCHASES @ COST-SCHOOL SUPPLI")</f>
        <v xml:space="preserve">          5027 - PURCHASES @ COST-SCHOOL SUPPLI</v>
      </c>
      <c r="C51" s="11"/>
      <c r="D51" s="2">
        <v>1109.3800000000001</v>
      </c>
      <c r="E51" s="2"/>
      <c r="F51" s="19">
        <f t="shared" si="6"/>
        <v>2.1273348083427394E-2</v>
      </c>
      <c r="G51" s="2"/>
      <c r="H51" s="2"/>
      <c r="I51" s="2"/>
      <c r="J51" s="19">
        <f t="shared" si="7"/>
        <v>0</v>
      </c>
      <c r="K51" s="2"/>
      <c r="L51" s="2">
        <f t="shared" si="8"/>
        <v>1109.3800000000001</v>
      </c>
      <c r="M51" s="2"/>
      <c r="N51" s="19">
        <f t="shared" si="9"/>
        <v>0</v>
      </c>
      <c r="O51" s="11"/>
      <c r="P51" s="2">
        <v>3051.32</v>
      </c>
      <c r="Q51" s="2"/>
      <c r="R51" s="19">
        <f t="shared" si="10"/>
        <v>9.5058794443192048E-3</v>
      </c>
      <c r="S51" s="2"/>
      <c r="T51" s="2"/>
      <c r="U51" s="2"/>
      <c r="V51" s="19">
        <f t="shared" si="11"/>
        <v>0</v>
      </c>
      <c r="W51" s="2"/>
      <c r="X51" s="2">
        <f t="shared" si="12"/>
        <v>3051.32</v>
      </c>
      <c r="Y51" s="2"/>
      <c r="Z51" s="19">
        <f t="shared" si="13"/>
        <v>0</v>
      </c>
    </row>
    <row r="52" spans="1:26" s="24" customFormat="1" hidden="1" outlineLevel="1" x14ac:dyDescent="0.25">
      <c r="A52" s="44"/>
      <c r="B52" s="11" t="str">
        <f>CONCATENATE("          ", "5028", " - ", "PURCHASES @ COST-ART/TECH")</f>
        <v xml:space="preserve">          5028 - PURCHASES @ COST-ART/TECH</v>
      </c>
      <c r="C52" s="11"/>
      <c r="D52" s="2">
        <v>30639.230000000003</v>
      </c>
      <c r="E52" s="2"/>
      <c r="F52" s="19">
        <f t="shared" si="6"/>
        <v>0.58753448304295286</v>
      </c>
      <c r="G52" s="2"/>
      <c r="H52" s="2"/>
      <c r="I52" s="2"/>
      <c r="J52" s="19">
        <f t="shared" si="7"/>
        <v>0</v>
      </c>
      <c r="K52" s="2"/>
      <c r="L52" s="2">
        <f t="shared" si="8"/>
        <v>30639.230000000003</v>
      </c>
      <c r="M52" s="2"/>
      <c r="N52" s="19">
        <f t="shared" si="9"/>
        <v>0</v>
      </c>
      <c r="O52" s="11"/>
      <c r="P52" s="2">
        <v>130130.06</v>
      </c>
      <c r="Q52" s="2"/>
      <c r="R52" s="19">
        <f t="shared" si="10"/>
        <v>0.40539853651600777</v>
      </c>
      <c r="S52" s="2"/>
      <c r="T52" s="2"/>
      <c r="U52" s="2"/>
      <c r="V52" s="19">
        <f t="shared" si="11"/>
        <v>0</v>
      </c>
      <c r="W52" s="2"/>
      <c r="X52" s="2">
        <f t="shared" si="12"/>
        <v>130130.06</v>
      </c>
      <c r="Y52" s="2"/>
      <c r="Z52" s="19">
        <f t="shared" si="13"/>
        <v>0</v>
      </c>
    </row>
    <row r="53" spans="1:26" s="24" customFormat="1" hidden="1" outlineLevel="1" x14ac:dyDescent="0.25">
      <c r="A53" s="44"/>
      <c r="B53" s="11" t="str">
        <f>CONCATENATE("          ", "5031", " - ", "PURCHASES @ COST-FOOD")</f>
        <v xml:space="preserve">          5031 - PURCHASES @ COST-FOOD</v>
      </c>
      <c r="C53" s="11"/>
      <c r="D53" s="2">
        <v>2265.7399999999998</v>
      </c>
      <c r="E53" s="2"/>
      <c r="F53" s="19">
        <f t="shared" si="6"/>
        <v>4.3447579446668202E-2</v>
      </c>
      <c r="G53" s="2"/>
      <c r="H53" s="2"/>
      <c r="I53" s="2"/>
      <c r="J53" s="19">
        <f t="shared" si="7"/>
        <v>0</v>
      </c>
      <c r="K53" s="2"/>
      <c r="L53" s="2">
        <f t="shared" si="8"/>
        <v>2265.7399999999998</v>
      </c>
      <c r="M53" s="2"/>
      <c r="N53" s="19">
        <f t="shared" si="9"/>
        <v>0</v>
      </c>
      <c r="O53" s="11"/>
      <c r="P53" s="2">
        <v>24507.3</v>
      </c>
      <c r="Q53" s="2"/>
      <c r="R53" s="19">
        <f t="shared" si="10"/>
        <v>7.6348412918266204E-2</v>
      </c>
      <c r="S53" s="2"/>
      <c r="T53" s="2"/>
      <c r="U53" s="2"/>
      <c r="V53" s="19">
        <f t="shared" si="11"/>
        <v>0</v>
      </c>
      <c r="W53" s="2"/>
      <c r="X53" s="2">
        <f t="shared" si="12"/>
        <v>24507.3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"5032", " - ", "PURCHASES @ COST-JUICE")</f>
        <v xml:space="preserve">          5032 - PURCHASES @ COST-JUICE</v>
      </c>
      <c r="C54" s="11"/>
      <c r="D54" s="2">
        <v>371.03</v>
      </c>
      <c r="E54" s="2"/>
      <c r="F54" s="19">
        <f t="shared" si="6"/>
        <v>7.1148302109232762E-3</v>
      </c>
      <c r="G54" s="2"/>
      <c r="H54" s="2"/>
      <c r="I54" s="2"/>
      <c r="J54" s="19">
        <f t="shared" si="7"/>
        <v>0</v>
      </c>
      <c r="K54" s="2"/>
      <c r="L54" s="2">
        <f t="shared" si="8"/>
        <v>371.03</v>
      </c>
      <c r="M54" s="2"/>
      <c r="N54" s="19">
        <f t="shared" si="9"/>
        <v>0</v>
      </c>
      <c r="O54" s="11"/>
      <c r="P54" s="2">
        <v>5392.51</v>
      </c>
      <c r="Q54" s="2"/>
      <c r="R54" s="19">
        <f t="shared" si="10"/>
        <v>1.6799467103511188E-2</v>
      </c>
      <c r="S54" s="2"/>
      <c r="T54" s="2"/>
      <c r="U54" s="2"/>
      <c r="V54" s="19">
        <f t="shared" si="11"/>
        <v>0</v>
      </c>
      <c r="W54" s="2"/>
      <c r="X54" s="2">
        <f t="shared" si="12"/>
        <v>5392.51</v>
      </c>
      <c r="Y54" s="2"/>
      <c r="Z54" s="19">
        <f t="shared" si="13"/>
        <v>0</v>
      </c>
    </row>
    <row r="55" spans="1:26" s="24" customFormat="1" hidden="1" outlineLevel="1" x14ac:dyDescent="0.25">
      <c r="A55" s="44"/>
      <c r="B55" s="11" t="str">
        <f>CONCATENATE("          ", "5033", " - ", "PURCHASES @ COST-CANDY")</f>
        <v xml:space="preserve">          5033 - PURCHASES @ COST-CANDY</v>
      </c>
      <c r="C55" s="11"/>
      <c r="D55" s="2">
        <v>684.07</v>
      </c>
      <c r="E55" s="2"/>
      <c r="F55" s="19">
        <f t="shared" si="6"/>
        <v>1.3117650600723086E-2</v>
      </c>
      <c r="G55" s="2"/>
      <c r="H55" s="2"/>
      <c r="I55" s="2"/>
      <c r="J55" s="19">
        <f t="shared" si="7"/>
        <v>0</v>
      </c>
      <c r="K55" s="2"/>
      <c r="L55" s="2">
        <f t="shared" si="8"/>
        <v>684.07</v>
      </c>
      <c r="M55" s="2"/>
      <c r="N55" s="19">
        <f t="shared" si="9"/>
        <v>0</v>
      </c>
      <c r="O55" s="11"/>
      <c r="P55" s="2">
        <v>6592.4</v>
      </c>
      <c r="Q55" s="2"/>
      <c r="R55" s="19">
        <f t="shared" si="10"/>
        <v>2.0537524628269053E-2</v>
      </c>
      <c r="S55" s="2"/>
      <c r="T55" s="2"/>
      <c r="U55" s="2"/>
      <c r="V55" s="19">
        <f t="shared" si="11"/>
        <v>0</v>
      </c>
      <c r="W55" s="2"/>
      <c r="X55" s="2">
        <f t="shared" si="12"/>
        <v>6592.4</v>
      </c>
      <c r="Y55" s="2"/>
      <c r="Z55" s="19">
        <f t="shared" si="13"/>
        <v>0</v>
      </c>
    </row>
    <row r="56" spans="1:26" s="24" customFormat="1" hidden="1" outlineLevel="1" x14ac:dyDescent="0.25">
      <c r="A56" s="44"/>
      <c r="B56" s="11" t="str">
        <f>CONCATENATE("          ", "5034", " - ", "PURCHASES @ COST-SODA")</f>
        <v xml:space="preserve">          5034 - PURCHASES @ COST-SODA</v>
      </c>
      <c r="C56" s="11"/>
      <c r="D56" s="2"/>
      <c r="E56" s="2"/>
      <c r="F56" s="19">
        <f t="shared" si="6"/>
        <v>0</v>
      </c>
      <c r="G56" s="2"/>
      <c r="H56" s="2"/>
      <c r="I56" s="2"/>
      <c r="J56" s="19">
        <f t="shared" si="7"/>
        <v>0</v>
      </c>
      <c r="K56" s="2"/>
      <c r="L56" s="2">
        <f t="shared" si="8"/>
        <v>0</v>
      </c>
      <c r="M56" s="2"/>
      <c r="N56" s="19">
        <f t="shared" si="9"/>
        <v>0</v>
      </c>
      <c r="O56" s="11"/>
      <c r="P56" s="2">
        <v>2124.16</v>
      </c>
      <c r="Q56" s="2"/>
      <c r="R56" s="19">
        <f t="shared" si="10"/>
        <v>6.6174668276172549E-3</v>
      </c>
      <c r="S56" s="2"/>
      <c r="T56" s="2"/>
      <c r="U56" s="2"/>
      <c r="V56" s="19">
        <f t="shared" si="11"/>
        <v>0</v>
      </c>
      <c r="W56" s="2"/>
      <c r="X56" s="2">
        <f t="shared" si="12"/>
        <v>2124.16</v>
      </c>
      <c r="Y56" s="2"/>
      <c r="Z56" s="19">
        <f t="shared" si="13"/>
        <v>0</v>
      </c>
    </row>
    <row r="57" spans="1:26" s="24" customFormat="1" hidden="1" outlineLevel="1" x14ac:dyDescent="0.25">
      <c r="A57" s="44"/>
      <c r="B57" s="11" t="str">
        <f>CONCATENATE("          ", "5035", " - ", "PURCHASES @ COST-HEALTH &amp; BEAU")</f>
        <v xml:space="preserve">          5035 - PURCHASES @ COST-HEALTH &amp; BEAU</v>
      </c>
      <c r="C57" s="11"/>
      <c r="D57" s="2">
        <v>32.82</v>
      </c>
      <c r="E57" s="2"/>
      <c r="F57" s="19">
        <f t="shared" si="6"/>
        <v>6.2935268717489675E-4</v>
      </c>
      <c r="G57" s="2"/>
      <c r="H57" s="2"/>
      <c r="I57" s="2"/>
      <c r="J57" s="19">
        <f t="shared" si="7"/>
        <v>0</v>
      </c>
      <c r="K57" s="2"/>
      <c r="L57" s="2">
        <f t="shared" si="8"/>
        <v>32.82</v>
      </c>
      <c r="M57" s="2"/>
      <c r="N57" s="19">
        <f t="shared" si="9"/>
        <v>0</v>
      </c>
      <c r="O57" s="11"/>
      <c r="P57" s="2">
        <v>820.95</v>
      </c>
      <c r="Q57" s="2"/>
      <c r="R57" s="19">
        <f t="shared" si="10"/>
        <v>2.5575330446540685E-3</v>
      </c>
      <c r="S57" s="2"/>
      <c r="T57" s="2"/>
      <c r="U57" s="2"/>
      <c r="V57" s="19">
        <f t="shared" si="11"/>
        <v>0</v>
      </c>
      <c r="W57" s="2"/>
      <c r="X57" s="2">
        <f t="shared" si="12"/>
        <v>820.95</v>
      </c>
      <c r="Y57" s="2"/>
      <c r="Z57" s="19">
        <f t="shared" si="13"/>
        <v>0</v>
      </c>
    </row>
    <row r="58" spans="1:26" s="24" customFormat="1" hidden="1" outlineLevel="1" x14ac:dyDescent="0.25">
      <c r="A58" s="44"/>
      <c r="B58" s="11" t="str">
        <f>CONCATENATE("          ", "5037", " - ", "PURCHASES @ COST-WATER")</f>
        <v xml:space="preserve">          5037 - PURCHASES @ COST-WATER</v>
      </c>
      <c r="C58" s="11"/>
      <c r="D58" s="2"/>
      <c r="E58" s="2"/>
      <c r="F58" s="19">
        <f t="shared" si="6"/>
        <v>0</v>
      </c>
      <c r="G58" s="2"/>
      <c r="H58" s="2"/>
      <c r="I58" s="2"/>
      <c r="J58" s="19">
        <f t="shared" si="7"/>
        <v>0</v>
      </c>
      <c r="K58" s="2"/>
      <c r="L58" s="2">
        <f t="shared" si="8"/>
        <v>0</v>
      </c>
      <c r="M58" s="2"/>
      <c r="N58" s="19">
        <f t="shared" si="9"/>
        <v>0</v>
      </c>
      <c r="O58" s="11"/>
      <c r="P58" s="2">
        <v>3729.51</v>
      </c>
      <c r="Q58" s="2"/>
      <c r="R58" s="19">
        <f t="shared" si="10"/>
        <v>1.1618667477151829E-2</v>
      </c>
      <c r="S58" s="2"/>
      <c r="T58" s="2"/>
      <c r="U58" s="2"/>
      <c r="V58" s="19">
        <f t="shared" si="11"/>
        <v>0</v>
      </c>
      <c r="W58" s="2"/>
      <c r="X58" s="2">
        <f t="shared" si="12"/>
        <v>3729.51</v>
      </c>
      <c r="Y58" s="2"/>
      <c r="Z58" s="19">
        <f t="shared" si="13"/>
        <v>0</v>
      </c>
    </row>
    <row r="59" spans="1:26" s="24" customFormat="1" hidden="1" outlineLevel="1" x14ac:dyDescent="0.25">
      <c r="A59" s="44"/>
      <c r="B59" s="11" t="str">
        <f>CONCATENATE("          ", "5081", " - ", "PURCHASES @ COST-ELECTRONICS")</f>
        <v xml:space="preserve">          5081 - PURCHASES @ COST-ELECTRONICS</v>
      </c>
      <c r="C59" s="11"/>
      <c r="D59" s="2">
        <v>119.66</v>
      </c>
      <c r="E59" s="2"/>
      <c r="F59" s="19">
        <f t="shared" si="6"/>
        <v>2.2945869149100591E-3</v>
      </c>
      <c r="G59" s="2"/>
      <c r="H59" s="2"/>
      <c r="I59" s="2"/>
      <c r="J59" s="19">
        <f t="shared" si="7"/>
        <v>0</v>
      </c>
      <c r="K59" s="2"/>
      <c r="L59" s="2">
        <f t="shared" si="8"/>
        <v>119.66</v>
      </c>
      <c r="M59" s="2"/>
      <c r="N59" s="19">
        <f t="shared" si="9"/>
        <v>0</v>
      </c>
      <c r="O59" s="11"/>
      <c r="P59" s="2">
        <v>1891.21</v>
      </c>
      <c r="Q59" s="2"/>
      <c r="R59" s="19">
        <f t="shared" si="10"/>
        <v>5.8917498865707048E-3</v>
      </c>
      <c r="S59" s="2"/>
      <c r="T59" s="2"/>
      <c r="U59" s="2"/>
      <c r="V59" s="19">
        <f t="shared" si="11"/>
        <v>0</v>
      </c>
      <c r="W59" s="2"/>
      <c r="X59" s="2">
        <f t="shared" si="12"/>
        <v>1891.21</v>
      </c>
      <c r="Y59" s="2"/>
      <c r="Z59" s="19">
        <f t="shared" si="13"/>
        <v>0</v>
      </c>
    </row>
    <row r="60" spans="1:26" s="24" customFormat="1" hidden="1" outlineLevel="1" x14ac:dyDescent="0.25">
      <c r="A60" s="44"/>
      <c r="B60" s="11" t="str">
        <f>CONCATENATE("          ", "5082", " - ", "PURCHASES @ COST-COMPUTER HARD")</f>
        <v xml:space="preserve">          5082 - PURCHASES @ COST-COMPUTER HARD</v>
      </c>
      <c r="C60" s="11"/>
      <c r="D60" s="2"/>
      <c r="E60" s="2"/>
      <c r="F60" s="19">
        <f t="shared" si="6"/>
        <v>0</v>
      </c>
      <c r="G60" s="2"/>
      <c r="H60" s="2"/>
      <c r="I60" s="2"/>
      <c r="J60" s="19">
        <f t="shared" si="7"/>
        <v>0</v>
      </c>
      <c r="K60" s="2"/>
      <c r="L60" s="2">
        <f t="shared" si="8"/>
        <v>0</v>
      </c>
      <c r="M60" s="2"/>
      <c r="N60" s="19">
        <f t="shared" si="9"/>
        <v>0</v>
      </c>
      <c r="O60" s="11"/>
      <c r="P60" s="2">
        <v>349.6</v>
      </c>
      <c r="Q60" s="2"/>
      <c r="R60" s="19">
        <f t="shared" si="10"/>
        <v>1.0891205949339938E-3</v>
      </c>
      <c r="S60" s="2"/>
      <c r="T60" s="2"/>
      <c r="U60" s="2"/>
      <c r="V60" s="19">
        <f t="shared" si="11"/>
        <v>0</v>
      </c>
      <c r="W60" s="2"/>
      <c r="X60" s="2">
        <f t="shared" si="12"/>
        <v>349.6</v>
      </c>
      <c r="Y60" s="2"/>
      <c r="Z60" s="19">
        <f t="shared" si="13"/>
        <v>0</v>
      </c>
    </row>
    <row r="61" spans="1:26" s="24" customFormat="1" hidden="1" outlineLevel="1" x14ac:dyDescent="0.25">
      <c r="A61" s="44"/>
      <c r="B61" s="11" t="str">
        <f>CONCATENATE("          ", "5083", " - ", "PURCHASES @ COST-COMPUTER EQUI")</f>
        <v xml:space="preserve">          5083 - PURCHASES @ COST-COMPUTER EQUI</v>
      </c>
      <c r="C61" s="11"/>
      <c r="D61" s="2">
        <v>32.96</v>
      </c>
      <c r="E61" s="2"/>
      <c r="F61" s="19">
        <f t="shared" si="6"/>
        <v>6.3203731167838504E-4</v>
      </c>
      <c r="G61" s="2"/>
      <c r="H61" s="2"/>
      <c r="I61" s="2"/>
      <c r="J61" s="19">
        <f t="shared" si="7"/>
        <v>0</v>
      </c>
      <c r="K61" s="2"/>
      <c r="L61" s="2">
        <f t="shared" si="8"/>
        <v>32.96</v>
      </c>
      <c r="M61" s="2"/>
      <c r="N61" s="19">
        <f t="shared" si="9"/>
        <v>0</v>
      </c>
      <c r="O61" s="11"/>
      <c r="P61" s="2">
        <v>372.36</v>
      </c>
      <c r="Q61" s="2"/>
      <c r="R61" s="19">
        <f t="shared" si="10"/>
        <v>1.1600255856110467E-3</v>
      </c>
      <c r="S61" s="2"/>
      <c r="T61" s="2"/>
      <c r="U61" s="2"/>
      <c r="V61" s="19">
        <f t="shared" si="11"/>
        <v>0</v>
      </c>
      <c r="W61" s="2"/>
      <c r="X61" s="2">
        <f t="shared" si="12"/>
        <v>372.36</v>
      </c>
      <c r="Y61" s="2"/>
      <c r="Z61" s="19">
        <f t="shared" si="13"/>
        <v>0</v>
      </c>
    </row>
    <row r="62" spans="1:26" s="24" customFormat="1" hidden="1" outlineLevel="1" x14ac:dyDescent="0.25">
      <c r="A62" s="44"/>
      <c r="B62" s="11" t="str">
        <f>CONCATENATE("          ", "5086", " - ", "PURCHASES @ COST-COMPUTER SUPP")</f>
        <v xml:space="preserve">          5086 - PURCHASES @ COST-COMPUTER SUPP</v>
      </c>
      <c r="C62" s="11"/>
      <c r="D62" s="2">
        <v>36.979999999999997</v>
      </c>
      <c r="E62" s="2"/>
      <c r="F62" s="19">
        <f t="shared" si="6"/>
        <v>7.091243867071201E-4</v>
      </c>
      <c r="G62" s="2"/>
      <c r="H62" s="2"/>
      <c r="I62" s="2"/>
      <c r="J62" s="19">
        <f t="shared" si="7"/>
        <v>0</v>
      </c>
      <c r="K62" s="2"/>
      <c r="L62" s="2">
        <f t="shared" si="8"/>
        <v>36.979999999999997</v>
      </c>
      <c r="M62" s="2"/>
      <c r="N62" s="19">
        <f t="shared" si="9"/>
        <v>0</v>
      </c>
      <c r="O62" s="11"/>
      <c r="P62" s="2">
        <v>416.24</v>
      </c>
      <c r="Q62" s="2"/>
      <c r="R62" s="19">
        <f t="shared" si="10"/>
        <v>1.2967264200095126E-3</v>
      </c>
      <c r="S62" s="2"/>
      <c r="T62" s="2"/>
      <c r="U62" s="2"/>
      <c r="V62" s="19">
        <f t="shared" si="11"/>
        <v>0</v>
      </c>
      <c r="W62" s="2"/>
      <c r="X62" s="2">
        <f t="shared" si="12"/>
        <v>416.24</v>
      </c>
      <c r="Y62" s="2"/>
      <c r="Z62" s="19">
        <f t="shared" si="13"/>
        <v>0</v>
      </c>
    </row>
    <row r="63" spans="1:26" s="24" customFormat="1" hidden="1" outlineLevel="1" x14ac:dyDescent="0.25">
      <c r="A63" s="44"/>
      <c r="B63" s="11" t="str">
        <f>CONCATENATE("          ", "5200", " - ", "PURCHASES OFFSET")</f>
        <v xml:space="preserve">          5200 - PURCHASES OFFSET</v>
      </c>
      <c r="C63" s="11"/>
      <c r="D63" s="2">
        <v>-37038</v>
      </c>
      <c r="E63" s="2"/>
      <c r="F63" s="19">
        <f t="shared" si="6"/>
        <v>-0.71023658828713665</v>
      </c>
      <c r="G63" s="2"/>
      <c r="H63" s="2"/>
      <c r="I63" s="2"/>
      <c r="J63" s="19">
        <f t="shared" si="7"/>
        <v>0</v>
      </c>
      <c r="K63" s="2"/>
      <c r="L63" s="2">
        <f t="shared" si="8"/>
        <v>-37038</v>
      </c>
      <c r="M63" s="2"/>
      <c r="N63" s="19">
        <f t="shared" si="9"/>
        <v>0</v>
      </c>
      <c r="O63" s="11"/>
      <c r="P63" s="2">
        <v>-185268</v>
      </c>
      <c r="Q63" s="2"/>
      <c r="R63" s="19">
        <f t="shared" si="10"/>
        <v>-0.57717160864482597</v>
      </c>
      <c r="S63" s="2"/>
      <c r="T63" s="2"/>
      <c r="U63" s="2"/>
      <c r="V63" s="19">
        <f t="shared" si="11"/>
        <v>0</v>
      </c>
      <c r="W63" s="2"/>
      <c r="X63" s="2">
        <f t="shared" si="12"/>
        <v>-185268</v>
      </c>
      <c r="Y63" s="2"/>
      <c r="Z63" s="19">
        <f t="shared" si="13"/>
        <v>0</v>
      </c>
    </row>
    <row r="64" spans="1:26" s="24" customFormat="1" hidden="1" outlineLevel="1" x14ac:dyDescent="0.25">
      <c r="A64" s="44"/>
      <c r="B64" s="11" t="str">
        <f>CONCATENATE("          ", "5300", " - ", "COG$ OFFSET")</f>
        <v xml:space="preserve">          5300 - COG$ OFFSET</v>
      </c>
      <c r="C64" s="11"/>
      <c r="D64" s="2">
        <v>27595</v>
      </c>
      <c r="E64" s="2"/>
      <c r="F64" s="19">
        <f t="shared" si="6"/>
        <v>0.52915866552685176</v>
      </c>
      <c r="G64" s="2"/>
      <c r="H64" s="2"/>
      <c r="I64" s="2"/>
      <c r="J64" s="19">
        <f t="shared" si="7"/>
        <v>0</v>
      </c>
      <c r="K64" s="2"/>
      <c r="L64" s="2">
        <f t="shared" si="8"/>
        <v>27595</v>
      </c>
      <c r="M64" s="2"/>
      <c r="N64" s="19">
        <f t="shared" si="9"/>
        <v>0</v>
      </c>
      <c r="O64" s="11"/>
      <c r="P64" s="2">
        <v>168705</v>
      </c>
      <c r="Q64" s="2"/>
      <c r="R64" s="19">
        <f t="shared" si="10"/>
        <v>0.52557233972637141</v>
      </c>
      <c r="S64" s="2"/>
      <c r="T64" s="2"/>
      <c r="U64" s="2"/>
      <c r="V64" s="19">
        <f t="shared" si="11"/>
        <v>0</v>
      </c>
      <c r="W64" s="2"/>
      <c r="X64" s="2">
        <f t="shared" si="12"/>
        <v>168705</v>
      </c>
      <c r="Y64" s="2"/>
      <c r="Z64" s="19">
        <f t="shared" si="13"/>
        <v>0</v>
      </c>
    </row>
    <row r="65" spans="1:26" s="24" customFormat="1" hidden="1" outlineLevel="1" x14ac:dyDescent="0.25">
      <c r="A65" s="44"/>
      <c r="B65" s="11" t="str">
        <f>CONCATENATE("          ", "5500", " - ", "FREIGHT-IN")</f>
        <v xml:space="preserve">          5500 - FREIGHT-IN</v>
      </c>
      <c r="C65" s="11"/>
      <c r="D65" s="2"/>
      <c r="E65" s="2"/>
      <c r="F65" s="19">
        <f t="shared" si="6"/>
        <v>0</v>
      </c>
      <c r="G65" s="2"/>
      <c r="H65" s="2"/>
      <c r="I65" s="2"/>
      <c r="J65" s="19">
        <f t="shared" si="7"/>
        <v>0</v>
      </c>
      <c r="K65" s="2"/>
      <c r="L65" s="2">
        <f t="shared" si="8"/>
        <v>0</v>
      </c>
      <c r="M65" s="2"/>
      <c r="N65" s="19">
        <f t="shared" si="9"/>
        <v>0</v>
      </c>
      <c r="O65" s="11"/>
      <c r="P65" s="2">
        <v>80</v>
      </c>
      <c r="Q65" s="2"/>
      <c r="R65" s="19">
        <f t="shared" si="10"/>
        <v>2.4922668076292765E-4</v>
      </c>
      <c r="S65" s="2"/>
      <c r="T65" s="2"/>
      <c r="U65" s="2"/>
      <c r="V65" s="19">
        <f t="shared" si="11"/>
        <v>0</v>
      </c>
      <c r="W65" s="2"/>
      <c r="X65" s="2">
        <f t="shared" si="12"/>
        <v>80</v>
      </c>
      <c r="Y65" s="2"/>
      <c r="Z65" s="19">
        <f t="shared" si="13"/>
        <v>0</v>
      </c>
    </row>
    <row r="66" spans="1:26" s="24" customFormat="1" hidden="1" outlineLevel="1" x14ac:dyDescent="0.25">
      <c r="A66" s="44"/>
      <c r="B66" s="11" t="str">
        <f>CONCATENATE("          ", "5527", " - ", "FREIGHT-IN-SCHOOL SUPPLIES")</f>
        <v xml:space="preserve">          5527 - FREIGHT-IN-SCHOOL SUPPLIES</v>
      </c>
      <c r="C66" s="11"/>
      <c r="D66" s="2">
        <v>249.01</v>
      </c>
      <c r="E66" s="2"/>
      <c r="F66" s="19">
        <f t="shared" si="6"/>
        <v>4.7749881972401296E-3</v>
      </c>
      <c r="G66" s="2"/>
      <c r="H66" s="2"/>
      <c r="I66" s="2"/>
      <c r="J66" s="19">
        <f t="shared" si="7"/>
        <v>0</v>
      </c>
      <c r="K66" s="2"/>
      <c r="L66" s="2">
        <f t="shared" si="8"/>
        <v>249.01</v>
      </c>
      <c r="M66" s="2"/>
      <c r="N66" s="19">
        <f t="shared" si="9"/>
        <v>0</v>
      </c>
      <c r="O66" s="11"/>
      <c r="P66" s="2">
        <v>261.52999999999997</v>
      </c>
      <c r="Q66" s="2"/>
      <c r="R66" s="19">
        <f t="shared" si="10"/>
        <v>8.147531727491058E-4</v>
      </c>
      <c r="S66" s="2"/>
      <c r="T66" s="2"/>
      <c r="U66" s="2"/>
      <c r="V66" s="19">
        <f t="shared" si="11"/>
        <v>0</v>
      </c>
      <c r="W66" s="2"/>
      <c r="X66" s="2">
        <f t="shared" si="12"/>
        <v>261.52999999999997</v>
      </c>
      <c r="Y66" s="2"/>
      <c r="Z66" s="19">
        <f t="shared" si="13"/>
        <v>0</v>
      </c>
    </row>
    <row r="67" spans="1:26" s="24" customFormat="1" hidden="1" outlineLevel="1" x14ac:dyDescent="0.25">
      <c r="A67" s="44"/>
      <c r="B67" s="11" t="str">
        <f>CONCATENATE("          ", "5528", " - ", "FREIGHT-IN-ART/TECH")</f>
        <v xml:space="preserve">          5528 - FREIGHT-IN-ART/TECH</v>
      </c>
      <c r="C67" s="11"/>
      <c r="D67" s="2">
        <v>220.82</v>
      </c>
      <c r="E67" s="2"/>
      <c r="F67" s="19">
        <f t="shared" si="6"/>
        <v>4.234419877573452E-3</v>
      </c>
      <c r="G67" s="2"/>
      <c r="H67" s="2"/>
      <c r="I67" s="2"/>
      <c r="J67" s="19">
        <f t="shared" si="7"/>
        <v>0</v>
      </c>
      <c r="K67" s="2"/>
      <c r="L67" s="2">
        <f t="shared" si="8"/>
        <v>220.82</v>
      </c>
      <c r="M67" s="2"/>
      <c r="N67" s="19">
        <f t="shared" si="9"/>
        <v>0</v>
      </c>
      <c r="O67" s="11"/>
      <c r="P67" s="2">
        <v>1274.55</v>
      </c>
      <c r="Q67" s="2"/>
      <c r="R67" s="19">
        <f t="shared" si="10"/>
        <v>3.9706483245798676E-3</v>
      </c>
      <c r="S67" s="2"/>
      <c r="T67" s="2"/>
      <c r="U67" s="2"/>
      <c r="V67" s="19">
        <f t="shared" si="11"/>
        <v>0</v>
      </c>
      <c r="W67" s="2"/>
      <c r="X67" s="2">
        <f t="shared" si="12"/>
        <v>1274.55</v>
      </c>
      <c r="Y67" s="2"/>
      <c r="Z67" s="19">
        <f t="shared" si="13"/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9" t="s">
        <v>6</v>
      </c>
      <c r="C69" s="29"/>
      <c r="D69" s="21">
        <f>D12-D46</f>
        <v>24554.519999999993</v>
      </c>
      <c r="E69" s="14"/>
      <c r="F69" s="20">
        <f>IF(D$12=0,0,D69/D$12)</f>
        <v>0.47085475759566553</v>
      </c>
      <c r="G69" s="14"/>
      <c r="H69" s="21">
        <f>H12-H46</f>
        <v>28076</v>
      </c>
      <c r="I69" s="14"/>
      <c r="J69" s="20">
        <f>IF(H$12=0,0,H69/H$12)</f>
        <v>0.57416307081944418</v>
      </c>
      <c r="K69" s="16"/>
      <c r="L69" s="21">
        <f>+D69-H69</f>
        <v>-3521.4800000000068</v>
      </c>
      <c r="M69" s="16"/>
      <c r="N69" s="20">
        <f>IF(H69=0,0,L69/H69)</f>
        <v>-0.12542669895996605</v>
      </c>
      <c r="O69" s="28"/>
      <c r="P69" s="21">
        <f>P12-P46</f>
        <v>152211.61000000013</v>
      </c>
      <c r="Q69" s="14"/>
      <c r="R69" s="20">
        <f>IF(P$12=0,0,P69/P$12)</f>
        <v>0.47418992917351599</v>
      </c>
      <c r="S69" s="14"/>
      <c r="T69" s="21">
        <f>T12-T46</f>
        <v>189774</v>
      </c>
      <c r="U69" s="14"/>
      <c r="V69" s="20">
        <f>IF(T$12=0,0,T69/T$12)</f>
        <v>0.56407329796245931</v>
      </c>
      <c r="W69" s="16"/>
      <c r="X69" s="21">
        <f>+P69-T69</f>
        <v>-37562.389999999868</v>
      </c>
      <c r="Y69" s="16"/>
      <c r="Z69" s="20">
        <f>IF(T69=0,0,X69/T69)</f>
        <v>-0.19793222464615737</v>
      </c>
    </row>
    <row r="70" spans="1:26" x14ac:dyDescent="0.25">
      <c r="A70" s="9"/>
      <c r="B70" s="10"/>
      <c r="C70" s="9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9</v>
      </c>
      <c r="C71" s="10"/>
      <c r="D71" s="22">
        <f>SUM(OSRRefD22x_0)</f>
        <v>13247.869999999995</v>
      </c>
      <c r="E71" s="22"/>
      <c r="F71" s="35">
        <f t="shared" ref="F71:F81" si="14">IF(D$12=0,0,D71/D$12)</f>
        <v>0.25403968872162391</v>
      </c>
      <c r="G71" s="22"/>
      <c r="H71" s="22">
        <f>SUM(OSRRefH22x_0)</f>
        <v>12415.106393006001</v>
      </c>
      <c r="I71" s="22"/>
      <c r="J71" s="35">
        <f t="shared" ref="J71:J81" si="15">IF(H$12=0,0,H71/H$12)</f>
        <v>0.25389284838148019</v>
      </c>
      <c r="K71" s="4"/>
      <c r="L71" s="22">
        <f t="shared" ref="L71:L81" si="16">+D71-H71</f>
        <v>832.76360699399447</v>
      </c>
      <c r="M71" s="4"/>
      <c r="N71" s="35">
        <f t="shared" ref="N71:N81" si="17">IF(H71=0,0,L71/H71)</f>
        <v>6.7076638784435094E-2</v>
      </c>
      <c r="O71" s="10"/>
      <c r="P71" s="22">
        <f>SUM(OSRRefP22x_0)</f>
        <v>83917.210000000021</v>
      </c>
      <c r="Q71" s="22"/>
      <c r="R71" s="35">
        <f t="shared" ref="R71:R81" si="18">IF(P$12=0,0,P71/P$12)</f>
        <v>0.26143009633981956</v>
      </c>
      <c r="S71" s="22"/>
      <c r="T71" s="22">
        <f>SUM(OSRRefT22x_0)</f>
        <v>82095.172151006002</v>
      </c>
      <c r="U71" s="22"/>
      <c r="V71" s="35">
        <f t="shared" ref="V71:V81" si="19">IF(T$12=0,0,T71/T$12)</f>
        <v>0.24401495727556885</v>
      </c>
      <c r="W71" s="4"/>
      <c r="X71" s="22">
        <f t="shared" ref="X71:X81" si="20">+P71-T71</f>
        <v>1822.0378489940194</v>
      </c>
      <c r="Y71" s="4"/>
      <c r="Z71" s="35">
        <f t="shared" ref="Z71:Z81" si="21">IF(T71=0,0,X71/T71)</f>
        <v>2.2194214364305857E-2</v>
      </c>
    </row>
    <row r="72" spans="1:26" s="27" customFormat="1" outlineLevel="1" collapsed="1" x14ac:dyDescent="0.25">
      <c r="A72" s="26"/>
      <c r="B72" s="13" t="str">
        <f>CONCATENATE("     ","*Benefits                                         ")</f>
        <v xml:space="preserve">     *Benefits                                         </v>
      </c>
      <c r="C72" s="13"/>
      <c r="D72" s="1">
        <f>SUM(OSRRefD22_0x_0)</f>
        <v>2037.05</v>
      </c>
      <c r="E72" s="1"/>
      <c r="F72" s="5">
        <f t="shared" si="14"/>
        <v>3.9062245320220096E-2</v>
      </c>
      <c r="G72" s="1"/>
      <c r="H72" s="1">
        <f>SUM(OSRRefH22_0x_0)</f>
        <v>1972.9229790059999</v>
      </c>
      <c r="I72" s="1"/>
      <c r="J72" s="5">
        <f t="shared" si="15"/>
        <v>4.0346898280251127E-2</v>
      </c>
      <c r="K72" s="1"/>
      <c r="L72" s="1">
        <f t="shared" si="16"/>
        <v>64.127020994000077</v>
      </c>
      <c r="M72" s="1"/>
      <c r="N72" s="5">
        <f t="shared" si="17"/>
        <v>3.2503560289164769E-2</v>
      </c>
      <c r="O72" s="13"/>
      <c r="P72" s="1">
        <f>SUM(OSRRefP22_0x_0)</f>
        <v>13641.510000000002</v>
      </c>
      <c r="Q72" s="1"/>
      <c r="R72" s="5">
        <f t="shared" si="18"/>
        <v>4.2497853223678571E-2</v>
      </c>
      <c r="S72" s="1"/>
      <c r="T72" s="1">
        <f>SUM(OSRRefT22_0x_0)</f>
        <v>12866.503737006002</v>
      </c>
      <c r="U72" s="1"/>
      <c r="V72" s="5">
        <f t="shared" si="19"/>
        <v>3.824365401045076E-2</v>
      </c>
      <c r="W72" s="1"/>
      <c r="X72" s="1">
        <f t="shared" si="20"/>
        <v>775.00626299400028</v>
      </c>
      <c r="Y72" s="1"/>
      <c r="Z72" s="5">
        <f t="shared" si="21"/>
        <v>6.0234410126891395E-2</v>
      </c>
    </row>
    <row r="73" spans="1:26" s="24" customFormat="1" hidden="1" outlineLevel="2" x14ac:dyDescent="0.25">
      <c r="A73" s="25"/>
      <c r="B73" s="11" t="str">
        <f>CONCATENATE("          ", "6111", " - ", "F.I.C.A.")</f>
        <v xml:space="preserve">          6111 - F.I.C.A.</v>
      </c>
      <c r="C73" s="11"/>
      <c r="D73" s="7">
        <v>241.95</v>
      </c>
      <c r="E73" s="2"/>
      <c r="F73" s="6">
        <f t="shared" si="14"/>
        <v>4.6396064187070769E-3</v>
      </c>
      <c r="G73" s="2"/>
      <c r="H73" s="7">
        <v>646.63458708600001</v>
      </c>
      <c r="I73" s="2"/>
      <c r="J73" s="6">
        <f t="shared" si="15"/>
        <v>1.322388161487965E-2</v>
      </c>
      <c r="K73" s="2"/>
      <c r="L73" s="7">
        <f t="shared" si="16"/>
        <v>-404.68458708600002</v>
      </c>
      <c r="M73" s="2"/>
      <c r="N73" s="6">
        <f t="shared" si="17"/>
        <v>-0.62583195388553892</v>
      </c>
      <c r="O73" s="11"/>
      <c r="P73" s="7">
        <v>2019.38</v>
      </c>
      <c r="Q73" s="2"/>
      <c r="R73" s="6">
        <f t="shared" si="18"/>
        <v>6.291042182488011E-3</v>
      </c>
      <c r="S73" s="2"/>
      <c r="T73" s="7">
        <v>4097.8773850860007</v>
      </c>
      <c r="U73" s="2"/>
      <c r="V73" s="6">
        <f t="shared" si="19"/>
        <v>1.2180294514797808E-2</v>
      </c>
      <c r="W73" s="2"/>
      <c r="X73" s="7">
        <f t="shared" si="20"/>
        <v>-2078.4973850860006</v>
      </c>
      <c r="Y73" s="2"/>
      <c r="Z73" s="6">
        <f t="shared" si="21"/>
        <v>-0.50721317154353551</v>
      </c>
    </row>
    <row r="74" spans="1:26" s="24" customFormat="1" hidden="1" outlineLevel="2" x14ac:dyDescent="0.25">
      <c r="A74" s="25"/>
      <c r="B74" s="11" t="str">
        <f>CONCATENATE("          ", "6112", " - ", "COMPENSATION INSURANCE")</f>
        <v xml:space="preserve">          6112 - COMPENSATION INSURANCE</v>
      </c>
      <c r="C74" s="11"/>
      <c r="D74" s="7">
        <v>99.94</v>
      </c>
      <c r="E74" s="2"/>
      <c r="F74" s="6">
        <f t="shared" si="14"/>
        <v>1.9164383777044236E-3</v>
      </c>
      <c r="G74" s="2"/>
      <c r="H74" s="7">
        <v>160.53909780000001</v>
      </c>
      <c r="I74" s="2"/>
      <c r="J74" s="6">
        <f t="shared" si="15"/>
        <v>3.2830752735229763E-3</v>
      </c>
      <c r="K74" s="2"/>
      <c r="L74" s="7">
        <f t="shared" si="16"/>
        <v>-60.59909780000001</v>
      </c>
      <c r="M74" s="2"/>
      <c r="N74" s="6">
        <f t="shared" si="17"/>
        <v>-0.37747251996827907</v>
      </c>
      <c r="O74" s="11"/>
      <c r="P74" s="7">
        <v>911.41</v>
      </c>
      <c r="Q74" s="2"/>
      <c r="R74" s="6">
        <f t="shared" si="18"/>
        <v>2.8393461139267486E-3</v>
      </c>
      <c r="S74" s="2"/>
      <c r="T74" s="7">
        <v>1049.7789977999998</v>
      </c>
      <c r="U74" s="2"/>
      <c r="V74" s="6">
        <f t="shared" si="19"/>
        <v>3.1203025779125235E-3</v>
      </c>
      <c r="W74" s="2"/>
      <c r="X74" s="7">
        <f t="shared" si="20"/>
        <v>-138.36899779999987</v>
      </c>
      <c r="Y74" s="2"/>
      <c r="Z74" s="6">
        <f t="shared" si="21"/>
        <v>-0.13180774057204128</v>
      </c>
    </row>
    <row r="75" spans="1:26" s="24" customFormat="1" hidden="1" outlineLevel="2" x14ac:dyDescent="0.25">
      <c r="A75" s="25"/>
      <c r="B75" s="11" t="str">
        <f>CONCATENATE("          ", "6113", " - ", "GROUP INSURANCE")</f>
        <v xml:space="preserve">          6113 - GROUP INSURANCE</v>
      </c>
      <c r="C75" s="11"/>
      <c r="D75" s="7">
        <v>1024.02</v>
      </c>
      <c r="E75" s="2"/>
      <c r="F75" s="6">
        <f t="shared" si="14"/>
        <v>1.9636494171871962E-2</v>
      </c>
      <c r="G75" s="2"/>
      <c r="H75" s="7">
        <v>497.25</v>
      </c>
      <c r="I75" s="2"/>
      <c r="J75" s="6">
        <f t="shared" si="15"/>
        <v>1.0168919609807972E-2</v>
      </c>
      <c r="K75" s="2"/>
      <c r="L75" s="7">
        <f t="shared" si="16"/>
        <v>526.77</v>
      </c>
      <c r="M75" s="2"/>
      <c r="N75" s="6">
        <f t="shared" si="17"/>
        <v>1.059366515837104</v>
      </c>
      <c r="O75" s="11"/>
      <c r="P75" s="7">
        <v>6085.5</v>
      </c>
      <c r="Q75" s="2"/>
      <c r="R75" s="6">
        <f t="shared" si="18"/>
        <v>1.8958362072284952E-2</v>
      </c>
      <c r="S75" s="2"/>
      <c r="T75" s="7">
        <v>3480.75</v>
      </c>
      <c r="U75" s="2"/>
      <c r="V75" s="6">
        <f t="shared" si="19"/>
        <v>1.0345980650051273E-2</v>
      </c>
      <c r="W75" s="2"/>
      <c r="X75" s="7">
        <f t="shared" si="20"/>
        <v>2604.75</v>
      </c>
      <c r="Y75" s="2"/>
      <c r="Z75" s="6">
        <f t="shared" si="21"/>
        <v>0.74833010127127775</v>
      </c>
    </row>
    <row r="76" spans="1:26" s="24" customFormat="1" hidden="1" outlineLevel="2" x14ac:dyDescent="0.25">
      <c r="A76" s="25"/>
      <c r="B76" s="11" t="str">
        <f>CONCATENATE("          ", "6114", " - ", "STATE UNEMPLOYMENT INSURANCE")</f>
        <v xml:space="preserve">          6114 - STATE UNEMPLOYMENT INSURANCE</v>
      </c>
      <c r="C76" s="11"/>
      <c r="D76" s="7">
        <v>13.68</v>
      </c>
      <c r="E76" s="2"/>
      <c r="F76" s="6">
        <f t="shared" si="14"/>
        <v>2.6232616576942679E-4</v>
      </c>
      <c r="G76" s="2"/>
      <c r="H76" s="7">
        <v>21.968508119999999</v>
      </c>
      <c r="I76" s="2"/>
      <c r="J76" s="6">
        <f t="shared" si="15"/>
        <v>4.4926293216630196E-4</v>
      </c>
      <c r="K76" s="2"/>
      <c r="L76" s="7">
        <f t="shared" si="16"/>
        <v>-8.2885081199999995</v>
      </c>
      <c r="M76" s="2"/>
      <c r="N76" s="6">
        <f t="shared" si="17"/>
        <v>-0.37729044114990179</v>
      </c>
      <c r="O76" s="11"/>
      <c r="P76" s="7">
        <v>147.12</v>
      </c>
      <c r="Q76" s="2"/>
      <c r="R76" s="6">
        <f t="shared" si="18"/>
        <v>4.5832786592302395E-4</v>
      </c>
      <c r="S76" s="2"/>
      <c r="T76" s="7">
        <v>143.65396812</v>
      </c>
      <c r="U76" s="2"/>
      <c r="V76" s="6">
        <f t="shared" si="19"/>
        <v>4.2698877381960854E-4</v>
      </c>
      <c r="W76" s="2"/>
      <c r="X76" s="7">
        <f t="shared" si="20"/>
        <v>3.4660318800000027</v>
      </c>
      <c r="Y76" s="2"/>
      <c r="Z76" s="6">
        <f t="shared" si="21"/>
        <v>2.4127644543063965E-2</v>
      </c>
    </row>
    <row r="77" spans="1:26" s="24" customFormat="1" hidden="1" outlineLevel="2" x14ac:dyDescent="0.25">
      <c r="A77" s="25"/>
      <c r="B77" s="11" t="str">
        <f>CONCATENATE("          ", "6115", " - ", "P.E.R.S.")</f>
        <v xml:space="preserve">          6115 - P.E.R.S.</v>
      </c>
      <c r="C77" s="11"/>
      <c r="D77" s="7">
        <v>233.73</v>
      </c>
      <c r="E77" s="2"/>
      <c r="F77" s="6">
        <f t="shared" si="14"/>
        <v>4.4819806085736932E-3</v>
      </c>
      <c r="G77" s="2"/>
      <c r="H77" s="7">
        <v>318.88799999999998</v>
      </c>
      <c r="I77" s="2"/>
      <c r="J77" s="6">
        <f t="shared" si="15"/>
        <v>6.5213603550174845E-3</v>
      </c>
      <c r="K77" s="2"/>
      <c r="L77" s="7">
        <f t="shared" si="16"/>
        <v>-85.157999999999987</v>
      </c>
      <c r="M77" s="2"/>
      <c r="N77" s="6">
        <f t="shared" si="17"/>
        <v>-0.26704673741250845</v>
      </c>
      <c r="O77" s="11"/>
      <c r="P77" s="7">
        <v>1476.85</v>
      </c>
      <c r="Q77" s="2"/>
      <c r="R77" s="6">
        <f t="shared" si="18"/>
        <v>4.6008802935591214E-3</v>
      </c>
      <c r="S77" s="2"/>
      <c r="T77" s="7">
        <v>1977.1056000000001</v>
      </c>
      <c r="U77" s="2"/>
      <c r="V77" s="6">
        <f t="shared" si="19"/>
        <v>5.8766347139863574E-3</v>
      </c>
      <c r="W77" s="2"/>
      <c r="X77" s="7">
        <f t="shared" si="20"/>
        <v>-500.25560000000019</v>
      </c>
      <c r="Y77" s="2"/>
      <c r="Z77" s="6">
        <f t="shared" si="21"/>
        <v>-0.25302421883788107</v>
      </c>
    </row>
    <row r="78" spans="1:26" s="24" customFormat="1" hidden="1" outlineLevel="2" x14ac:dyDescent="0.25">
      <c r="A78" s="25"/>
      <c r="B78" s="11" t="str">
        <f>CONCATENATE("          ", "6116", " - ", "EDUCATIONAL BENEFITS")</f>
        <v xml:space="preserve">          6116 - EDUCATIONAL BENEFITS</v>
      </c>
      <c r="C78" s="11"/>
      <c r="D78" s="7"/>
      <c r="E78" s="2"/>
      <c r="F78" s="6">
        <f t="shared" si="14"/>
        <v>0</v>
      </c>
      <c r="G78" s="2"/>
      <c r="H78" s="7">
        <v>0</v>
      </c>
      <c r="I78" s="2"/>
      <c r="J78" s="6">
        <f t="shared" si="15"/>
        <v>0</v>
      </c>
      <c r="K78" s="2"/>
      <c r="L78" s="7">
        <f t="shared" si="16"/>
        <v>0</v>
      </c>
      <c r="M78" s="2"/>
      <c r="N78" s="6">
        <f t="shared" si="17"/>
        <v>0</v>
      </c>
      <c r="O78" s="11"/>
      <c r="P78" s="7"/>
      <c r="Q78" s="2"/>
      <c r="R78" s="6">
        <f t="shared" si="18"/>
        <v>0</v>
      </c>
      <c r="S78" s="2"/>
      <c r="T78" s="7">
        <v>0</v>
      </c>
      <c r="U78" s="2"/>
      <c r="V78" s="6">
        <f t="shared" si="19"/>
        <v>0</v>
      </c>
      <c r="W78" s="2"/>
      <c r="X78" s="7">
        <f t="shared" si="20"/>
        <v>0</v>
      </c>
      <c r="Y78" s="2"/>
      <c r="Z78" s="6">
        <f t="shared" si="21"/>
        <v>0</v>
      </c>
    </row>
    <row r="79" spans="1:26" s="24" customFormat="1" hidden="1" outlineLevel="2" x14ac:dyDescent="0.25">
      <c r="A79" s="25"/>
      <c r="B79" s="11" t="str">
        <f>CONCATENATE("          ", "6118", " - ", "VACATION")</f>
        <v xml:space="preserve">          6118 - VACATION</v>
      </c>
      <c r="C79" s="11"/>
      <c r="D79" s="7">
        <v>145.84</v>
      </c>
      <c r="E79" s="2"/>
      <c r="F79" s="6">
        <f t="shared" si="14"/>
        <v>2.7966116970623688E-3</v>
      </c>
      <c r="G79" s="2"/>
      <c r="H79" s="7">
        <v>111.24</v>
      </c>
      <c r="I79" s="2"/>
      <c r="J79" s="6">
        <f t="shared" si="15"/>
        <v>2.2748931470991224E-3</v>
      </c>
      <c r="K79" s="2"/>
      <c r="L79" s="7">
        <f t="shared" si="16"/>
        <v>34.600000000000009</v>
      </c>
      <c r="M79" s="2"/>
      <c r="N79" s="6">
        <f t="shared" si="17"/>
        <v>0.31103919453434026</v>
      </c>
      <c r="O79" s="11"/>
      <c r="P79" s="7">
        <v>1395.16</v>
      </c>
      <c r="Q79" s="2"/>
      <c r="R79" s="6">
        <f t="shared" si="18"/>
        <v>4.346388699165077E-3</v>
      </c>
      <c r="S79" s="2"/>
      <c r="T79" s="7">
        <v>689.68799999999999</v>
      </c>
      <c r="U79" s="2"/>
      <c r="V79" s="6">
        <f t="shared" si="19"/>
        <v>2.0499888537161711E-3</v>
      </c>
      <c r="W79" s="2"/>
      <c r="X79" s="7">
        <f t="shared" si="20"/>
        <v>705.47200000000009</v>
      </c>
      <c r="Y79" s="2"/>
      <c r="Z79" s="6">
        <f t="shared" si="21"/>
        <v>1.0228857106401736</v>
      </c>
    </row>
    <row r="80" spans="1:26" s="24" customFormat="1" hidden="1" outlineLevel="2" x14ac:dyDescent="0.25">
      <c r="A80" s="25"/>
      <c r="B80" s="11" t="str">
        <f>CONCATENATE("          ", "6119", " - ", "SICK LEAVE")</f>
        <v xml:space="preserve">          6119 - SICK LEAVE</v>
      </c>
      <c r="C80" s="11"/>
      <c r="D80" s="7">
        <v>102.89</v>
      </c>
      <c r="E80" s="2"/>
      <c r="F80" s="6">
        <f t="shared" si="14"/>
        <v>1.973007251170784E-3</v>
      </c>
      <c r="G80" s="2"/>
      <c r="H80" s="7">
        <v>216.40278599999999</v>
      </c>
      <c r="I80" s="2"/>
      <c r="J80" s="6">
        <f t="shared" si="15"/>
        <v>4.4255053477576228E-3</v>
      </c>
      <c r="K80" s="2"/>
      <c r="L80" s="7">
        <f t="shared" si="16"/>
        <v>-113.51278599999999</v>
      </c>
      <c r="M80" s="2"/>
      <c r="N80" s="6">
        <f t="shared" si="17"/>
        <v>-0.52454401395738037</v>
      </c>
      <c r="O80" s="11"/>
      <c r="P80" s="7">
        <v>479.03</v>
      </c>
      <c r="Q80" s="2"/>
      <c r="R80" s="6">
        <f t="shared" si="18"/>
        <v>1.4923382110733152E-3</v>
      </c>
      <c r="S80" s="2"/>
      <c r="T80" s="7">
        <v>1427.6497859999999</v>
      </c>
      <c r="U80" s="2"/>
      <c r="V80" s="6">
        <f t="shared" si="19"/>
        <v>4.2434639261670157E-3</v>
      </c>
      <c r="W80" s="2"/>
      <c r="X80" s="7">
        <f t="shared" si="20"/>
        <v>-948.61978599999998</v>
      </c>
      <c r="Y80" s="2"/>
      <c r="Z80" s="6">
        <f t="shared" si="21"/>
        <v>-0.66446252806708994</v>
      </c>
    </row>
    <row r="81" spans="1:26" s="24" customFormat="1" hidden="1" outlineLevel="2" x14ac:dyDescent="0.25">
      <c r="A81" s="25"/>
      <c r="B81" s="11" t="str">
        <f>CONCATENATE("          ", "6156", " - ", "EMPLOYEE MEALS")</f>
        <v xml:space="preserve">          6156 - EMPLOYEE MEALS</v>
      </c>
      <c r="C81" s="11"/>
      <c r="D81" s="7">
        <v>175</v>
      </c>
      <c r="E81" s="2"/>
      <c r="F81" s="6">
        <f t="shared" si="14"/>
        <v>3.3557806293603577E-3</v>
      </c>
      <c r="G81" s="2"/>
      <c r="H81" s="7"/>
      <c r="I81" s="2"/>
      <c r="J81" s="6">
        <f t="shared" si="15"/>
        <v>0</v>
      </c>
      <c r="K81" s="2"/>
      <c r="L81" s="7">
        <f t="shared" si="16"/>
        <v>175</v>
      </c>
      <c r="M81" s="2"/>
      <c r="N81" s="6">
        <f t="shared" si="17"/>
        <v>0</v>
      </c>
      <c r="O81" s="11"/>
      <c r="P81" s="7">
        <v>1127.06</v>
      </c>
      <c r="Q81" s="2"/>
      <c r="R81" s="6">
        <f t="shared" si="18"/>
        <v>3.5111677852583153E-3</v>
      </c>
      <c r="S81" s="2"/>
      <c r="T81" s="7"/>
      <c r="U81" s="2"/>
      <c r="V81" s="6">
        <f t="shared" si="19"/>
        <v>0</v>
      </c>
      <c r="W81" s="2"/>
      <c r="X81" s="7">
        <f t="shared" si="20"/>
        <v>1127.06</v>
      </c>
      <c r="Y81" s="2"/>
      <c r="Z81" s="6">
        <f t="shared" si="21"/>
        <v>0</v>
      </c>
    </row>
    <row r="82" spans="1:26" s="27" customFormat="1" outlineLevel="1" collapsed="1" x14ac:dyDescent="0.25">
      <c r="A82" s="26"/>
      <c r="B82" s="13" t="str">
        <f>CONCATENATE("     ","*Payroll                                          ")</f>
        <v xml:space="preserve">     *Payroll                                          </v>
      </c>
      <c r="C82" s="13"/>
      <c r="D82" s="1">
        <f>SUM(OSRRefD22_1x_0)</f>
        <v>8939.4599999999991</v>
      </c>
      <c r="E82" s="1"/>
      <c r="F82" s="5">
        <f t="shared" ref="F82:F92" si="22">IF(D$12=0,0,D82/D$12)</f>
        <v>0.17142209545680995</v>
      </c>
      <c r="G82" s="1"/>
      <c r="H82" s="1">
        <f>SUM(OSRRefH22_1x_0)</f>
        <v>8307.1834139999992</v>
      </c>
      <c r="I82" s="1"/>
      <c r="J82" s="5">
        <f t="shared" ref="J82:J92" si="23">IF(H$12=0,0,H82/H$12)</f>
        <v>0.16988452553221944</v>
      </c>
      <c r="K82" s="1"/>
      <c r="L82" s="1">
        <f t="shared" ref="L82:L92" si="24">+D82-H82</f>
        <v>632.27658599999995</v>
      </c>
      <c r="M82" s="1"/>
      <c r="N82" s="5">
        <f t="shared" ref="N82:N92" si="25">IF(H82=0,0,L82/H82)</f>
        <v>7.6112029130647532E-2</v>
      </c>
      <c r="O82" s="13"/>
      <c r="P82" s="1">
        <f>SUM(OSRRefP22_1x_0)</f>
        <v>56579.5</v>
      </c>
      <c r="Q82" s="1"/>
      <c r="R82" s="5">
        <f t="shared" ref="R82:R92" si="26">IF(P$12=0,0,P82/P$12)</f>
        <v>0.17626401230282582</v>
      </c>
      <c r="S82" s="1"/>
      <c r="T82" s="1">
        <f>SUM(OSRRefT22_1x_0)</f>
        <v>54283.668414</v>
      </c>
      <c r="U82" s="1"/>
      <c r="V82" s="5">
        <f t="shared" ref="V82:V92" si="27">IF(T$12=0,0,T82/T$12)</f>
        <v>0.16134964677872396</v>
      </c>
      <c r="W82" s="1"/>
      <c r="X82" s="1">
        <f t="shared" ref="X82:X92" si="28">+P82-T82</f>
        <v>2295.8315860000002</v>
      </c>
      <c r="Y82" s="1"/>
      <c r="Z82" s="5">
        <f t="shared" ref="Z82:Z92" si="29">IF(T82=0,0,X82/T82)</f>
        <v>4.2293228388520163E-2</v>
      </c>
    </row>
    <row r="83" spans="1:26" s="24" customFormat="1" hidden="1" outlineLevel="2" x14ac:dyDescent="0.25">
      <c r="A83" s="25"/>
      <c r="B83" s="11" t="str">
        <f>CONCATENATE("          ", "6001", " - ", "ADMINISTRATIVE SALARIES")</f>
        <v xml:space="preserve">          6001 - ADMINISTRATIVE SALARIES</v>
      </c>
      <c r="C83" s="11"/>
      <c r="D83" s="7"/>
      <c r="E83" s="2"/>
      <c r="F83" s="6">
        <f t="shared" si="22"/>
        <v>0</v>
      </c>
      <c r="G83" s="2"/>
      <c r="H83" s="7">
        <v>3708</v>
      </c>
      <c r="I83" s="2"/>
      <c r="J83" s="6">
        <f t="shared" si="23"/>
        <v>7.5829771569970755E-2</v>
      </c>
      <c r="K83" s="2"/>
      <c r="L83" s="7">
        <f t="shared" si="24"/>
        <v>-3708</v>
      </c>
      <c r="M83" s="2"/>
      <c r="N83" s="6">
        <f t="shared" si="25"/>
        <v>-1</v>
      </c>
      <c r="O83" s="11"/>
      <c r="P83" s="7"/>
      <c r="Q83" s="2"/>
      <c r="R83" s="6">
        <f t="shared" si="26"/>
        <v>0</v>
      </c>
      <c r="S83" s="2"/>
      <c r="T83" s="7">
        <v>22989.599999999999</v>
      </c>
      <c r="U83" s="2"/>
      <c r="V83" s="6">
        <f t="shared" si="27"/>
        <v>6.8332961790539035E-2</v>
      </c>
      <c r="W83" s="2"/>
      <c r="X83" s="7">
        <f t="shared" si="28"/>
        <v>-22989.599999999999</v>
      </c>
      <c r="Y83" s="2"/>
      <c r="Z83" s="6">
        <f t="shared" si="29"/>
        <v>-1</v>
      </c>
    </row>
    <row r="84" spans="1:26" s="24" customFormat="1" hidden="1" outlineLevel="2" x14ac:dyDescent="0.25">
      <c r="A84" s="25"/>
      <c r="B84" s="11" t="str">
        <f>CONCATENATE("          ", "6002", " - ", "STAFF SALARIES")</f>
        <v xml:space="preserve">          6002 - STAFF SALARIES</v>
      </c>
      <c r="C84" s="11"/>
      <c r="D84" s="7">
        <v>3122.7</v>
      </c>
      <c r="E84" s="2"/>
      <c r="F84" s="6">
        <f t="shared" si="22"/>
        <v>5.9880549550306215E-2</v>
      </c>
      <c r="G84" s="2"/>
      <c r="H84" s="7">
        <v>0</v>
      </c>
      <c r="I84" s="2"/>
      <c r="J84" s="6">
        <f t="shared" si="23"/>
        <v>0</v>
      </c>
      <c r="K84" s="2"/>
      <c r="L84" s="7">
        <f t="shared" si="24"/>
        <v>3122.7</v>
      </c>
      <c r="M84" s="2"/>
      <c r="N84" s="6">
        <f t="shared" si="25"/>
        <v>0</v>
      </c>
      <c r="O84" s="11"/>
      <c r="P84" s="7">
        <v>18958.72</v>
      </c>
      <c r="Q84" s="2"/>
      <c r="R84" s="6">
        <f t="shared" si="26"/>
        <v>5.9062735713921649E-2</v>
      </c>
      <c r="S84" s="2"/>
      <c r="T84" s="7">
        <v>0</v>
      </c>
      <c r="U84" s="2"/>
      <c r="V84" s="6">
        <f t="shared" si="27"/>
        <v>0</v>
      </c>
      <c r="W84" s="2"/>
      <c r="X84" s="7">
        <f t="shared" si="28"/>
        <v>18958.72</v>
      </c>
      <c r="Y84" s="2"/>
      <c r="Z84" s="6">
        <f t="shared" si="29"/>
        <v>0</v>
      </c>
    </row>
    <row r="85" spans="1:26" s="24" customFormat="1" hidden="1" outlineLevel="2" x14ac:dyDescent="0.25">
      <c r="A85" s="25"/>
      <c r="B85" s="11" t="str">
        <f>CONCATENATE("          ", "6003", " - ", "STAFF HOURLY-9 MONTH")</f>
        <v xml:space="preserve">          6003 - STAFF HOURLY-9 MONTH</v>
      </c>
      <c r="C85" s="11"/>
      <c r="D85" s="7"/>
      <c r="E85" s="2"/>
      <c r="F85" s="6">
        <f t="shared" si="22"/>
        <v>0</v>
      </c>
      <c r="G85" s="2"/>
      <c r="H85" s="7">
        <v>0</v>
      </c>
      <c r="I85" s="2"/>
      <c r="J85" s="6">
        <f t="shared" si="23"/>
        <v>0</v>
      </c>
      <c r="K85" s="2"/>
      <c r="L85" s="7">
        <f t="shared" si="24"/>
        <v>0</v>
      </c>
      <c r="M85" s="2"/>
      <c r="N85" s="6">
        <f t="shared" si="25"/>
        <v>0</v>
      </c>
      <c r="O85" s="11"/>
      <c r="P85" s="7"/>
      <c r="Q85" s="2"/>
      <c r="R85" s="6">
        <f t="shared" si="26"/>
        <v>0</v>
      </c>
      <c r="S85" s="2"/>
      <c r="T85" s="7">
        <v>0</v>
      </c>
      <c r="U85" s="2"/>
      <c r="V85" s="6">
        <f t="shared" si="27"/>
        <v>0</v>
      </c>
      <c r="W85" s="2"/>
      <c r="X85" s="7">
        <f t="shared" si="28"/>
        <v>0</v>
      </c>
      <c r="Y85" s="2"/>
      <c r="Z85" s="6">
        <f t="shared" si="29"/>
        <v>0</v>
      </c>
    </row>
    <row r="86" spans="1:26" s="24" customFormat="1" hidden="1" outlineLevel="2" x14ac:dyDescent="0.25">
      <c r="A86" s="25"/>
      <c r="B86" s="11" t="str">
        <f>CONCATENATE("          ", "6004", " - ", "STAFF HOURLY")</f>
        <v xml:space="preserve">          6004 - STAFF HOURLY</v>
      </c>
      <c r="C86" s="11"/>
      <c r="D86" s="7"/>
      <c r="E86" s="2"/>
      <c r="F86" s="6">
        <f t="shared" si="22"/>
        <v>0</v>
      </c>
      <c r="G86" s="2"/>
      <c r="H86" s="7">
        <v>0</v>
      </c>
      <c r="I86" s="2"/>
      <c r="J86" s="6">
        <f t="shared" si="23"/>
        <v>0</v>
      </c>
      <c r="K86" s="2"/>
      <c r="L86" s="7">
        <f t="shared" si="24"/>
        <v>0</v>
      </c>
      <c r="M86" s="2"/>
      <c r="N86" s="6">
        <f t="shared" si="25"/>
        <v>0</v>
      </c>
      <c r="O86" s="11"/>
      <c r="P86" s="7"/>
      <c r="Q86" s="2"/>
      <c r="R86" s="6">
        <f t="shared" si="26"/>
        <v>0</v>
      </c>
      <c r="S86" s="2"/>
      <c r="T86" s="7">
        <v>0</v>
      </c>
      <c r="U86" s="2"/>
      <c r="V86" s="6">
        <f t="shared" si="27"/>
        <v>0</v>
      </c>
      <c r="W86" s="2"/>
      <c r="X86" s="7">
        <f t="shared" si="28"/>
        <v>0</v>
      </c>
      <c r="Y86" s="2"/>
      <c r="Z86" s="6">
        <f t="shared" si="29"/>
        <v>0</v>
      </c>
    </row>
    <row r="87" spans="1:26" s="24" customFormat="1" hidden="1" outlineLevel="2" x14ac:dyDescent="0.25">
      <c r="A87" s="25"/>
      <c r="B87" s="11" t="str">
        <f>CONCATENATE("          ", "6005", " - ", "TEMPORARY WAGES-HOURLY")</f>
        <v xml:space="preserve">          6005 - TEMPORARY WAGES-HOURLY</v>
      </c>
      <c r="C87" s="11"/>
      <c r="D87" s="7">
        <v>937.07</v>
      </c>
      <c r="E87" s="2"/>
      <c r="F87" s="6">
        <f t="shared" si="22"/>
        <v>1.7969150596312631E-2</v>
      </c>
      <c r="G87" s="2"/>
      <c r="H87" s="7">
        <v>0</v>
      </c>
      <c r="I87" s="2"/>
      <c r="J87" s="6">
        <f t="shared" si="23"/>
        <v>0</v>
      </c>
      <c r="K87" s="2"/>
      <c r="L87" s="7">
        <f t="shared" si="24"/>
        <v>937.07</v>
      </c>
      <c r="M87" s="2"/>
      <c r="N87" s="6">
        <f t="shared" si="25"/>
        <v>0</v>
      </c>
      <c r="O87" s="11"/>
      <c r="P87" s="7">
        <v>3713.84</v>
      </c>
      <c r="Q87" s="2"/>
      <c r="R87" s="6">
        <f t="shared" si="26"/>
        <v>1.1569850201057391E-2</v>
      </c>
      <c r="S87" s="2"/>
      <c r="T87" s="7">
        <v>0</v>
      </c>
      <c r="U87" s="2"/>
      <c r="V87" s="6">
        <f t="shared" si="27"/>
        <v>0</v>
      </c>
      <c r="W87" s="2"/>
      <c r="X87" s="7">
        <f t="shared" si="28"/>
        <v>3713.84</v>
      </c>
      <c r="Y87" s="2"/>
      <c r="Z87" s="6">
        <f t="shared" si="29"/>
        <v>0</v>
      </c>
    </row>
    <row r="88" spans="1:26" s="24" customFormat="1" hidden="1" outlineLevel="2" x14ac:dyDescent="0.25">
      <c r="A88" s="25"/>
      <c r="B88" s="11" t="str">
        <f>CONCATENATE("          ", "6006", " - ", "TEMPORARY PART TIME")</f>
        <v xml:space="preserve">          6006 - TEMPORARY PART TIME</v>
      </c>
      <c r="C88" s="11"/>
      <c r="D88" s="7"/>
      <c r="E88" s="2"/>
      <c r="F88" s="6">
        <f t="shared" si="22"/>
        <v>0</v>
      </c>
      <c r="G88" s="2"/>
      <c r="H88" s="7">
        <v>0</v>
      </c>
      <c r="I88" s="2"/>
      <c r="J88" s="6">
        <f t="shared" si="23"/>
        <v>0</v>
      </c>
      <c r="K88" s="2"/>
      <c r="L88" s="7">
        <f t="shared" si="24"/>
        <v>0</v>
      </c>
      <c r="M88" s="2"/>
      <c r="N88" s="6">
        <f t="shared" si="25"/>
        <v>0</v>
      </c>
      <c r="O88" s="11"/>
      <c r="P88" s="7">
        <v>25.5</v>
      </c>
      <c r="Q88" s="2"/>
      <c r="R88" s="6">
        <f t="shared" si="26"/>
        <v>7.9441004493183183E-5</v>
      </c>
      <c r="S88" s="2"/>
      <c r="T88" s="7">
        <v>0</v>
      </c>
      <c r="U88" s="2"/>
      <c r="V88" s="6">
        <f t="shared" si="27"/>
        <v>0</v>
      </c>
      <c r="W88" s="2"/>
      <c r="X88" s="7">
        <f t="shared" si="28"/>
        <v>25.5</v>
      </c>
      <c r="Y88" s="2"/>
      <c r="Z88" s="6">
        <f t="shared" si="29"/>
        <v>0</v>
      </c>
    </row>
    <row r="89" spans="1:26" s="24" customFormat="1" hidden="1" outlineLevel="2" x14ac:dyDescent="0.25">
      <c r="A89" s="25"/>
      <c r="B89" s="11" t="str">
        <f>CONCATENATE("          ", "6007", " - ", "STUDENT HOURLY")</f>
        <v xml:space="preserve">          6007 - STUDENT HOURLY</v>
      </c>
      <c r="C89" s="11"/>
      <c r="D89" s="7">
        <v>4879.6899999999996</v>
      </c>
      <c r="E89" s="2"/>
      <c r="F89" s="6">
        <f t="shared" si="22"/>
        <v>9.3572395310191098E-2</v>
      </c>
      <c r="G89" s="2"/>
      <c r="H89" s="7">
        <v>4599.1834140000001</v>
      </c>
      <c r="I89" s="2"/>
      <c r="J89" s="6">
        <f t="shared" si="23"/>
        <v>9.4054753962248716E-2</v>
      </c>
      <c r="K89" s="2"/>
      <c r="L89" s="7">
        <f t="shared" si="24"/>
        <v>280.50658599999952</v>
      </c>
      <c r="M89" s="2"/>
      <c r="N89" s="6">
        <f t="shared" si="25"/>
        <v>6.0990519566176085E-2</v>
      </c>
      <c r="O89" s="11"/>
      <c r="P89" s="7">
        <v>33881.440000000002</v>
      </c>
      <c r="Q89" s="2"/>
      <c r="R89" s="6">
        <f t="shared" si="26"/>
        <v>0.1055519853833536</v>
      </c>
      <c r="S89" s="2"/>
      <c r="T89" s="7">
        <v>29639.733414000002</v>
      </c>
      <c r="U89" s="2"/>
      <c r="V89" s="6">
        <f t="shared" si="27"/>
        <v>8.8099434999331233E-2</v>
      </c>
      <c r="W89" s="2"/>
      <c r="X89" s="7">
        <f t="shared" si="28"/>
        <v>4241.7065860000002</v>
      </c>
      <c r="Y89" s="2"/>
      <c r="Z89" s="6">
        <f t="shared" si="29"/>
        <v>0.14310879678818153</v>
      </c>
    </row>
    <row r="90" spans="1:26" s="24" customFormat="1" hidden="1" outlineLevel="2" x14ac:dyDescent="0.25">
      <c r="A90" s="25"/>
      <c r="B90" s="11" t="str">
        <f>CONCATENATE("          ", "6008", " - ", "STUDENT HOURLY-FICA EXEMPT")</f>
        <v xml:space="preserve">          6008 - STUDENT HOURLY-FICA EXEMPT</v>
      </c>
      <c r="C90" s="11"/>
      <c r="D90" s="7"/>
      <c r="E90" s="2"/>
      <c r="F90" s="6">
        <f t="shared" si="22"/>
        <v>0</v>
      </c>
      <c r="G90" s="2"/>
      <c r="H90" s="7">
        <v>0</v>
      </c>
      <c r="I90" s="2"/>
      <c r="J90" s="6">
        <f t="shared" si="23"/>
        <v>0</v>
      </c>
      <c r="K90" s="2"/>
      <c r="L90" s="7">
        <f t="shared" si="24"/>
        <v>0</v>
      </c>
      <c r="M90" s="2"/>
      <c r="N90" s="6">
        <f t="shared" si="25"/>
        <v>0</v>
      </c>
      <c r="O90" s="11"/>
      <c r="P90" s="7"/>
      <c r="Q90" s="2"/>
      <c r="R90" s="6">
        <f t="shared" si="26"/>
        <v>0</v>
      </c>
      <c r="S90" s="2"/>
      <c r="T90" s="7">
        <v>1654.335</v>
      </c>
      <c r="U90" s="2"/>
      <c r="V90" s="6">
        <f t="shared" si="27"/>
        <v>4.9172499888537162E-3</v>
      </c>
      <c r="W90" s="2"/>
      <c r="X90" s="7">
        <f t="shared" si="28"/>
        <v>-1654.335</v>
      </c>
      <c r="Y90" s="2"/>
      <c r="Z90" s="6">
        <f t="shared" si="29"/>
        <v>-1</v>
      </c>
    </row>
    <row r="91" spans="1:26" s="24" customFormat="1" hidden="1" outlineLevel="2" x14ac:dyDescent="0.25">
      <c r="A91" s="25"/>
      <c r="B91" s="11" t="str">
        <f>CONCATENATE("          ", "6009", " - ", "TEMPORARY-SEASONAL")</f>
        <v xml:space="preserve">          6009 - TEMPORARY-SEASONAL</v>
      </c>
      <c r="C91" s="11"/>
      <c r="D91" s="7"/>
      <c r="E91" s="2"/>
      <c r="F91" s="6">
        <f t="shared" si="22"/>
        <v>0</v>
      </c>
      <c r="G91" s="2"/>
      <c r="H91" s="7">
        <v>0</v>
      </c>
      <c r="I91" s="2"/>
      <c r="J91" s="6">
        <f t="shared" si="23"/>
        <v>0</v>
      </c>
      <c r="K91" s="2"/>
      <c r="L91" s="7">
        <f t="shared" si="24"/>
        <v>0</v>
      </c>
      <c r="M91" s="2"/>
      <c r="N91" s="6">
        <f t="shared" si="25"/>
        <v>0</v>
      </c>
      <c r="O91" s="11"/>
      <c r="P91" s="7"/>
      <c r="Q91" s="2"/>
      <c r="R91" s="6">
        <f t="shared" si="26"/>
        <v>0</v>
      </c>
      <c r="S91" s="2"/>
      <c r="T91" s="7">
        <v>0</v>
      </c>
      <c r="U91" s="2"/>
      <c r="V91" s="6">
        <f t="shared" si="27"/>
        <v>0</v>
      </c>
      <c r="W91" s="2"/>
      <c r="X91" s="7">
        <f t="shared" si="28"/>
        <v>0</v>
      </c>
      <c r="Y91" s="2"/>
      <c r="Z91" s="6">
        <f t="shared" si="29"/>
        <v>0</v>
      </c>
    </row>
    <row r="92" spans="1:26" s="24" customFormat="1" hidden="1" outlineLevel="2" x14ac:dyDescent="0.25">
      <c r="A92" s="25"/>
      <c r="B92" s="11" t="str">
        <f>CONCATENATE("          ", "6010", " - ", "GRATUITY")</f>
        <v xml:space="preserve">          6010 - GRATUITY</v>
      </c>
      <c r="C92" s="11"/>
      <c r="D92" s="7"/>
      <c r="E92" s="2"/>
      <c r="F92" s="6">
        <f t="shared" si="22"/>
        <v>0</v>
      </c>
      <c r="G92" s="2"/>
      <c r="H92" s="7">
        <v>0</v>
      </c>
      <c r="I92" s="2"/>
      <c r="J92" s="6">
        <f t="shared" si="23"/>
        <v>0</v>
      </c>
      <c r="K92" s="2"/>
      <c r="L92" s="7">
        <f t="shared" si="24"/>
        <v>0</v>
      </c>
      <c r="M92" s="2"/>
      <c r="N92" s="6">
        <f t="shared" si="25"/>
        <v>0</v>
      </c>
      <c r="O92" s="11"/>
      <c r="P92" s="7"/>
      <c r="Q92" s="2"/>
      <c r="R92" s="6">
        <f t="shared" si="26"/>
        <v>0</v>
      </c>
      <c r="S92" s="2"/>
      <c r="T92" s="7">
        <v>0</v>
      </c>
      <c r="U92" s="2"/>
      <c r="V92" s="6">
        <f t="shared" si="27"/>
        <v>0</v>
      </c>
      <c r="W92" s="2"/>
      <c r="X92" s="7">
        <f t="shared" si="28"/>
        <v>0</v>
      </c>
      <c r="Y92" s="2"/>
      <c r="Z92" s="6">
        <f t="shared" si="29"/>
        <v>0</v>
      </c>
    </row>
    <row r="93" spans="1:26" s="27" customFormat="1" outlineLevel="1" collapsed="1" x14ac:dyDescent="0.25">
      <c r="A93" s="26"/>
      <c r="B93" s="13" t="str">
        <f>CONCATENATE("     ","Advertising/Promo                                 ")</f>
        <v xml:space="preserve">     Advertising/Promo                                 </v>
      </c>
      <c r="C93" s="13"/>
      <c r="D93" s="1">
        <f>SUM(OSRRefD22_2x_0)</f>
        <v>0</v>
      </c>
      <c r="E93" s="1"/>
      <c r="F93" s="5">
        <f t="shared" ref="F93:F99" si="30">IF(D$12=0,0,D93/D$12)</f>
        <v>0</v>
      </c>
      <c r="G93" s="1"/>
      <c r="H93" s="1">
        <f>SUM(OSRRefH22_2x_0)</f>
        <v>40</v>
      </c>
      <c r="I93" s="1"/>
      <c r="J93" s="5">
        <f t="shared" ref="J93:J99" si="31">IF(H$12=0,0,H93/H$12)</f>
        <v>8.1801263829526171E-4</v>
      </c>
      <c r="K93" s="1"/>
      <c r="L93" s="1">
        <f t="shared" ref="L93:L99" si="32">+D93-H93</f>
        <v>-40</v>
      </c>
      <c r="M93" s="1"/>
      <c r="N93" s="5">
        <f t="shared" ref="N93:N99" si="33">IF(H93=0,0,L93/H93)</f>
        <v>-1</v>
      </c>
      <c r="O93" s="13"/>
      <c r="P93" s="1">
        <f>SUM(OSRRefP22_2x_0)</f>
        <v>963.62</v>
      </c>
      <c r="Q93" s="1"/>
      <c r="R93" s="5">
        <f t="shared" ref="R93:R99" si="34">IF(P$12=0,0,P93/P$12)</f>
        <v>3.0019976764596545E-3</v>
      </c>
      <c r="S93" s="1"/>
      <c r="T93" s="1">
        <f>SUM(OSRRefT22_2x_0)</f>
        <v>280</v>
      </c>
      <c r="U93" s="1"/>
      <c r="V93" s="5">
        <f t="shared" ref="V93:V99" si="35">IF(T$12=0,0,T93/T$12)</f>
        <v>8.3225585922986614E-4</v>
      </c>
      <c r="W93" s="1"/>
      <c r="X93" s="1">
        <f t="shared" ref="X93:X99" si="36">+P93-T93</f>
        <v>683.62</v>
      </c>
      <c r="Y93" s="1"/>
      <c r="Z93" s="5">
        <f t="shared" ref="Z93:Z99" si="37">IF(T93=0,0,X93/T93)</f>
        <v>2.4415</v>
      </c>
    </row>
    <row r="94" spans="1:26" s="24" customFormat="1" hidden="1" outlineLevel="2" x14ac:dyDescent="0.25">
      <c r="A94" s="25"/>
      <c r="B94" s="11" t="str">
        <f>CONCATENATE("          ", "6362", " - ", "ADVERTISING EXPENSE")</f>
        <v xml:space="preserve">          6362 - ADVERTISING EXPENSE</v>
      </c>
      <c r="C94" s="11"/>
      <c r="D94" s="7"/>
      <c r="E94" s="2"/>
      <c r="F94" s="6">
        <f t="shared" si="30"/>
        <v>0</v>
      </c>
      <c r="G94" s="2"/>
      <c r="H94" s="7">
        <v>40</v>
      </c>
      <c r="I94" s="2"/>
      <c r="J94" s="6">
        <f t="shared" si="31"/>
        <v>8.1801263829526171E-4</v>
      </c>
      <c r="K94" s="2"/>
      <c r="L94" s="7">
        <f t="shared" si="32"/>
        <v>-40</v>
      </c>
      <c r="M94" s="2"/>
      <c r="N94" s="6">
        <f t="shared" si="33"/>
        <v>-1</v>
      </c>
      <c r="O94" s="11"/>
      <c r="P94" s="7">
        <v>963.62</v>
      </c>
      <c r="Q94" s="2"/>
      <c r="R94" s="6">
        <f t="shared" si="34"/>
        <v>3.0019976764596545E-3</v>
      </c>
      <c r="S94" s="2"/>
      <c r="T94" s="7">
        <v>280</v>
      </c>
      <c r="U94" s="2"/>
      <c r="V94" s="6">
        <f t="shared" si="35"/>
        <v>8.3225585922986614E-4</v>
      </c>
      <c r="W94" s="2"/>
      <c r="X94" s="7">
        <f t="shared" si="36"/>
        <v>683.62</v>
      </c>
      <c r="Y94" s="2"/>
      <c r="Z94" s="6">
        <f t="shared" si="37"/>
        <v>2.4415</v>
      </c>
    </row>
    <row r="95" spans="1:26" s="27" customFormat="1" outlineLevel="1" collapsed="1" x14ac:dyDescent="0.25">
      <c r="A95" s="26"/>
      <c r="B95" s="13" t="str">
        <f>CONCATENATE("     ","Bad Debts/Over/Short                              ")</f>
        <v xml:space="preserve">     Bad Debts/Over/Short                              </v>
      </c>
      <c r="C95" s="13"/>
      <c r="D95" s="1">
        <f>SUM(OSRRefD22_3x_0)</f>
        <v>-21.52</v>
      </c>
      <c r="E95" s="1"/>
      <c r="F95" s="5">
        <f t="shared" si="30"/>
        <v>-4.1266513796477084E-4</v>
      </c>
      <c r="G95" s="1"/>
      <c r="H95" s="1">
        <f>SUM(OSRRefH22_3x_0)</f>
        <v>0</v>
      </c>
      <c r="I95" s="1"/>
      <c r="J95" s="5">
        <f t="shared" si="31"/>
        <v>0</v>
      </c>
      <c r="K95" s="1"/>
      <c r="L95" s="1">
        <f t="shared" si="32"/>
        <v>-21.52</v>
      </c>
      <c r="M95" s="1"/>
      <c r="N95" s="5">
        <f t="shared" si="33"/>
        <v>0</v>
      </c>
      <c r="O95" s="13"/>
      <c r="P95" s="1">
        <f>SUM(OSRRefP22_3x_0)</f>
        <v>-68.5</v>
      </c>
      <c r="Q95" s="1"/>
      <c r="R95" s="5">
        <f t="shared" si="34"/>
        <v>-2.1340034540325681E-4</v>
      </c>
      <c r="S95" s="1"/>
      <c r="T95" s="1">
        <f>SUM(OSRRefT22_3x_0)</f>
        <v>0</v>
      </c>
      <c r="U95" s="1"/>
      <c r="V95" s="5">
        <f t="shared" si="35"/>
        <v>0</v>
      </c>
      <c r="W95" s="1"/>
      <c r="X95" s="1">
        <f t="shared" si="36"/>
        <v>-68.5</v>
      </c>
      <c r="Y95" s="1"/>
      <c r="Z95" s="5">
        <f t="shared" si="37"/>
        <v>0</v>
      </c>
    </row>
    <row r="96" spans="1:26" s="24" customFormat="1" hidden="1" outlineLevel="2" x14ac:dyDescent="0.25">
      <c r="A96" s="25"/>
      <c r="B96" s="11" t="str">
        <f>CONCATENATE("          ", "6272", " - ", "CASH (OVER/SHORT)")</f>
        <v xml:space="preserve">          6272 - CASH (OVER/SHORT)</v>
      </c>
      <c r="C96" s="11"/>
      <c r="D96" s="7">
        <v>-21.52</v>
      </c>
      <c r="E96" s="2"/>
      <c r="F96" s="6">
        <f t="shared" si="30"/>
        <v>-4.1266513796477084E-4</v>
      </c>
      <c r="G96" s="2"/>
      <c r="H96" s="7"/>
      <c r="I96" s="2"/>
      <c r="J96" s="6">
        <f t="shared" si="31"/>
        <v>0</v>
      </c>
      <c r="K96" s="2"/>
      <c r="L96" s="7">
        <f t="shared" si="32"/>
        <v>-21.52</v>
      </c>
      <c r="M96" s="2"/>
      <c r="N96" s="6">
        <f t="shared" si="33"/>
        <v>0</v>
      </c>
      <c r="O96" s="11"/>
      <c r="P96" s="7">
        <v>-68.5</v>
      </c>
      <c r="Q96" s="2"/>
      <c r="R96" s="6">
        <f t="shared" si="34"/>
        <v>-2.1340034540325681E-4</v>
      </c>
      <c r="S96" s="2"/>
      <c r="T96" s="7"/>
      <c r="U96" s="2"/>
      <c r="V96" s="6">
        <f t="shared" si="35"/>
        <v>0</v>
      </c>
      <c r="W96" s="2"/>
      <c r="X96" s="7">
        <f t="shared" si="36"/>
        <v>-68.5</v>
      </c>
      <c r="Y96" s="2"/>
      <c r="Z96" s="6">
        <f t="shared" si="37"/>
        <v>0</v>
      </c>
    </row>
    <row r="97" spans="1:26" s="27" customFormat="1" outlineLevel="1" collapsed="1" x14ac:dyDescent="0.25">
      <c r="A97" s="26"/>
      <c r="B97" s="13" t="str">
        <f>CONCATENATE("     ","Discounts and Markdowns                           ")</f>
        <v xml:space="preserve">     Discounts and Markdowns                           </v>
      </c>
      <c r="C97" s="13"/>
      <c r="D97" s="1">
        <f>SUM(OSRRefD22_4x_0)</f>
        <v>1798.22</v>
      </c>
      <c r="E97" s="1"/>
      <c r="F97" s="5">
        <f t="shared" si="30"/>
        <v>3.4482467676162185E-2</v>
      </c>
      <c r="G97" s="1"/>
      <c r="H97" s="1">
        <f>SUM(OSRRefH22_4x_0)</f>
        <v>1250</v>
      </c>
      <c r="I97" s="1"/>
      <c r="J97" s="5">
        <f t="shared" si="31"/>
        <v>2.5562894946726925E-2</v>
      </c>
      <c r="K97" s="1"/>
      <c r="L97" s="1">
        <f t="shared" si="32"/>
        <v>548.22</v>
      </c>
      <c r="M97" s="1"/>
      <c r="N97" s="5">
        <f t="shared" si="33"/>
        <v>0.43857600000000002</v>
      </c>
      <c r="O97" s="13"/>
      <c r="P97" s="1">
        <f>SUM(OSRRefP22_4x_0)</f>
        <v>7335.6</v>
      </c>
      <c r="Q97" s="1"/>
      <c r="R97" s="5">
        <f t="shared" si="34"/>
        <v>2.2852840492556651E-2</v>
      </c>
      <c r="S97" s="1"/>
      <c r="T97" s="1">
        <f>SUM(OSRRefT22_4x_0)</f>
        <v>8750</v>
      </c>
      <c r="U97" s="1"/>
      <c r="V97" s="5">
        <f t="shared" si="35"/>
        <v>2.6007995600933316E-2</v>
      </c>
      <c r="W97" s="1"/>
      <c r="X97" s="1">
        <f t="shared" si="36"/>
        <v>-1414.3999999999996</v>
      </c>
      <c r="Y97" s="1"/>
      <c r="Z97" s="5">
        <f t="shared" si="37"/>
        <v>-0.16164571428571425</v>
      </c>
    </row>
    <row r="98" spans="1:26" s="24" customFormat="1" hidden="1" outlineLevel="2" x14ac:dyDescent="0.25">
      <c r="A98" s="25"/>
      <c r="B98" s="11" t="str">
        <f>CONCATENATE("          ", "6382", " - ", "DISCOUNTS/MARK DOWNS")</f>
        <v xml:space="preserve">          6382 - DISCOUNTS/MARK DOWNS</v>
      </c>
      <c r="C98" s="11"/>
      <c r="D98" s="7">
        <v>1798.22</v>
      </c>
      <c r="E98" s="2"/>
      <c r="F98" s="6">
        <f t="shared" si="30"/>
        <v>3.4482467676162185E-2</v>
      </c>
      <c r="G98" s="2"/>
      <c r="H98" s="7">
        <v>1250</v>
      </c>
      <c r="I98" s="2"/>
      <c r="J98" s="6">
        <f t="shared" si="31"/>
        <v>2.5562894946726925E-2</v>
      </c>
      <c r="K98" s="2"/>
      <c r="L98" s="7">
        <f t="shared" si="32"/>
        <v>548.22</v>
      </c>
      <c r="M98" s="2"/>
      <c r="N98" s="6">
        <f t="shared" si="33"/>
        <v>0.43857600000000002</v>
      </c>
      <c r="O98" s="11"/>
      <c r="P98" s="7">
        <v>7335.6</v>
      </c>
      <c r="Q98" s="2"/>
      <c r="R98" s="6">
        <f t="shared" si="34"/>
        <v>2.2852840492556651E-2</v>
      </c>
      <c r="S98" s="2"/>
      <c r="T98" s="7">
        <v>8750</v>
      </c>
      <c r="U98" s="2"/>
      <c r="V98" s="6">
        <f t="shared" si="35"/>
        <v>2.6007995600933316E-2</v>
      </c>
      <c r="W98" s="2"/>
      <c r="X98" s="7">
        <f t="shared" si="36"/>
        <v>-1414.3999999999996</v>
      </c>
      <c r="Y98" s="2"/>
      <c r="Z98" s="6">
        <f t="shared" si="37"/>
        <v>-0.16164571428571425</v>
      </c>
    </row>
    <row r="99" spans="1:26" s="24" customFormat="1" hidden="1" outlineLevel="2" x14ac:dyDescent="0.25">
      <c r="A99" s="25"/>
      <c r="B99" s="11" t="str">
        <f>CONCATENATE("          ", "9175", " - ", "EARNED DISCOUNTS")</f>
        <v xml:space="preserve">          9175 - EARNED DISCOUNTS</v>
      </c>
      <c r="C99" s="11"/>
      <c r="D99" s="7"/>
      <c r="E99" s="2"/>
      <c r="F99" s="6">
        <f t="shared" si="30"/>
        <v>0</v>
      </c>
      <c r="G99" s="2"/>
      <c r="H99" s="7"/>
      <c r="I99" s="2"/>
      <c r="J99" s="6">
        <f t="shared" si="31"/>
        <v>0</v>
      </c>
      <c r="K99" s="2"/>
      <c r="L99" s="7">
        <f t="shared" si="32"/>
        <v>0</v>
      </c>
      <c r="M99" s="2"/>
      <c r="N99" s="6">
        <f t="shared" si="33"/>
        <v>0</v>
      </c>
      <c r="O99" s="11"/>
      <c r="P99" s="7">
        <v>0</v>
      </c>
      <c r="Q99" s="2"/>
      <c r="R99" s="6">
        <f t="shared" si="34"/>
        <v>0</v>
      </c>
      <c r="S99" s="2"/>
      <c r="T99" s="7"/>
      <c r="U99" s="2"/>
      <c r="V99" s="6">
        <f t="shared" si="35"/>
        <v>0</v>
      </c>
      <c r="W99" s="2"/>
      <c r="X99" s="7">
        <f t="shared" si="36"/>
        <v>0</v>
      </c>
      <c r="Y99" s="2"/>
      <c r="Z99" s="6">
        <f t="shared" si="37"/>
        <v>0</v>
      </c>
    </row>
    <row r="100" spans="1:26" s="27" customFormat="1" outlineLevel="1" collapsed="1" x14ac:dyDescent="0.25">
      <c r="A100" s="26"/>
      <c r="B100" s="13" t="str">
        <f>CONCATENATE("     ","Employees' Appreciation                           ")</f>
        <v xml:space="preserve">     Employees' Appreciation                           </v>
      </c>
      <c r="C100" s="13"/>
      <c r="D100" s="1">
        <f>SUM(OSRRefD22_5x_0)</f>
        <v>0</v>
      </c>
      <c r="E100" s="1"/>
      <c r="F100" s="5">
        <f t="shared" ref="F100:F108" si="38">IF(D$12=0,0,D100/D$12)</f>
        <v>0</v>
      </c>
      <c r="G100" s="1"/>
      <c r="H100" s="1">
        <f>SUM(OSRRefH22_5x_0)</f>
        <v>25</v>
      </c>
      <c r="I100" s="1"/>
      <c r="J100" s="5">
        <f t="shared" ref="J100:J108" si="39">IF(H$12=0,0,H100/H$12)</f>
        <v>5.1125789893453856E-4</v>
      </c>
      <c r="K100" s="1"/>
      <c r="L100" s="1">
        <f t="shared" ref="L100:L108" si="40">+D100-H100</f>
        <v>-25</v>
      </c>
      <c r="M100" s="1"/>
      <c r="N100" s="5">
        <f t="shared" ref="N100:N108" si="41">IF(H100=0,0,L100/H100)</f>
        <v>-1</v>
      </c>
      <c r="O100" s="13"/>
      <c r="P100" s="1">
        <f>SUM(OSRRefP22_5x_0)</f>
        <v>0</v>
      </c>
      <c r="Q100" s="1"/>
      <c r="R100" s="5">
        <f t="shared" ref="R100:R108" si="42">IF(P$12=0,0,P100/P$12)</f>
        <v>0</v>
      </c>
      <c r="S100" s="1"/>
      <c r="T100" s="1">
        <f>SUM(OSRRefT22_5x_0)</f>
        <v>175</v>
      </c>
      <c r="U100" s="1"/>
      <c r="V100" s="5">
        <f t="shared" ref="V100:V108" si="43">IF(T$12=0,0,T100/T$12)</f>
        <v>5.2015991201866628E-4</v>
      </c>
      <c r="W100" s="1"/>
      <c r="X100" s="1">
        <f t="shared" ref="X100:X108" si="44">+P100-T100</f>
        <v>-175</v>
      </c>
      <c r="Y100" s="1"/>
      <c r="Z100" s="5">
        <f t="shared" ref="Z100:Z108" si="45">IF(T100=0,0,X100/T100)</f>
        <v>-1</v>
      </c>
    </row>
    <row r="101" spans="1:26" s="24" customFormat="1" hidden="1" outlineLevel="2" x14ac:dyDescent="0.25">
      <c r="A101" s="25"/>
      <c r="B101" s="11" t="str">
        <f>CONCATENATE("          ", "6277", " - ", "EMPLOYEE APPRECIATION")</f>
        <v xml:space="preserve">          6277 - EMPLOYEE APPRECIATION</v>
      </c>
      <c r="C101" s="11"/>
      <c r="D101" s="7"/>
      <c r="E101" s="2"/>
      <c r="F101" s="6">
        <f t="shared" si="38"/>
        <v>0</v>
      </c>
      <c r="G101" s="2"/>
      <c r="H101" s="7">
        <v>25</v>
      </c>
      <c r="I101" s="2"/>
      <c r="J101" s="6">
        <f t="shared" si="39"/>
        <v>5.1125789893453856E-4</v>
      </c>
      <c r="K101" s="2"/>
      <c r="L101" s="7">
        <f t="shared" si="40"/>
        <v>-25</v>
      </c>
      <c r="M101" s="2"/>
      <c r="N101" s="6">
        <f t="shared" si="41"/>
        <v>-1</v>
      </c>
      <c r="O101" s="11"/>
      <c r="P101" s="7"/>
      <c r="Q101" s="2"/>
      <c r="R101" s="6">
        <f t="shared" si="42"/>
        <v>0</v>
      </c>
      <c r="S101" s="2"/>
      <c r="T101" s="7">
        <v>175</v>
      </c>
      <c r="U101" s="2"/>
      <c r="V101" s="6">
        <f t="shared" si="43"/>
        <v>5.2015991201866628E-4</v>
      </c>
      <c r="W101" s="2"/>
      <c r="X101" s="7">
        <f t="shared" si="44"/>
        <v>-175</v>
      </c>
      <c r="Y101" s="2"/>
      <c r="Z101" s="6">
        <f t="shared" si="45"/>
        <v>-1</v>
      </c>
    </row>
    <row r="102" spans="1:26" s="27" customFormat="1" outlineLevel="1" collapsed="1" x14ac:dyDescent="0.25">
      <c r="A102" s="26"/>
      <c r="B102" s="13" t="str">
        <f>CONCATENATE("     ","General                                           ")</f>
        <v xml:space="preserve">     General                                           </v>
      </c>
      <c r="C102" s="13"/>
      <c r="D102" s="1">
        <f>SUM(OSRRefD22_6x_0)</f>
        <v>0</v>
      </c>
      <c r="E102" s="1"/>
      <c r="F102" s="5">
        <f t="shared" si="38"/>
        <v>0</v>
      </c>
      <c r="G102" s="1"/>
      <c r="H102" s="1">
        <f>SUM(OSRRefH22_6x_0)</f>
        <v>80</v>
      </c>
      <c r="I102" s="1"/>
      <c r="J102" s="5">
        <f t="shared" si="39"/>
        <v>1.6360252765905234E-3</v>
      </c>
      <c r="K102" s="1"/>
      <c r="L102" s="1">
        <f t="shared" si="40"/>
        <v>-80</v>
      </c>
      <c r="M102" s="1"/>
      <c r="N102" s="5">
        <f t="shared" si="41"/>
        <v>-1</v>
      </c>
      <c r="O102" s="13"/>
      <c r="P102" s="1">
        <f>SUM(OSRRefP22_6x_0)</f>
        <v>954.05</v>
      </c>
      <c r="Q102" s="1"/>
      <c r="R102" s="5">
        <f t="shared" si="42"/>
        <v>2.9721839347733891E-3</v>
      </c>
      <c r="S102" s="1"/>
      <c r="T102" s="1">
        <f>SUM(OSRRefT22_6x_0)</f>
        <v>560</v>
      </c>
      <c r="U102" s="1"/>
      <c r="V102" s="5">
        <f t="shared" si="43"/>
        <v>1.6645117184597323E-3</v>
      </c>
      <c r="W102" s="1"/>
      <c r="X102" s="1">
        <f t="shared" si="44"/>
        <v>394.04999999999995</v>
      </c>
      <c r="Y102" s="1"/>
      <c r="Z102" s="5">
        <f t="shared" si="45"/>
        <v>0.70366071428571419</v>
      </c>
    </row>
    <row r="103" spans="1:26" s="24" customFormat="1" hidden="1" outlineLevel="2" x14ac:dyDescent="0.25">
      <c r="A103" s="25"/>
      <c r="B103" s="11" t="str">
        <f>CONCATENATE("          ", "6279", " - ", "GENERAL EXPENSE")</f>
        <v xml:space="preserve">          6279 - GENERAL EXPENSE</v>
      </c>
      <c r="C103" s="11"/>
      <c r="D103" s="7"/>
      <c r="E103" s="2"/>
      <c r="F103" s="6">
        <f t="shared" si="38"/>
        <v>0</v>
      </c>
      <c r="G103" s="2"/>
      <c r="H103" s="7">
        <v>80</v>
      </c>
      <c r="I103" s="2"/>
      <c r="J103" s="6">
        <f t="shared" si="39"/>
        <v>1.6360252765905234E-3</v>
      </c>
      <c r="K103" s="2"/>
      <c r="L103" s="7">
        <f t="shared" si="40"/>
        <v>-80</v>
      </c>
      <c r="M103" s="2"/>
      <c r="N103" s="6">
        <f t="shared" si="41"/>
        <v>-1</v>
      </c>
      <c r="O103" s="11"/>
      <c r="P103" s="7">
        <v>954.05</v>
      </c>
      <c r="Q103" s="2"/>
      <c r="R103" s="6">
        <f t="shared" si="42"/>
        <v>2.9721839347733891E-3</v>
      </c>
      <c r="S103" s="2"/>
      <c r="T103" s="7">
        <v>560</v>
      </c>
      <c r="U103" s="2"/>
      <c r="V103" s="6">
        <f t="shared" si="43"/>
        <v>1.6645117184597323E-3</v>
      </c>
      <c r="W103" s="2"/>
      <c r="X103" s="7">
        <f t="shared" si="44"/>
        <v>394.04999999999995</v>
      </c>
      <c r="Y103" s="2"/>
      <c r="Z103" s="6">
        <f t="shared" si="45"/>
        <v>0.70366071428571419</v>
      </c>
    </row>
    <row r="104" spans="1:26" s="27" customFormat="1" outlineLevel="1" collapsed="1" x14ac:dyDescent="0.25">
      <c r="A104" s="26"/>
      <c r="B104" s="13" t="str">
        <f>CONCATENATE("     ","Professional Services                             ")</f>
        <v xml:space="preserve">     Professional Services                             </v>
      </c>
      <c r="C104" s="13"/>
      <c r="D104" s="1">
        <f>SUM(OSRRefD22_7x_0)</f>
        <v>0</v>
      </c>
      <c r="E104" s="1"/>
      <c r="F104" s="5">
        <f t="shared" si="38"/>
        <v>0</v>
      </c>
      <c r="G104" s="1"/>
      <c r="H104" s="1">
        <f>SUM(OSRRefH22_7x_0)</f>
        <v>115</v>
      </c>
      <c r="I104" s="1"/>
      <c r="J104" s="5">
        <f t="shared" si="39"/>
        <v>2.3517863350988773E-3</v>
      </c>
      <c r="K104" s="1"/>
      <c r="L104" s="1">
        <f t="shared" si="40"/>
        <v>-115</v>
      </c>
      <c r="M104" s="1"/>
      <c r="N104" s="5">
        <f t="shared" si="41"/>
        <v>-1</v>
      </c>
      <c r="O104" s="13"/>
      <c r="P104" s="1">
        <f>SUM(OSRRefP22_7x_0)</f>
        <v>791.15</v>
      </c>
      <c r="Q104" s="1"/>
      <c r="R104" s="5">
        <f t="shared" si="42"/>
        <v>2.4646961060698774E-3</v>
      </c>
      <c r="S104" s="1"/>
      <c r="T104" s="1">
        <f>SUM(OSRRefT22_7x_0)</f>
        <v>805</v>
      </c>
      <c r="U104" s="1"/>
      <c r="V104" s="5">
        <f t="shared" si="43"/>
        <v>2.3927355952858649E-3</v>
      </c>
      <c r="W104" s="1"/>
      <c r="X104" s="1">
        <f t="shared" si="44"/>
        <v>-13.850000000000023</v>
      </c>
      <c r="Y104" s="1"/>
      <c r="Z104" s="5">
        <f t="shared" si="45"/>
        <v>-1.7204968944099407E-2</v>
      </c>
    </row>
    <row r="105" spans="1:26" s="24" customFormat="1" hidden="1" outlineLevel="2" x14ac:dyDescent="0.25">
      <c r="A105" s="25"/>
      <c r="B105" s="11" t="str">
        <f>CONCATENATE("          ", "6336", " - ", "PROFESSIONAL SERVICES")</f>
        <v xml:space="preserve">          6336 - PROFESSIONAL SERVICES</v>
      </c>
      <c r="C105" s="11"/>
      <c r="D105" s="7"/>
      <c r="E105" s="2"/>
      <c r="F105" s="6">
        <f t="shared" si="38"/>
        <v>0</v>
      </c>
      <c r="G105" s="2"/>
      <c r="H105" s="7">
        <v>115</v>
      </c>
      <c r="I105" s="2"/>
      <c r="J105" s="6">
        <f t="shared" si="39"/>
        <v>2.3517863350988773E-3</v>
      </c>
      <c r="K105" s="2"/>
      <c r="L105" s="7">
        <f t="shared" si="40"/>
        <v>-115</v>
      </c>
      <c r="M105" s="2"/>
      <c r="N105" s="6">
        <f t="shared" si="41"/>
        <v>-1</v>
      </c>
      <c r="O105" s="11"/>
      <c r="P105" s="7">
        <v>791.15</v>
      </c>
      <c r="Q105" s="2"/>
      <c r="R105" s="6">
        <f t="shared" si="42"/>
        <v>2.4646961060698774E-3</v>
      </c>
      <c r="S105" s="2"/>
      <c r="T105" s="7">
        <v>805</v>
      </c>
      <c r="U105" s="2"/>
      <c r="V105" s="6">
        <f t="shared" si="43"/>
        <v>2.3927355952858649E-3</v>
      </c>
      <c r="W105" s="2"/>
      <c r="X105" s="7">
        <f t="shared" si="44"/>
        <v>-13.850000000000023</v>
      </c>
      <c r="Y105" s="2"/>
      <c r="Z105" s="6">
        <f t="shared" si="45"/>
        <v>-1.7204968944099407E-2</v>
      </c>
    </row>
    <row r="106" spans="1:26" s="27" customFormat="1" outlineLevel="1" collapsed="1" x14ac:dyDescent="0.25">
      <c r="A106" s="26"/>
      <c r="B106" s="13" t="str">
        <f>CONCATENATE("     ","Repair and Maintenance                            ")</f>
        <v xml:space="preserve">     Repair and Maintenance                            </v>
      </c>
      <c r="C106" s="13"/>
      <c r="D106" s="1">
        <f>SUM(OSRRefD22_8x_0)</f>
        <v>0</v>
      </c>
      <c r="E106" s="1"/>
      <c r="F106" s="5">
        <f t="shared" si="38"/>
        <v>0</v>
      </c>
      <c r="G106" s="1"/>
      <c r="H106" s="1">
        <f>SUM(OSRRefH22_8x_0)</f>
        <v>125</v>
      </c>
      <c r="I106" s="1"/>
      <c r="J106" s="5">
        <f t="shared" si="39"/>
        <v>2.5562894946726928E-3</v>
      </c>
      <c r="K106" s="1"/>
      <c r="L106" s="1">
        <f t="shared" si="40"/>
        <v>-125</v>
      </c>
      <c r="M106" s="1"/>
      <c r="N106" s="5">
        <f t="shared" si="41"/>
        <v>-1</v>
      </c>
      <c r="O106" s="13"/>
      <c r="P106" s="1">
        <f>SUM(OSRRefP22_8x_0)</f>
        <v>129.53</v>
      </c>
      <c r="Q106" s="1"/>
      <c r="R106" s="5">
        <f t="shared" si="42"/>
        <v>4.0352914949027527E-4</v>
      </c>
      <c r="S106" s="1"/>
      <c r="T106" s="1">
        <f>SUM(OSRRefT22_8x_0)</f>
        <v>875</v>
      </c>
      <c r="U106" s="1"/>
      <c r="V106" s="5">
        <f t="shared" si="43"/>
        <v>2.6007995600933315E-3</v>
      </c>
      <c r="W106" s="1"/>
      <c r="X106" s="1">
        <f t="shared" si="44"/>
        <v>-745.47</v>
      </c>
      <c r="Y106" s="1"/>
      <c r="Z106" s="5">
        <f t="shared" si="45"/>
        <v>-0.85196571428571433</v>
      </c>
    </row>
    <row r="107" spans="1:26" s="24" customFormat="1" hidden="1" outlineLevel="2" x14ac:dyDescent="0.25">
      <c r="A107" s="25"/>
      <c r="B107" s="11" t="str">
        <f>CONCATENATE("          ", "6373", " - ", "MAINTENANCE CONTRACTS")</f>
        <v xml:space="preserve">          6373 - MAINTENANCE CONTRACTS</v>
      </c>
      <c r="C107" s="11"/>
      <c r="D107" s="7"/>
      <c r="E107" s="2"/>
      <c r="F107" s="6">
        <f t="shared" si="38"/>
        <v>0</v>
      </c>
      <c r="G107" s="2"/>
      <c r="H107" s="7"/>
      <c r="I107" s="2"/>
      <c r="J107" s="6">
        <f t="shared" si="39"/>
        <v>0</v>
      </c>
      <c r="K107" s="2"/>
      <c r="L107" s="7">
        <f t="shared" si="40"/>
        <v>0</v>
      </c>
      <c r="M107" s="2"/>
      <c r="N107" s="6">
        <f t="shared" si="41"/>
        <v>0</v>
      </c>
      <c r="O107" s="11"/>
      <c r="P107" s="7">
        <v>119.73</v>
      </c>
      <c r="Q107" s="2"/>
      <c r="R107" s="6">
        <f t="shared" si="42"/>
        <v>3.7299888109681664E-4</v>
      </c>
      <c r="S107" s="2"/>
      <c r="T107" s="7"/>
      <c r="U107" s="2"/>
      <c r="V107" s="6">
        <f t="shared" si="43"/>
        <v>0</v>
      </c>
      <c r="W107" s="2"/>
      <c r="X107" s="7">
        <f t="shared" si="44"/>
        <v>119.73</v>
      </c>
      <c r="Y107" s="2"/>
      <c r="Z107" s="6">
        <f t="shared" si="45"/>
        <v>0</v>
      </c>
    </row>
    <row r="108" spans="1:26" s="24" customFormat="1" hidden="1" outlineLevel="2" x14ac:dyDescent="0.25">
      <c r="A108" s="25"/>
      <c r="B108" s="11" t="str">
        <f>CONCATENATE("          ", "6375", " - ", "OUTSIDE REPAIRS &amp; MAINTENANCE")</f>
        <v xml:space="preserve">          6375 - OUTSIDE REPAIRS &amp; MAINTENANCE</v>
      </c>
      <c r="C108" s="11"/>
      <c r="D108" s="7"/>
      <c r="E108" s="2"/>
      <c r="F108" s="6">
        <f t="shared" si="38"/>
        <v>0</v>
      </c>
      <c r="G108" s="2"/>
      <c r="H108" s="7">
        <v>125</v>
      </c>
      <c r="I108" s="2"/>
      <c r="J108" s="6">
        <f t="shared" si="39"/>
        <v>2.5562894946726928E-3</v>
      </c>
      <c r="K108" s="2"/>
      <c r="L108" s="7">
        <f t="shared" si="40"/>
        <v>-125</v>
      </c>
      <c r="M108" s="2"/>
      <c r="N108" s="6">
        <f t="shared" si="41"/>
        <v>-1</v>
      </c>
      <c r="O108" s="11"/>
      <c r="P108" s="7">
        <v>9.8000000000000007</v>
      </c>
      <c r="Q108" s="2"/>
      <c r="R108" s="6">
        <f t="shared" si="42"/>
        <v>3.0530268393458643E-5</v>
      </c>
      <c r="S108" s="2"/>
      <c r="T108" s="7">
        <v>875</v>
      </c>
      <c r="U108" s="2"/>
      <c r="V108" s="6">
        <f t="shared" si="43"/>
        <v>2.6007995600933315E-3</v>
      </c>
      <c r="W108" s="2"/>
      <c r="X108" s="7">
        <f t="shared" si="44"/>
        <v>-865.2</v>
      </c>
      <c r="Y108" s="2"/>
      <c r="Z108" s="6">
        <f t="shared" si="45"/>
        <v>-0.98880000000000001</v>
      </c>
    </row>
    <row r="109" spans="1:26" s="27" customFormat="1" outlineLevel="1" collapsed="1" x14ac:dyDescent="0.25">
      <c r="A109" s="26"/>
      <c r="B109" s="13" t="str">
        <f>CONCATENATE("     ","Services                                          ")</f>
        <v xml:space="preserve">     Services                                          </v>
      </c>
      <c r="C109" s="13"/>
      <c r="D109" s="1">
        <f>SUM(OSRRefD22_9x_0)</f>
        <v>338.16999999999996</v>
      </c>
      <c r="E109" s="1"/>
      <c r="F109" s="5">
        <f t="shared" ref="F109:F111" si="46">IF(D$12=0,0,D109/D$12)</f>
        <v>6.484710488175954E-3</v>
      </c>
      <c r="G109" s="1"/>
      <c r="H109" s="1">
        <f>SUM(OSRRefH22_9x_0)</f>
        <v>100</v>
      </c>
      <c r="I109" s="1"/>
      <c r="J109" s="5">
        <f t="shared" ref="J109:J111" si="47">IF(H$12=0,0,H109/H$12)</f>
        <v>2.0450315957381542E-3</v>
      </c>
      <c r="K109" s="1"/>
      <c r="L109" s="1">
        <f t="shared" ref="L109:L111" si="48">+D109-H109</f>
        <v>238.16999999999996</v>
      </c>
      <c r="M109" s="1"/>
      <c r="N109" s="5">
        <f t="shared" ref="N109:N111" si="49">IF(H109=0,0,L109/H109)</f>
        <v>2.3816999999999995</v>
      </c>
      <c r="O109" s="13"/>
      <c r="P109" s="1">
        <f>SUM(OSRRefP22_9x_0)</f>
        <v>1568.86</v>
      </c>
      <c r="Q109" s="1"/>
      <c r="R109" s="5">
        <f t="shared" ref="R109:R111" si="50">IF(P$12=0,0,P109/P$12)</f>
        <v>4.8875221297715833E-3</v>
      </c>
      <c r="S109" s="1"/>
      <c r="T109" s="1">
        <f>SUM(OSRRefT22_9x_0)</f>
        <v>700</v>
      </c>
      <c r="U109" s="1"/>
      <c r="V109" s="5">
        <f t="shared" ref="V109:V111" si="51">IF(T$12=0,0,T109/T$12)</f>
        <v>2.0806396480746651E-3</v>
      </c>
      <c r="W109" s="1"/>
      <c r="X109" s="1">
        <f t="shared" ref="X109:X111" si="52">+P109-T109</f>
        <v>868.8599999999999</v>
      </c>
      <c r="Y109" s="1"/>
      <c r="Z109" s="5">
        <f t="shared" ref="Z109:Z111" si="53">IF(T109=0,0,X109/T109)</f>
        <v>1.2412285714285713</v>
      </c>
    </row>
    <row r="110" spans="1:26" s="24" customFormat="1" hidden="1" outlineLevel="2" x14ac:dyDescent="0.25">
      <c r="A110" s="25"/>
      <c r="B110" s="11" t="str">
        <f>CONCATENATE("          ", "6282", " - ", "JANITORIAL/EXTERMINATOR EXPENS")</f>
        <v xml:space="preserve">          6282 - JANITORIAL/EXTERMINATOR EXPENS</v>
      </c>
      <c r="C110" s="11"/>
      <c r="D110" s="7">
        <v>65.02</v>
      </c>
      <c r="E110" s="2"/>
      <c r="F110" s="6">
        <f t="shared" si="46"/>
        <v>1.2468163229772025E-3</v>
      </c>
      <c r="G110" s="2"/>
      <c r="H110" s="7">
        <v>50</v>
      </c>
      <c r="I110" s="2"/>
      <c r="J110" s="6">
        <f t="shared" si="47"/>
        <v>1.0225157978690771E-3</v>
      </c>
      <c r="K110" s="2"/>
      <c r="L110" s="7">
        <f t="shared" si="48"/>
        <v>15.019999999999996</v>
      </c>
      <c r="M110" s="2"/>
      <c r="N110" s="6">
        <f t="shared" si="49"/>
        <v>0.30039999999999994</v>
      </c>
      <c r="O110" s="11"/>
      <c r="P110" s="7">
        <v>329.02</v>
      </c>
      <c r="Q110" s="2"/>
      <c r="R110" s="6">
        <f t="shared" si="50"/>
        <v>1.0250070313077306E-3</v>
      </c>
      <c r="S110" s="2"/>
      <c r="T110" s="7">
        <v>350</v>
      </c>
      <c r="U110" s="2"/>
      <c r="V110" s="6">
        <f t="shared" si="51"/>
        <v>1.0403198240373326E-3</v>
      </c>
      <c r="W110" s="2"/>
      <c r="X110" s="7">
        <f t="shared" si="52"/>
        <v>-20.980000000000018</v>
      </c>
      <c r="Y110" s="2"/>
      <c r="Z110" s="6">
        <f t="shared" si="53"/>
        <v>-5.9942857142857194E-2</v>
      </c>
    </row>
    <row r="111" spans="1:26" s="24" customFormat="1" hidden="1" outlineLevel="2" x14ac:dyDescent="0.25">
      <c r="A111" s="25"/>
      <c r="B111" s="11" t="str">
        <f>CONCATENATE("          ", "6285", " - ", "JANITORIAL SERVICES")</f>
        <v xml:space="preserve">          6285 - JANITORIAL SERVICES</v>
      </c>
      <c r="C111" s="11"/>
      <c r="D111" s="7">
        <v>273.14999999999998</v>
      </c>
      <c r="E111" s="2"/>
      <c r="F111" s="6">
        <f t="shared" si="46"/>
        <v>5.2378941651987521E-3</v>
      </c>
      <c r="G111" s="2"/>
      <c r="H111" s="7">
        <v>50</v>
      </c>
      <c r="I111" s="2"/>
      <c r="J111" s="6">
        <f t="shared" si="47"/>
        <v>1.0225157978690771E-3</v>
      </c>
      <c r="K111" s="2"/>
      <c r="L111" s="7">
        <f t="shared" si="48"/>
        <v>223.14999999999998</v>
      </c>
      <c r="M111" s="2"/>
      <c r="N111" s="6">
        <f t="shared" si="49"/>
        <v>4.4629999999999992</v>
      </c>
      <c r="O111" s="11"/>
      <c r="P111" s="7">
        <v>1239.8399999999999</v>
      </c>
      <c r="Q111" s="2"/>
      <c r="R111" s="6">
        <f t="shared" si="50"/>
        <v>3.8625150984638525E-3</v>
      </c>
      <c r="S111" s="2"/>
      <c r="T111" s="7">
        <v>350</v>
      </c>
      <c r="U111" s="2"/>
      <c r="V111" s="6">
        <f t="shared" si="51"/>
        <v>1.0403198240373326E-3</v>
      </c>
      <c r="W111" s="2"/>
      <c r="X111" s="7">
        <f t="shared" si="52"/>
        <v>889.83999999999992</v>
      </c>
      <c r="Y111" s="2"/>
      <c r="Z111" s="6">
        <f t="shared" si="53"/>
        <v>2.5423999999999998</v>
      </c>
    </row>
    <row r="112" spans="1:26" s="27" customFormat="1" outlineLevel="1" collapsed="1" x14ac:dyDescent="0.25">
      <c r="A112" s="26"/>
      <c r="B112" s="13" t="str">
        <f>CONCATENATE("     ","Supplies                                          ")</f>
        <v xml:space="preserve">     Supplies                                          </v>
      </c>
      <c r="C112" s="13"/>
      <c r="D112" s="1">
        <f>SUM(OSRRefD22_10x_0)</f>
        <v>53.489999999999995</v>
      </c>
      <c r="E112" s="1"/>
      <c r="F112" s="5">
        <f t="shared" ref="F112:F115" si="54">IF(D$12=0,0,D112/D$12)</f>
        <v>1.0257183192256315E-3</v>
      </c>
      <c r="G112" s="1"/>
      <c r="H112" s="1">
        <f>SUM(OSRRefH22_10x_0)</f>
        <v>150</v>
      </c>
      <c r="I112" s="1"/>
      <c r="J112" s="5">
        <f t="shared" ref="J112:J115" si="55">IF(H$12=0,0,H112/H$12)</f>
        <v>3.0675473936072313E-3</v>
      </c>
      <c r="K112" s="1"/>
      <c r="L112" s="1">
        <f t="shared" ref="L112:L115" si="56">+D112-H112</f>
        <v>-96.51</v>
      </c>
      <c r="M112" s="1"/>
      <c r="N112" s="5">
        <f t="shared" ref="N112:N115" si="57">IF(H112=0,0,L112/H112)</f>
        <v>-0.64340000000000008</v>
      </c>
      <c r="O112" s="13"/>
      <c r="P112" s="1">
        <f>SUM(OSRRefP22_10x_0)</f>
        <v>1262.32</v>
      </c>
      <c r="Q112" s="1"/>
      <c r="R112" s="5">
        <f t="shared" ref="R112:R115" si="58">IF(P$12=0,0,P112/P$12)</f>
        <v>3.9325477957582351E-3</v>
      </c>
      <c r="S112" s="1"/>
      <c r="T112" s="1">
        <f>SUM(OSRRefT22_10x_0)</f>
        <v>1050</v>
      </c>
      <c r="U112" s="1"/>
      <c r="V112" s="5">
        <f t="shared" ref="V112:V115" si="59">IF(T$12=0,0,T112/T$12)</f>
        <v>3.1209594721119979E-3</v>
      </c>
      <c r="W112" s="1"/>
      <c r="X112" s="1">
        <f t="shared" ref="X112:X115" si="60">+P112-T112</f>
        <v>212.31999999999994</v>
      </c>
      <c r="Y112" s="1"/>
      <c r="Z112" s="5">
        <f t="shared" ref="Z112:Z115" si="61">IF(T112=0,0,X112/T112)</f>
        <v>0.20220952380952376</v>
      </c>
    </row>
    <row r="113" spans="1:26" s="24" customFormat="1" hidden="1" outlineLevel="2" x14ac:dyDescent="0.25">
      <c r="A113" s="25"/>
      <c r="B113" s="11" t="str">
        <f>CONCATENATE("          ", "6241", " - ", "OFFICE EXPENSE")</f>
        <v xml:space="preserve">          6241 - OFFICE EXPENSE</v>
      </c>
      <c r="C113" s="11"/>
      <c r="D113" s="7">
        <v>31.64</v>
      </c>
      <c r="E113" s="2"/>
      <c r="F113" s="6">
        <f t="shared" si="54"/>
        <v>6.0672513778835268E-4</v>
      </c>
      <c r="G113" s="2"/>
      <c r="H113" s="7">
        <v>150</v>
      </c>
      <c r="I113" s="2"/>
      <c r="J113" s="6">
        <f t="shared" si="55"/>
        <v>3.0675473936072313E-3</v>
      </c>
      <c r="K113" s="2"/>
      <c r="L113" s="7">
        <f t="shared" si="56"/>
        <v>-118.36</v>
      </c>
      <c r="M113" s="2"/>
      <c r="N113" s="6">
        <f t="shared" si="57"/>
        <v>-0.78906666666666669</v>
      </c>
      <c r="O113" s="11"/>
      <c r="P113" s="7">
        <v>1240.97</v>
      </c>
      <c r="Q113" s="2"/>
      <c r="R113" s="6">
        <f t="shared" si="58"/>
        <v>3.866035425329629E-3</v>
      </c>
      <c r="S113" s="2"/>
      <c r="T113" s="7">
        <v>1050</v>
      </c>
      <c r="U113" s="2"/>
      <c r="V113" s="6">
        <f t="shared" si="59"/>
        <v>3.1209594721119979E-3</v>
      </c>
      <c r="W113" s="2"/>
      <c r="X113" s="7">
        <f t="shared" si="60"/>
        <v>190.97000000000003</v>
      </c>
      <c r="Y113" s="2"/>
      <c r="Z113" s="6">
        <f t="shared" si="61"/>
        <v>0.1818761904761905</v>
      </c>
    </row>
    <row r="114" spans="1:26" s="24" customFormat="1" hidden="1" outlineLevel="2" x14ac:dyDescent="0.25">
      <c r="A114" s="25"/>
      <c r="B114" s="11" t="str">
        <f>CONCATENATE("          ", "6245", " - ", "PRINTING")</f>
        <v xml:space="preserve">          6245 - PRINTING</v>
      </c>
      <c r="C114" s="11"/>
      <c r="D114" s="7">
        <v>22.05</v>
      </c>
      <c r="E114" s="2"/>
      <c r="F114" s="6">
        <f t="shared" si="54"/>
        <v>4.2282835929940505E-4</v>
      </c>
      <c r="G114" s="2"/>
      <c r="H114" s="7"/>
      <c r="I114" s="2"/>
      <c r="J114" s="6">
        <f t="shared" si="55"/>
        <v>0</v>
      </c>
      <c r="K114" s="2"/>
      <c r="L114" s="7">
        <f t="shared" si="56"/>
        <v>22.05</v>
      </c>
      <c r="M114" s="2"/>
      <c r="N114" s="6">
        <f t="shared" si="57"/>
        <v>0</v>
      </c>
      <c r="O114" s="11"/>
      <c r="P114" s="7">
        <v>22.05</v>
      </c>
      <c r="Q114" s="2"/>
      <c r="R114" s="6">
        <f t="shared" si="58"/>
        <v>6.8693103885281943E-5</v>
      </c>
      <c r="S114" s="2"/>
      <c r="T114" s="7"/>
      <c r="U114" s="2"/>
      <c r="V114" s="6">
        <f t="shared" si="59"/>
        <v>0</v>
      </c>
      <c r="W114" s="2"/>
      <c r="X114" s="7">
        <f t="shared" si="60"/>
        <v>22.05</v>
      </c>
      <c r="Y114" s="2"/>
      <c r="Z114" s="6">
        <f t="shared" si="61"/>
        <v>0</v>
      </c>
    </row>
    <row r="115" spans="1:26" s="24" customFormat="1" hidden="1" outlineLevel="2" x14ac:dyDescent="0.25">
      <c r="A115" s="25"/>
      <c r="B115" s="11" t="str">
        <f>CONCATENATE("          ", "6247", " - ", "STORE SUPPLIES")</f>
        <v xml:space="preserve">          6247 - STORE SUPPLIES</v>
      </c>
      <c r="C115" s="11"/>
      <c r="D115" s="7">
        <v>-0.2</v>
      </c>
      <c r="E115" s="2"/>
      <c r="F115" s="6">
        <f t="shared" si="54"/>
        <v>-3.8351778621261229E-6</v>
      </c>
      <c r="G115" s="2"/>
      <c r="H115" s="7"/>
      <c r="I115" s="2"/>
      <c r="J115" s="6">
        <f t="shared" si="55"/>
        <v>0</v>
      </c>
      <c r="K115" s="2"/>
      <c r="L115" s="7">
        <f t="shared" si="56"/>
        <v>-0.2</v>
      </c>
      <c r="M115" s="2"/>
      <c r="N115" s="6">
        <f t="shared" si="57"/>
        <v>0</v>
      </c>
      <c r="O115" s="11"/>
      <c r="P115" s="7">
        <v>-0.7</v>
      </c>
      <c r="Q115" s="2"/>
      <c r="R115" s="6">
        <f t="shared" si="58"/>
        <v>-2.1807334566756167E-6</v>
      </c>
      <c r="S115" s="2"/>
      <c r="T115" s="7"/>
      <c r="U115" s="2"/>
      <c r="V115" s="6">
        <f t="shared" si="59"/>
        <v>0</v>
      </c>
      <c r="W115" s="2"/>
      <c r="X115" s="7">
        <f t="shared" si="60"/>
        <v>-0.7</v>
      </c>
      <c r="Y115" s="2"/>
      <c r="Z115" s="6">
        <f t="shared" si="61"/>
        <v>0</v>
      </c>
    </row>
    <row r="116" spans="1:26" s="27" customFormat="1" outlineLevel="1" collapsed="1" x14ac:dyDescent="0.25">
      <c r="A116" s="26"/>
      <c r="B116" s="13" t="str">
        <f>CONCATENATE("     ","Telephone/Data Lines                              ")</f>
        <v xml:space="preserve">     Telephone/Data Lines                              </v>
      </c>
      <c r="C116" s="13"/>
      <c r="D116" s="1">
        <f>SUM(OSRRefD22_11x_0)</f>
        <v>103</v>
      </c>
      <c r="E116" s="1"/>
      <c r="F116" s="5">
        <f t="shared" ref="F116:F119" si="62">IF(D$12=0,0,D116/D$12)</f>
        <v>1.9751165989949533E-3</v>
      </c>
      <c r="G116" s="1"/>
      <c r="H116" s="1">
        <f>SUM(OSRRefH22_11x_0)</f>
        <v>75</v>
      </c>
      <c r="I116" s="1"/>
      <c r="J116" s="5">
        <f t="shared" ref="J116:J119" si="63">IF(H$12=0,0,H116/H$12)</f>
        <v>1.5337736968036157E-3</v>
      </c>
      <c r="K116" s="1"/>
      <c r="L116" s="1">
        <f t="shared" ref="L116:L119" si="64">+D116-H116</f>
        <v>28</v>
      </c>
      <c r="M116" s="1"/>
      <c r="N116" s="5">
        <f t="shared" ref="N116:N119" si="65">IF(H116=0,0,L116/H116)</f>
        <v>0.37333333333333335</v>
      </c>
      <c r="O116" s="13"/>
      <c r="P116" s="1">
        <f>SUM(OSRRefP22_11x_0)</f>
        <v>679.57</v>
      </c>
      <c r="Q116" s="1"/>
      <c r="R116" s="5">
        <f t="shared" ref="R116:R119" si="66">IF(P$12=0,0,P116/P$12)</f>
        <v>2.1170871930757847E-3</v>
      </c>
      <c r="S116" s="1"/>
      <c r="T116" s="1">
        <f>SUM(OSRRefT22_11x_0)</f>
        <v>525</v>
      </c>
      <c r="U116" s="1"/>
      <c r="V116" s="5">
        <f t="shared" ref="V116:V119" si="67">IF(T$12=0,0,T116/T$12)</f>
        <v>1.560479736055999E-3</v>
      </c>
      <c r="W116" s="1"/>
      <c r="X116" s="1">
        <f t="shared" ref="X116:X119" si="68">+P116-T116</f>
        <v>154.57000000000005</v>
      </c>
      <c r="Y116" s="1"/>
      <c r="Z116" s="5">
        <f t="shared" ref="Z116:Z119" si="69">IF(T116=0,0,X116/T116)</f>
        <v>0.29441904761904769</v>
      </c>
    </row>
    <row r="117" spans="1:26" s="24" customFormat="1" hidden="1" outlineLevel="2" x14ac:dyDescent="0.25">
      <c r="A117" s="25"/>
      <c r="B117" s="11" t="str">
        <f>CONCATENATE("          ", "6309", " - ", "TELEPHONE")</f>
        <v xml:space="preserve">          6309 - TELEPHONE</v>
      </c>
      <c r="C117" s="11"/>
      <c r="D117" s="7">
        <v>103</v>
      </c>
      <c r="E117" s="2"/>
      <c r="F117" s="6">
        <f t="shared" si="62"/>
        <v>1.9751165989949533E-3</v>
      </c>
      <c r="G117" s="2"/>
      <c r="H117" s="7">
        <v>75</v>
      </c>
      <c r="I117" s="2"/>
      <c r="J117" s="6">
        <f t="shared" si="63"/>
        <v>1.5337736968036157E-3</v>
      </c>
      <c r="K117" s="2"/>
      <c r="L117" s="7">
        <f t="shared" si="64"/>
        <v>28</v>
      </c>
      <c r="M117" s="2"/>
      <c r="N117" s="6">
        <f t="shared" si="65"/>
        <v>0.37333333333333335</v>
      </c>
      <c r="O117" s="11"/>
      <c r="P117" s="7">
        <v>679.57</v>
      </c>
      <c r="Q117" s="2"/>
      <c r="R117" s="6">
        <f t="shared" si="66"/>
        <v>2.1170871930757847E-3</v>
      </c>
      <c r="S117" s="2"/>
      <c r="T117" s="7">
        <v>525</v>
      </c>
      <c r="U117" s="2"/>
      <c r="V117" s="6">
        <f t="shared" si="67"/>
        <v>1.560479736055999E-3</v>
      </c>
      <c r="W117" s="2"/>
      <c r="X117" s="7">
        <f t="shared" si="68"/>
        <v>154.57000000000005</v>
      </c>
      <c r="Y117" s="2"/>
      <c r="Z117" s="6">
        <f t="shared" si="69"/>
        <v>0.29441904761904769</v>
      </c>
    </row>
    <row r="118" spans="1:26" s="27" customFormat="1" outlineLevel="1" collapsed="1" x14ac:dyDescent="0.25">
      <c r="A118" s="26"/>
      <c r="B118" s="13" t="str">
        <f>CONCATENATE("     ","Training                                          ")</f>
        <v xml:space="preserve">     Training                                          </v>
      </c>
      <c r="C118" s="13"/>
      <c r="D118" s="1">
        <f>SUM(OSRRefD22_12x_0)</f>
        <v>0</v>
      </c>
      <c r="E118" s="1"/>
      <c r="F118" s="5">
        <f t="shared" si="62"/>
        <v>0</v>
      </c>
      <c r="G118" s="1"/>
      <c r="H118" s="1">
        <f>SUM(OSRRefH22_12x_0)</f>
        <v>175</v>
      </c>
      <c r="I118" s="1"/>
      <c r="J118" s="5">
        <f t="shared" si="63"/>
        <v>3.5788052925417699E-3</v>
      </c>
      <c r="K118" s="1"/>
      <c r="L118" s="1">
        <f t="shared" si="64"/>
        <v>-175</v>
      </c>
      <c r="M118" s="1"/>
      <c r="N118" s="5">
        <f t="shared" si="65"/>
        <v>-1</v>
      </c>
      <c r="O118" s="13"/>
      <c r="P118" s="1">
        <f>SUM(OSRRefP22_12x_0)</f>
        <v>80</v>
      </c>
      <c r="Q118" s="1"/>
      <c r="R118" s="5">
        <f t="shared" si="66"/>
        <v>2.4922668076292765E-4</v>
      </c>
      <c r="S118" s="1"/>
      <c r="T118" s="1">
        <f>SUM(OSRRefT22_12x_0)</f>
        <v>1225</v>
      </c>
      <c r="U118" s="1"/>
      <c r="V118" s="5">
        <f t="shared" si="67"/>
        <v>3.6411193841306643E-3</v>
      </c>
      <c r="W118" s="1"/>
      <c r="X118" s="1">
        <f t="shared" si="68"/>
        <v>-1145</v>
      </c>
      <c r="Y118" s="1"/>
      <c r="Z118" s="5">
        <f t="shared" si="69"/>
        <v>-0.9346938775510204</v>
      </c>
    </row>
    <row r="119" spans="1:26" s="24" customFormat="1" hidden="1" outlineLevel="2" x14ac:dyDescent="0.25">
      <c r="A119" s="25"/>
      <c r="B119" s="11" t="str">
        <f>CONCATENATE("          ", "6376", " - ", "TRAINING")</f>
        <v xml:space="preserve">          6376 - TRAINING</v>
      </c>
      <c r="C119" s="11"/>
      <c r="D119" s="7"/>
      <c r="E119" s="2"/>
      <c r="F119" s="6">
        <f t="shared" si="62"/>
        <v>0</v>
      </c>
      <c r="G119" s="2"/>
      <c r="H119" s="7">
        <v>175</v>
      </c>
      <c r="I119" s="2"/>
      <c r="J119" s="6">
        <f t="shared" si="63"/>
        <v>3.5788052925417699E-3</v>
      </c>
      <c r="K119" s="2"/>
      <c r="L119" s="7">
        <f t="shared" si="64"/>
        <v>-175</v>
      </c>
      <c r="M119" s="2"/>
      <c r="N119" s="6">
        <f t="shared" si="65"/>
        <v>-1</v>
      </c>
      <c r="O119" s="11"/>
      <c r="P119" s="7">
        <v>80</v>
      </c>
      <c r="Q119" s="2"/>
      <c r="R119" s="6">
        <f t="shared" si="66"/>
        <v>2.4922668076292765E-4</v>
      </c>
      <c r="S119" s="2"/>
      <c r="T119" s="7">
        <v>1225</v>
      </c>
      <c r="U119" s="2"/>
      <c r="V119" s="6">
        <f t="shared" si="67"/>
        <v>3.6411193841306643E-3</v>
      </c>
      <c r="W119" s="2"/>
      <c r="X119" s="7">
        <f t="shared" si="68"/>
        <v>-1145</v>
      </c>
      <c r="Y119" s="2"/>
      <c r="Z119" s="6">
        <f t="shared" si="69"/>
        <v>-0.9346938775510204</v>
      </c>
    </row>
    <row r="120" spans="1:26" s="53" customFormat="1" x14ac:dyDescent="0.25">
      <c r="A120" s="36"/>
      <c r="B120" s="36"/>
      <c r="C120" s="36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6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25">
      <c r="A121" s="10"/>
      <c r="B121" s="28" t="s">
        <v>0</v>
      </c>
      <c r="C121" s="10"/>
      <c r="D121" s="4">
        <f>SUM(OSRRefD25x_0)</f>
        <v>0</v>
      </c>
      <c r="E121" s="4"/>
      <c r="F121" s="12">
        <f t="shared" ref="F121:F122" si="70">IF(D$12=0,0,D121/D$12)</f>
        <v>0</v>
      </c>
      <c r="G121" s="4"/>
      <c r="H121" s="4">
        <f>SUM(OSRRefH25x_0)</f>
        <v>0</v>
      </c>
      <c r="I121" s="4"/>
      <c r="J121" s="12">
        <f t="shared" ref="J121:J122" si="71">IF(H$12=0,0,H121/H$12)</f>
        <v>0</v>
      </c>
      <c r="K121" s="4"/>
      <c r="L121" s="4">
        <f t="shared" ref="L121:L122" si="72">+D121-H121</f>
        <v>0</v>
      </c>
      <c r="M121" s="4"/>
      <c r="N121" s="12">
        <f t="shared" ref="N121:N122" si="73">IF(H121=0,0,L121/H121)</f>
        <v>0</v>
      </c>
      <c r="O121" s="10"/>
      <c r="P121" s="4">
        <f>SUM(OSRRefP25x_0)</f>
        <v>68.760000000000005</v>
      </c>
      <c r="Q121" s="4"/>
      <c r="R121" s="12">
        <f t="shared" ref="R121:R122" si="74">IF(P$12=0,0,P121/P$12)</f>
        <v>2.1421033211573633E-4</v>
      </c>
      <c r="S121" s="4"/>
      <c r="T121" s="4">
        <f>SUM(OSRRefT25x_0)</f>
        <v>0</v>
      </c>
      <c r="U121" s="4"/>
      <c r="V121" s="12">
        <f t="shared" ref="V121:V122" si="75">IF(T$12=0,0,T121/T$12)</f>
        <v>0</v>
      </c>
      <c r="W121" s="4"/>
      <c r="X121" s="4">
        <f t="shared" ref="X121:X122" si="76">+P121-T121</f>
        <v>68.760000000000005</v>
      </c>
      <c r="Y121" s="4"/>
      <c r="Z121" s="12">
        <f t="shared" ref="Z121:Z122" si="77">IF(T121=0,0,X121/T121)</f>
        <v>0</v>
      </c>
    </row>
    <row r="122" spans="1:26" s="24" customFormat="1" hidden="1" outlineLevel="1" x14ac:dyDescent="0.25">
      <c r="A122" s="44"/>
      <c r="B122" s="11" t="str">
        <f>CONCATENATE("          ", "9150", " - ", "MISC. INCOME")</f>
        <v xml:space="preserve">          9150 - MISC. INCOME</v>
      </c>
      <c r="C122" s="11"/>
      <c r="D122" s="2">
        <f>0</f>
        <v>0</v>
      </c>
      <c r="E122" s="2"/>
      <c r="F122" s="19">
        <f t="shared" si="70"/>
        <v>0</v>
      </c>
      <c r="G122" s="2"/>
      <c r="H122" s="2"/>
      <c r="I122" s="2"/>
      <c r="J122" s="19">
        <f t="shared" si="71"/>
        <v>0</v>
      </c>
      <c r="K122" s="2"/>
      <c r="L122" s="2">
        <f t="shared" si="72"/>
        <v>0</v>
      </c>
      <c r="M122" s="2"/>
      <c r="N122" s="19">
        <f t="shared" si="73"/>
        <v>0</v>
      </c>
      <c r="O122" s="11"/>
      <c r="P122" s="2">
        <f>--68.76</f>
        <v>68.760000000000005</v>
      </c>
      <c r="Q122" s="2"/>
      <c r="R122" s="19">
        <f t="shared" si="74"/>
        <v>2.1421033211573633E-4</v>
      </c>
      <c r="S122" s="2"/>
      <c r="T122" s="2"/>
      <c r="U122" s="2"/>
      <c r="V122" s="19">
        <f t="shared" si="75"/>
        <v>0</v>
      </c>
      <c r="W122" s="2"/>
      <c r="X122" s="2">
        <f t="shared" si="76"/>
        <v>68.760000000000005</v>
      </c>
      <c r="Y122" s="2"/>
      <c r="Z122" s="19">
        <f t="shared" si="77"/>
        <v>0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10"/>
      <c r="B124" s="29" t="s">
        <v>3</v>
      </c>
      <c r="C124" s="29"/>
      <c r="D124" s="21">
        <f>+D69-D71+D121</f>
        <v>11306.649999999998</v>
      </c>
      <c r="E124" s="14"/>
      <c r="F124" s="20">
        <f>IF(D$12=0,0,D124/D$12)</f>
        <v>0.21681506887404159</v>
      </c>
      <c r="G124" s="14"/>
      <c r="H124" s="21">
        <f>+H69-H71+H121</f>
        <v>15660.893606993999</v>
      </c>
      <c r="I124" s="14"/>
      <c r="J124" s="20">
        <f>IF(H$12=0,0,H124/H$12)</f>
        <v>0.32027022243796394</v>
      </c>
      <c r="K124" s="16"/>
      <c r="L124" s="21">
        <f>+D124-H124</f>
        <v>-4354.2436069940013</v>
      </c>
      <c r="M124" s="16"/>
      <c r="N124" s="20">
        <f>IF(H124=0,0,L124/H124)</f>
        <v>-0.27803289622307625</v>
      </c>
      <c r="O124" s="28"/>
      <c r="P124" s="21">
        <f>+P69-P71+P121</f>
        <v>68363.160000000105</v>
      </c>
      <c r="Q124" s="14"/>
      <c r="R124" s="20">
        <f>IF(P$12=0,0,P124/P$12)</f>
        <v>0.21297404316581214</v>
      </c>
      <c r="S124" s="14"/>
      <c r="T124" s="21">
        <f>+T69-T71+T121</f>
        <v>107678.827848994</v>
      </c>
      <c r="U124" s="14"/>
      <c r="V124" s="20">
        <f>IF(T$12=0,0,T124/T$12)</f>
        <v>0.32005834068689049</v>
      </c>
      <c r="W124" s="16"/>
      <c r="X124" s="21">
        <f>+P124-T124</f>
        <v>-39315.667848993893</v>
      </c>
      <c r="Y124" s="16"/>
      <c r="Z124" s="20">
        <f>IF(T124=0,0,X124/T124)</f>
        <v>-0.36511976062860907</v>
      </c>
    </row>
    <row r="125" spans="1:26" x14ac:dyDescent="0.25">
      <c r="A125" s="9"/>
      <c r="B125" s="10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52"/>
      <c r="B126" s="10" t="s">
        <v>14</v>
      </c>
      <c r="C126" s="10"/>
      <c r="D126" s="4">
        <v>4437.79</v>
      </c>
      <c r="E126" s="4"/>
      <c r="F126" s="12">
        <f>IF(D$12=0,0,D126/D$12)</f>
        <v>8.5098569823823439E-2</v>
      </c>
      <c r="G126" s="4"/>
      <c r="H126" s="4">
        <v>4384</v>
      </c>
      <c r="I126" s="4"/>
      <c r="J126" s="12">
        <f>IF(H$12=0,0,H126/H$12)</f>
        <v>8.9654185157160685E-2</v>
      </c>
      <c r="K126" s="4"/>
      <c r="L126" s="4">
        <f>+D126-H126</f>
        <v>53.789999999999964</v>
      </c>
      <c r="M126" s="4"/>
      <c r="N126" s="12">
        <f>IF(H126=0,0,L126/H126)</f>
        <v>1.2269616788321159E-2</v>
      </c>
      <c r="O126" s="10"/>
      <c r="P126" s="4">
        <v>33475.020000000004</v>
      </c>
      <c r="Q126" s="4"/>
      <c r="R126" s="12">
        <f>IF(P$12=0,0,P126/P$12)</f>
        <v>0.10428585153840775</v>
      </c>
      <c r="S126" s="4"/>
      <c r="T126" s="4">
        <v>41423</v>
      </c>
      <c r="U126" s="4"/>
      <c r="V126" s="12">
        <f>IF(T$12=0,0,T126/T$12)</f>
        <v>0.12312333734599551</v>
      </c>
      <c r="W126" s="4"/>
      <c r="X126" s="4">
        <f>+P126-T126</f>
        <v>-7947.9799999999959</v>
      </c>
      <c r="Y126" s="4"/>
      <c r="Z126" s="12">
        <f>IF(T126=0,0,X126/T126)</f>
        <v>-0.19187359679405153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9" t="s">
        <v>4</v>
      </c>
      <c r="C128" s="29"/>
      <c r="D128" s="34">
        <f>+D124-D126</f>
        <v>6868.8599999999979</v>
      </c>
      <c r="E128" s="14"/>
      <c r="F128" s="32">
        <f>IF(D$12=0,0,D128/D$12)</f>
        <v>0.13171649905021815</v>
      </c>
      <c r="G128" s="14"/>
      <c r="H128" s="34">
        <f>+H124-H126</f>
        <v>11276.893606993999</v>
      </c>
      <c r="I128" s="14"/>
      <c r="J128" s="32">
        <f>IF(H$12=0,0,H128/H$12)</f>
        <v>0.23061603728080327</v>
      </c>
      <c r="K128" s="16"/>
      <c r="L128" s="34">
        <f>D128-H128</f>
        <v>-4408.0336069940013</v>
      </c>
      <c r="M128" s="16"/>
      <c r="N128" s="32">
        <f>IF(H128=0,0,L128/H128)</f>
        <v>-0.39089076838147269</v>
      </c>
      <c r="O128" s="28"/>
      <c r="P128" s="34">
        <f>+P124-P126</f>
        <v>34888.140000000101</v>
      </c>
      <c r="Q128" s="14"/>
      <c r="R128" s="32">
        <f>IF(P$12=0,0,P128/P$12)</f>
        <v>0.1086881916274044</v>
      </c>
      <c r="S128" s="14"/>
      <c r="T128" s="34">
        <f>+T124-T126</f>
        <v>66255.827848993998</v>
      </c>
      <c r="U128" s="14"/>
      <c r="V128" s="32">
        <f>IF(T$12=0,0,T128/T$12)</f>
        <v>0.19693500334089498</v>
      </c>
      <c r="W128" s="16"/>
      <c r="X128" s="34">
        <f>P128-T128</f>
        <v>-31367.687848993897</v>
      </c>
      <c r="Y128" s="16"/>
      <c r="Z128" s="32">
        <f>IF(T128=0,0,X128/T128)</f>
        <v>-0.47343288684710277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9" t="s">
        <v>5</v>
      </c>
      <c r="C131" s="29"/>
      <c r="D131" s="31">
        <f>SUM(D128:D130)</f>
        <v>6868.8599999999979</v>
      </c>
      <c r="E131" s="14"/>
      <c r="F131" s="30">
        <f>IF(D$12=0,0,D131/D$12)</f>
        <v>0.13171649905021815</v>
      </c>
      <c r="G131" s="14"/>
      <c r="H131" s="31">
        <f>SUM(H128:H130)</f>
        <v>11276.893606993999</v>
      </c>
      <c r="I131" s="14"/>
      <c r="J131" s="30">
        <f>IF(H$12=0,0,H131/H$12)</f>
        <v>0.23061603728080327</v>
      </c>
      <c r="K131" s="16"/>
      <c r="L131" s="31">
        <f>+D131-H131</f>
        <v>-4408.0336069940013</v>
      </c>
      <c r="M131" s="16"/>
      <c r="N131" s="30">
        <f>IF(H131=0,0,L131/H131)</f>
        <v>-0.39089076838147269</v>
      </c>
      <c r="O131" s="28"/>
      <c r="P131" s="31">
        <f>SUM(P128:P130)</f>
        <v>34888.140000000101</v>
      </c>
      <c r="Q131" s="14"/>
      <c r="R131" s="30">
        <f>IF(P$12=0,0,P131/P$12)</f>
        <v>0.1086881916274044</v>
      </c>
      <c r="S131" s="14"/>
      <c r="T131" s="31">
        <f>SUM(T128:T130)</f>
        <v>66255.827848993998</v>
      </c>
      <c r="U131" s="14"/>
      <c r="V131" s="30">
        <f>IF(T$12=0,0,T131/T$12)</f>
        <v>0.19693500334089498</v>
      </c>
      <c r="W131" s="16"/>
      <c r="X131" s="31">
        <f>+P131-T131</f>
        <v>-31367.687848993897</v>
      </c>
      <c r="Y131" s="16"/>
      <c r="Z131" s="30">
        <f>IF(T131=0,0,X131/T131)</f>
        <v>-0.47343288684710277</v>
      </c>
    </row>
    <row r="132" spans="1:26" ht="15.75" thickTop="1" x14ac:dyDescent="0.25">
      <c r="A132" s="9"/>
      <c r="C132" s="9"/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25">
      <c r="A133" s="9"/>
      <c r="B133" s="63">
        <v>43879.546141354163</v>
      </c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25">
      <c r="A134" s="9"/>
      <c r="B134" s="57" t="s">
        <v>314</v>
      </c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  <row r="135" spans="1:26" x14ac:dyDescent="0.25">
      <c r="A135" s="9"/>
      <c r="B135" s="60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","314", " - ", "Tech/Supplies")</f>
        <v>Department 314 - Tech/Supplies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85758.699999999983</v>
      </c>
      <c r="E12" s="4"/>
      <c r="F12" s="12"/>
      <c r="G12" s="4"/>
      <c r="H12" s="4">
        <f>SUM(OSRRefH13x_0)</f>
        <v>84052</v>
      </c>
      <c r="I12" s="4"/>
      <c r="J12" s="12"/>
      <c r="K12" s="4"/>
      <c r="L12" s="4">
        <f t="shared" ref="L12:L34" si="0">+D12-H12</f>
        <v>1706.6999999999825</v>
      </c>
      <c r="M12" s="4"/>
      <c r="N12" s="12">
        <f t="shared" ref="N12:N34" si="1">IF(H12=0,0,L12/H12)</f>
        <v>2.0305287203159741E-2</v>
      </c>
      <c r="O12" s="10"/>
      <c r="P12" s="4">
        <f>SUM(OSRRefP13x_0)</f>
        <v>332891.91000000009</v>
      </c>
      <c r="Q12" s="4"/>
      <c r="R12" s="12"/>
      <c r="S12" s="4"/>
      <c r="T12" s="4">
        <f>SUM(OSRRefT13x_0)</f>
        <v>360919</v>
      </c>
      <c r="U12" s="4"/>
      <c r="V12" s="12"/>
      <c r="W12" s="4"/>
      <c r="X12" s="4">
        <f t="shared" ref="X12:X34" si="2">+P12-T12</f>
        <v>-28027.089999999909</v>
      </c>
      <c r="Y12" s="4"/>
      <c r="Z12" s="12">
        <f t="shared" ref="Z12:Z34" si="3">IF(T12=0,0,X12/T12)</f>
        <v>-7.7654792349529697E-2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77327</v>
      </c>
      <c r="I13" s="2"/>
      <c r="J13" s="19"/>
      <c r="K13" s="2"/>
      <c r="L13" s="2">
        <f t="shared" si="0"/>
        <v>-77327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332044</v>
      </c>
      <c r="U13" s="2"/>
      <c r="V13" s="19"/>
      <c r="W13" s="2"/>
      <c r="X13" s="2">
        <f t="shared" si="2"/>
        <v>-332044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--2</f>
        <v>2</v>
      </c>
      <c r="E14" s="2"/>
      <c r="F14" s="19"/>
      <c r="G14" s="2"/>
      <c r="H14" s="2"/>
      <c r="I14" s="2"/>
      <c r="J14" s="19"/>
      <c r="K14" s="2"/>
      <c r="L14" s="2">
        <f t="shared" si="0"/>
        <v>2</v>
      </c>
      <c r="M14" s="2"/>
      <c r="N14" s="19">
        <f t="shared" si="1"/>
        <v>0</v>
      </c>
      <c r="O14" s="11"/>
      <c r="P14" s="2">
        <f>--211.2</f>
        <v>211.2</v>
      </c>
      <c r="Q14" s="2"/>
      <c r="R14" s="19"/>
      <c r="S14" s="2"/>
      <c r="T14" s="2"/>
      <c r="U14" s="2"/>
      <c r="V14" s="19"/>
      <c r="W14" s="2"/>
      <c r="X14" s="2">
        <f t="shared" si="2"/>
        <v>211.2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--33.88</f>
        <v>33.880000000000003</v>
      </c>
      <c r="Q15" s="2"/>
      <c r="R15" s="19"/>
      <c r="S15" s="2"/>
      <c r="T15" s="2"/>
      <c r="U15" s="2"/>
      <c r="V15" s="19"/>
      <c r="W15" s="2"/>
      <c r="X15" s="2">
        <f t="shared" si="2"/>
        <v>33.880000000000003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--5218.03</f>
        <v>5218.03</v>
      </c>
      <c r="E16" s="2"/>
      <c r="F16" s="19"/>
      <c r="G16" s="2"/>
      <c r="H16" s="2"/>
      <c r="I16" s="2"/>
      <c r="J16" s="19"/>
      <c r="K16" s="2"/>
      <c r="L16" s="2">
        <f t="shared" si="0"/>
        <v>5218.03</v>
      </c>
      <c r="M16" s="2"/>
      <c r="N16" s="19">
        <f t="shared" si="1"/>
        <v>0</v>
      </c>
      <c r="O16" s="11"/>
      <c r="P16" s="2">
        <f>--38746.12</f>
        <v>38746.120000000003</v>
      </c>
      <c r="Q16" s="2"/>
      <c r="R16" s="19"/>
      <c r="S16" s="2"/>
      <c r="T16" s="2"/>
      <c r="U16" s="2"/>
      <c r="V16" s="19"/>
      <c r="W16" s="2"/>
      <c r="X16" s="2">
        <f t="shared" si="2"/>
        <v>38746.120000000003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--12667.75</f>
        <v>12667.75</v>
      </c>
      <c r="E17" s="2"/>
      <c r="F17" s="19"/>
      <c r="G17" s="2"/>
      <c r="H17" s="2"/>
      <c r="I17" s="2"/>
      <c r="J17" s="19"/>
      <c r="K17" s="2"/>
      <c r="L17" s="2">
        <f t="shared" si="0"/>
        <v>12667.75</v>
      </c>
      <c r="M17" s="2"/>
      <c r="N17" s="19">
        <f t="shared" si="1"/>
        <v>0</v>
      </c>
      <c r="O17" s="11"/>
      <c r="P17" s="2">
        <f>--58488.73</f>
        <v>58488.73</v>
      </c>
      <c r="Q17" s="2"/>
      <c r="R17" s="19"/>
      <c r="S17" s="2"/>
      <c r="T17" s="2"/>
      <c r="U17" s="2"/>
      <c r="V17" s="19"/>
      <c r="W17" s="2"/>
      <c r="X17" s="2">
        <f t="shared" si="2"/>
        <v>58488.73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--63846.18</f>
        <v>63846.18</v>
      </c>
      <c r="E18" s="2"/>
      <c r="F18" s="19"/>
      <c r="G18" s="2"/>
      <c r="H18" s="2"/>
      <c r="I18" s="2"/>
      <c r="J18" s="19"/>
      <c r="K18" s="2"/>
      <c r="L18" s="2">
        <f t="shared" si="0"/>
        <v>63846.18</v>
      </c>
      <c r="M18" s="2"/>
      <c r="N18" s="19">
        <f t="shared" si="1"/>
        <v>0</v>
      </c>
      <c r="O18" s="11"/>
      <c r="P18" s="2">
        <f>--223339.82</f>
        <v>223339.82</v>
      </c>
      <c r="Q18" s="2"/>
      <c r="R18" s="19"/>
      <c r="S18" s="2"/>
      <c r="T18" s="2"/>
      <c r="U18" s="2"/>
      <c r="V18" s="19"/>
      <c r="W18" s="2"/>
      <c r="X18" s="2">
        <f t="shared" si="2"/>
        <v>223339.82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--2013.95</f>
        <v>2013.95</v>
      </c>
      <c r="E19" s="2"/>
      <c r="F19" s="19"/>
      <c r="G19" s="2"/>
      <c r="H19" s="2"/>
      <c r="I19" s="2"/>
      <c r="J19" s="19"/>
      <c r="K19" s="2"/>
      <c r="L19" s="2">
        <f t="shared" si="0"/>
        <v>2013.95</v>
      </c>
      <c r="M19" s="2"/>
      <c r="N19" s="19">
        <f t="shared" si="1"/>
        <v>0</v>
      </c>
      <c r="O19" s="11"/>
      <c r="P19" s="2">
        <f>--9700.46</f>
        <v>9700.4599999999991</v>
      </c>
      <c r="Q19" s="2"/>
      <c r="R19" s="19"/>
      <c r="S19" s="2"/>
      <c r="T19" s="2"/>
      <c r="U19" s="2"/>
      <c r="V19" s="19"/>
      <c r="W19" s="2"/>
      <c r="X19" s="2">
        <f t="shared" si="2"/>
        <v>9700.4599999999991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"4035", " - ", "TAXABLE SALES-HEALTH &amp; BEAUTY")</f>
        <v xml:space="preserve">          4035 - TAXABLE SALES-HEALTH &amp; BEAUTY</v>
      </c>
      <c r="C20" s="11"/>
      <c r="D20" s="2">
        <f t="shared" ref="D20:D21" si="4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--16.2</f>
        <v>16.2</v>
      </c>
      <c r="Q20" s="2"/>
      <c r="R20" s="19"/>
      <c r="S20" s="2"/>
      <c r="T20" s="2"/>
      <c r="U20" s="2"/>
      <c r="V20" s="19"/>
      <c r="W20" s="2"/>
      <c r="X20" s="2">
        <f t="shared" si="2"/>
        <v>16.2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4"/>
        <v>0</v>
      </c>
      <c r="E21" s="2"/>
      <c r="F21" s="19"/>
      <c r="G21" s="2"/>
      <c r="H21" s="2">
        <v>6725</v>
      </c>
      <c r="I21" s="2"/>
      <c r="J21" s="19"/>
      <c r="K21" s="2"/>
      <c r="L21" s="2">
        <f t="shared" si="0"/>
        <v>-6725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28875</v>
      </c>
      <c r="U21" s="2"/>
      <c r="V21" s="19"/>
      <c r="W21" s="2"/>
      <c r="X21" s="2">
        <f t="shared" si="2"/>
        <v>-28875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"4125", " - ", "NON-TAXABLE SALES-TEST FORMS")</f>
        <v xml:space="preserve">          4125 - NON-TAXABLE SALES-TEST FORMS</v>
      </c>
      <c r="C22" s="11"/>
      <c r="D22" s="2">
        <f>--98.5</f>
        <v>98.5</v>
      </c>
      <c r="E22" s="2"/>
      <c r="F22" s="19"/>
      <c r="G22" s="2"/>
      <c r="H22" s="2"/>
      <c r="I22" s="2"/>
      <c r="J22" s="19"/>
      <c r="K22" s="2"/>
      <c r="L22" s="2">
        <f t="shared" si="0"/>
        <v>98.5</v>
      </c>
      <c r="M22" s="2"/>
      <c r="N22" s="19">
        <f t="shared" si="1"/>
        <v>0</v>
      </c>
      <c r="O22" s="11"/>
      <c r="P22" s="2">
        <f>--222.68</f>
        <v>222.68</v>
      </c>
      <c r="Q22" s="2"/>
      <c r="R22" s="19"/>
      <c r="S22" s="2"/>
      <c r="T22" s="2"/>
      <c r="U22" s="2"/>
      <c r="V22" s="19"/>
      <c r="W22" s="2"/>
      <c r="X22" s="2">
        <f t="shared" si="2"/>
        <v>222.68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"4126", " - ", "NON-TAXABLE SALES-WRITING INST")</f>
        <v xml:space="preserve">          4126 - NON-TAXABLE SALES-WRITING INST</v>
      </c>
      <c r="C23" s="11"/>
      <c r="D23" s="2">
        <f>--1047.53</f>
        <v>1047.53</v>
      </c>
      <c r="E23" s="2"/>
      <c r="F23" s="19"/>
      <c r="G23" s="2"/>
      <c r="H23" s="2"/>
      <c r="I23" s="2"/>
      <c r="J23" s="19"/>
      <c r="K23" s="2"/>
      <c r="L23" s="2">
        <f t="shared" si="0"/>
        <v>1047.53</v>
      </c>
      <c r="M23" s="2"/>
      <c r="N23" s="19">
        <f t="shared" si="1"/>
        <v>0</v>
      </c>
      <c r="O23" s="11"/>
      <c r="P23" s="2">
        <f>--2556.64</f>
        <v>2556.64</v>
      </c>
      <c r="Q23" s="2"/>
      <c r="R23" s="19"/>
      <c r="S23" s="2"/>
      <c r="T23" s="2"/>
      <c r="U23" s="2"/>
      <c r="V23" s="19"/>
      <c r="W23" s="2"/>
      <c r="X23" s="2">
        <f t="shared" si="2"/>
        <v>2556.64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"4127", " - ", "NON-TAXABLE SALES-SCHOOL SUPPL")</f>
        <v xml:space="preserve">          4127 - NON-TAXABLE SALES-SCHOOL SUPPL</v>
      </c>
      <c r="C24" s="11"/>
      <c r="D24" s="2">
        <f>--1529.21</f>
        <v>1529.21</v>
      </c>
      <c r="E24" s="2"/>
      <c r="F24" s="19"/>
      <c r="G24" s="2"/>
      <c r="H24" s="2"/>
      <c r="I24" s="2"/>
      <c r="J24" s="19"/>
      <c r="K24" s="2"/>
      <c r="L24" s="2">
        <f t="shared" si="0"/>
        <v>1529.21</v>
      </c>
      <c r="M24" s="2"/>
      <c r="N24" s="19">
        <f t="shared" si="1"/>
        <v>0</v>
      </c>
      <c r="O24" s="11"/>
      <c r="P24" s="2">
        <f>--4120.44</f>
        <v>4120.4399999999996</v>
      </c>
      <c r="Q24" s="2"/>
      <c r="R24" s="19"/>
      <c r="S24" s="2"/>
      <c r="T24" s="2"/>
      <c r="U24" s="2"/>
      <c r="V24" s="19"/>
      <c r="W24" s="2"/>
      <c r="X24" s="2">
        <f t="shared" si="2"/>
        <v>4120.4399999999996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"4128", " - ", "NON-TAXABLE SALES-ART/TECH")</f>
        <v xml:space="preserve">          4128 - NON-TAXABLE SALES-ART/TECH</v>
      </c>
      <c r="C25" s="11"/>
      <c r="D25" s="2">
        <f>--101.33</f>
        <v>101.33</v>
      </c>
      <c r="E25" s="2"/>
      <c r="F25" s="19"/>
      <c r="G25" s="2"/>
      <c r="H25" s="2"/>
      <c r="I25" s="2"/>
      <c r="J25" s="19"/>
      <c r="K25" s="2"/>
      <c r="L25" s="2">
        <f t="shared" si="0"/>
        <v>101.33</v>
      </c>
      <c r="M25" s="2"/>
      <c r="N25" s="19">
        <f t="shared" si="1"/>
        <v>0</v>
      </c>
      <c r="O25" s="11"/>
      <c r="P25" s="2">
        <f>--354.65</f>
        <v>354.65</v>
      </c>
      <c r="Q25" s="2"/>
      <c r="R25" s="19"/>
      <c r="S25" s="2"/>
      <c r="T25" s="2"/>
      <c r="U25" s="2"/>
      <c r="V25" s="19"/>
      <c r="W25" s="2"/>
      <c r="X25" s="2">
        <f t="shared" si="2"/>
        <v>354.65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"4131", " - ", "NON-TAXABLE SALES-FOOD")</f>
        <v xml:space="preserve">          4131 - NON-TAXABLE SALES-FOOD</v>
      </c>
      <c r="C26" s="11"/>
      <c r="D26" s="2">
        <f>--150.18</f>
        <v>150.18</v>
      </c>
      <c r="E26" s="2"/>
      <c r="F26" s="19"/>
      <c r="G26" s="2"/>
      <c r="H26" s="2"/>
      <c r="I26" s="2"/>
      <c r="J26" s="19"/>
      <c r="K26" s="2"/>
      <c r="L26" s="2">
        <f t="shared" si="0"/>
        <v>150.18</v>
      </c>
      <c r="M26" s="2"/>
      <c r="N26" s="19">
        <f t="shared" si="1"/>
        <v>0</v>
      </c>
      <c r="O26" s="11"/>
      <c r="P26" s="2">
        <f>--1104.67</f>
        <v>1104.67</v>
      </c>
      <c r="Q26" s="2"/>
      <c r="R26" s="19"/>
      <c r="S26" s="2"/>
      <c r="T26" s="2"/>
      <c r="U26" s="2"/>
      <c r="V26" s="19"/>
      <c r="W26" s="2"/>
      <c r="X26" s="2">
        <f t="shared" si="2"/>
        <v>1104.67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"4133", " - ", "NON-TAXABLE SALES-CANDY")</f>
        <v xml:space="preserve">          4133 - NON-TAXABLE SALES-CANDY</v>
      </c>
      <c r="C27" s="11"/>
      <c r="D27" s="2">
        <f>--197.03</f>
        <v>197.03</v>
      </c>
      <c r="E27" s="2"/>
      <c r="F27" s="19"/>
      <c r="G27" s="2"/>
      <c r="H27" s="2"/>
      <c r="I27" s="2"/>
      <c r="J27" s="19"/>
      <c r="K27" s="2"/>
      <c r="L27" s="2">
        <f t="shared" si="0"/>
        <v>197.03</v>
      </c>
      <c r="M27" s="2"/>
      <c r="N27" s="19">
        <f t="shared" si="1"/>
        <v>0</v>
      </c>
      <c r="O27" s="11"/>
      <c r="P27" s="2">
        <f>--1711.82</f>
        <v>1711.82</v>
      </c>
      <c r="Q27" s="2"/>
      <c r="R27" s="19"/>
      <c r="S27" s="2"/>
      <c r="T27" s="2"/>
      <c r="U27" s="2"/>
      <c r="V27" s="19"/>
      <c r="W27" s="2"/>
      <c r="X27" s="2">
        <f t="shared" si="2"/>
        <v>1711.82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"4135", " - ", "NON-TAXABLE SALES")</f>
        <v xml:space="preserve">          4135 - NON-TAXABLE SALES</v>
      </c>
      <c r="C28" s="11"/>
      <c r="D28" s="2">
        <f t="shared" ref="D28:D29" si="5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--50.16</f>
        <v>50.16</v>
      </c>
      <c r="Q28" s="2"/>
      <c r="R28" s="19"/>
      <c r="S28" s="2"/>
      <c r="T28" s="2"/>
      <c r="U28" s="2"/>
      <c r="V28" s="19"/>
      <c r="W28" s="2"/>
      <c r="X28" s="2">
        <f t="shared" si="2"/>
        <v>50.16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"4217", " - ", "NON-TAXABLE SALES-DORM/HOUSEWA")</f>
        <v xml:space="preserve">          4217 - NON-TAXABLE SALES-DORM/HOUSEWA</v>
      </c>
      <c r="C29" s="11"/>
      <c r="D29" s="2">
        <f t="shared" si="5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-2.98</f>
        <v>-2.98</v>
      </c>
      <c r="Q29" s="2"/>
      <c r="R29" s="19"/>
      <c r="S29" s="2"/>
      <c r="T29" s="2"/>
      <c r="U29" s="2"/>
      <c r="V29" s="19"/>
      <c r="W29" s="2"/>
      <c r="X29" s="2">
        <f t="shared" si="2"/>
        <v>-2.98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"4225", " - ", "SALES RETURN TAXABLE-TEST FORM")</f>
        <v xml:space="preserve">          4225 - SALES RETURN TAXABLE-TEST FORM</v>
      </c>
      <c r="C30" s="11"/>
      <c r="D30" s="2">
        <f>-14.74</f>
        <v>-14.74</v>
      </c>
      <c r="E30" s="2"/>
      <c r="F30" s="19"/>
      <c r="G30" s="2"/>
      <c r="H30" s="2"/>
      <c r="I30" s="2"/>
      <c r="J30" s="19"/>
      <c r="K30" s="2"/>
      <c r="L30" s="2">
        <f t="shared" si="0"/>
        <v>-14.74</v>
      </c>
      <c r="M30" s="2"/>
      <c r="N30" s="19">
        <f t="shared" si="1"/>
        <v>0</v>
      </c>
      <c r="O30" s="11"/>
      <c r="P30" s="2">
        <f>-94.32</f>
        <v>-94.32</v>
      </c>
      <c r="Q30" s="2"/>
      <c r="R30" s="19"/>
      <c r="S30" s="2"/>
      <c r="T30" s="2"/>
      <c r="U30" s="2"/>
      <c r="V30" s="19"/>
      <c r="W30" s="2"/>
      <c r="X30" s="2">
        <f t="shared" si="2"/>
        <v>-94.32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"4226", " - ", "SALES RETURN TAXABLE-WRITING I")</f>
        <v xml:space="preserve">          4226 - SALES RETURN TAXABLE-WRITING I</v>
      </c>
      <c r="C31" s="11"/>
      <c r="D31" s="2">
        <f>-147.56</f>
        <v>-147.56</v>
      </c>
      <c r="E31" s="2"/>
      <c r="F31" s="19"/>
      <c r="G31" s="2"/>
      <c r="H31" s="2"/>
      <c r="I31" s="2"/>
      <c r="J31" s="19"/>
      <c r="K31" s="2"/>
      <c r="L31" s="2">
        <f t="shared" si="0"/>
        <v>-147.56</v>
      </c>
      <c r="M31" s="2"/>
      <c r="N31" s="19">
        <f t="shared" si="1"/>
        <v>0</v>
      </c>
      <c r="O31" s="11"/>
      <c r="P31" s="2">
        <f>-537.35</f>
        <v>-537.35</v>
      </c>
      <c r="Q31" s="2"/>
      <c r="R31" s="19"/>
      <c r="S31" s="2"/>
      <c r="T31" s="2"/>
      <c r="U31" s="2"/>
      <c r="V31" s="19"/>
      <c r="W31" s="2"/>
      <c r="X31" s="2">
        <f t="shared" si="2"/>
        <v>-537.35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"4227", " - ", "SALES RETURN TAXABLE-SCHOOL SU")</f>
        <v xml:space="preserve">          4227 - SALES RETURN TAXABLE-SCHOOL SU</v>
      </c>
      <c r="C32" s="11"/>
      <c r="D32" s="2">
        <f>-948.2</f>
        <v>-948.2</v>
      </c>
      <c r="E32" s="2"/>
      <c r="F32" s="19"/>
      <c r="G32" s="2"/>
      <c r="H32" s="2"/>
      <c r="I32" s="2"/>
      <c r="J32" s="19"/>
      <c r="K32" s="2"/>
      <c r="L32" s="2">
        <f t="shared" si="0"/>
        <v>-948.2</v>
      </c>
      <c r="M32" s="2"/>
      <c r="N32" s="19">
        <f t="shared" si="1"/>
        <v>0</v>
      </c>
      <c r="O32" s="11"/>
      <c r="P32" s="2">
        <f>-6868.8</f>
        <v>-6868.8</v>
      </c>
      <c r="Q32" s="2"/>
      <c r="R32" s="19"/>
      <c r="S32" s="2"/>
      <c r="T32" s="2"/>
      <c r="U32" s="2"/>
      <c r="V32" s="19"/>
      <c r="W32" s="2"/>
      <c r="X32" s="2">
        <f t="shared" si="2"/>
        <v>-6868.8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"4228", " - ", "SALES RETURN TAXABLE-ART/TECH")</f>
        <v xml:space="preserve">          4228 - SALES RETURN TAXABLE-ART/TECH</v>
      </c>
      <c r="C33" s="11"/>
      <c r="D33" s="2">
        <f>-2.49</f>
        <v>-2.4900000000000002</v>
      </c>
      <c r="E33" s="2"/>
      <c r="F33" s="19"/>
      <c r="G33" s="2"/>
      <c r="H33" s="2"/>
      <c r="I33" s="2"/>
      <c r="J33" s="19"/>
      <c r="K33" s="2"/>
      <c r="L33" s="2">
        <f t="shared" si="0"/>
        <v>-2.4900000000000002</v>
      </c>
      <c r="M33" s="2"/>
      <c r="N33" s="19">
        <f t="shared" si="1"/>
        <v>0</v>
      </c>
      <c r="O33" s="11"/>
      <c r="P33" s="2">
        <f>-240.24</f>
        <v>-240.24</v>
      </c>
      <c r="Q33" s="2"/>
      <c r="R33" s="19"/>
      <c r="S33" s="2"/>
      <c r="T33" s="2"/>
      <c r="U33" s="2"/>
      <c r="V33" s="19"/>
      <c r="W33" s="2"/>
      <c r="X33" s="2">
        <f t="shared" si="2"/>
        <v>-240.24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"4327", " - ", "SALES RETURN NON TAXABLE-SCHOO")</f>
        <v xml:space="preserve">          4327 - SALES RETURN NON TAXABLE-SCHOO</v>
      </c>
      <c r="C34" s="11"/>
      <c r="D34" s="2">
        <f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-21.87</f>
        <v>-21.87</v>
      </c>
      <c r="Q34" s="2"/>
      <c r="R34" s="19"/>
      <c r="S34" s="2"/>
      <c r="T34" s="2"/>
      <c r="U34" s="2"/>
      <c r="V34" s="19"/>
      <c r="W34" s="2"/>
      <c r="X34" s="2">
        <f t="shared" si="2"/>
        <v>-21.87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8" t="s">
        <v>8</v>
      </c>
      <c r="C36" s="10"/>
      <c r="D36" s="4">
        <f>SUM(OSRRefD16x_0)</f>
        <v>42576.62</v>
      </c>
      <c r="E36" s="4"/>
      <c r="F36" s="12">
        <f t="shared" ref="F36:F52" si="6">IF(D$12=0,0,D36/D$12)</f>
        <v>0.49646997913914287</v>
      </c>
      <c r="G36" s="4"/>
      <c r="H36" s="4">
        <f>SUM(OSRRefH16x_0)</f>
        <v>42866</v>
      </c>
      <c r="I36" s="4"/>
      <c r="J36" s="12">
        <f t="shared" ref="J36:J52" si="7">IF(H$12=0,0,H36/H$12)</f>
        <v>0.50999381335363825</v>
      </c>
      <c r="K36" s="4"/>
      <c r="L36" s="4">
        <f t="shared" ref="L36:L52" si="8">+D36-H36</f>
        <v>-289.37999999999738</v>
      </c>
      <c r="M36" s="4"/>
      <c r="N36" s="12">
        <f t="shared" ref="N36:N52" si="9">IF(H36=0,0,L36/H36)</f>
        <v>-6.7508048336676479E-3</v>
      </c>
      <c r="O36" s="10"/>
      <c r="P36" s="4">
        <f>SUM(OSRRefP16x_0)</f>
        <v>157982.32000000004</v>
      </c>
      <c r="Q36" s="4"/>
      <c r="R36" s="12">
        <f t="shared" ref="R36:R52" si="10">IF(P$12=0,0,P36/P$12)</f>
        <v>0.47457542599938818</v>
      </c>
      <c r="S36" s="4"/>
      <c r="T36" s="4">
        <f>SUM(OSRRefT16x_0)</f>
        <v>184066</v>
      </c>
      <c r="U36" s="4"/>
      <c r="V36" s="12">
        <f t="shared" ref="V36:V52" si="11">IF(T$12=0,0,T36/T$12)</f>
        <v>0.50999254680413053</v>
      </c>
      <c r="W36" s="4"/>
      <c r="X36" s="4">
        <f t="shared" ref="X36:X52" si="12">+P36-T36</f>
        <v>-26083.679999999964</v>
      </c>
      <c r="Y36" s="4"/>
      <c r="Z36" s="12">
        <f t="shared" ref="Z36:Z52" si="13">IF(T36=0,0,X36/T36)</f>
        <v>-0.14170830028359374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19">
        <f t="shared" si="6"/>
        <v>0</v>
      </c>
      <c r="G37" s="2"/>
      <c r="H37" s="2">
        <v>42866</v>
      </c>
      <c r="I37" s="2"/>
      <c r="J37" s="19">
        <f t="shared" si="7"/>
        <v>0.50999381335363825</v>
      </c>
      <c r="K37" s="2"/>
      <c r="L37" s="2">
        <f t="shared" si="8"/>
        <v>-42866</v>
      </c>
      <c r="M37" s="2"/>
      <c r="N37" s="19">
        <f t="shared" si="9"/>
        <v>-1</v>
      </c>
      <c r="O37" s="11"/>
      <c r="P37" s="2"/>
      <c r="Q37" s="2"/>
      <c r="R37" s="19">
        <f t="shared" si="10"/>
        <v>0</v>
      </c>
      <c r="S37" s="2"/>
      <c r="T37" s="2">
        <v>184066</v>
      </c>
      <c r="U37" s="2"/>
      <c r="V37" s="19">
        <f t="shared" si="11"/>
        <v>0.50999254680413053</v>
      </c>
      <c r="W37" s="2"/>
      <c r="X37" s="2">
        <f t="shared" si="12"/>
        <v>-184066</v>
      </c>
      <c r="Y37" s="2"/>
      <c r="Z37" s="19">
        <f t="shared" si="13"/>
        <v>-1</v>
      </c>
    </row>
    <row r="38" spans="1:26" s="24" customFormat="1" hidden="1" outlineLevel="1" x14ac:dyDescent="0.25">
      <c r="A38" s="44"/>
      <c r="B38" s="11" t="str">
        <f>CONCATENATE("          ", "5017", " - ", "PURCHASES @ COST-DORM/HOUSEWAR")</f>
        <v xml:space="preserve">          5017 - PURCHASES @ COST-DORM/HOUSEWAR</v>
      </c>
      <c r="C38" s="11"/>
      <c r="D38" s="2"/>
      <c r="E38" s="2"/>
      <c r="F38" s="19">
        <f t="shared" si="6"/>
        <v>0</v>
      </c>
      <c r="G38" s="2"/>
      <c r="H38" s="2"/>
      <c r="I38" s="2"/>
      <c r="J38" s="19">
        <f t="shared" si="7"/>
        <v>0</v>
      </c>
      <c r="K38" s="2"/>
      <c r="L38" s="2">
        <f t="shared" si="8"/>
        <v>0</v>
      </c>
      <c r="M38" s="2"/>
      <c r="N38" s="19">
        <f t="shared" si="9"/>
        <v>0</v>
      </c>
      <c r="O38" s="11"/>
      <c r="P38" s="2">
        <v>0</v>
      </c>
      <c r="Q38" s="2"/>
      <c r="R38" s="19">
        <f t="shared" si="10"/>
        <v>0</v>
      </c>
      <c r="S38" s="2"/>
      <c r="T38" s="2"/>
      <c r="U38" s="2"/>
      <c r="V38" s="19">
        <f t="shared" si="11"/>
        <v>0</v>
      </c>
      <c r="W38" s="2"/>
      <c r="X38" s="2">
        <f t="shared" si="12"/>
        <v>0</v>
      </c>
      <c r="Y38" s="2"/>
      <c r="Z38" s="19">
        <f t="shared" si="13"/>
        <v>0</v>
      </c>
    </row>
    <row r="39" spans="1:26" s="24" customFormat="1" hidden="1" outlineLevel="1" x14ac:dyDescent="0.25">
      <c r="A39" s="44"/>
      <c r="B39" s="11" t="str">
        <f>CONCATENATE("          ", "5025", " - ", "PURCHASES @ COST-TEST FORMS")</f>
        <v xml:space="preserve">          5025 - PURCHASES @ COST-TEST FORMS</v>
      </c>
      <c r="C39" s="11"/>
      <c r="D39" s="2">
        <v>840.94</v>
      </c>
      <c r="E39" s="2"/>
      <c r="F39" s="19">
        <f t="shared" si="6"/>
        <v>9.8058855836200901E-3</v>
      </c>
      <c r="G39" s="2"/>
      <c r="H39" s="2"/>
      <c r="I39" s="2"/>
      <c r="J39" s="19">
        <f t="shared" si="7"/>
        <v>0</v>
      </c>
      <c r="K39" s="2"/>
      <c r="L39" s="2">
        <f t="shared" si="8"/>
        <v>840.94</v>
      </c>
      <c r="M39" s="2"/>
      <c r="N39" s="19">
        <f t="shared" si="9"/>
        <v>0</v>
      </c>
      <c r="O39" s="11"/>
      <c r="P39" s="2">
        <v>22466.969999999998</v>
      </c>
      <c r="Q39" s="2"/>
      <c r="R39" s="19">
        <f t="shared" si="10"/>
        <v>6.7490285360193913E-2</v>
      </c>
      <c r="S39" s="2"/>
      <c r="T39" s="2"/>
      <c r="U39" s="2"/>
      <c r="V39" s="19">
        <f t="shared" si="11"/>
        <v>0</v>
      </c>
      <c r="W39" s="2"/>
      <c r="X39" s="2">
        <f t="shared" si="12"/>
        <v>22466.969999999998</v>
      </c>
      <c r="Y39" s="2"/>
      <c r="Z39" s="19">
        <f t="shared" si="13"/>
        <v>0</v>
      </c>
    </row>
    <row r="40" spans="1:26" s="24" customFormat="1" hidden="1" outlineLevel="1" x14ac:dyDescent="0.25">
      <c r="A40" s="44"/>
      <c r="B40" s="11" t="str">
        <f>CONCATENATE("          ", "5026", " - ", "PURCHASES @ COST-WRITING INSTR")</f>
        <v xml:space="preserve">          5026 - PURCHASES @ COST-WRITING INSTR</v>
      </c>
      <c r="C40" s="11"/>
      <c r="D40" s="2">
        <v>6662.4</v>
      </c>
      <c r="E40" s="2"/>
      <c r="F40" s="19">
        <f t="shared" si="6"/>
        <v>7.7687744800236019E-2</v>
      </c>
      <c r="G40" s="2"/>
      <c r="H40" s="2"/>
      <c r="I40" s="2"/>
      <c r="J40" s="19">
        <f t="shared" si="7"/>
        <v>0</v>
      </c>
      <c r="K40" s="2"/>
      <c r="L40" s="2">
        <f t="shared" si="8"/>
        <v>6662.4</v>
      </c>
      <c r="M40" s="2"/>
      <c r="N40" s="19">
        <f t="shared" si="9"/>
        <v>0</v>
      </c>
      <c r="O40" s="11"/>
      <c r="P40" s="2">
        <v>38390.22</v>
      </c>
      <c r="Q40" s="2"/>
      <c r="R40" s="19">
        <f t="shared" si="10"/>
        <v>0.11532337929149432</v>
      </c>
      <c r="S40" s="2"/>
      <c r="T40" s="2"/>
      <c r="U40" s="2"/>
      <c r="V40" s="19">
        <f t="shared" si="11"/>
        <v>0</v>
      </c>
      <c r="W40" s="2"/>
      <c r="X40" s="2">
        <f t="shared" si="12"/>
        <v>38390.22</v>
      </c>
      <c r="Y40" s="2"/>
      <c r="Z40" s="19">
        <f t="shared" si="13"/>
        <v>0</v>
      </c>
    </row>
    <row r="41" spans="1:26" s="24" customFormat="1" hidden="1" outlineLevel="1" x14ac:dyDescent="0.25">
      <c r="A41" s="44"/>
      <c r="B41" s="11" t="str">
        <f>CONCATENATE("          ", "5027", " - ", "PURCHASES @ COST-SCHOOL SUPPLI")</f>
        <v xml:space="preserve">          5027 - PURCHASES @ COST-SCHOOL SUPPLI</v>
      </c>
      <c r="C41" s="11"/>
      <c r="D41" s="2">
        <v>41449.379999999997</v>
      </c>
      <c r="E41" s="2"/>
      <c r="F41" s="19">
        <f t="shared" si="6"/>
        <v>0.48332565675552458</v>
      </c>
      <c r="G41" s="2"/>
      <c r="H41" s="2"/>
      <c r="I41" s="2"/>
      <c r="J41" s="19">
        <f t="shared" si="7"/>
        <v>0</v>
      </c>
      <c r="K41" s="2"/>
      <c r="L41" s="2">
        <f t="shared" si="8"/>
        <v>41449.379999999997</v>
      </c>
      <c r="M41" s="2"/>
      <c r="N41" s="19">
        <f t="shared" si="9"/>
        <v>0</v>
      </c>
      <c r="O41" s="11"/>
      <c r="P41" s="2">
        <v>117456.15000000001</v>
      </c>
      <c r="Q41" s="2"/>
      <c r="R41" s="19">
        <f t="shared" si="10"/>
        <v>0.35283569973208412</v>
      </c>
      <c r="S41" s="2"/>
      <c r="T41" s="2"/>
      <c r="U41" s="2"/>
      <c r="V41" s="19">
        <f t="shared" si="11"/>
        <v>0</v>
      </c>
      <c r="W41" s="2"/>
      <c r="X41" s="2">
        <f t="shared" si="12"/>
        <v>117456.15000000001</v>
      </c>
      <c r="Y41" s="2"/>
      <c r="Z41" s="19">
        <f t="shared" si="13"/>
        <v>0</v>
      </c>
    </row>
    <row r="42" spans="1:26" s="24" customFormat="1" hidden="1" outlineLevel="1" x14ac:dyDescent="0.25">
      <c r="A42" s="44"/>
      <c r="B42" s="11" t="str">
        <f>CONCATENATE("          ", "5028", " - ", "PURCHASES @ COST-ART/TECH")</f>
        <v xml:space="preserve">          5028 - PURCHASES @ COST-ART/TECH</v>
      </c>
      <c r="C42" s="11"/>
      <c r="D42" s="2">
        <v>1487.45</v>
      </c>
      <c r="E42" s="2"/>
      <c r="F42" s="19">
        <f t="shared" si="6"/>
        <v>1.7344595941869458E-2</v>
      </c>
      <c r="G42" s="2"/>
      <c r="H42" s="2"/>
      <c r="I42" s="2"/>
      <c r="J42" s="19">
        <f t="shared" si="7"/>
        <v>0</v>
      </c>
      <c r="K42" s="2"/>
      <c r="L42" s="2">
        <f t="shared" si="8"/>
        <v>1487.45</v>
      </c>
      <c r="M42" s="2"/>
      <c r="N42" s="19">
        <f t="shared" si="9"/>
        <v>0</v>
      </c>
      <c r="O42" s="11"/>
      <c r="P42" s="2">
        <v>4997.4399999999996</v>
      </c>
      <c r="Q42" s="2"/>
      <c r="R42" s="19">
        <f t="shared" si="10"/>
        <v>1.5012200206367281E-2</v>
      </c>
      <c r="S42" s="2"/>
      <c r="T42" s="2"/>
      <c r="U42" s="2"/>
      <c r="V42" s="19">
        <f t="shared" si="11"/>
        <v>0</v>
      </c>
      <c r="W42" s="2"/>
      <c r="X42" s="2">
        <f t="shared" si="12"/>
        <v>4997.4399999999996</v>
      </c>
      <c r="Y42" s="2"/>
      <c r="Z42" s="19">
        <f t="shared" si="13"/>
        <v>0</v>
      </c>
    </row>
    <row r="43" spans="1:26" s="24" customFormat="1" hidden="1" outlineLevel="1" x14ac:dyDescent="0.25">
      <c r="A43" s="44"/>
      <c r="B43" s="11" t="str">
        <f>CONCATENATE("          ", "5031", " - ", "PURCHASES @ COST-FOOD")</f>
        <v xml:space="preserve">          5031 - PURCHASES @ COST-FOOD</v>
      </c>
      <c r="C43" s="11"/>
      <c r="D43" s="2">
        <v>124.92</v>
      </c>
      <c r="E43" s="2"/>
      <c r="F43" s="19">
        <f t="shared" si="6"/>
        <v>1.4566452150044256E-3</v>
      </c>
      <c r="G43" s="2"/>
      <c r="H43" s="2"/>
      <c r="I43" s="2"/>
      <c r="J43" s="19">
        <f t="shared" si="7"/>
        <v>0</v>
      </c>
      <c r="K43" s="2"/>
      <c r="L43" s="2">
        <f t="shared" si="8"/>
        <v>124.92</v>
      </c>
      <c r="M43" s="2"/>
      <c r="N43" s="19">
        <f t="shared" si="9"/>
        <v>0</v>
      </c>
      <c r="O43" s="11"/>
      <c r="P43" s="2">
        <v>393.09</v>
      </c>
      <c r="Q43" s="2"/>
      <c r="R43" s="19">
        <f t="shared" si="10"/>
        <v>1.1808337427004455E-3</v>
      </c>
      <c r="S43" s="2"/>
      <c r="T43" s="2"/>
      <c r="U43" s="2"/>
      <c r="V43" s="19">
        <f t="shared" si="11"/>
        <v>0</v>
      </c>
      <c r="W43" s="2"/>
      <c r="X43" s="2">
        <f t="shared" si="12"/>
        <v>393.09</v>
      </c>
      <c r="Y43" s="2"/>
      <c r="Z43" s="19">
        <f t="shared" si="13"/>
        <v>0</v>
      </c>
    </row>
    <row r="44" spans="1:26" s="24" customFormat="1" hidden="1" outlineLevel="1" x14ac:dyDescent="0.25">
      <c r="A44" s="44"/>
      <c r="B44" s="11" t="str">
        <f>CONCATENATE("          ", "5033", " - ", "PURCHASES @ COST-CANDY")</f>
        <v xml:space="preserve">          5033 - PURCHASES @ COST-CANDY</v>
      </c>
      <c r="C44" s="11"/>
      <c r="D44" s="2">
        <v>121.62</v>
      </c>
      <c r="E44" s="2"/>
      <c r="F44" s="19">
        <f t="shared" si="6"/>
        <v>1.418165154089323E-3</v>
      </c>
      <c r="G44" s="2"/>
      <c r="H44" s="2"/>
      <c r="I44" s="2"/>
      <c r="J44" s="19">
        <f t="shared" si="7"/>
        <v>0</v>
      </c>
      <c r="K44" s="2"/>
      <c r="L44" s="2">
        <f t="shared" si="8"/>
        <v>121.62</v>
      </c>
      <c r="M44" s="2"/>
      <c r="N44" s="19">
        <f t="shared" si="9"/>
        <v>0</v>
      </c>
      <c r="O44" s="11"/>
      <c r="P44" s="2">
        <v>411.22</v>
      </c>
      <c r="Q44" s="2"/>
      <c r="R44" s="19">
        <f t="shared" si="10"/>
        <v>1.2352958652554816E-3</v>
      </c>
      <c r="S44" s="2"/>
      <c r="T44" s="2"/>
      <c r="U44" s="2"/>
      <c r="V44" s="19">
        <f t="shared" si="11"/>
        <v>0</v>
      </c>
      <c r="W44" s="2"/>
      <c r="X44" s="2">
        <f t="shared" si="12"/>
        <v>411.22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"5035", " - ", "PURCHASES @ COST-HEALTH &amp; BEAU")</f>
        <v xml:space="preserve">          5035 - PURCHASES @ COST-HEALTH &amp; BEAU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36.25</v>
      </c>
      <c r="Q45" s="2"/>
      <c r="R45" s="19">
        <f t="shared" si="10"/>
        <v>1.0889420532929139E-4</v>
      </c>
      <c r="S45" s="2"/>
      <c r="T45" s="2"/>
      <c r="U45" s="2"/>
      <c r="V45" s="19">
        <f t="shared" si="11"/>
        <v>0</v>
      </c>
      <c r="W45" s="2"/>
      <c r="X45" s="2">
        <f t="shared" si="12"/>
        <v>36.25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-50759</v>
      </c>
      <c r="E46" s="2"/>
      <c r="F46" s="19">
        <f t="shared" si="6"/>
        <v>-0.59188163999687504</v>
      </c>
      <c r="G46" s="2"/>
      <c r="H46" s="2"/>
      <c r="I46" s="2"/>
      <c r="J46" s="19">
        <f t="shared" si="7"/>
        <v>0</v>
      </c>
      <c r="K46" s="2"/>
      <c r="L46" s="2">
        <f t="shared" si="8"/>
        <v>-50759</v>
      </c>
      <c r="M46" s="2"/>
      <c r="N46" s="19">
        <f t="shared" si="9"/>
        <v>0</v>
      </c>
      <c r="O46" s="11"/>
      <c r="P46" s="2">
        <v>-186049</v>
      </c>
      <c r="Q46" s="2"/>
      <c r="R46" s="19">
        <f t="shared" si="10"/>
        <v>-0.55888711744301611</v>
      </c>
      <c r="S46" s="2"/>
      <c r="T46" s="2"/>
      <c r="U46" s="2"/>
      <c r="V46" s="19">
        <f t="shared" si="11"/>
        <v>0</v>
      </c>
      <c r="W46" s="2"/>
      <c r="X46" s="2">
        <f t="shared" si="12"/>
        <v>-186049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42576</v>
      </c>
      <c r="E47" s="2"/>
      <c r="F47" s="19">
        <f t="shared" si="6"/>
        <v>0.49646274955194059</v>
      </c>
      <c r="G47" s="2"/>
      <c r="H47" s="2"/>
      <c r="I47" s="2"/>
      <c r="J47" s="19">
        <f t="shared" si="7"/>
        <v>0</v>
      </c>
      <c r="K47" s="2"/>
      <c r="L47" s="2">
        <f t="shared" si="8"/>
        <v>42576</v>
      </c>
      <c r="M47" s="2"/>
      <c r="N47" s="19">
        <f t="shared" si="9"/>
        <v>0</v>
      </c>
      <c r="O47" s="11"/>
      <c r="P47" s="2">
        <v>157976</v>
      </c>
      <c r="Q47" s="2"/>
      <c r="R47" s="19">
        <f t="shared" si="10"/>
        <v>0.4745564408579348</v>
      </c>
      <c r="S47" s="2"/>
      <c r="T47" s="2"/>
      <c r="U47" s="2"/>
      <c r="V47" s="19">
        <f t="shared" si="11"/>
        <v>0</v>
      </c>
      <c r="W47" s="2"/>
      <c r="X47" s="2">
        <f t="shared" si="12"/>
        <v>157976</v>
      </c>
      <c r="Y47" s="2"/>
      <c r="Z47" s="19">
        <f t="shared" si="13"/>
        <v>0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6</v>
      </c>
      <c r="Q48" s="2"/>
      <c r="R48" s="19">
        <f t="shared" si="10"/>
        <v>1.8023868468296505E-5</v>
      </c>
      <c r="S48" s="2"/>
      <c r="T48" s="2"/>
      <c r="U48" s="2"/>
      <c r="V48" s="19">
        <f t="shared" si="11"/>
        <v>0</v>
      </c>
      <c r="W48" s="2"/>
      <c r="X48" s="2">
        <f t="shared" si="12"/>
        <v>6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"5525", " - ", "FREIGHT-IN-TEST FORMS")</f>
        <v xml:space="preserve">          5525 - FREIGHT-IN-TEST FORMS</v>
      </c>
      <c r="C49" s="11"/>
      <c r="D49" s="2"/>
      <c r="E49" s="2"/>
      <c r="F49" s="19">
        <f t="shared" si="6"/>
        <v>0</v>
      </c>
      <c r="G49" s="2"/>
      <c r="H49" s="2"/>
      <c r="I49" s="2"/>
      <c r="J49" s="19">
        <f t="shared" si="7"/>
        <v>0</v>
      </c>
      <c r="K49" s="2"/>
      <c r="L49" s="2">
        <f t="shared" si="8"/>
        <v>0</v>
      </c>
      <c r="M49" s="2"/>
      <c r="N49" s="19">
        <f t="shared" si="9"/>
        <v>0</v>
      </c>
      <c r="O49" s="11"/>
      <c r="P49" s="2">
        <v>622.41</v>
      </c>
      <c r="Q49" s="2"/>
      <c r="R49" s="19">
        <f t="shared" si="10"/>
        <v>1.869705995558738E-3</v>
      </c>
      <c r="S49" s="2"/>
      <c r="T49" s="2"/>
      <c r="U49" s="2"/>
      <c r="V49" s="19">
        <f t="shared" si="11"/>
        <v>0</v>
      </c>
      <c r="W49" s="2"/>
      <c r="X49" s="2">
        <f t="shared" si="12"/>
        <v>622.41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"5526", " - ", "FREIGHT-IN-WRITING INSTRUMENTS")</f>
        <v xml:space="preserve">          5526 - FREIGHT-IN-WRITING INSTRUMENTS</v>
      </c>
      <c r="C50" s="11"/>
      <c r="D50" s="2"/>
      <c r="E50" s="2"/>
      <c r="F50" s="19">
        <f t="shared" si="6"/>
        <v>0</v>
      </c>
      <c r="G50" s="2"/>
      <c r="H50" s="2"/>
      <c r="I50" s="2"/>
      <c r="J50" s="19">
        <f t="shared" si="7"/>
        <v>0</v>
      </c>
      <c r="K50" s="2"/>
      <c r="L50" s="2">
        <f t="shared" si="8"/>
        <v>0</v>
      </c>
      <c r="M50" s="2"/>
      <c r="N50" s="19">
        <f t="shared" si="9"/>
        <v>0</v>
      </c>
      <c r="O50" s="11"/>
      <c r="P50" s="2">
        <v>260.35000000000002</v>
      </c>
      <c r="Q50" s="2"/>
      <c r="R50" s="19">
        <f t="shared" si="10"/>
        <v>7.8208569262016594E-4</v>
      </c>
      <c r="S50" s="2"/>
      <c r="T50" s="2"/>
      <c r="U50" s="2"/>
      <c r="V50" s="19">
        <f t="shared" si="11"/>
        <v>0</v>
      </c>
      <c r="W50" s="2"/>
      <c r="X50" s="2">
        <f t="shared" si="12"/>
        <v>260.35000000000002</v>
      </c>
      <c r="Y50" s="2"/>
      <c r="Z50" s="19">
        <f t="shared" si="13"/>
        <v>0</v>
      </c>
    </row>
    <row r="51" spans="1:26" s="24" customFormat="1" hidden="1" outlineLevel="1" x14ac:dyDescent="0.25">
      <c r="A51" s="44"/>
      <c r="B51" s="11" t="str">
        <f>CONCATENATE("          ", "5527", " - ", "FREIGHT-IN-SCHOOL SUPPLIES")</f>
        <v xml:space="preserve">          5527 - FREIGHT-IN-SCHOOL SUPPLIES</v>
      </c>
      <c r="C51" s="11"/>
      <c r="D51" s="2">
        <v>72.91</v>
      </c>
      <c r="E51" s="2"/>
      <c r="F51" s="19">
        <f t="shared" si="6"/>
        <v>8.5017613373337064E-4</v>
      </c>
      <c r="G51" s="2"/>
      <c r="H51" s="2"/>
      <c r="I51" s="2"/>
      <c r="J51" s="19">
        <f t="shared" si="7"/>
        <v>0</v>
      </c>
      <c r="K51" s="2"/>
      <c r="L51" s="2">
        <f t="shared" si="8"/>
        <v>72.91</v>
      </c>
      <c r="M51" s="2"/>
      <c r="N51" s="19">
        <f t="shared" si="9"/>
        <v>0</v>
      </c>
      <c r="O51" s="11"/>
      <c r="P51" s="2">
        <v>958.31</v>
      </c>
      <c r="Q51" s="2"/>
      <c r="R51" s="19">
        <f t="shared" si="10"/>
        <v>2.8787422319755374E-3</v>
      </c>
      <c r="S51" s="2"/>
      <c r="T51" s="2"/>
      <c r="U51" s="2"/>
      <c r="V51" s="19">
        <f t="shared" si="11"/>
        <v>0</v>
      </c>
      <c r="W51" s="2"/>
      <c r="X51" s="2">
        <f t="shared" si="12"/>
        <v>958.31</v>
      </c>
      <c r="Y51" s="2"/>
      <c r="Z51" s="19">
        <f t="shared" si="13"/>
        <v>0</v>
      </c>
    </row>
    <row r="52" spans="1:26" s="24" customFormat="1" hidden="1" outlineLevel="1" x14ac:dyDescent="0.25">
      <c r="A52" s="44"/>
      <c r="B52" s="11" t="str">
        <f>CONCATENATE("          ", "5528", " - ", "FREIGHT-IN-ART/TECH")</f>
        <v xml:space="preserve">          5528 - FREIGHT-IN-ART/TECH</v>
      </c>
      <c r="C52" s="11"/>
      <c r="D52" s="2"/>
      <c r="E52" s="2"/>
      <c r="F52" s="19">
        <f t="shared" si="6"/>
        <v>0</v>
      </c>
      <c r="G52" s="2"/>
      <c r="H52" s="2"/>
      <c r="I52" s="2"/>
      <c r="J52" s="19">
        <f t="shared" si="7"/>
        <v>0</v>
      </c>
      <c r="K52" s="2"/>
      <c r="L52" s="2">
        <f t="shared" si="8"/>
        <v>0</v>
      </c>
      <c r="M52" s="2"/>
      <c r="N52" s="19">
        <f t="shared" si="9"/>
        <v>0</v>
      </c>
      <c r="O52" s="11"/>
      <c r="P52" s="2">
        <v>56.91</v>
      </c>
      <c r="Q52" s="2"/>
      <c r="R52" s="19">
        <f t="shared" si="10"/>
        <v>1.7095639242179235E-4</v>
      </c>
      <c r="S52" s="2"/>
      <c r="T52" s="2"/>
      <c r="U52" s="2"/>
      <c r="V52" s="19">
        <f t="shared" si="11"/>
        <v>0</v>
      </c>
      <c r="W52" s="2"/>
      <c r="X52" s="2">
        <f t="shared" si="12"/>
        <v>56.91</v>
      </c>
      <c r="Y52" s="2"/>
      <c r="Z52" s="19">
        <f t="shared" si="13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1">
        <f>D12-D36</f>
        <v>43182.07999999998</v>
      </c>
      <c r="E54" s="14"/>
      <c r="F54" s="20">
        <f>IF(D$12=0,0,D54/D$12)</f>
        <v>0.50353002086085719</v>
      </c>
      <c r="G54" s="14"/>
      <c r="H54" s="21">
        <f>H12-H36</f>
        <v>41186</v>
      </c>
      <c r="I54" s="14"/>
      <c r="J54" s="20">
        <f>IF(H$12=0,0,H54/H$12)</f>
        <v>0.49000618664636175</v>
      </c>
      <c r="K54" s="16"/>
      <c r="L54" s="21">
        <f>+D54-H54</f>
        <v>1996.0799999999799</v>
      </c>
      <c r="M54" s="16"/>
      <c r="N54" s="20">
        <f>IF(H54=0,0,L54/H54)</f>
        <v>4.8465012382848054E-2</v>
      </c>
      <c r="O54" s="28"/>
      <c r="P54" s="21">
        <f>P12-P36</f>
        <v>174909.59000000005</v>
      </c>
      <c r="Q54" s="14"/>
      <c r="R54" s="20">
        <f>IF(P$12=0,0,P54/P$12)</f>
        <v>0.52542457400061182</v>
      </c>
      <c r="S54" s="14"/>
      <c r="T54" s="21">
        <f>T12-T36</f>
        <v>176853</v>
      </c>
      <c r="U54" s="14"/>
      <c r="V54" s="20">
        <f>IF(T$12=0,0,T54/T$12)</f>
        <v>0.49000745319586941</v>
      </c>
      <c r="W54" s="16"/>
      <c r="X54" s="21">
        <f>+P54-T54</f>
        <v>-1943.4099999999453</v>
      </c>
      <c r="Y54" s="16"/>
      <c r="Z54" s="20">
        <f>IF(T54=0,0,X54/T54)</f>
        <v>-1.0988843842060612E-2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2">
        <f>SUM(OSRRefD22x_0)</f>
        <v>13444.84</v>
      </c>
      <c r="E56" s="22"/>
      <c r="F56" s="35">
        <f t="shared" ref="F56:F66" si="14">IF(D$12=0,0,D56/D$12)</f>
        <v>0.1567752309678202</v>
      </c>
      <c r="G56" s="22"/>
      <c r="H56" s="22">
        <f>SUM(OSRRefH22x_0)</f>
        <v>10635.235798930767</v>
      </c>
      <c r="I56" s="22"/>
      <c r="J56" s="35">
        <f t="shared" ref="J56:J66" si="15">IF(H$12=0,0,H56/H$12)</f>
        <v>0.12653162088862571</v>
      </c>
      <c r="K56" s="4"/>
      <c r="L56" s="22">
        <f t="shared" ref="L56:L66" si="16">+D56-H56</f>
        <v>2809.6042010692327</v>
      </c>
      <c r="M56" s="4"/>
      <c r="N56" s="35">
        <f t="shared" ref="N56:N66" si="17">IF(H56=0,0,L56/H56)</f>
        <v>0.26417883478913567</v>
      </c>
      <c r="O56" s="10"/>
      <c r="P56" s="22">
        <f>SUM(OSRRefP22x_0)</f>
        <v>73024.660000000018</v>
      </c>
      <c r="Q56" s="22"/>
      <c r="R56" s="35">
        <f t="shared" ref="R56:R66" si="18">IF(P$12=0,0,P56/P$12)</f>
        <v>0.21936447779701224</v>
      </c>
      <c r="S56" s="22"/>
      <c r="T56" s="22">
        <f>SUM(OSRRefT22x_0)</f>
        <v>70893.737709970752</v>
      </c>
      <c r="U56" s="22"/>
      <c r="V56" s="35">
        <f t="shared" ref="V56:V66" si="19">IF(T$12=0,0,T56/T$12)</f>
        <v>0.19642561824113097</v>
      </c>
      <c r="W56" s="4"/>
      <c r="X56" s="22">
        <f t="shared" ref="X56:X66" si="20">+P56-T56</f>
        <v>2130.9222900292662</v>
      </c>
      <c r="Y56" s="4"/>
      <c r="Z56" s="35">
        <f t="shared" ref="Z56:Z66" si="21">IF(T56=0,0,X56/T56)</f>
        <v>3.0057976329968077E-2</v>
      </c>
    </row>
    <row r="57" spans="1:26" s="27" customFormat="1" outlineLevel="1" collapsed="1" x14ac:dyDescent="0.25">
      <c r="A57" s="26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2466.5499999999997</v>
      </c>
      <c r="E57" s="1"/>
      <c r="F57" s="5">
        <f t="shared" si="14"/>
        <v>2.8761513409135169E-2</v>
      </c>
      <c r="G57" s="1"/>
      <c r="H57" s="1">
        <f>SUM(OSRRefH22_0x_0)</f>
        <v>1697.731306623077</v>
      </c>
      <c r="I57" s="1"/>
      <c r="J57" s="5">
        <f t="shared" si="15"/>
        <v>2.0198583098832591E-2</v>
      </c>
      <c r="K57" s="1"/>
      <c r="L57" s="1">
        <f t="shared" si="16"/>
        <v>768.81869337692274</v>
      </c>
      <c r="M57" s="1"/>
      <c r="N57" s="5">
        <f t="shared" si="17"/>
        <v>0.45285063094357636</v>
      </c>
      <c r="O57" s="13"/>
      <c r="P57" s="1">
        <f>SUM(OSRRefP22_0x_0)</f>
        <v>13106.08</v>
      </c>
      <c r="Q57" s="1"/>
      <c r="R57" s="5">
        <f t="shared" si="18"/>
        <v>3.9370377009161912E-2</v>
      </c>
      <c r="S57" s="1"/>
      <c r="T57" s="1">
        <f>SUM(OSRRefT22_0x_0)</f>
        <v>11977.583857663078</v>
      </c>
      <c r="U57" s="1"/>
      <c r="V57" s="5">
        <f t="shared" si="19"/>
        <v>3.3186348897295728E-2</v>
      </c>
      <c r="W57" s="1"/>
      <c r="X57" s="1">
        <f t="shared" si="20"/>
        <v>1128.4961423369223</v>
      </c>
      <c r="Y57" s="1"/>
      <c r="Z57" s="5">
        <f t="shared" si="21"/>
        <v>9.4217344311467915E-2</v>
      </c>
    </row>
    <row r="58" spans="1:26" s="24" customFormat="1" hidden="1" outlineLevel="2" x14ac:dyDescent="0.25">
      <c r="A58" s="25"/>
      <c r="B58" s="11" t="str">
        <f>CONCATENATE("          ", "6111", " - ", "F.I.C.A.")</f>
        <v xml:space="preserve">          6111 - F.I.C.A.</v>
      </c>
      <c r="C58" s="11"/>
      <c r="D58" s="7">
        <v>266.95999999999998</v>
      </c>
      <c r="E58" s="2"/>
      <c r="F58" s="6">
        <f t="shared" si="14"/>
        <v>3.1129203217865947E-3</v>
      </c>
      <c r="G58" s="2"/>
      <c r="H58" s="7">
        <v>218.038502930769</v>
      </c>
      <c r="I58" s="2"/>
      <c r="J58" s="6">
        <f t="shared" si="15"/>
        <v>2.5940905978533409E-3</v>
      </c>
      <c r="K58" s="2"/>
      <c r="L58" s="7">
        <f t="shared" si="16"/>
        <v>48.921497069230981</v>
      </c>
      <c r="M58" s="2"/>
      <c r="N58" s="6">
        <f t="shared" si="17"/>
        <v>0.22437090886082814</v>
      </c>
      <c r="O58" s="11"/>
      <c r="P58" s="7">
        <v>1936.63</v>
      </c>
      <c r="Q58" s="2"/>
      <c r="R58" s="6">
        <f t="shared" si="18"/>
        <v>5.8175940652928438E-3</v>
      </c>
      <c r="S58" s="2"/>
      <c r="T58" s="7">
        <v>2096.2842931707669</v>
      </c>
      <c r="U58" s="2"/>
      <c r="V58" s="6">
        <f t="shared" si="19"/>
        <v>5.808184920081145E-3</v>
      </c>
      <c r="W58" s="2"/>
      <c r="X58" s="7">
        <f t="shared" si="20"/>
        <v>-159.65429317076678</v>
      </c>
      <c r="Y58" s="2"/>
      <c r="Z58" s="6">
        <f t="shared" si="21"/>
        <v>-7.6160611273425716E-2</v>
      </c>
    </row>
    <row r="59" spans="1:26" s="24" customFormat="1" hidden="1" outlineLevel="2" x14ac:dyDescent="0.25">
      <c r="A59" s="25"/>
      <c r="B59" s="11" t="str">
        <f>CONCATENATE("          ", "6112", " - ", "COMPENSATION INSURANCE")</f>
        <v xml:space="preserve">          6112 - COMPENSATION INSURANCE</v>
      </c>
      <c r="C59" s="11"/>
      <c r="D59" s="7">
        <v>133.63</v>
      </c>
      <c r="E59" s="2"/>
      <c r="F59" s="6">
        <f t="shared" si="14"/>
        <v>1.5582092545712565E-3</v>
      </c>
      <c r="G59" s="2"/>
      <c r="H59" s="7">
        <v>146.97315538461498</v>
      </c>
      <c r="I59" s="2"/>
      <c r="J59" s="6">
        <f t="shared" si="15"/>
        <v>1.7485979558441796E-3</v>
      </c>
      <c r="K59" s="2"/>
      <c r="L59" s="7">
        <f t="shared" si="16"/>
        <v>-13.343155384614988</v>
      </c>
      <c r="M59" s="2"/>
      <c r="N59" s="6">
        <f t="shared" si="17"/>
        <v>-9.0786343599259328E-2</v>
      </c>
      <c r="O59" s="11"/>
      <c r="P59" s="7">
        <v>838.01</v>
      </c>
      <c r="Q59" s="2"/>
      <c r="R59" s="6">
        <f t="shared" si="18"/>
        <v>2.5173636691861925E-3</v>
      </c>
      <c r="S59" s="2"/>
      <c r="T59" s="7">
        <v>956.06645738461305</v>
      </c>
      <c r="U59" s="2"/>
      <c r="V59" s="6">
        <f t="shared" si="19"/>
        <v>2.6489779074657001E-3</v>
      </c>
      <c r="W59" s="2"/>
      <c r="X59" s="7">
        <f t="shared" si="20"/>
        <v>-118.05645738461305</v>
      </c>
      <c r="Y59" s="2"/>
      <c r="Z59" s="6">
        <f t="shared" si="21"/>
        <v>-0.12348143423791352</v>
      </c>
    </row>
    <row r="60" spans="1:26" s="24" customFormat="1" hidden="1" outlineLevel="2" x14ac:dyDescent="0.25">
      <c r="A60" s="25"/>
      <c r="B60" s="11" t="str">
        <f>CONCATENATE("          ", "6113", " - ", "GROUP INSURANCE")</f>
        <v xml:space="preserve">          6113 - GROUP INSURANCE</v>
      </c>
      <c r="C60" s="11"/>
      <c r="D60" s="7">
        <v>1216.43</v>
      </c>
      <c r="E60" s="2"/>
      <c r="F60" s="6">
        <f t="shared" si="14"/>
        <v>1.4184333484532768E-2</v>
      </c>
      <c r="G60" s="2"/>
      <c r="H60" s="7">
        <v>790.8</v>
      </c>
      <c r="I60" s="2"/>
      <c r="J60" s="6">
        <f t="shared" si="15"/>
        <v>9.4084614286394138E-3</v>
      </c>
      <c r="K60" s="2"/>
      <c r="L60" s="7">
        <f t="shared" si="16"/>
        <v>425.63000000000011</v>
      </c>
      <c r="M60" s="2"/>
      <c r="N60" s="6">
        <f t="shared" si="17"/>
        <v>0.53822711178553384</v>
      </c>
      <c r="O60" s="11"/>
      <c r="P60" s="7">
        <v>6235.19</v>
      </c>
      <c r="Q60" s="2"/>
      <c r="R60" s="6">
        <f t="shared" si="18"/>
        <v>1.8730374072472949E-2</v>
      </c>
      <c r="S60" s="2"/>
      <c r="T60" s="7">
        <v>5535.6</v>
      </c>
      <c r="U60" s="2"/>
      <c r="V60" s="6">
        <f t="shared" si="19"/>
        <v>1.5337513403284394E-2</v>
      </c>
      <c r="W60" s="2"/>
      <c r="X60" s="7">
        <f t="shared" si="20"/>
        <v>699.58999999999924</v>
      </c>
      <c r="Y60" s="2"/>
      <c r="Z60" s="6">
        <f t="shared" si="21"/>
        <v>0.12638015752583265</v>
      </c>
    </row>
    <row r="61" spans="1:26" s="24" customFormat="1" hidden="1" outlineLevel="2" x14ac:dyDescent="0.25">
      <c r="A61" s="25"/>
      <c r="B61" s="11" t="str">
        <f>CONCATENATE("          ", "6114", " - ", "STATE UNEMPLOYMENT INSURANCE")</f>
        <v xml:space="preserve">          6114 - STATE UNEMPLOYMENT INSURANCE</v>
      </c>
      <c r="C61" s="11"/>
      <c r="D61" s="7">
        <v>18.29</v>
      </c>
      <c r="E61" s="2"/>
      <c r="F61" s="6">
        <f t="shared" si="14"/>
        <v>2.1327282246582567E-4</v>
      </c>
      <c r="G61" s="2"/>
      <c r="H61" s="7">
        <v>20.112116</v>
      </c>
      <c r="I61" s="2"/>
      <c r="J61" s="6">
        <f t="shared" si="15"/>
        <v>2.392818255365726E-4</v>
      </c>
      <c r="K61" s="2"/>
      <c r="L61" s="7">
        <f t="shared" si="16"/>
        <v>-1.8221160000000012</v>
      </c>
      <c r="M61" s="2"/>
      <c r="N61" s="6">
        <f t="shared" si="17"/>
        <v>-9.0597926145612975E-2</v>
      </c>
      <c r="O61" s="11"/>
      <c r="P61" s="7">
        <v>134.25</v>
      </c>
      <c r="Q61" s="2"/>
      <c r="R61" s="6">
        <f t="shared" si="18"/>
        <v>4.032840569781343E-4</v>
      </c>
      <c r="S61" s="2"/>
      <c r="T61" s="7">
        <v>130.83014679999999</v>
      </c>
      <c r="U61" s="2"/>
      <c r="V61" s="6">
        <f t="shared" si="19"/>
        <v>3.6249171365320196E-4</v>
      </c>
      <c r="W61" s="2"/>
      <c r="X61" s="7">
        <f t="shared" si="20"/>
        <v>3.4198532000000057</v>
      </c>
      <c r="Y61" s="2"/>
      <c r="Z61" s="6">
        <f t="shared" si="21"/>
        <v>2.6139641998781323E-2</v>
      </c>
    </row>
    <row r="62" spans="1:26" s="24" customFormat="1" hidden="1" outlineLevel="2" x14ac:dyDescent="0.25">
      <c r="A62" s="25"/>
      <c r="B62" s="11" t="str">
        <f>CONCATENATE("          ", "6115", " - ", "P.E.R.S.")</f>
        <v xml:space="preserve">          6115 - P.E.R.S.</v>
      </c>
      <c r="C62" s="11"/>
      <c r="D62" s="7">
        <v>359.53</v>
      </c>
      <c r="E62" s="2"/>
      <c r="F62" s="6">
        <f t="shared" si="14"/>
        <v>4.1923443335778179E-3</v>
      </c>
      <c r="G62" s="2"/>
      <c r="H62" s="7">
        <v>245.01909384615399</v>
      </c>
      <c r="I62" s="2"/>
      <c r="J62" s="6">
        <f t="shared" si="15"/>
        <v>2.9150893952095609E-3</v>
      </c>
      <c r="K62" s="2"/>
      <c r="L62" s="7">
        <f t="shared" si="16"/>
        <v>114.51090615384598</v>
      </c>
      <c r="M62" s="2"/>
      <c r="N62" s="6">
        <f t="shared" si="17"/>
        <v>0.46735503081138113</v>
      </c>
      <c r="O62" s="11"/>
      <c r="P62" s="7">
        <v>1387.05</v>
      </c>
      <c r="Q62" s="2"/>
      <c r="R62" s="6">
        <f t="shared" si="18"/>
        <v>4.1666677931584449E-3</v>
      </c>
      <c r="S62" s="2"/>
      <c r="T62" s="7">
        <v>1519.1183818461541</v>
      </c>
      <c r="U62" s="2"/>
      <c r="V62" s="6">
        <f t="shared" si="19"/>
        <v>4.2090285683107683E-3</v>
      </c>
      <c r="W62" s="2"/>
      <c r="X62" s="7">
        <f t="shared" si="20"/>
        <v>-132.06838184615413</v>
      </c>
      <c r="Y62" s="2"/>
      <c r="Z62" s="6">
        <f t="shared" si="21"/>
        <v>-8.6937518118669635E-2</v>
      </c>
    </row>
    <row r="63" spans="1:26" s="24" customFormat="1" hidden="1" outlineLevel="2" x14ac:dyDescent="0.25">
      <c r="A63" s="25"/>
      <c r="B63" s="11" t="str">
        <f>CONCATENATE("          ", "6116", " - ", "EDUCATIONAL BENEFITS")</f>
        <v xml:space="preserve">          6116 - EDUCATIONAL BENEFITS</v>
      </c>
      <c r="C63" s="11"/>
      <c r="D63" s="7"/>
      <c r="E63" s="2"/>
      <c r="F63" s="6">
        <f t="shared" si="14"/>
        <v>0</v>
      </c>
      <c r="G63" s="2"/>
      <c r="H63" s="7">
        <v>0</v>
      </c>
      <c r="I63" s="2"/>
      <c r="J63" s="6">
        <f t="shared" si="15"/>
        <v>0</v>
      </c>
      <c r="K63" s="2"/>
      <c r="L63" s="7">
        <f t="shared" si="16"/>
        <v>0</v>
      </c>
      <c r="M63" s="2"/>
      <c r="N63" s="6">
        <f t="shared" si="17"/>
        <v>0</v>
      </c>
      <c r="O63" s="11"/>
      <c r="P63" s="7"/>
      <c r="Q63" s="2"/>
      <c r="R63" s="6">
        <f t="shared" si="18"/>
        <v>0</v>
      </c>
      <c r="S63" s="2"/>
      <c r="T63" s="7">
        <v>0</v>
      </c>
      <c r="U63" s="2"/>
      <c r="V63" s="6">
        <f t="shared" si="19"/>
        <v>0</v>
      </c>
      <c r="W63" s="2"/>
      <c r="X63" s="7">
        <f t="shared" si="20"/>
        <v>0</v>
      </c>
      <c r="Y63" s="2"/>
      <c r="Z63" s="6">
        <f t="shared" si="21"/>
        <v>0</v>
      </c>
    </row>
    <row r="64" spans="1:26" s="24" customFormat="1" hidden="1" outlineLevel="2" x14ac:dyDescent="0.25">
      <c r="A64" s="25"/>
      <c r="B64" s="11" t="str">
        <f>CONCATENATE("          ", "6118", " - ", "VACATION")</f>
        <v xml:space="preserve">          6118 - VACATION</v>
      </c>
      <c r="C64" s="11"/>
      <c r="D64" s="7">
        <v>135.97999999999999</v>
      </c>
      <c r="E64" s="2"/>
      <c r="F64" s="6">
        <f t="shared" si="14"/>
        <v>1.5856117221926173E-3</v>
      </c>
      <c r="G64" s="2"/>
      <c r="H64" s="7">
        <v>142.45296153846201</v>
      </c>
      <c r="I64" s="2"/>
      <c r="J64" s="6">
        <f t="shared" si="15"/>
        <v>1.6948194158195166E-3</v>
      </c>
      <c r="K64" s="2"/>
      <c r="L64" s="7">
        <f t="shared" si="16"/>
        <v>-6.4729615384620161</v>
      </c>
      <c r="M64" s="2"/>
      <c r="N64" s="6">
        <f t="shared" si="17"/>
        <v>-4.5439290756439134E-2</v>
      </c>
      <c r="O64" s="11"/>
      <c r="P64" s="7">
        <v>1133.8399999999999</v>
      </c>
      <c r="Q64" s="2"/>
      <c r="R64" s="6">
        <f t="shared" si="18"/>
        <v>3.4060305040155515E-3</v>
      </c>
      <c r="S64" s="2"/>
      <c r="T64" s="7">
        <v>883.20836153846199</v>
      </c>
      <c r="U64" s="2"/>
      <c r="V64" s="6">
        <f t="shared" si="19"/>
        <v>2.4471096327388195E-3</v>
      </c>
      <c r="W64" s="2"/>
      <c r="X64" s="7">
        <f t="shared" si="20"/>
        <v>250.63163846153793</v>
      </c>
      <c r="Y64" s="2"/>
      <c r="Z64" s="6">
        <f t="shared" si="21"/>
        <v>0.28377407798196375</v>
      </c>
    </row>
    <row r="65" spans="1:26" s="24" customFormat="1" hidden="1" outlineLevel="2" x14ac:dyDescent="0.25">
      <c r="A65" s="25"/>
      <c r="B65" s="11" t="str">
        <f>CONCATENATE("          ", "6119", " - ", "SICK LEAVE")</f>
        <v xml:space="preserve">          6119 - SICK LEAVE</v>
      </c>
      <c r="C65" s="11"/>
      <c r="D65" s="7">
        <v>160.72999999999999</v>
      </c>
      <c r="E65" s="2"/>
      <c r="F65" s="6">
        <f t="shared" si="14"/>
        <v>1.8742121790558861E-3</v>
      </c>
      <c r="G65" s="2"/>
      <c r="H65" s="7">
        <v>134.33547692307698</v>
      </c>
      <c r="I65" s="2"/>
      <c r="J65" s="6">
        <f t="shared" si="15"/>
        <v>1.5982424799300073E-3</v>
      </c>
      <c r="K65" s="2"/>
      <c r="L65" s="7">
        <f t="shared" si="16"/>
        <v>26.394523076923008</v>
      </c>
      <c r="M65" s="2"/>
      <c r="N65" s="6">
        <f t="shared" si="17"/>
        <v>0.19648214813750955</v>
      </c>
      <c r="O65" s="11"/>
      <c r="P65" s="7">
        <v>1266.1099999999999</v>
      </c>
      <c r="Q65" s="2"/>
      <c r="R65" s="6">
        <f t="shared" si="18"/>
        <v>3.8033666843991479E-3</v>
      </c>
      <c r="S65" s="2"/>
      <c r="T65" s="7">
        <v>856.47621692307894</v>
      </c>
      <c r="U65" s="2"/>
      <c r="V65" s="6">
        <f t="shared" si="19"/>
        <v>2.3730427517616942E-3</v>
      </c>
      <c r="W65" s="2"/>
      <c r="X65" s="7">
        <f t="shared" si="20"/>
        <v>409.63378307692096</v>
      </c>
      <c r="Y65" s="2"/>
      <c r="Z65" s="6">
        <f t="shared" si="21"/>
        <v>0.47827805954559344</v>
      </c>
    </row>
    <row r="66" spans="1:26" s="24" customFormat="1" hidden="1" outlineLevel="2" x14ac:dyDescent="0.25">
      <c r="A66" s="25"/>
      <c r="B66" s="11" t="str">
        <f>CONCATENATE("          ", "6156", " - ", "EMPLOYEE MEALS")</f>
        <v xml:space="preserve">          6156 - EMPLOYEE MEALS</v>
      </c>
      <c r="C66" s="11"/>
      <c r="D66" s="7">
        <v>175</v>
      </c>
      <c r="E66" s="2"/>
      <c r="F66" s="6">
        <f t="shared" si="14"/>
        <v>2.040609290952405E-3</v>
      </c>
      <c r="G66" s="2"/>
      <c r="H66" s="7"/>
      <c r="I66" s="2"/>
      <c r="J66" s="6">
        <f t="shared" si="15"/>
        <v>0</v>
      </c>
      <c r="K66" s="2"/>
      <c r="L66" s="7">
        <f t="shared" si="16"/>
        <v>175</v>
      </c>
      <c r="M66" s="2"/>
      <c r="N66" s="6">
        <f t="shared" si="17"/>
        <v>0</v>
      </c>
      <c r="O66" s="11"/>
      <c r="P66" s="7">
        <v>175</v>
      </c>
      <c r="Q66" s="2"/>
      <c r="R66" s="6">
        <f t="shared" si="18"/>
        <v>5.2569616365864813E-4</v>
      </c>
      <c r="S66" s="2"/>
      <c r="T66" s="7"/>
      <c r="U66" s="2"/>
      <c r="V66" s="6">
        <f t="shared" si="19"/>
        <v>0</v>
      </c>
      <c r="W66" s="2"/>
      <c r="X66" s="7">
        <f t="shared" si="20"/>
        <v>175</v>
      </c>
      <c r="Y66" s="2"/>
      <c r="Z66" s="6">
        <f t="shared" si="21"/>
        <v>0</v>
      </c>
    </row>
    <row r="67" spans="1:26" s="27" customFormat="1" outlineLevel="1" collapsed="1" x14ac:dyDescent="0.25">
      <c r="A67" s="26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9281.48</v>
      </c>
      <c r="E67" s="1"/>
      <c r="F67" s="5">
        <f t="shared" ref="F67:F77" si="22">IF(D$12=0,0,D67/D$12)</f>
        <v>0.10822785326736531</v>
      </c>
      <c r="G67" s="1"/>
      <c r="H67" s="1">
        <f>SUM(OSRRefH22_1x_0)</f>
        <v>7507.5044923076894</v>
      </c>
      <c r="I67" s="1"/>
      <c r="J67" s="5">
        <f t="shared" ref="J67:J77" si="23">IF(H$12=0,0,H67/H$12)</f>
        <v>8.9319760294908984E-2</v>
      </c>
      <c r="K67" s="1"/>
      <c r="L67" s="1">
        <f t="shared" ref="L67:L77" si="24">+D67-H67</f>
        <v>1773.9755076923102</v>
      </c>
      <c r="M67" s="1"/>
      <c r="N67" s="5">
        <f t="shared" ref="N67:N77" si="25">IF(H67=0,0,L67/H67)</f>
        <v>0.23629363252595509</v>
      </c>
      <c r="O67" s="13"/>
      <c r="P67" s="1">
        <f>SUM(OSRRefP22_1x_0)</f>
        <v>51189.43</v>
      </c>
      <c r="Q67" s="1"/>
      <c r="R67" s="5">
        <f t="shared" ref="R67:R77" si="26">IF(P$12=0,0,P67/P$12)</f>
        <v>0.15377192554784522</v>
      </c>
      <c r="S67" s="1"/>
      <c r="T67" s="1">
        <f>SUM(OSRRefT22_1x_0)</f>
        <v>48906.153852307674</v>
      </c>
      <c r="U67" s="1"/>
      <c r="V67" s="5">
        <f t="shared" ref="V67:V77" si="27">IF(T$12=0,0,T67/T$12)</f>
        <v>0.13550451445423398</v>
      </c>
      <c r="W67" s="1"/>
      <c r="X67" s="1">
        <f t="shared" ref="X67:X77" si="28">+P67-T67</f>
        <v>2283.276147692326</v>
      </c>
      <c r="Y67" s="1"/>
      <c r="Z67" s="5">
        <f t="shared" ref="Z67:Z77" si="29">IF(T67=0,0,X67/T67)</f>
        <v>4.6686888414648617E-2</v>
      </c>
    </row>
    <row r="68" spans="1:26" s="24" customFormat="1" hidden="1" outlineLevel="2" x14ac:dyDescent="0.25">
      <c r="A68" s="25"/>
      <c r="B68" s="11" t="str">
        <f>CONCATENATE("          ", "6001", " - ", "ADMINISTRATIVE SALARIES")</f>
        <v xml:space="preserve">          6001 - ADMINISTRATIVE SALARIES</v>
      </c>
      <c r="C68" s="11"/>
      <c r="D68" s="7"/>
      <c r="E68" s="2"/>
      <c r="F68" s="6">
        <f t="shared" si="22"/>
        <v>0</v>
      </c>
      <c r="G68" s="2"/>
      <c r="H68" s="7">
        <v>2621.1344923076899</v>
      </c>
      <c r="I68" s="2"/>
      <c r="J68" s="6">
        <f t="shared" si="23"/>
        <v>3.1184677251078975E-2</v>
      </c>
      <c r="K68" s="2"/>
      <c r="L68" s="7">
        <f t="shared" si="24"/>
        <v>-2621.1344923076899</v>
      </c>
      <c r="M68" s="2"/>
      <c r="N68" s="6">
        <f t="shared" si="25"/>
        <v>-1</v>
      </c>
      <c r="O68" s="11"/>
      <c r="P68" s="7"/>
      <c r="Q68" s="2"/>
      <c r="R68" s="6">
        <f t="shared" si="26"/>
        <v>0</v>
      </c>
      <c r="S68" s="2"/>
      <c r="T68" s="7">
        <v>16251.03385230767</v>
      </c>
      <c r="U68" s="2"/>
      <c r="V68" s="6">
        <f t="shared" si="27"/>
        <v>4.5026817242394192E-2</v>
      </c>
      <c r="W68" s="2"/>
      <c r="X68" s="7">
        <f t="shared" si="28"/>
        <v>-16251.03385230767</v>
      </c>
      <c r="Y68" s="2"/>
      <c r="Z68" s="6">
        <f t="shared" si="29"/>
        <v>-1</v>
      </c>
    </row>
    <row r="69" spans="1:26" s="24" customFormat="1" hidden="1" outlineLevel="2" x14ac:dyDescent="0.25">
      <c r="A69" s="25"/>
      <c r="B69" s="11" t="str">
        <f>CONCATENATE("          ", "6002", " - ", "STAFF SALARIES")</f>
        <v xml:space="preserve">          6002 - STAFF SALARIES</v>
      </c>
      <c r="C69" s="11"/>
      <c r="D69" s="7">
        <v>4251.8</v>
      </c>
      <c r="E69" s="2"/>
      <c r="F69" s="6">
        <f t="shared" si="22"/>
        <v>4.9578643332979642E-2</v>
      </c>
      <c r="G69" s="2"/>
      <c r="H69" s="7">
        <v>0</v>
      </c>
      <c r="I69" s="2"/>
      <c r="J69" s="6">
        <f t="shared" si="23"/>
        <v>0</v>
      </c>
      <c r="K69" s="2"/>
      <c r="L69" s="7">
        <f t="shared" si="24"/>
        <v>4251.8</v>
      </c>
      <c r="M69" s="2"/>
      <c r="N69" s="6">
        <f t="shared" si="25"/>
        <v>0</v>
      </c>
      <c r="O69" s="11"/>
      <c r="P69" s="7">
        <v>18477.510000000002</v>
      </c>
      <c r="Q69" s="2"/>
      <c r="R69" s="6">
        <f t="shared" si="26"/>
        <v>5.5506034976938901E-2</v>
      </c>
      <c r="S69" s="2"/>
      <c r="T69" s="7">
        <v>0</v>
      </c>
      <c r="U69" s="2"/>
      <c r="V69" s="6">
        <f t="shared" si="27"/>
        <v>0</v>
      </c>
      <c r="W69" s="2"/>
      <c r="X69" s="7">
        <f t="shared" si="28"/>
        <v>18477.510000000002</v>
      </c>
      <c r="Y69" s="2"/>
      <c r="Z69" s="6">
        <f t="shared" si="29"/>
        <v>0</v>
      </c>
    </row>
    <row r="70" spans="1:26" s="24" customFormat="1" hidden="1" outlineLevel="2" x14ac:dyDescent="0.25">
      <c r="A70" s="25"/>
      <c r="B70" s="11" t="str">
        <f>CONCATENATE("          ", "6003", " - ", "STAFF HOURLY-9 MONTH")</f>
        <v xml:space="preserve">          6003 - STAFF HOURLY-9 MONTH</v>
      </c>
      <c r="C70" s="11"/>
      <c r="D70" s="7"/>
      <c r="E70" s="2"/>
      <c r="F70" s="6">
        <f t="shared" si="22"/>
        <v>0</v>
      </c>
      <c r="G70" s="2"/>
      <c r="H70" s="7">
        <v>0</v>
      </c>
      <c r="I70" s="2"/>
      <c r="J70" s="6">
        <f t="shared" si="23"/>
        <v>0</v>
      </c>
      <c r="K70" s="2"/>
      <c r="L70" s="7">
        <f t="shared" si="24"/>
        <v>0</v>
      </c>
      <c r="M70" s="2"/>
      <c r="N70" s="6">
        <f t="shared" si="25"/>
        <v>0</v>
      </c>
      <c r="O70" s="11"/>
      <c r="P70" s="7"/>
      <c r="Q70" s="2"/>
      <c r="R70" s="6">
        <f t="shared" si="26"/>
        <v>0</v>
      </c>
      <c r="S70" s="2"/>
      <c r="T70" s="7">
        <v>0</v>
      </c>
      <c r="U70" s="2"/>
      <c r="V70" s="6">
        <f t="shared" si="27"/>
        <v>0</v>
      </c>
      <c r="W70" s="2"/>
      <c r="X70" s="7">
        <f t="shared" si="28"/>
        <v>0</v>
      </c>
      <c r="Y70" s="2"/>
      <c r="Z70" s="6">
        <f t="shared" si="29"/>
        <v>0</v>
      </c>
    </row>
    <row r="71" spans="1:26" s="24" customFormat="1" hidden="1" outlineLevel="2" x14ac:dyDescent="0.25">
      <c r="A71" s="25"/>
      <c r="B71" s="11" t="str">
        <f>CONCATENATE("          ", "6004", " - ", "STAFF HOURLY")</f>
        <v xml:space="preserve">          6004 - STAFF HOURLY</v>
      </c>
      <c r="C71" s="11"/>
      <c r="D71" s="7"/>
      <c r="E71" s="2"/>
      <c r="F71" s="6">
        <f t="shared" si="22"/>
        <v>0</v>
      </c>
      <c r="G71" s="2"/>
      <c r="H71" s="7">
        <v>0</v>
      </c>
      <c r="I71" s="2"/>
      <c r="J71" s="6">
        <f t="shared" si="23"/>
        <v>0</v>
      </c>
      <c r="K71" s="2"/>
      <c r="L71" s="7">
        <f t="shared" si="24"/>
        <v>0</v>
      </c>
      <c r="M71" s="2"/>
      <c r="N71" s="6">
        <f t="shared" si="25"/>
        <v>0</v>
      </c>
      <c r="O71" s="11"/>
      <c r="P71" s="7">
        <v>-48</v>
      </c>
      <c r="Q71" s="2"/>
      <c r="R71" s="6">
        <f t="shared" si="26"/>
        <v>-1.4419094774637204E-4</v>
      </c>
      <c r="S71" s="2"/>
      <c r="T71" s="7">
        <v>0</v>
      </c>
      <c r="U71" s="2"/>
      <c r="V71" s="6">
        <f t="shared" si="27"/>
        <v>0</v>
      </c>
      <c r="W71" s="2"/>
      <c r="X71" s="7">
        <f t="shared" si="28"/>
        <v>-48</v>
      </c>
      <c r="Y71" s="2"/>
      <c r="Z71" s="6">
        <f t="shared" si="29"/>
        <v>0</v>
      </c>
    </row>
    <row r="72" spans="1:26" s="24" customFormat="1" hidden="1" outlineLevel="2" x14ac:dyDescent="0.25">
      <c r="A72" s="25"/>
      <c r="B72" s="11" t="str">
        <f>CONCATENATE("          ", "6005", " - ", "TEMPORARY WAGES-HOURLY")</f>
        <v xml:space="preserve">          6005 - TEMPORARY WAGES-HOURLY</v>
      </c>
      <c r="C72" s="11"/>
      <c r="D72" s="7"/>
      <c r="E72" s="2"/>
      <c r="F72" s="6">
        <f t="shared" si="22"/>
        <v>0</v>
      </c>
      <c r="G72" s="2"/>
      <c r="H72" s="7">
        <v>0</v>
      </c>
      <c r="I72" s="2"/>
      <c r="J72" s="6">
        <f t="shared" si="23"/>
        <v>0</v>
      </c>
      <c r="K72" s="2"/>
      <c r="L72" s="7">
        <f t="shared" si="24"/>
        <v>0</v>
      </c>
      <c r="M72" s="2"/>
      <c r="N72" s="6">
        <f t="shared" si="25"/>
        <v>0</v>
      </c>
      <c r="O72" s="11"/>
      <c r="P72" s="7"/>
      <c r="Q72" s="2"/>
      <c r="R72" s="6">
        <f t="shared" si="26"/>
        <v>0</v>
      </c>
      <c r="S72" s="2"/>
      <c r="T72" s="7">
        <v>0</v>
      </c>
      <c r="U72" s="2"/>
      <c r="V72" s="6">
        <f t="shared" si="27"/>
        <v>0</v>
      </c>
      <c r="W72" s="2"/>
      <c r="X72" s="7">
        <f t="shared" si="28"/>
        <v>0</v>
      </c>
      <c r="Y72" s="2"/>
      <c r="Z72" s="6">
        <f t="shared" si="29"/>
        <v>0</v>
      </c>
    </row>
    <row r="73" spans="1:26" s="24" customFormat="1" hidden="1" outlineLevel="2" x14ac:dyDescent="0.25">
      <c r="A73" s="25"/>
      <c r="B73" s="11" t="str">
        <f>CONCATENATE("          ", "6006", " - ", "TEMPORARY PART TIME")</f>
        <v xml:space="preserve">          6006 - TEMPORARY PART TIME</v>
      </c>
      <c r="C73" s="11"/>
      <c r="D73" s="7"/>
      <c r="E73" s="2"/>
      <c r="F73" s="6">
        <f t="shared" si="22"/>
        <v>0</v>
      </c>
      <c r="G73" s="2"/>
      <c r="H73" s="7">
        <v>0</v>
      </c>
      <c r="I73" s="2"/>
      <c r="J73" s="6">
        <f t="shared" si="23"/>
        <v>0</v>
      </c>
      <c r="K73" s="2"/>
      <c r="L73" s="7">
        <f t="shared" si="24"/>
        <v>0</v>
      </c>
      <c r="M73" s="2"/>
      <c r="N73" s="6">
        <f t="shared" si="25"/>
        <v>0</v>
      </c>
      <c r="O73" s="11"/>
      <c r="P73" s="7"/>
      <c r="Q73" s="2"/>
      <c r="R73" s="6">
        <f t="shared" si="26"/>
        <v>0</v>
      </c>
      <c r="S73" s="2"/>
      <c r="T73" s="7">
        <v>0</v>
      </c>
      <c r="U73" s="2"/>
      <c r="V73" s="6">
        <f t="shared" si="27"/>
        <v>0</v>
      </c>
      <c r="W73" s="2"/>
      <c r="X73" s="7">
        <f t="shared" si="28"/>
        <v>0</v>
      </c>
      <c r="Y73" s="2"/>
      <c r="Z73" s="6">
        <f t="shared" si="29"/>
        <v>0</v>
      </c>
    </row>
    <row r="74" spans="1:26" s="24" customFormat="1" hidden="1" outlineLevel="2" x14ac:dyDescent="0.25">
      <c r="A74" s="25"/>
      <c r="B74" s="11" t="str">
        <f>CONCATENATE("          ", "6007", " - ", "STUDENT HOURLY")</f>
        <v xml:space="preserve">          6007 - STUDENT HOURLY</v>
      </c>
      <c r="C74" s="11"/>
      <c r="D74" s="7">
        <v>5029.68</v>
      </c>
      <c r="E74" s="2"/>
      <c r="F74" s="6">
        <f t="shared" si="22"/>
        <v>5.8649209934385681E-2</v>
      </c>
      <c r="G74" s="2"/>
      <c r="H74" s="7">
        <v>0</v>
      </c>
      <c r="I74" s="2"/>
      <c r="J74" s="6">
        <f t="shared" si="23"/>
        <v>0</v>
      </c>
      <c r="K74" s="2"/>
      <c r="L74" s="7">
        <f t="shared" si="24"/>
        <v>5029.68</v>
      </c>
      <c r="M74" s="2"/>
      <c r="N74" s="6">
        <f t="shared" si="25"/>
        <v>0</v>
      </c>
      <c r="O74" s="11"/>
      <c r="P74" s="7">
        <v>32759.919999999998</v>
      </c>
      <c r="Q74" s="2"/>
      <c r="R74" s="6">
        <f t="shared" si="26"/>
        <v>9.8410081518652673E-2</v>
      </c>
      <c r="S74" s="2"/>
      <c r="T74" s="7">
        <v>9727.5</v>
      </c>
      <c r="U74" s="2"/>
      <c r="V74" s="6">
        <f t="shared" si="27"/>
        <v>2.6952030788071561E-2</v>
      </c>
      <c r="W74" s="2"/>
      <c r="X74" s="7">
        <f t="shared" si="28"/>
        <v>23032.42</v>
      </c>
      <c r="Y74" s="2"/>
      <c r="Z74" s="6">
        <f t="shared" si="29"/>
        <v>2.3677635569262399</v>
      </c>
    </row>
    <row r="75" spans="1:26" s="24" customFormat="1" hidden="1" outlineLevel="2" x14ac:dyDescent="0.25">
      <c r="A75" s="25"/>
      <c r="B75" s="11" t="str">
        <f>CONCATENATE("          ", "6008", " - ", "STUDENT HOURLY-FICA EXEMPT")</f>
        <v xml:space="preserve">          6008 - STUDENT HOURLY-FICA EXEMPT</v>
      </c>
      <c r="C75" s="11"/>
      <c r="D75" s="7"/>
      <c r="E75" s="2"/>
      <c r="F75" s="6">
        <f t="shared" si="22"/>
        <v>0</v>
      </c>
      <c r="G75" s="2"/>
      <c r="H75" s="7">
        <v>4886.37</v>
      </c>
      <c r="I75" s="2"/>
      <c r="J75" s="6">
        <f t="shared" si="23"/>
        <v>5.8135083043830006E-2</v>
      </c>
      <c r="K75" s="2"/>
      <c r="L75" s="7">
        <f t="shared" si="24"/>
        <v>-4886.37</v>
      </c>
      <c r="M75" s="2"/>
      <c r="N75" s="6">
        <f t="shared" si="25"/>
        <v>-1</v>
      </c>
      <c r="O75" s="11"/>
      <c r="P75" s="7"/>
      <c r="Q75" s="2"/>
      <c r="R75" s="6">
        <f t="shared" si="26"/>
        <v>0</v>
      </c>
      <c r="S75" s="2"/>
      <c r="T75" s="7">
        <v>22927.62</v>
      </c>
      <c r="U75" s="2"/>
      <c r="V75" s="6">
        <f t="shared" si="27"/>
        <v>6.3525666423768209E-2</v>
      </c>
      <c r="W75" s="2"/>
      <c r="X75" s="7">
        <f t="shared" si="28"/>
        <v>-22927.62</v>
      </c>
      <c r="Y75" s="2"/>
      <c r="Z75" s="6">
        <f t="shared" si="29"/>
        <v>-1</v>
      </c>
    </row>
    <row r="76" spans="1:26" s="24" customFormat="1" hidden="1" outlineLevel="2" x14ac:dyDescent="0.25">
      <c r="A76" s="25"/>
      <c r="B76" s="11" t="str">
        <f>CONCATENATE("          ", "6009", " - ", "TEMPORARY-SEASONAL")</f>
        <v xml:space="preserve">          6009 - TEMPORARY-SEASONAL</v>
      </c>
      <c r="C76" s="11"/>
      <c r="D76" s="7"/>
      <c r="E76" s="2"/>
      <c r="F76" s="6">
        <f t="shared" si="22"/>
        <v>0</v>
      </c>
      <c r="G76" s="2"/>
      <c r="H76" s="7">
        <v>0</v>
      </c>
      <c r="I76" s="2"/>
      <c r="J76" s="6">
        <f t="shared" si="23"/>
        <v>0</v>
      </c>
      <c r="K76" s="2"/>
      <c r="L76" s="7">
        <f t="shared" si="24"/>
        <v>0</v>
      </c>
      <c r="M76" s="2"/>
      <c r="N76" s="6">
        <f t="shared" si="25"/>
        <v>0</v>
      </c>
      <c r="O76" s="11"/>
      <c r="P76" s="7"/>
      <c r="Q76" s="2"/>
      <c r="R76" s="6">
        <f t="shared" si="26"/>
        <v>0</v>
      </c>
      <c r="S76" s="2"/>
      <c r="T76" s="7">
        <v>0</v>
      </c>
      <c r="U76" s="2"/>
      <c r="V76" s="6">
        <f t="shared" si="27"/>
        <v>0</v>
      </c>
      <c r="W76" s="2"/>
      <c r="X76" s="7">
        <f t="shared" si="28"/>
        <v>0</v>
      </c>
      <c r="Y76" s="2"/>
      <c r="Z76" s="6">
        <f t="shared" si="29"/>
        <v>0</v>
      </c>
    </row>
    <row r="77" spans="1:26" s="24" customFormat="1" hidden="1" outlineLevel="2" x14ac:dyDescent="0.25">
      <c r="A77" s="25"/>
      <c r="B77" s="11" t="str">
        <f>CONCATENATE("          ", "6010", " - ", "GRATUITY")</f>
        <v xml:space="preserve">          6010 - GRATUITY</v>
      </c>
      <c r="C77" s="11"/>
      <c r="D77" s="7"/>
      <c r="E77" s="2"/>
      <c r="F77" s="6">
        <f t="shared" si="22"/>
        <v>0</v>
      </c>
      <c r="G77" s="2"/>
      <c r="H77" s="7">
        <v>0</v>
      </c>
      <c r="I77" s="2"/>
      <c r="J77" s="6">
        <f t="shared" si="23"/>
        <v>0</v>
      </c>
      <c r="K77" s="2"/>
      <c r="L77" s="7">
        <f t="shared" si="24"/>
        <v>0</v>
      </c>
      <c r="M77" s="2"/>
      <c r="N77" s="6">
        <f t="shared" si="25"/>
        <v>0</v>
      </c>
      <c r="O77" s="11"/>
      <c r="P77" s="7"/>
      <c r="Q77" s="2"/>
      <c r="R77" s="6">
        <f t="shared" si="26"/>
        <v>0</v>
      </c>
      <c r="S77" s="2"/>
      <c r="T77" s="7">
        <v>0</v>
      </c>
      <c r="U77" s="2"/>
      <c r="V77" s="6">
        <f t="shared" si="27"/>
        <v>0</v>
      </c>
      <c r="W77" s="2"/>
      <c r="X77" s="7">
        <f t="shared" si="28"/>
        <v>0</v>
      </c>
      <c r="Y77" s="2"/>
      <c r="Z77" s="6">
        <f t="shared" si="29"/>
        <v>0</v>
      </c>
    </row>
    <row r="78" spans="1:26" s="27" customFormat="1" outlineLevel="1" collapsed="1" x14ac:dyDescent="0.25">
      <c r="A78" s="26"/>
      <c r="B78" s="13" t="str">
        <f>CONCATENATE("     ","Advertising/Promo                                 ")</f>
        <v xml:space="preserve">     Advertising/Promo                                 </v>
      </c>
      <c r="C78" s="13"/>
      <c r="D78" s="1">
        <f>SUM(OSRRefD22_2x_0)</f>
        <v>30.64</v>
      </c>
      <c r="E78" s="1"/>
      <c r="F78" s="5">
        <f t="shared" ref="F78:F82" si="30">IF(D$12=0,0,D78/D$12)</f>
        <v>3.5728153528446685E-4</v>
      </c>
      <c r="G78" s="1"/>
      <c r="H78" s="1">
        <f>SUM(OSRRefH22_2x_0)</f>
        <v>80</v>
      </c>
      <c r="I78" s="1"/>
      <c r="J78" s="5">
        <f t="shared" ref="J78:J82" si="31">IF(H$12=0,0,H78/H$12)</f>
        <v>9.5179174796554509E-4</v>
      </c>
      <c r="K78" s="1"/>
      <c r="L78" s="1">
        <f t="shared" ref="L78:L82" si="32">+D78-H78</f>
        <v>-49.36</v>
      </c>
      <c r="M78" s="1"/>
      <c r="N78" s="5">
        <f t="shared" ref="N78:N82" si="33">IF(H78=0,0,L78/H78)</f>
        <v>-0.61699999999999999</v>
      </c>
      <c r="O78" s="13"/>
      <c r="P78" s="1">
        <f>SUM(OSRRefP22_2x_0)</f>
        <v>1171.01</v>
      </c>
      <c r="Q78" s="1"/>
      <c r="R78" s="5">
        <f t="shared" ref="R78:R82" si="34">IF(P$12=0,0,P78/P$12)</f>
        <v>3.5176883691766486E-3</v>
      </c>
      <c r="S78" s="1"/>
      <c r="T78" s="1">
        <f>SUM(OSRRefT22_2x_0)</f>
        <v>560</v>
      </c>
      <c r="U78" s="1"/>
      <c r="V78" s="5">
        <f t="shared" ref="V78:V82" si="35">IF(T$12=0,0,T78/T$12)</f>
        <v>1.5515946791385324E-3</v>
      </c>
      <c r="W78" s="1"/>
      <c r="X78" s="1">
        <f t="shared" ref="X78:X82" si="36">+P78-T78</f>
        <v>611.01</v>
      </c>
      <c r="Y78" s="1"/>
      <c r="Z78" s="5">
        <f t="shared" ref="Z78:Z82" si="37">IF(T78=0,0,X78/T78)</f>
        <v>1.0910892857142858</v>
      </c>
    </row>
    <row r="79" spans="1:26" s="24" customFormat="1" hidden="1" outlineLevel="2" x14ac:dyDescent="0.25">
      <c r="A79" s="25"/>
      <c r="B79" s="11" t="str">
        <f>CONCATENATE("          ", "6362", " - ", "ADVERTISING EXPENSE")</f>
        <v xml:space="preserve">          6362 - ADVERTISING EXPENSE</v>
      </c>
      <c r="C79" s="11"/>
      <c r="D79" s="7">
        <v>30.64</v>
      </c>
      <c r="E79" s="2"/>
      <c r="F79" s="6">
        <f t="shared" si="30"/>
        <v>3.5728153528446685E-4</v>
      </c>
      <c r="G79" s="2"/>
      <c r="H79" s="7">
        <v>80</v>
      </c>
      <c r="I79" s="2"/>
      <c r="J79" s="6">
        <f t="shared" si="31"/>
        <v>9.5179174796554509E-4</v>
      </c>
      <c r="K79" s="2"/>
      <c r="L79" s="7">
        <f t="shared" si="32"/>
        <v>-49.36</v>
      </c>
      <c r="M79" s="2"/>
      <c r="N79" s="6">
        <f t="shared" si="33"/>
        <v>-0.61699999999999999</v>
      </c>
      <c r="O79" s="11"/>
      <c r="P79" s="7">
        <v>1171.01</v>
      </c>
      <c r="Q79" s="2"/>
      <c r="R79" s="6">
        <f t="shared" si="34"/>
        <v>3.5176883691766486E-3</v>
      </c>
      <c r="S79" s="2"/>
      <c r="T79" s="7">
        <v>560</v>
      </c>
      <c r="U79" s="2"/>
      <c r="V79" s="6">
        <f t="shared" si="35"/>
        <v>1.5515946791385324E-3</v>
      </c>
      <c r="W79" s="2"/>
      <c r="X79" s="7">
        <f t="shared" si="36"/>
        <v>611.01</v>
      </c>
      <c r="Y79" s="2"/>
      <c r="Z79" s="6">
        <f t="shared" si="37"/>
        <v>1.0910892857142858</v>
      </c>
    </row>
    <row r="80" spans="1:26" s="27" customFormat="1" outlineLevel="1" collapsed="1" x14ac:dyDescent="0.25">
      <c r="A80" s="26"/>
      <c r="B80" s="13" t="str">
        <f>CONCATENATE("     ","Discounts and Markdowns                           ")</f>
        <v xml:space="preserve">     Discounts and Markdowns                           </v>
      </c>
      <c r="C80" s="13"/>
      <c r="D80" s="1">
        <f>SUM(OSRRefD22_3x_0)</f>
        <v>1661.77</v>
      </c>
      <c r="E80" s="1"/>
      <c r="F80" s="5">
        <f t="shared" si="30"/>
        <v>1.9377276008148449E-2</v>
      </c>
      <c r="G80" s="1"/>
      <c r="H80" s="1">
        <f>SUM(OSRRefH22_3x_0)</f>
        <v>1250</v>
      </c>
      <c r="I80" s="1"/>
      <c r="J80" s="5">
        <f t="shared" si="31"/>
        <v>1.4871746061961642E-2</v>
      </c>
      <c r="K80" s="1"/>
      <c r="L80" s="1">
        <f t="shared" si="32"/>
        <v>411.77</v>
      </c>
      <c r="M80" s="1"/>
      <c r="N80" s="5">
        <f t="shared" si="33"/>
        <v>0.32941599999999999</v>
      </c>
      <c r="O80" s="13"/>
      <c r="P80" s="1">
        <f>SUM(OSRRefP22_3x_0)</f>
        <v>7499.1</v>
      </c>
      <c r="Q80" s="1"/>
      <c r="R80" s="5">
        <f t="shared" si="34"/>
        <v>2.2527132005100391E-2</v>
      </c>
      <c r="S80" s="1"/>
      <c r="T80" s="1">
        <f>SUM(OSRRefT22_3x_0)</f>
        <v>8750</v>
      </c>
      <c r="U80" s="1"/>
      <c r="V80" s="5">
        <f t="shared" si="35"/>
        <v>2.4243666861539569E-2</v>
      </c>
      <c r="W80" s="1"/>
      <c r="X80" s="1">
        <f t="shared" si="36"/>
        <v>-1250.8999999999996</v>
      </c>
      <c r="Y80" s="1"/>
      <c r="Z80" s="5">
        <f t="shared" si="37"/>
        <v>-0.14295999999999995</v>
      </c>
    </row>
    <row r="81" spans="1:26" s="24" customFormat="1" hidden="1" outlineLevel="2" x14ac:dyDescent="0.25">
      <c r="A81" s="25"/>
      <c r="B81" s="11" t="str">
        <f>CONCATENATE("          ", "6382", " - ", "DISCOUNTS/MARK DOWNS")</f>
        <v xml:space="preserve">          6382 - DISCOUNTS/MARK DOWNS</v>
      </c>
      <c r="C81" s="11"/>
      <c r="D81" s="7">
        <v>1695.6</v>
      </c>
      <c r="E81" s="2"/>
      <c r="F81" s="6">
        <f t="shared" si="30"/>
        <v>1.9771754935650847E-2</v>
      </c>
      <c r="G81" s="2"/>
      <c r="H81" s="7">
        <v>1250</v>
      </c>
      <c r="I81" s="2"/>
      <c r="J81" s="6">
        <f t="shared" si="31"/>
        <v>1.4871746061961642E-2</v>
      </c>
      <c r="K81" s="2"/>
      <c r="L81" s="7">
        <f t="shared" si="32"/>
        <v>445.59999999999991</v>
      </c>
      <c r="M81" s="2"/>
      <c r="N81" s="6">
        <f t="shared" si="33"/>
        <v>0.35647999999999991</v>
      </c>
      <c r="O81" s="11"/>
      <c r="P81" s="7">
        <v>7532.93</v>
      </c>
      <c r="Q81" s="2"/>
      <c r="R81" s="6">
        <f t="shared" si="34"/>
        <v>2.2628756583480802E-2</v>
      </c>
      <c r="S81" s="2"/>
      <c r="T81" s="7">
        <v>8750</v>
      </c>
      <c r="U81" s="2"/>
      <c r="V81" s="6">
        <f t="shared" si="35"/>
        <v>2.4243666861539569E-2</v>
      </c>
      <c r="W81" s="2"/>
      <c r="X81" s="7">
        <f t="shared" si="36"/>
        <v>-1217.0699999999997</v>
      </c>
      <c r="Y81" s="2"/>
      <c r="Z81" s="6">
        <f t="shared" si="37"/>
        <v>-0.13909371428571426</v>
      </c>
    </row>
    <row r="82" spans="1:26" s="24" customFormat="1" hidden="1" outlineLevel="2" x14ac:dyDescent="0.25">
      <c r="A82" s="25"/>
      <c r="B82" s="11" t="str">
        <f>CONCATENATE("          ", "9175", " - ", "EARNED DISCOUNTS")</f>
        <v xml:space="preserve">          9175 - EARNED DISCOUNTS</v>
      </c>
      <c r="C82" s="11"/>
      <c r="D82" s="7">
        <v>-33.83</v>
      </c>
      <c r="E82" s="2"/>
      <c r="F82" s="6">
        <f t="shared" si="30"/>
        <v>-3.9447892750239924E-4</v>
      </c>
      <c r="G82" s="2"/>
      <c r="H82" s="7"/>
      <c r="I82" s="2"/>
      <c r="J82" s="6">
        <f t="shared" si="31"/>
        <v>0</v>
      </c>
      <c r="K82" s="2"/>
      <c r="L82" s="7">
        <f t="shared" si="32"/>
        <v>-33.83</v>
      </c>
      <c r="M82" s="2"/>
      <c r="N82" s="6">
        <f t="shared" si="33"/>
        <v>0</v>
      </c>
      <c r="O82" s="11"/>
      <c r="P82" s="7">
        <v>-33.83</v>
      </c>
      <c r="Q82" s="2"/>
      <c r="R82" s="6">
        <f t="shared" si="34"/>
        <v>-1.0162457838041179E-4</v>
      </c>
      <c r="S82" s="2"/>
      <c r="T82" s="7"/>
      <c r="U82" s="2"/>
      <c r="V82" s="6">
        <f t="shared" si="35"/>
        <v>0</v>
      </c>
      <c r="W82" s="2"/>
      <c r="X82" s="7">
        <f t="shared" si="36"/>
        <v>-33.83</v>
      </c>
      <c r="Y82" s="2"/>
      <c r="Z82" s="6">
        <f t="shared" si="37"/>
        <v>0</v>
      </c>
    </row>
    <row r="83" spans="1:26" s="27" customFormat="1" outlineLevel="1" collapsed="1" x14ac:dyDescent="0.25">
      <c r="A83" s="26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SUM(OSRRefD22_4x_0)</f>
        <v>0</v>
      </c>
      <c r="E83" s="1"/>
      <c r="F83" s="5">
        <f t="shared" ref="F83:F94" si="38">IF(D$12=0,0,D83/D$12)</f>
        <v>0</v>
      </c>
      <c r="G83" s="1"/>
      <c r="H83" s="1">
        <f>SUM(OSRRefH22_4x_0)</f>
        <v>25</v>
      </c>
      <c r="I83" s="1"/>
      <c r="J83" s="5">
        <f t="shared" ref="J83:J94" si="39">IF(H$12=0,0,H83/H$12)</f>
        <v>2.9743492123923286E-4</v>
      </c>
      <c r="K83" s="1"/>
      <c r="L83" s="1">
        <f t="shared" ref="L83:L94" si="40">+D83-H83</f>
        <v>-25</v>
      </c>
      <c r="M83" s="1"/>
      <c r="N83" s="5">
        <f t="shared" ref="N83:N94" si="41">IF(H83=0,0,L83/H83)</f>
        <v>-1</v>
      </c>
      <c r="O83" s="13"/>
      <c r="P83" s="1">
        <f>SUM(OSRRefP22_4x_0)</f>
        <v>0</v>
      </c>
      <c r="Q83" s="1"/>
      <c r="R83" s="5">
        <f t="shared" ref="R83:R94" si="42">IF(P$12=0,0,P83/P$12)</f>
        <v>0</v>
      </c>
      <c r="S83" s="1"/>
      <c r="T83" s="1">
        <f>SUM(OSRRefT22_4x_0)</f>
        <v>175</v>
      </c>
      <c r="U83" s="1"/>
      <c r="V83" s="5">
        <f t="shared" ref="V83:V94" si="43">IF(T$12=0,0,T83/T$12)</f>
        <v>4.8487333723079139E-4</v>
      </c>
      <c r="W83" s="1"/>
      <c r="X83" s="1">
        <f t="shared" ref="X83:X94" si="44">+P83-T83</f>
        <v>-175</v>
      </c>
      <c r="Y83" s="1"/>
      <c r="Z83" s="5">
        <f t="shared" ref="Z83:Z94" si="45">IF(T83=0,0,X83/T83)</f>
        <v>-1</v>
      </c>
    </row>
    <row r="84" spans="1:26" s="24" customFormat="1" hidden="1" outlineLevel="2" x14ac:dyDescent="0.25">
      <c r="A84" s="25"/>
      <c r="B84" s="11" t="str">
        <f>CONCATENATE("          ", "6277", " - ", "EMPLOYEE APPRECIATION")</f>
        <v xml:space="preserve">          6277 - EMPLOYEE APPRECIATION</v>
      </c>
      <c r="C84" s="11"/>
      <c r="D84" s="7"/>
      <c r="E84" s="2"/>
      <c r="F84" s="6">
        <f t="shared" si="38"/>
        <v>0</v>
      </c>
      <c r="G84" s="2"/>
      <c r="H84" s="7">
        <v>25</v>
      </c>
      <c r="I84" s="2"/>
      <c r="J84" s="6">
        <f t="shared" si="39"/>
        <v>2.9743492123923286E-4</v>
      </c>
      <c r="K84" s="2"/>
      <c r="L84" s="7">
        <f t="shared" si="40"/>
        <v>-25</v>
      </c>
      <c r="M84" s="2"/>
      <c r="N84" s="6">
        <f t="shared" si="41"/>
        <v>-1</v>
      </c>
      <c r="O84" s="11"/>
      <c r="P84" s="7"/>
      <c r="Q84" s="2"/>
      <c r="R84" s="6">
        <f t="shared" si="42"/>
        <v>0</v>
      </c>
      <c r="S84" s="2"/>
      <c r="T84" s="7">
        <v>175</v>
      </c>
      <c r="U84" s="2"/>
      <c r="V84" s="6">
        <f t="shared" si="43"/>
        <v>4.8487333723079139E-4</v>
      </c>
      <c r="W84" s="2"/>
      <c r="X84" s="7">
        <f t="shared" si="44"/>
        <v>-175</v>
      </c>
      <c r="Y84" s="2"/>
      <c r="Z84" s="6">
        <f t="shared" si="45"/>
        <v>-1</v>
      </c>
    </row>
    <row r="85" spans="1:26" s="27" customFormat="1" outlineLevel="1" collapsed="1" x14ac:dyDescent="0.25">
      <c r="A85" s="26"/>
      <c r="B85" s="13" t="str">
        <f>CONCATENATE("     ","Freight out/Postage                               ")</f>
        <v xml:space="preserve">     Freight out/Postage                               </v>
      </c>
      <c r="C85" s="13"/>
      <c r="D85" s="1">
        <f>SUM(OSRRefD22_5x_0)</f>
        <v>0</v>
      </c>
      <c r="E85" s="1"/>
      <c r="F85" s="5">
        <f t="shared" si="38"/>
        <v>0</v>
      </c>
      <c r="G85" s="1"/>
      <c r="H85" s="1">
        <f>SUM(OSRRefH22_5x_0)</f>
        <v>0</v>
      </c>
      <c r="I85" s="1"/>
      <c r="J85" s="5">
        <f t="shared" si="39"/>
        <v>0</v>
      </c>
      <c r="K85" s="1"/>
      <c r="L85" s="1">
        <f t="shared" si="40"/>
        <v>0</v>
      </c>
      <c r="M85" s="1"/>
      <c r="N85" s="5">
        <f t="shared" si="41"/>
        <v>0</v>
      </c>
      <c r="O85" s="13"/>
      <c r="P85" s="1">
        <f>SUM(OSRRefP22_5x_0)</f>
        <v>15.81</v>
      </c>
      <c r="Q85" s="1"/>
      <c r="R85" s="5">
        <f t="shared" si="42"/>
        <v>4.7492893413961293E-5</v>
      </c>
      <c r="S85" s="1"/>
      <c r="T85" s="1">
        <f>SUM(OSRRefT22_5x_0)</f>
        <v>0</v>
      </c>
      <c r="U85" s="1"/>
      <c r="V85" s="5">
        <f t="shared" si="43"/>
        <v>0</v>
      </c>
      <c r="W85" s="1"/>
      <c r="X85" s="1">
        <f t="shared" si="44"/>
        <v>15.81</v>
      </c>
      <c r="Y85" s="1"/>
      <c r="Z85" s="5">
        <f t="shared" si="45"/>
        <v>0</v>
      </c>
    </row>
    <row r="86" spans="1:26" s="24" customFormat="1" hidden="1" outlineLevel="2" x14ac:dyDescent="0.25">
      <c r="A86" s="25"/>
      <c r="B86" s="11" t="str">
        <f>CONCATENATE("          ", "6305", " - ", "FREIGHT OUT")</f>
        <v xml:space="preserve">          6305 - FREIGHT OUT</v>
      </c>
      <c r="C86" s="11"/>
      <c r="D86" s="7"/>
      <c r="E86" s="2"/>
      <c r="F86" s="6">
        <f t="shared" si="38"/>
        <v>0</v>
      </c>
      <c r="G86" s="2"/>
      <c r="H86" s="7"/>
      <c r="I86" s="2"/>
      <c r="J86" s="6">
        <f t="shared" si="39"/>
        <v>0</v>
      </c>
      <c r="K86" s="2"/>
      <c r="L86" s="7">
        <f t="shared" si="40"/>
        <v>0</v>
      </c>
      <c r="M86" s="2"/>
      <c r="N86" s="6">
        <f t="shared" si="41"/>
        <v>0</v>
      </c>
      <c r="O86" s="11"/>
      <c r="P86" s="7">
        <v>15.81</v>
      </c>
      <c r="Q86" s="2"/>
      <c r="R86" s="6">
        <f t="shared" si="42"/>
        <v>4.7492893413961293E-5</v>
      </c>
      <c r="S86" s="2"/>
      <c r="T86" s="7"/>
      <c r="U86" s="2"/>
      <c r="V86" s="6">
        <f t="shared" si="43"/>
        <v>0</v>
      </c>
      <c r="W86" s="2"/>
      <c r="X86" s="7">
        <f t="shared" si="44"/>
        <v>15.81</v>
      </c>
      <c r="Y86" s="2"/>
      <c r="Z86" s="6">
        <f t="shared" si="45"/>
        <v>0</v>
      </c>
    </row>
    <row r="87" spans="1:26" s="27" customFormat="1" outlineLevel="1" collapsed="1" x14ac:dyDescent="0.25">
      <c r="A87" s="26"/>
      <c r="B87" s="13" t="str">
        <f>CONCATENATE("     ","General                                           ")</f>
        <v xml:space="preserve">     General                                           </v>
      </c>
      <c r="C87" s="13"/>
      <c r="D87" s="1">
        <f>SUM(OSRRefD22_6x_0)</f>
        <v>0</v>
      </c>
      <c r="E87" s="1"/>
      <c r="F87" s="5">
        <f t="shared" si="38"/>
        <v>0</v>
      </c>
      <c r="G87" s="1"/>
      <c r="H87" s="1">
        <f>SUM(OSRRefH22_6x_0)</f>
        <v>0</v>
      </c>
      <c r="I87" s="1"/>
      <c r="J87" s="5">
        <f t="shared" si="39"/>
        <v>0</v>
      </c>
      <c r="K87" s="1"/>
      <c r="L87" s="1">
        <f t="shared" si="40"/>
        <v>0</v>
      </c>
      <c r="M87" s="1"/>
      <c r="N87" s="5">
        <f t="shared" si="41"/>
        <v>0</v>
      </c>
      <c r="O87" s="13"/>
      <c r="P87" s="1">
        <f>SUM(OSRRefP22_6x_0)</f>
        <v>0</v>
      </c>
      <c r="Q87" s="1"/>
      <c r="R87" s="5">
        <f t="shared" si="42"/>
        <v>0</v>
      </c>
      <c r="S87" s="1"/>
      <c r="T87" s="1">
        <f>SUM(OSRRefT22_6x_0)</f>
        <v>0</v>
      </c>
      <c r="U87" s="1"/>
      <c r="V87" s="5">
        <f t="shared" si="43"/>
        <v>0</v>
      </c>
      <c r="W87" s="1"/>
      <c r="X87" s="1">
        <f t="shared" si="44"/>
        <v>0</v>
      </c>
      <c r="Y87" s="1"/>
      <c r="Z87" s="5">
        <f t="shared" si="45"/>
        <v>0</v>
      </c>
    </row>
    <row r="88" spans="1:26" s="24" customFormat="1" hidden="1" outlineLevel="2" x14ac:dyDescent="0.25">
      <c r="A88" s="25"/>
      <c r="B88" s="11" t="str">
        <f>CONCATENATE("          ", "6279", " - ", "GENERAL EXPENSE")</f>
        <v xml:space="preserve">          6279 - GENERAL EXPENSE</v>
      </c>
      <c r="C88" s="11"/>
      <c r="D88" s="7"/>
      <c r="E88" s="2"/>
      <c r="F88" s="6">
        <f t="shared" si="38"/>
        <v>0</v>
      </c>
      <c r="G88" s="2"/>
      <c r="H88" s="7">
        <v>0</v>
      </c>
      <c r="I88" s="2"/>
      <c r="J88" s="6">
        <f t="shared" si="39"/>
        <v>0</v>
      </c>
      <c r="K88" s="2"/>
      <c r="L88" s="7">
        <f t="shared" si="40"/>
        <v>0</v>
      </c>
      <c r="M88" s="2"/>
      <c r="N88" s="6">
        <f t="shared" si="41"/>
        <v>0</v>
      </c>
      <c r="O88" s="11"/>
      <c r="P88" s="7"/>
      <c r="Q88" s="2"/>
      <c r="R88" s="6">
        <f t="shared" si="42"/>
        <v>0</v>
      </c>
      <c r="S88" s="2"/>
      <c r="T88" s="7">
        <v>0</v>
      </c>
      <c r="U88" s="2"/>
      <c r="V88" s="6">
        <f t="shared" si="43"/>
        <v>0</v>
      </c>
      <c r="W88" s="2"/>
      <c r="X88" s="7">
        <f t="shared" si="44"/>
        <v>0</v>
      </c>
      <c r="Y88" s="2"/>
      <c r="Z88" s="6">
        <f t="shared" si="45"/>
        <v>0</v>
      </c>
    </row>
    <row r="89" spans="1:26" s="27" customFormat="1" outlineLevel="1" collapsed="1" x14ac:dyDescent="0.25">
      <c r="A89" s="26"/>
      <c r="B89" s="13" t="str">
        <f>CONCATENATE("     ","Subscriptions &amp; Dues                              ")</f>
        <v xml:space="preserve">     Subscriptions &amp; Dues                              </v>
      </c>
      <c r="C89" s="13"/>
      <c r="D89" s="1">
        <f>SUM(OSRRefD22_7x_0)</f>
        <v>0</v>
      </c>
      <c r="E89" s="1"/>
      <c r="F89" s="5">
        <f t="shared" si="38"/>
        <v>0</v>
      </c>
      <c r="G89" s="1"/>
      <c r="H89" s="1">
        <f>SUM(OSRRefH22_7x_0)</f>
        <v>0</v>
      </c>
      <c r="I89" s="1"/>
      <c r="J89" s="5">
        <f t="shared" si="39"/>
        <v>0</v>
      </c>
      <c r="K89" s="1"/>
      <c r="L89" s="1">
        <f t="shared" si="40"/>
        <v>0</v>
      </c>
      <c r="M89" s="1"/>
      <c r="N89" s="5">
        <f t="shared" si="41"/>
        <v>0</v>
      </c>
      <c r="O89" s="13"/>
      <c r="P89" s="1">
        <f>SUM(OSRRefP22_7x_0)</f>
        <v>120</v>
      </c>
      <c r="Q89" s="1"/>
      <c r="R89" s="5">
        <f t="shared" si="42"/>
        <v>3.6047736936593015E-4</v>
      </c>
      <c r="S89" s="1"/>
      <c r="T89" s="1">
        <f>SUM(OSRRefT22_7x_0)</f>
        <v>0</v>
      </c>
      <c r="U89" s="1"/>
      <c r="V89" s="5">
        <f t="shared" si="43"/>
        <v>0</v>
      </c>
      <c r="W89" s="1"/>
      <c r="X89" s="1">
        <f t="shared" si="44"/>
        <v>120</v>
      </c>
      <c r="Y89" s="1"/>
      <c r="Z89" s="5">
        <f t="shared" si="45"/>
        <v>0</v>
      </c>
    </row>
    <row r="90" spans="1:26" s="24" customFormat="1" hidden="1" outlineLevel="2" x14ac:dyDescent="0.25">
      <c r="A90" s="25"/>
      <c r="B90" s="11" t="str">
        <f>CONCATENATE("          ", "6258", " - ", "MEMBERSHIP DUES")</f>
        <v xml:space="preserve">          6258 - MEMBERSHIP DUES</v>
      </c>
      <c r="C90" s="11"/>
      <c r="D90" s="7"/>
      <c r="E90" s="2"/>
      <c r="F90" s="6">
        <f t="shared" si="38"/>
        <v>0</v>
      </c>
      <c r="G90" s="2"/>
      <c r="H90" s="7"/>
      <c r="I90" s="2"/>
      <c r="J90" s="6">
        <f t="shared" si="39"/>
        <v>0</v>
      </c>
      <c r="K90" s="2"/>
      <c r="L90" s="7">
        <f t="shared" si="40"/>
        <v>0</v>
      </c>
      <c r="M90" s="2"/>
      <c r="N90" s="6">
        <f t="shared" si="41"/>
        <v>0</v>
      </c>
      <c r="O90" s="11"/>
      <c r="P90" s="7">
        <v>120</v>
      </c>
      <c r="Q90" s="2"/>
      <c r="R90" s="6">
        <f t="shared" si="42"/>
        <v>3.6047736936593015E-4</v>
      </c>
      <c r="S90" s="2"/>
      <c r="T90" s="7"/>
      <c r="U90" s="2"/>
      <c r="V90" s="6">
        <f t="shared" si="43"/>
        <v>0</v>
      </c>
      <c r="W90" s="2"/>
      <c r="X90" s="7">
        <f t="shared" si="44"/>
        <v>120</v>
      </c>
      <c r="Y90" s="2"/>
      <c r="Z90" s="6">
        <f t="shared" si="45"/>
        <v>0</v>
      </c>
    </row>
    <row r="91" spans="1:26" s="27" customFormat="1" outlineLevel="1" collapsed="1" x14ac:dyDescent="0.25">
      <c r="A91" s="26"/>
      <c r="B91" s="13" t="str">
        <f>CONCATENATE("     ","Supplies                                          ")</f>
        <v xml:space="preserve">     Supplies                                          </v>
      </c>
      <c r="C91" s="13"/>
      <c r="D91" s="1">
        <f>SUM(OSRRefD22_8x_0)</f>
        <v>4.4000000000000004</v>
      </c>
      <c r="E91" s="1"/>
      <c r="F91" s="5">
        <f t="shared" si="38"/>
        <v>5.1306747886803336E-5</v>
      </c>
      <c r="G91" s="1"/>
      <c r="H91" s="1">
        <f>SUM(OSRRefH22_8x_0)</f>
        <v>75</v>
      </c>
      <c r="I91" s="1"/>
      <c r="J91" s="5">
        <f t="shared" si="39"/>
        <v>8.9230476371769858E-4</v>
      </c>
      <c r="K91" s="1"/>
      <c r="L91" s="1">
        <f t="shared" si="40"/>
        <v>-70.599999999999994</v>
      </c>
      <c r="M91" s="1"/>
      <c r="N91" s="5">
        <f t="shared" si="41"/>
        <v>-0.94133333333333324</v>
      </c>
      <c r="O91" s="13"/>
      <c r="P91" s="1">
        <f>SUM(OSRRefP22_8x_0)</f>
        <v>246.24</v>
      </c>
      <c r="Q91" s="1"/>
      <c r="R91" s="5">
        <f t="shared" si="42"/>
        <v>7.3969956193888867E-4</v>
      </c>
      <c r="S91" s="1"/>
      <c r="T91" s="1">
        <f>SUM(OSRRefT22_8x_0)</f>
        <v>525</v>
      </c>
      <c r="U91" s="1"/>
      <c r="V91" s="5">
        <f t="shared" si="43"/>
        <v>1.4546200116923743E-3</v>
      </c>
      <c r="W91" s="1"/>
      <c r="X91" s="1">
        <f t="shared" si="44"/>
        <v>-278.76</v>
      </c>
      <c r="Y91" s="1"/>
      <c r="Z91" s="5">
        <f t="shared" si="45"/>
        <v>-0.53097142857142854</v>
      </c>
    </row>
    <row r="92" spans="1:26" s="24" customFormat="1" hidden="1" outlineLevel="2" x14ac:dyDescent="0.25">
      <c r="A92" s="25"/>
      <c r="B92" s="11" t="str">
        <f>CONCATENATE("          ", "6241", " - ", "OFFICE EXPENSE")</f>
        <v xml:space="preserve">          6241 - OFFICE EXPENSE</v>
      </c>
      <c r="C92" s="11"/>
      <c r="D92" s="7">
        <v>4.4000000000000004</v>
      </c>
      <c r="E92" s="2"/>
      <c r="F92" s="6">
        <f t="shared" si="38"/>
        <v>5.1306747886803336E-5</v>
      </c>
      <c r="G92" s="2"/>
      <c r="H92" s="7">
        <v>75</v>
      </c>
      <c r="I92" s="2"/>
      <c r="J92" s="6">
        <f t="shared" si="39"/>
        <v>8.9230476371769858E-4</v>
      </c>
      <c r="K92" s="2"/>
      <c r="L92" s="7">
        <f t="shared" si="40"/>
        <v>-70.599999999999994</v>
      </c>
      <c r="M92" s="2"/>
      <c r="N92" s="6">
        <f t="shared" si="41"/>
        <v>-0.94133333333333324</v>
      </c>
      <c r="O92" s="11"/>
      <c r="P92" s="7">
        <v>246.24</v>
      </c>
      <c r="Q92" s="2"/>
      <c r="R92" s="6">
        <f t="shared" si="42"/>
        <v>7.3969956193888867E-4</v>
      </c>
      <c r="S92" s="2"/>
      <c r="T92" s="7">
        <v>525</v>
      </c>
      <c r="U92" s="2"/>
      <c r="V92" s="6">
        <f t="shared" si="43"/>
        <v>1.4546200116923743E-3</v>
      </c>
      <c r="W92" s="2"/>
      <c r="X92" s="7">
        <f t="shared" si="44"/>
        <v>-278.76</v>
      </c>
      <c r="Y92" s="2"/>
      <c r="Z92" s="6">
        <f t="shared" si="45"/>
        <v>-0.53097142857142854</v>
      </c>
    </row>
    <row r="93" spans="1:26" s="27" customFormat="1" outlineLevel="1" collapsed="1" x14ac:dyDescent="0.25">
      <c r="A93" s="26"/>
      <c r="B93" s="13" t="str">
        <f>CONCATENATE("     ","Travel                                            ")</f>
        <v xml:space="preserve">     Travel                                            </v>
      </c>
      <c r="C93" s="13"/>
      <c r="D93" s="1">
        <f>SUM(OSRRefD22_9x_0)</f>
        <v>0</v>
      </c>
      <c r="E93" s="1"/>
      <c r="F93" s="5">
        <f t="shared" si="38"/>
        <v>0</v>
      </c>
      <c r="G93" s="1"/>
      <c r="H93" s="1">
        <f>SUM(OSRRefH22_9x_0)</f>
        <v>0</v>
      </c>
      <c r="I93" s="1"/>
      <c r="J93" s="5">
        <f t="shared" si="39"/>
        <v>0</v>
      </c>
      <c r="K93" s="1"/>
      <c r="L93" s="1">
        <f t="shared" si="40"/>
        <v>0</v>
      </c>
      <c r="M93" s="1"/>
      <c r="N93" s="5">
        <f t="shared" si="41"/>
        <v>0</v>
      </c>
      <c r="O93" s="13"/>
      <c r="P93" s="1">
        <f>SUM(OSRRefP22_9x_0)</f>
        <v>-323.01</v>
      </c>
      <c r="Q93" s="1"/>
      <c r="R93" s="5">
        <f t="shared" si="42"/>
        <v>-9.703149589907424E-4</v>
      </c>
      <c r="S93" s="1"/>
      <c r="T93" s="1">
        <f>SUM(OSRRefT22_9x_0)</f>
        <v>0</v>
      </c>
      <c r="U93" s="1"/>
      <c r="V93" s="5">
        <f t="shared" si="43"/>
        <v>0</v>
      </c>
      <c r="W93" s="1"/>
      <c r="X93" s="1">
        <f t="shared" si="44"/>
        <v>-323.01</v>
      </c>
      <c r="Y93" s="1"/>
      <c r="Z93" s="5">
        <f t="shared" si="45"/>
        <v>0</v>
      </c>
    </row>
    <row r="94" spans="1:26" s="24" customFormat="1" hidden="1" outlineLevel="2" x14ac:dyDescent="0.25">
      <c r="A94" s="25"/>
      <c r="B94" s="11" t="str">
        <f>CONCATENATE("          ", "6292", " - ", "TRAVEL/CONFERENCE")</f>
        <v xml:space="preserve">          6292 - TRAVEL/CONFERENCE</v>
      </c>
      <c r="C94" s="11"/>
      <c r="D94" s="7"/>
      <c r="E94" s="2"/>
      <c r="F94" s="6">
        <f t="shared" si="38"/>
        <v>0</v>
      </c>
      <c r="G94" s="2"/>
      <c r="H94" s="7"/>
      <c r="I94" s="2"/>
      <c r="J94" s="6">
        <f t="shared" si="39"/>
        <v>0</v>
      </c>
      <c r="K94" s="2"/>
      <c r="L94" s="7">
        <f t="shared" si="40"/>
        <v>0</v>
      </c>
      <c r="M94" s="2"/>
      <c r="N94" s="6">
        <f t="shared" si="41"/>
        <v>0</v>
      </c>
      <c r="O94" s="11"/>
      <c r="P94" s="7">
        <v>-323.01</v>
      </c>
      <c r="Q94" s="2"/>
      <c r="R94" s="6">
        <f t="shared" si="42"/>
        <v>-9.703149589907424E-4</v>
      </c>
      <c r="S94" s="2"/>
      <c r="T94" s="7"/>
      <c r="U94" s="2"/>
      <c r="V94" s="6">
        <f t="shared" si="43"/>
        <v>0</v>
      </c>
      <c r="W94" s="2"/>
      <c r="X94" s="7">
        <f t="shared" si="44"/>
        <v>-323.01</v>
      </c>
      <c r="Y94" s="2"/>
      <c r="Z94" s="6">
        <f t="shared" si="45"/>
        <v>0</v>
      </c>
    </row>
    <row r="95" spans="1:26" s="53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x14ac:dyDescent="0.25">
      <c r="A96" s="10"/>
      <c r="B96" s="28" t="s">
        <v>0</v>
      </c>
      <c r="C96" s="10"/>
      <c r="D96" s="4">
        <f>SUM(0)</f>
        <v>0</v>
      </c>
      <c r="E96" s="4"/>
      <c r="F96" s="12">
        <f>IF(D$12=0,0,D96/D$12)</f>
        <v>0</v>
      </c>
      <c r="G96" s="4"/>
      <c r="H96" s="4">
        <f>SUM(0)</f>
        <v>0</v>
      </c>
      <c r="I96" s="4"/>
      <c r="J96" s="12">
        <f>IF(H$12=0,0,H96/H$12)</f>
        <v>0</v>
      </c>
      <c r="K96" s="4"/>
      <c r="L96" s="4">
        <f>+D96-H96</f>
        <v>0</v>
      </c>
      <c r="M96" s="4"/>
      <c r="N96" s="12">
        <f>IF(H96=0,0,L96/H96)</f>
        <v>0</v>
      </c>
      <c r="O96" s="10"/>
      <c r="P96" s="4">
        <f>SUM(0)</f>
        <v>0</v>
      </c>
      <c r="Q96" s="4"/>
      <c r="R96" s="12">
        <f>IF(P$12=0,0,P96/P$12)</f>
        <v>0</v>
      </c>
      <c r="S96" s="4"/>
      <c r="T96" s="4">
        <f>SUM(0)</f>
        <v>0</v>
      </c>
      <c r="U96" s="4"/>
      <c r="V96" s="12">
        <f>IF(T$12=0,0,T96/T$12)</f>
        <v>0</v>
      </c>
      <c r="W96" s="4"/>
      <c r="X96" s="4">
        <f>+P96-T96</f>
        <v>0</v>
      </c>
      <c r="Y96" s="4"/>
      <c r="Z96" s="12">
        <f>IF(T96=0,0,X96/T96)</f>
        <v>0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9" t="s">
        <v>3</v>
      </c>
      <c r="C98" s="29"/>
      <c r="D98" s="21">
        <f>+D54-D56+D96</f>
        <v>29737.23999999998</v>
      </c>
      <c r="E98" s="14"/>
      <c r="F98" s="20">
        <f>IF(D$12=0,0,D98/D$12)</f>
        <v>0.34675478989303693</v>
      </c>
      <c r="G98" s="14"/>
      <c r="H98" s="21">
        <f>+H54-H56+H96</f>
        <v>30550.764201069233</v>
      </c>
      <c r="I98" s="14"/>
      <c r="J98" s="20">
        <f>IF(H$12=0,0,H98/H$12)</f>
        <v>0.36347456575773607</v>
      </c>
      <c r="K98" s="16"/>
      <c r="L98" s="21">
        <f>+D98-H98</f>
        <v>-813.52420106925274</v>
      </c>
      <c r="M98" s="16"/>
      <c r="N98" s="20">
        <f>IF(H98=0,0,L98/H98)</f>
        <v>-2.6628603975830514E-2</v>
      </c>
      <c r="O98" s="28"/>
      <c r="P98" s="21">
        <f>+P54-P56+P96</f>
        <v>101884.93000000004</v>
      </c>
      <c r="Q98" s="14"/>
      <c r="R98" s="20">
        <f>IF(P$12=0,0,P98/P$12)</f>
        <v>0.30606009620359959</v>
      </c>
      <c r="S98" s="14"/>
      <c r="T98" s="21">
        <f>+T54-T56+T96</f>
        <v>105959.26229002925</v>
      </c>
      <c r="U98" s="14"/>
      <c r="V98" s="20">
        <f>IF(T$12=0,0,T98/T$12)</f>
        <v>0.29358183495473844</v>
      </c>
      <c r="W98" s="16"/>
      <c r="X98" s="21">
        <f>+P98-T98</f>
        <v>-4074.3322900292114</v>
      </c>
      <c r="Y98" s="16"/>
      <c r="Z98" s="20">
        <f>IF(T98=0,0,X98/T98)</f>
        <v>-3.845187482409082E-2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2"/>
      <c r="B100" s="10" t="s">
        <v>14</v>
      </c>
      <c r="C100" s="10"/>
      <c r="D100" s="4">
        <v>8023.62</v>
      </c>
      <c r="E100" s="4"/>
      <c r="F100" s="12">
        <f>IF(D$12=0,0,D100/D$12)</f>
        <v>9.3560420108980219E-2</v>
      </c>
      <c r="G100" s="4"/>
      <c r="H100" s="4">
        <v>8773</v>
      </c>
      <c r="I100" s="4"/>
      <c r="J100" s="12">
        <f>IF(H$12=0,0,H100/H$12)</f>
        <v>0.1043758625612716</v>
      </c>
      <c r="K100" s="4"/>
      <c r="L100" s="4">
        <f>+D100-H100</f>
        <v>-749.38000000000011</v>
      </c>
      <c r="M100" s="4"/>
      <c r="N100" s="12">
        <f>IF(H100=0,0,L100/H100)</f>
        <v>-8.5418898894334905E-2</v>
      </c>
      <c r="O100" s="10"/>
      <c r="P100" s="4">
        <v>34715.910000000003</v>
      </c>
      <c r="Q100" s="4"/>
      <c r="R100" s="12">
        <f>IF(P$12=0,0,P100/P$12)</f>
        <v>0.10428583259953657</v>
      </c>
      <c r="S100" s="4"/>
      <c r="T100" s="4">
        <v>44436</v>
      </c>
      <c r="U100" s="4"/>
      <c r="V100" s="12">
        <f>IF(T$12=0,0,T100/T$12)</f>
        <v>0.12311903778964255</v>
      </c>
      <c r="W100" s="4"/>
      <c r="X100" s="4">
        <f>+P100-T100</f>
        <v>-9720.0899999999965</v>
      </c>
      <c r="Y100" s="4"/>
      <c r="Z100" s="12">
        <f>IF(T100=0,0,X100/T100)</f>
        <v>-0.2187435862813934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9" t="s">
        <v>4</v>
      </c>
      <c r="C102" s="29"/>
      <c r="D102" s="34">
        <f>+D98-D100</f>
        <v>21713.619999999981</v>
      </c>
      <c r="E102" s="14"/>
      <c r="F102" s="32">
        <f>IF(D$12=0,0,D102/D$12)</f>
        <v>0.25319436978405674</v>
      </c>
      <c r="G102" s="14"/>
      <c r="H102" s="34">
        <f>+H98-H100</f>
        <v>21777.764201069233</v>
      </c>
      <c r="I102" s="14"/>
      <c r="J102" s="32">
        <f>IF(H$12=0,0,H102/H$12)</f>
        <v>0.2590987031964645</v>
      </c>
      <c r="K102" s="16"/>
      <c r="L102" s="34">
        <f>D102-H102</f>
        <v>-64.144201069251721</v>
      </c>
      <c r="M102" s="16"/>
      <c r="N102" s="32">
        <f>IF(H102=0,0,L102/H102)</f>
        <v>-2.9453988240951937E-3</v>
      </c>
      <c r="O102" s="28"/>
      <c r="P102" s="34">
        <f>+P98-P100</f>
        <v>67169.020000000033</v>
      </c>
      <c r="Q102" s="14"/>
      <c r="R102" s="32">
        <f>IF(P$12=0,0,P102/P$12)</f>
        <v>0.201774263604063</v>
      </c>
      <c r="S102" s="14"/>
      <c r="T102" s="34">
        <f>+T98-T100</f>
        <v>61523.262290029248</v>
      </c>
      <c r="U102" s="14"/>
      <c r="V102" s="32">
        <f>IF(T$12=0,0,T102/T$12)</f>
        <v>0.17046279716509591</v>
      </c>
      <c r="W102" s="16"/>
      <c r="X102" s="34">
        <f>P102-T102</f>
        <v>5645.7577099707851</v>
      </c>
      <c r="Y102" s="16"/>
      <c r="Z102" s="32">
        <f>IF(T102=0,0,X102/T102)</f>
        <v>9.1766227924583957E-2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9" t="s">
        <v>5</v>
      </c>
      <c r="C105" s="29"/>
      <c r="D105" s="31">
        <f>SUM(D102:D104)</f>
        <v>21713.619999999981</v>
      </c>
      <c r="E105" s="14"/>
      <c r="F105" s="30">
        <f>IF(D$12=0,0,D105/D$12)</f>
        <v>0.25319436978405674</v>
      </c>
      <c r="G105" s="14"/>
      <c r="H105" s="31">
        <f>SUM(H102:H104)</f>
        <v>21777.764201069233</v>
      </c>
      <c r="I105" s="14"/>
      <c r="J105" s="30">
        <f>IF(H$12=0,0,H105/H$12)</f>
        <v>0.2590987031964645</v>
      </c>
      <c r="K105" s="16"/>
      <c r="L105" s="31">
        <f>+D105-H105</f>
        <v>-64.144201069251721</v>
      </c>
      <c r="M105" s="16"/>
      <c r="N105" s="30">
        <f>IF(H105=0,0,L105/H105)</f>
        <v>-2.9453988240951937E-3</v>
      </c>
      <c r="O105" s="28"/>
      <c r="P105" s="31">
        <f>SUM(P102:P104)</f>
        <v>67169.020000000033</v>
      </c>
      <c r="Q105" s="14"/>
      <c r="R105" s="30">
        <f>IF(P$12=0,0,P105/P$12)</f>
        <v>0.201774263604063</v>
      </c>
      <c r="S105" s="14"/>
      <c r="T105" s="31">
        <f>SUM(T102:T104)</f>
        <v>61523.262290029248</v>
      </c>
      <c r="U105" s="14"/>
      <c r="V105" s="30">
        <f>IF(T$12=0,0,T105/T$12)</f>
        <v>0.17046279716509591</v>
      </c>
      <c r="W105" s="16"/>
      <c r="X105" s="31">
        <f>+P105-T105</f>
        <v>5645.7577099707851</v>
      </c>
      <c r="Y105" s="16"/>
      <c r="Z105" s="30">
        <f>IF(T105=0,0,X105/T105)</f>
        <v>9.1766227924583957E-2</v>
      </c>
    </row>
    <row r="106" spans="1:26" ht="15.75" thickTop="1" x14ac:dyDescent="0.25">
      <c r="A106" s="9"/>
      <c r="C106" s="9"/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63">
        <v>43879.54622271991</v>
      </c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57" t="s">
        <v>314</v>
      </c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60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303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1673067.7800000003</v>
      </c>
      <c r="E12" s="4"/>
      <c r="F12" s="12"/>
      <c r="G12" s="4"/>
      <c r="H12" s="4">
        <f>SUM(OSRRefH13x_0)</f>
        <v>1953000.0000000002</v>
      </c>
      <c r="I12" s="4"/>
      <c r="J12" s="12"/>
      <c r="K12" s="4"/>
      <c r="L12" s="4">
        <f t="shared" ref="L12:L40" si="0">+D12-H12</f>
        <v>-279932.21999999997</v>
      </c>
      <c r="M12" s="4"/>
      <c r="N12" s="12">
        <f t="shared" ref="N12:N40" si="1">IF(H12=0,0,L12/H12)</f>
        <v>-0.14333447004608291</v>
      </c>
      <c r="O12" s="10"/>
      <c r="P12" s="4">
        <f>SUM(OSRRefP13x_0)</f>
        <v>4613321.6999999983</v>
      </c>
      <c r="Q12" s="4"/>
      <c r="R12" s="12"/>
      <c r="S12" s="4"/>
      <c r="T12" s="4">
        <f>SUM(OSRRefT13x_0)</f>
        <v>5133446</v>
      </c>
      <c r="U12" s="4"/>
      <c r="V12" s="12"/>
      <c r="W12" s="4"/>
      <c r="X12" s="4">
        <f t="shared" ref="X12:X40" si="2">+P12-T12</f>
        <v>-520124.30000000168</v>
      </c>
      <c r="Y12" s="4"/>
      <c r="Z12" s="12">
        <f t="shared" ref="Z12:Z40" si="3">IF(T12=0,0,X12/T12)</f>
        <v>-0.10132069179260904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--745942.38</f>
        <v>745942.38</v>
      </c>
      <c r="E13" s="2"/>
      <c r="F13" s="19"/>
      <c r="G13" s="2"/>
      <c r="H13" s="2"/>
      <c r="I13" s="2"/>
      <c r="J13" s="19"/>
      <c r="K13" s="2"/>
      <c r="L13" s="2">
        <f t="shared" si="0"/>
        <v>745942.38</v>
      </c>
      <c r="M13" s="2"/>
      <c r="N13" s="19">
        <f t="shared" si="1"/>
        <v>0</v>
      </c>
      <c r="O13" s="11"/>
      <c r="P13" s="2">
        <f>--2285976.76</f>
        <v>2285976.7599999998</v>
      </c>
      <c r="Q13" s="2"/>
      <c r="R13" s="19"/>
      <c r="S13" s="2"/>
      <c r="T13" s="2"/>
      <c r="U13" s="2"/>
      <c r="V13" s="19"/>
      <c r="W13" s="2"/>
      <c r="X13" s="2">
        <f t="shared" si="2"/>
        <v>2285976.7599999998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--512319.44</f>
        <v>512319.44</v>
      </c>
      <c r="E14" s="2"/>
      <c r="F14" s="19"/>
      <c r="G14" s="2"/>
      <c r="H14" s="2"/>
      <c r="I14" s="2"/>
      <c r="J14" s="19"/>
      <c r="K14" s="2"/>
      <c r="L14" s="2">
        <f t="shared" si="0"/>
        <v>512319.44</v>
      </c>
      <c r="M14" s="2"/>
      <c r="N14" s="19">
        <f t="shared" si="1"/>
        <v>0</v>
      </c>
      <c r="O14" s="11"/>
      <c r="P14" s="2">
        <f>--1193414.41</f>
        <v>1193414.4099999999</v>
      </c>
      <c r="Q14" s="2"/>
      <c r="R14" s="19"/>
      <c r="S14" s="2"/>
      <c r="T14" s="2"/>
      <c r="U14" s="2"/>
      <c r="V14" s="19"/>
      <c r="W14" s="2"/>
      <c r="X14" s="2">
        <f t="shared" si="2"/>
        <v>1193414.4099999999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--15841.34</f>
        <v>15841.34</v>
      </c>
      <c r="E15" s="2"/>
      <c r="F15" s="19"/>
      <c r="G15" s="2"/>
      <c r="H15" s="2"/>
      <c r="I15" s="2"/>
      <c r="J15" s="19"/>
      <c r="K15" s="2"/>
      <c r="L15" s="2">
        <f t="shared" si="0"/>
        <v>15841.34</v>
      </c>
      <c r="M15" s="2"/>
      <c r="N15" s="19">
        <f t="shared" si="1"/>
        <v>0</v>
      </c>
      <c r="O15" s="11"/>
      <c r="P15" s="2">
        <f>--32272.01</f>
        <v>32272.01</v>
      </c>
      <c r="Q15" s="2"/>
      <c r="R15" s="19"/>
      <c r="S15" s="2"/>
      <c r="T15" s="2"/>
      <c r="U15" s="2"/>
      <c r="V15" s="19"/>
      <c r="W15" s="2"/>
      <c r="X15" s="2">
        <f t="shared" si="2"/>
        <v>32272.01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--10921.53</f>
        <v>10921.53</v>
      </c>
      <c r="E16" s="2"/>
      <c r="F16" s="19"/>
      <c r="G16" s="2"/>
      <c r="H16" s="2"/>
      <c r="I16" s="2"/>
      <c r="J16" s="19"/>
      <c r="K16" s="2"/>
      <c r="L16" s="2">
        <f t="shared" si="0"/>
        <v>10921.53</v>
      </c>
      <c r="M16" s="2"/>
      <c r="N16" s="19">
        <f t="shared" si="1"/>
        <v>0</v>
      </c>
      <c r="O16" s="11"/>
      <c r="P16" s="2">
        <f>--41201.41</f>
        <v>41201.410000000003</v>
      </c>
      <c r="Q16" s="2"/>
      <c r="R16" s="19"/>
      <c r="S16" s="2"/>
      <c r="T16" s="2"/>
      <c r="U16" s="2"/>
      <c r="V16" s="19"/>
      <c r="W16" s="2"/>
      <c r="X16" s="2">
        <f t="shared" si="2"/>
        <v>41201.410000000003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--13.22</f>
        <v>13.22</v>
      </c>
      <c r="Q17" s="2"/>
      <c r="R17" s="19"/>
      <c r="S17" s="2"/>
      <c r="T17" s="2"/>
      <c r="U17" s="2"/>
      <c r="V17" s="19"/>
      <c r="W17" s="2"/>
      <c r="X17" s="2">
        <f t="shared" si="2"/>
        <v>13.22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--229.57</f>
        <v>229.57</v>
      </c>
      <c r="E18" s="2"/>
      <c r="F18" s="19"/>
      <c r="G18" s="2"/>
      <c r="H18" s="2"/>
      <c r="I18" s="2"/>
      <c r="J18" s="19"/>
      <c r="K18" s="2"/>
      <c r="L18" s="2">
        <f t="shared" si="0"/>
        <v>229.57</v>
      </c>
      <c r="M18" s="2"/>
      <c r="N18" s="19">
        <f t="shared" si="1"/>
        <v>0</v>
      </c>
      <c r="O18" s="11"/>
      <c r="P18" s="2">
        <f>--1509.89</f>
        <v>1509.89</v>
      </c>
      <c r="Q18" s="2"/>
      <c r="R18" s="19"/>
      <c r="S18" s="2"/>
      <c r="T18" s="2"/>
      <c r="U18" s="2"/>
      <c r="V18" s="19"/>
      <c r="W18" s="2"/>
      <c r="X18" s="2">
        <f t="shared" si="2"/>
        <v>1509.89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--107.48</f>
        <v>107.48</v>
      </c>
      <c r="E19" s="2"/>
      <c r="F19" s="19"/>
      <c r="G19" s="2"/>
      <c r="H19" s="2"/>
      <c r="I19" s="2"/>
      <c r="J19" s="19"/>
      <c r="K19" s="2"/>
      <c r="L19" s="2">
        <f t="shared" si="0"/>
        <v>107.48</v>
      </c>
      <c r="M19" s="2"/>
      <c r="N19" s="19">
        <f t="shared" si="1"/>
        <v>0</v>
      </c>
      <c r="O19" s="11"/>
      <c r="P19" s="2">
        <f>--1100.17</f>
        <v>1100.17</v>
      </c>
      <c r="Q19" s="2"/>
      <c r="R19" s="19"/>
      <c r="S19" s="2"/>
      <c r="T19" s="2"/>
      <c r="U19" s="2"/>
      <c r="V19" s="19"/>
      <c r="W19" s="2"/>
      <c r="X19" s="2">
        <f t="shared" si="2"/>
        <v>1100.17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--737.51</f>
        <v>737.51</v>
      </c>
      <c r="E20" s="2"/>
      <c r="F20" s="19"/>
      <c r="G20" s="2"/>
      <c r="H20" s="2"/>
      <c r="I20" s="2"/>
      <c r="J20" s="19"/>
      <c r="K20" s="2"/>
      <c r="L20" s="2">
        <f t="shared" si="0"/>
        <v>737.51</v>
      </c>
      <c r="M20" s="2"/>
      <c r="N20" s="19">
        <f t="shared" si="1"/>
        <v>0</v>
      </c>
      <c r="O20" s="11"/>
      <c r="P20" s="2">
        <f>--3627.9</f>
        <v>3627.9</v>
      </c>
      <c r="Q20" s="2"/>
      <c r="R20" s="19"/>
      <c r="S20" s="2"/>
      <c r="T20" s="2"/>
      <c r="U20" s="2"/>
      <c r="V20" s="19"/>
      <c r="W20" s="2"/>
      <c r="X20" s="2">
        <f t="shared" si="2"/>
        <v>3627.9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--214291.61</f>
        <v>214291.61</v>
      </c>
      <c r="E21" s="2"/>
      <c r="F21" s="19"/>
      <c r="G21" s="2"/>
      <c r="H21" s="2">
        <v>1953000.0000000002</v>
      </c>
      <c r="I21" s="2"/>
      <c r="J21" s="19"/>
      <c r="K21" s="2"/>
      <c r="L21" s="2">
        <f t="shared" si="0"/>
        <v>-1738708.3900000001</v>
      </c>
      <c r="M21" s="2"/>
      <c r="N21" s="19">
        <f t="shared" si="1"/>
        <v>-0.89027567332309265</v>
      </c>
      <c r="O21" s="11"/>
      <c r="P21" s="2">
        <f>--550220.16</f>
        <v>550220.16</v>
      </c>
      <c r="Q21" s="2"/>
      <c r="R21" s="19"/>
      <c r="S21" s="2"/>
      <c r="T21" s="2">
        <v>5133446</v>
      </c>
      <c r="U21" s="2"/>
      <c r="V21" s="19"/>
      <c r="W21" s="2"/>
      <c r="X21" s="2">
        <f t="shared" si="2"/>
        <v>-4583225.84</v>
      </c>
      <c r="Y21" s="2"/>
      <c r="Z21" s="19">
        <f t="shared" si="3"/>
        <v>-0.89281660701213184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--37117.66</f>
        <v>37117.660000000003</v>
      </c>
      <c r="E22" s="2"/>
      <c r="F22" s="19"/>
      <c r="G22" s="2"/>
      <c r="H22" s="2"/>
      <c r="I22" s="2"/>
      <c r="J22" s="19"/>
      <c r="K22" s="2"/>
      <c r="L22" s="2">
        <f t="shared" si="0"/>
        <v>37117.660000000003</v>
      </c>
      <c r="M22" s="2"/>
      <c r="N22" s="19">
        <f t="shared" si="1"/>
        <v>0</v>
      </c>
      <c r="O22" s="11"/>
      <c r="P22" s="2">
        <f>--132405.23</f>
        <v>132405.23000000001</v>
      </c>
      <c r="Q22" s="2"/>
      <c r="R22" s="19"/>
      <c r="S22" s="2"/>
      <c r="T22" s="2"/>
      <c r="U22" s="2"/>
      <c r="V22" s="19"/>
      <c r="W22" s="2"/>
      <c r="X22" s="2">
        <f t="shared" si="2"/>
        <v>132405.23000000001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--28414.21</f>
        <v>28414.21</v>
      </c>
      <c r="E23" s="2"/>
      <c r="F23" s="19"/>
      <c r="G23" s="2"/>
      <c r="H23" s="2"/>
      <c r="I23" s="2"/>
      <c r="J23" s="19"/>
      <c r="K23" s="2"/>
      <c r="L23" s="2">
        <f t="shared" si="0"/>
        <v>28414.21</v>
      </c>
      <c r="M23" s="2"/>
      <c r="N23" s="19">
        <f t="shared" si="1"/>
        <v>0</v>
      </c>
      <c r="O23" s="11"/>
      <c r="P23" s="2">
        <f>--66616.8</f>
        <v>66616.800000000003</v>
      </c>
      <c r="Q23" s="2"/>
      <c r="R23" s="19"/>
      <c r="S23" s="2"/>
      <c r="T23" s="2"/>
      <c r="U23" s="2"/>
      <c r="V23" s="19"/>
      <c r="W23" s="2"/>
      <c r="X23" s="2">
        <f t="shared" si="2"/>
        <v>66616.800000000003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--334.99</f>
        <v>334.99</v>
      </c>
      <c r="E24" s="2"/>
      <c r="F24" s="19"/>
      <c r="G24" s="2"/>
      <c r="H24" s="2"/>
      <c r="I24" s="2"/>
      <c r="J24" s="19"/>
      <c r="K24" s="2"/>
      <c r="L24" s="2">
        <f t="shared" si="0"/>
        <v>334.99</v>
      </c>
      <c r="M24" s="2"/>
      <c r="N24" s="19">
        <f t="shared" si="1"/>
        <v>0</v>
      </c>
      <c r="O24" s="11"/>
      <c r="P24" s="2">
        <f>--664.97</f>
        <v>664.97</v>
      </c>
      <c r="Q24" s="2"/>
      <c r="R24" s="19"/>
      <c r="S24" s="2"/>
      <c r="T24" s="2"/>
      <c r="U24" s="2"/>
      <c r="V24" s="19"/>
      <c r="W24" s="2"/>
      <c r="X24" s="2">
        <f t="shared" si="2"/>
        <v>664.97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--169179.13</f>
        <v>169179.13</v>
      </c>
      <c r="E25" s="2"/>
      <c r="F25" s="19"/>
      <c r="G25" s="2"/>
      <c r="H25" s="2"/>
      <c r="I25" s="2"/>
      <c r="J25" s="19"/>
      <c r="K25" s="2"/>
      <c r="L25" s="2">
        <f t="shared" si="0"/>
        <v>169179.13</v>
      </c>
      <c r="M25" s="2"/>
      <c r="N25" s="19">
        <f t="shared" si="1"/>
        <v>0</v>
      </c>
      <c r="O25" s="11"/>
      <c r="P25" s="2">
        <f>--502067.96</f>
        <v>502067.96</v>
      </c>
      <c r="Q25" s="2"/>
      <c r="R25" s="19"/>
      <c r="S25" s="2"/>
      <c r="T25" s="2"/>
      <c r="U25" s="2"/>
      <c r="V25" s="19"/>
      <c r="W25" s="2"/>
      <c r="X25" s="2">
        <f t="shared" si="2"/>
        <v>502067.96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--4684.53</f>
        <v>4684.53</v>
      </c>
      <c r="E26" s="2"/>
      <c r="F26" s="19"/>
      <c r="G26" s="2"/>
      <c r="H26" s="2"/>
      <c r="I26" s="2"/>
      <c r="J26" s="19"/>
      <c r="K26" s="2"/>
      <c r="L26" s="2">
        <f t="shared" si="0"/>
        <v>4684.53</v>
      </c>
      <c r="M26" s="2"/>
      <c r="N26" s="19">
        <f t="shared" si="1"/>
        <v>0</v>
      </c>
      <c r="O26" s="11"/>
      <c r="P26" s="2">
        <f>--12708.5</f>
        <v>12708.5</v>
      </c>
      <c r="Q26" s="2"/>
      <c r="R26" s="19"/>
      <c r="S26" s="2"/>
      <c r="T26" s="2"/>
      <c r="U26" s="2"/>
      <c r="V26" s="19"/>
      <c r="W26" s="2"/>
      <c r="X26" s="2">
        <f t="shared" si="2"/>
        <v>12708.5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 t="shared" ref="D27:D28" si="4"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--1146.72</f>
        <v>1146.72</v>
      </c>
      <c r="Q27" s="2"/>
      <c r="R27" s="19"/>
      <c r="S27" s="2"/>
      <c r="T27" s="2"/>
      <c r="U27" s="2"/>
      <c r="V27" s="19"/>
      <c r="W27" s="2"/>
      <c r="X27" s="2">
        <f t="shared" si="2"/>
        <v>1146.72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 t="shared" si="4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--41.91</f>
        <v>41.91</v>
      </c>
      <c r="Q28" s="2"/>
      <c r="R28" s="19"/>
      <c r="S28" s="2"/>
      <c r="T28" s="2"/>
      <c r="U28" s="2"/>
      <c r="V28" s="19"/>
      <c r="W28" s="2"/>
      <c r="X28" s="2">
        <f t="shared" si="2"/>
        <v>41.91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-37895.48</f>
        <v>-37895.480000000003</v>
      </c>
      <c r="E29" s="2"/>
      <c r="F29" s="19"/>
      <c r="G29" s="2"/>
      <c r="H29" s="2"/>
      <c r="I29" s="2"/>
      <c r="J29" s="19"/>
      <c r="K29" s="2"/>
      <c r="L29" s="2">
        <f t="shared" si="0"/>
        <v>-37895.480000000003</v>
      </c>
      <c r="M29" s="2"/>
      <c r="N29" s="19">
        <f t="shared" si="1"/>
        <v>0</v>
      </c>
      <c r="O29" s="11"/>
      <c r="P29" s="2">
        <f>-116625.85</f>
        <v>-116625.85</v>
      </c>
      <c r="Q29" s="2"/>
      <c r="R29" s="19"/>
      <c r="S29" s="2"/>
      <c r="T29" s="2"/>
      <c r="U29" s="2"/>
      <c r="V29" s="19"/>
      <c r="W29" s="2"/>
      <c r="X29" s="2">
        <f t="shared" si="2"/>
        <v>-116625.85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-16170.8</f>
        <v>-16170.8</v>
      </c>
      <c r="E30" s="2"/>
      <c r="F30" s="19"/>
      <c r="G30" s="2"/>
      <c r="H30" s="2"/>
      <c r="I30" s="2"/>
      <c r="J30" s="19"/>
      <c r="K30" s="2"/>
      <c r="L30" s="2">
        <f t="shared" si="0"/>
        <v>-16170.8</v>
      </c>
      <c r="M30" s="2"/>
      <c r="N30" s="19">
        <f t="shared" si="1"/>
        <v>0</v>
      </c>
      <c r="O30" s="11"/>
      <c r="P30" s="2">
        <f>-43379.15</f>
        <v>-43379.15</v>
      </c>
      <c r="Q30" s="2"/>
      <c r="R30" s="19"/>
      <c r="S30" s="2"/>
      <c r="T30" s="2"/>
      <c r="U30" s="2"/>
      <c r="V30" s="19"/>
      <c r="W30" s="2"/>
      <c r="X30" s="2">
        <f t="shared" si="2"/>
        <v>-43379.15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/>
      <c r="U31" s="2"/>
      <c r="V31" s="19"/>
      <c r="W31" s="2"/>
      <c r="X31" s="2">
        <f t="shared" si="2"/>
        <v>-144.99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-4891.98</f>
        <v>-4891.9799999999996</v>
      </c>
      <c r="E32" s="2"/>
      <c r="F32" s="19"/>
      <c r="G32" s="2"/>
      <c r="H32" s="2"/>
      <c r="I32" s="2"/>
      <c r="J32" s="19"/>
      <c r="K32" s="2"/>
      <c r="L32" s="2">
        <f t="shared" si="0"/>
        <v>-4891.9799999999996</v>
      </c>
      <c r="M32" s="2"/>
      <c r="N32" s="19">
        <f t="shared" si="1"/>
        <v>0</v>
      </c>
      <c r="O32" s="11"/>
      <c r="P32" s="2">
        <f>-16261.44</f>
        <v>-16261.44</v>
      </c>
      <c r="Q32" s="2"/>
      <c r="R32" s="19"/>
      <c r="S32" s="2"/>
      <c r="T32" s="2"/>
      <c r="U32" s="2"/>
      <c r="V32" s="19"/>
      <c r="W32" s="2"/>
      <c r="X32" s="2">
        <f t="shared" si="2"/>
        <v>-16261.44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-13.95</f>
        <v>-13.95</v>
      </c>
      <c r="E33" s="2"/>
      <c r="F33" s="19"/>
      <c r="G33" s="2"/>
      <c r="H33" s="2"/>
      <c r="I33" s="2"/>
      <c r="J33" s="19"/>
      <c r="K33" s="2"/>
      <c r="L33" s="2">
        <f t="shared" si="0"/>
        <v>-13.95</v>
      </c>
      <c r="M33" s="2"/>
      <c r="N33" s="19">
        <f t="shared" si="1"/>
        <v>0</v>
      </c>
      <c r="O33" s="11"/>
      <c r="P33" s="2">
        <f>-116.66</f>
        <v>-116.66</v>
      </c>
      <c r="Q33" s="2"/>
      <c r="R33" s="19"/>
      <c r="S33" s="2"/>
      <c r="T33" s="2"/>
      <c r="U33" s="2"/>
      <c r="V33" s="19"/>
      <c r="W33" s="2"/>
      <c r="X33" s="2">
        <f t="shared" si="2"/>
        <v>-116.66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-11.94</f>
        <v>-11.94</v>
      </c>
      <c r="Q34" s="2"/>
      <c r="R34" s="19"/>
      <c r="S34" s="2"/>
      <c r="T34" s="2"/>
      <c r="U34" s="2"/>
      <c r="V34" s="19"/>
      <c r="W34" s="2"/>
      <c r="X34" s="2">
        <f t="shared" si="2"/>
        <v>-11.94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>-6.5</f>
        <v>-6.5</v>
      </c>
      <c r="E35" s="2"/>
      <c r="F35" s="19"/>
      <c r="G35" s="2"/>
      <c r="H35" s="2"/>
      <c r="I35" s="2"/>
      <c r="J35" s="19"/>
      <c r="K35" s="2"/>
      <c r="L35" s="2">
        <f t="shared" si="0"/>
        <v>-6.5</v>
      </c>
      <c r="M35" s="2"/>
      <c r="N35" s="19">
        <f t="shared" si="1"/>
        <v>0</v>
      </c>
      <c r="O35" s="11"/>
      <c r="P35" s="2">
        <f>-39.25</f>
        <v>-39.25</v>
      </c>
      <c r="Q35" s="2"/>
      <c r="R35" s="19"/>
      <c r="S35" s="2"/>
      <c r="T35" s="2"/>
      <c r="U35" s="2"/>
      <c r="V35" s="19"/>
      <c r="W35" s="2"/>
      <c r="X35" s="2">
        <f t="shared" si="2"/>
        <v>-39.25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>-2910.64</f>
        <v>-2910.64</v>
      </c>
      <c r="E36" s="2"/>
      <c r="F36" s="19"/>
      <c r="G36" s="2"/>
      <c r="H36" s="2"/>
      <c r="I36" s="2"/>
      <c r="J36" s="19"/>
      <c r="K36" s="2"/>
      <c r="L36" s="2">
        <f t="shared" si="0"/>
        <v>-2910.64</v>
      </c>
      <c r="M36" s="2"/>
      <c r="N36" s="19">
        <f t="shared" si="1"/>
        <v>0</v>
      </c>
      <c r="O36" s="11"/>
      <c r="P36" s="2">
        <f>-15221.62</f>
        <v>-15221.62</v>
      </c>
      <c r="Q36" s="2"/>
      <c r="R36" s="19"/>
      <c r="S36" s="2"/>
      <c r="T36" s="2"/>
      <c r="U36" s="2"/>
      <c r="V36" s="19"/>
      <c r="W36" s="2"/>
      <c r="X36" s="2">
        <f t="shared" si="2"/>
        <v>-15221.62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>-614.47</f>
        <v>-614.47</v>
      </c>
      <c r="E37" s="2"/>
      <c r="F37" s="19"/>
      <c r="G37" s="2"/>
      <c r="H37" s="2"/>
      <c r="I37" s="2"/>
      <c r="J37" s="19"/>
      <c r="K37" s="2"/>
      <c r="L37" s="2">
        <f t="shared" si="0"/>
        <v>-614.47</v>
      </c>
      <c r="M37" s="2"/>
      <c r="N37" s="19">
        <f t="shared" si="1"/>
        <v>0</v>
      </c>
      <c r="O37" s="11"/>
      <c r="P37" s="2">
        <f>-1312.37</f>
        <v>-1312.37</v>
      </c>
      <c r="Q37" s="2"/>
      <c r="R37" s="19"/>
      <c r="S37" s="2"/>
      <c r="T37" s="2"/>
      <c r="U37" s="2"/>
      <c r="V37" s="19"/>
      <c r="W37" s="2"/>
      <c r="X37" s="2">
        <f t="shared" si="2"/>
        <v>-1312.37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>0</f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/>
      <c r="U38" s="2"/>
      <c r="V38" s="19"/>
      <c r="W38" s="2"/>
      <c r="X38" s="2">
        <f t="shared" si="2"/>
        <v>-184.99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-4312.43</f>
        <v>-4312.43</v>
      </c>
      <c r="E39" s="2"/>
      <c r="F39" s="19"/>
      <c r="G39" s="2"/>
      <c r="H39" s="2"/>
      <c r="I39" s="2"/>
      <c r="J39" s="19"/>
      <c r="K39" s="2"/>
      <c r="L39" s="2">
        <f t="shared" si="0"/>
        <v>-4312.43</v>
      </c>
      <c r="M39" s="2"/>
      <c r="N39" s="19">
        <f t="shared" si="1"/>
        <v>0</v>
      </c>
      <c r="O39" s="11"/>
      <c r="P39" s="2">
        <f>-17742.75</f>
        <v>-17742.75</v>
      </c>
      <c r="Q39" s="2"/>
      <c r="R39" s="19"/>
      <c r="S39" s="2"/>
      <c r="T39" s="2"/>
      <c r="U39" s="2"/>
      <c r="V39" s="19"/>
      <c r="W39" s="2"/>
      <c r="X39" s="2">
        <f t="shared" si="2"/>
        <v>-17742.75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-237.35</f>
        <v>-237.35</v>
      </c>
      <c r="E40" s="2"/>
      <c r="F40" s="19"/>
      <c r="G40" s="2"/>
      <c r="H40" s="2"/>
      <c r="I40" s="2"/>
      <c r="J40" s="19"/>
      <c r="K40" s="2"/>
      <c r="L40" s="2">
        <f t="shared" si="0"/>
        <v>-237.35</v>
      </c>
      <c r="M40" s="2"/>
      <c r="N40" s="19">
        <f t="shared" si="1"/>
        <v>0</v>
      </c>
      <c r="O40" s="11"/>
      <c r="P40" s="2">
        <f>-625.31</f>
        <v>-625.30999999999995</v>
      </c>
      <c r="Q40" s="2"/>
      <c r="R40" s="19"/>
      <c r="S40" s="2"/>
      <c r="T40" s="2"/>
      <c r="U40" s="2"/>
      <c r="V40" s="19"/>
      <c r="W40" s="2"/>
      <c r="X40" s="2">
        <f t="shared" si="2"/>
        <v>-625.30999999999995</v>
      </c>
      <c r="Y40" s="2"/>
      <c r="Z40" s="19">
        <f t="shared" si="3"/>
        <v>0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8" t="s">
        <v>8</v>
      </c>
      <c r="C42" s="10"/>
      <c r="D42" s="4">
        <f>SUM(OSRRefD16x_0)</f>
        <v>1004140.13</v>
      </c>
      <c r="E42" s="4"/>
      <c r="F42" s="12">
        <f t="shared" ref="F42:F59" si="5">IF(D$12=0,0,D42/D$12)</f>
        <v>0.60017898975975725</v>
      </c>
      <c r="G42" s="4"/>
      <c r="H42" s="4">
        <f>SUM(OSRRefH16x_0)</f>
        <v>1411661.3</v>
      </c>
      <c r="I42" s="4"/>
      <c r="J42" s="12">
        <f t="shared" ref="J42:J59" si="6">IF(H$12=0,0,H42/H$12)</f>
        <v>0.7228168458781361</v>
      </c>
      <c r="K42" s="4"/>
      <c r="L42" s="4">
        <f t="shared" ref="L42:L59" si="7">+D42-H42</f>
        <v>-407521.17000000004</v>
      </c>
      <c r="M42" s="4"/>
      <c r="N42" s="12">
        <f t="shared" ref="N42:N59" si="8">IF(H42=0,0,L42/H42)</f>
        <v>-0.28868197350171748</v>
      </c>
      <c r="O42" s="10"/>
      <c r="P42" s="4">
        <f>SUM(OSRRefP16x_0)</f>
        <v>3158655.9800000004</v>
      </c>
      <c r="Q42" s="4"/>
      <c r="R42" s="12">
        <f t="shared" ref="R42:R59" si="9">IF(P$12=0,0,P42/P$12)</f>
        <v>0.68468149099595665</v>
      </c>
      <c r="S42" s="4"/>
      <c r="T42" s="4">
        <f>SUM(OSRRefT16x_0)</f>
        <v>3702539</v>
      </c>
      <c r="U42" s="4"/>
      <c r="V42" s="12">
        <f t="shared" ref="V42:V59" si="10">IF(T$12=0,0,T42/T$12)</f>
        <v>0.72125800096075809</v>
      </c>
      <c r="W42" s="4"/>
      <c r="X42" s="4">
        <f t="shared" ref="X42:X59" si="11">+P42-T42</f>
        <v>-543883.01999999955</v>
      </c>
      <c r="Y42" s="4"/>
      <c r="Z42" s="12">
        <f t="shared" ref="Z42:Z59" si="12">IF(T42=0,0,X42/T42)</f>
        <v>-0.14689460934780149</v>
      </c>
    </row>
    <row r="43" spans="1:26" s="24" customFormat="1" hidden="1" outlineLevel="1" x14ac:dyDescent="0.25">
      <c r="A43" s="44"/>
      <c r="B43" s="11" t="str">
        <f>CONCATENATE("          ", "5000", " - ", "PURCHASES @ COST")</f>
        <v xml:space="preserve">          5000 - PURCHASES @ COST</v>
      </c>
      <c r="C43" s="11"/>
      <c r="D43" s="2"/>
      <c r="E43" s="2"/>
      <c r="F43" s="19">
        <f t="shared" si="5"/>
        <v>0</v>
      </c>
      <c r="G43" s="2"/>
      <c r="H43" s="2">
        <v>1411661.3</v>
      </c>
      <c r="I43" s="2"/>
      <c r="J43" s="19">
        <f t="shared" si="6"/>
        <v>0.7228168458781361</v>
      </c>
      <c r="K43" s="2"/>
      <c r="L43" s="2">
        <f t="shared" si="7"/>
        <v>-1411661.3</v>
      </c>
      <c r="M43" s="2"/>
      <c r="N43" s="19">
        <f t="shared" si="8"/>
        <v>-1</v>
      </c>
      <c r="O43" s="11"/>
      <c r="P43" s="2"/>
      <c r="Q43" s="2"/>
      <c r="R43" s="19">
        <f t="shared" si="9"/>
        <v>0</v>
      </c>
      <c r="S43" s="2"/>
      <c r="T43" s="2">
        <v>3702539</v>
      </c>
      <c r="U43" s="2"/>
      <c r="V43" s="19">
        <f t="shared" si="10"/>
        <v>0.72125800096075809</v>
      </c>
      <c r="W43" s="2"/>
      <c r="X43" s="2">
        <f t="shared" si="11"/>
        <v>-3702539</v>
      </c>
      <c r="Y43" s="2"/>
      <c r="Z43" s="19">
        <f t="shared" si="12"/>
        <v>-1</v>
      </c>
    </row>
    <row r="44" spans="1:26" s="24" customFormat="1" hidden="1" outlineLevel="1" x14ac:dyDescent="0.25">
      <c r="A44" s="44"/>
      <c r="B44" s="11" t="str">
        <f>CONCATENATE("          ", "5001", " - ", "PURCHASES @ COST-NEW TEXT")</f>
        <v xml:space="preserve">          5001 - PURCHASES @ COST-NEW TEXT</v>
      </c>
      <c r="C44" s="11"/>
      <c r="D44" s="2">
        <v>890224.90999999992</v>
      </c>
      <c r="E44" s="2"/>
      <c r="F44" s="19">
        <f t="shared" si="5"/>
        <v>0.53209135974156396</v>
      </c>
      <c r="G44" s="2"/>
      <c r="H44" s="2"/>
      <c r="I44" s="2"/>
      <c r="J44" s="19">
        <f t="shared" si="6"/>
        <v>0</v>
      </c>
      <c r="K44" s="2"/>
      <c r="L44" s="2">
        <f t="shared" si="7"/>
        <v>890224.90999999992</v>
      </c>
      <c r="M44" s="2"/>
      <c r="N44" s="19">
        <f t="shared" si="8"/>
        <v>0</v>
      </c>
      <c r="O44" s="11"/>
      <c r="P44" s="2">
        <v>2627294.66</v>
      </c>
      <c r="Q44" s="2"/>
      <c r="R44" s="19">
        <f t="shared" si="9"/>
        <v>0.56950172367125429</v>
      </c>
      <c r="S44" s="2"/>
      <c r="T44" s="2"/>
      <c r="U44" s="2"/>
      <c r="V44" s="19">
        <f t="shared" si="10"/>
        <v>0</v>
      </c>
      <c r="W44" s="2"/>
      <c r="X44" s="2">
        <f t="shared" si="11"/>
        <v>2627294.66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"5002", " - ", "PURCHASES @ COST-USED TEXT")</f>
        <v xml:space="preserve">          5002 - PURCHASES @ COST-USED TEXT</v>
      </c>
      <c r="C45" s="11"/>
      <c r="D45" s="2">
        <v>260084.68000000002</v>
      </c>
      <c r="E45" s="2"/>
      <c r="F45" s="19">
        <f t="shared" si="5"/>
        <v>0.15545376171191341</v>
      </c>
      <c r="G45" s="2"/>
      <c r="H45" s="2"/>
      <c r="I45" s="2"/>
      <c r="J45" s="19">
        <f t="shared" si="6"/>
        <v>0</v>
      </c>
      <c r="K45" s="2"/>
      <c r="L45" s="2">
        <f t="shared" si="7"/>
        <v>260084.68000000002</v>
      </c>
      <c r="M45" s="2"/>
      <c r="N45" s="19">
        <f t="shared" si="8"/>
        <v>0</v>
      </c>
      <c r="O45" s="11"/>
      <c r="P45" s="2">
        <v>512607.53</v>
      </c>
      <c r="Q45" s="2"/>
      <c r="R45" s="19">
        <f t="shared" si="9"/>
        <v>0.11111462918356642</v>
      </c>
      <c r="S45" s="2"/>
      <c r="T45" s="2"/>
      <c r="U45" s="2"/>
      <c r="V45" s="19">
        <f t="shared" si="10"/>
        <v>0</v>
      </c>
      <c r="W45" s="2"/>
      <c r="X45" s="2">
        <f t="shared" si="11"/>
        <v>512607.53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"5003", " - ", "PURCHASES @ COST-RENTAL TEXT")</f>
        <v xml:space="preserve">          5003 - PURCHASES @ COST-RENTAL TEXT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-78.400000000000006</v>
      </c>
      <c r="Q46" s="2"/>
      <c r="R46" s="19">
        <f t="shared" si="9"/>
        <v>-1.6994262507208208E-5</v>
      </c>
      <c r="S46" s="2"/>
      <c r="T46" s="2"/>
      <c r="U46" s="2"/>
      <c r="V46" s="19">
        <f t="shared" si="10"/>
        <v>0</v>
      </c>
      <c r="W46" s="2"/>
      <c r="X46" s="2">
        <f t="shared" si="11"/>
        <v>-78.400000000000006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"5004", " - ", "PURCHASES @ COST-DIGITAL TEXT")</f>
        <v xml:space="preserve">          5004 - PURCHASES @ COST-DIGITAL TEXT</v>
      </c>
      <c r="C47" s="11"/>
      <c r="D47" s="2">
        <v>119541.49999999999</v>
      </c>
      <c r="E47" s="2"/>
      <c r="F47" s="19">
        <f t="shared" si="5"/>
        <v>7.1450482418590339E-2</v>
      </c>
      <c r="G47" s="2"/>
      <c r="H47" s="2"/>
      <c r="I47" s="2"/>
      <c r="J47" s="19">
        <f t="shared" si="6"/>
        <v>0</v>
      </c>
      <c r="K47" s="2"/>
      <c r="L47" s="2">
        <f t="shared" si="7"/>
        <v>119541.49999999999</v>
      </c>
      <c r="M47" s="2"/>
      <c r="N47" s="19">
        <f t="shared" si="8"/>
        <v>0</v>
      </c>
      <c r="O47" s="11"/>
      <c r="P47" s="2">
        <v>473893.77</v>
      </c>
      <c r="Q47" s="2"/>
      <c r="R47" s="19">
        <f t="shared" si="9"/>
        <v>0.10272289703967538</v>
      </c>
      <c r="S47" s="2"/>
      <c r="T47" s="2"/>
      <c r="U47" s="2"/>
      <c r="V47" s="19">
        <f t="shared" si="10"/>
        <v>0</v>
      </c>
      <c r="W47" s="2"/>
      <c r="X47" s="2">
        <f t="shared" si="11"/>
        <v>473893.77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"5011", " - ", "PURCHASES @ COST-NO VALUE TEXT")</f>
        <v xml:space="preserve">          5011 - PURCHASES @ COST-NO VALUE TEXT</v>
      </c>
      <c r="C48" s="11"/>
      <c r="D48" s="2">
        <v>573</v>
      </c>
      <c r="E48" s="2"/>
      <c r="F48" s="19">
        <f t="shared" si="5"/>
        <v>3.4248463024014479E-4</v>
      </c>
      <c r="G48" s="2"/>
      <c r="H48" s="2"/>
      <c r="I48" s="2"/>
      <c r="J48" s="19">
        <f t="shared" si="6"/>
        <v>0</v>
      </c>
      <c r="K48" s="2"/>
      <c r="L48" s="2">
        <f t="shared" si="7"/>
        <v>573</v>
      </c>
      <c r="M48" s="2"/>
      <c r="N48" s="19">
        <f t="shared" si="8"/>
        <v>0</v>
      </c>
      <c r="O48" s="11"/>
      <c r="P48" s="2">
        <v>5475</v>
      </c>
      <c r="Q48" s="2"/>
      <c r="R48" s="19">
        <f t="shared" si="9"/>
        <v>1.1867804493235323E-3</v>
      </c>
      <c r="S48" s="2"/>
      <c r="T48" s="2"/>
      <c r="U48" s="2"/>
      <c r="V48" s="19">
        <f t="shared" si="10"/>
        <v>0</v>
      </c>
      <c r="W48" s="2"/>
      <c r="X48" s="2">
        <f t="shared" si="11"/>
        <v>5475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"5013", " - ", "PURCHASES @ COST-TRADE BOOKS")</f>
        <v xml:space="preserve">          5013 - PURCHASES @ COST-TRADE BOOKS</v>
      </c>
      <c r="C49" s="11"/>
      <c r="D49" s="2">
        <v>-276.85000000000002</v>
      </c>
      <c r="E49" s="2"/>
      <c r="F49" s="19">
        <f t="shared" si="5"/>
        <v>-1.6547446750782565E-4</v>
      </c>
      <c r="G49" s="2"/>
      <c r="H49" s="2"/>
      <c r="I49" s="2"/>
      <c r="J49" s="19">
        <f t="shared" si="6"/>
        <v>0</v>
      </c>
      <c r="K49" s="2"/>
      <c r="L49" s="2">
        <f t="shared" si="7"/>
        <v>-276.85000000000002</v>
      </c>
      <c r="M49" s="2"/>
      <c r="N49" s="19">
        <f t="shared" si="8"/>
        <v>0</v>
      </c>
      <c r="O49" s="11"/>
      <c r="P49" s="2">
        <v>458.46</v>
      </c>
      <c r="Q49" s="2"/>
      <c r="R49" s="19">
        <f t="shared" si="9"/>
        <v>9.9377418227738188E-5</v>
      </c>
      <c r="S49" s="2"/>
      <c r="T49" s="2"/>
      <c r="U49" s="2"/>
      <c r="V49" s="19">
        <f t="shared" si="10"/>
        <v>0</v>
      </c>
      <c r="W49" s="2"/>
      <c r="X49" s="2">
        <f t="shared" si="11"/>
        <v>458.46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"5014", " - ", "PURCHASES @ COST-REMAINDERS")</f>
        <v xml:space="preserve">          5014 - PURCHASES @ COST-REMAINDERS</v>
      </c>
      <c r="C50" s="11"/>
      <c r="D50" s="2">
        <v>69.599999999999994</v>
      </c>
      <c r="E50" s="2"/>
      <c r="F50" s="19">
        <f t="shared" si="5"/>
        <v>4.160022733806994E-5</v>
      </c>
      <c r="G50" s="2"/>
      <c r="H50" s="2"/>
      <c r="I50" s="2"/>
      <c r="J50" s="19">
        <f t="shared" si="6"/>
        <v>0</v>
      </c>
      <c r="K50" s="2"/>
      <c r="L50" s="2">
        <f t="shared" si="7"/>
        <v>69.599999999999994</v>
      </c>
      <c r="M50" s="2"/>
      <c r="N50" s="19">
        <f t="shared" si="8"/>
        <v>0</v>
      </c>
      <c r="O50" s="11"/>
      <c r="P50" s="2">
        <v>568.92999999999995</v>
      </c>
      <c r="Q50" s="2"/>
      <c r="R50" s="19">
        <f t="shared" si="9"/>
        <v>1.2332328786002507E-4</v>
      </c>
      <c r="S50" s="2"/>
      <c r="T50" s="2"/>
      <c r="U50" s="2"/>
      <c r="V50" s="19">
        <f t="shared" si="10"/>
        <v>0</v>
      </c>
      <c r="W50" s="2"/>
      <c r="X50" s="2">
        <f t="shared" si="11"/>
        <v>568.92999999999995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"5018", " - ", "PURCHASES @ COST-STUDY GUIDES")</f>
        <v xml:space="preserve">          5018 - PURCHASES @ COST-STUDY GUIDES</v>
      </c>
      <c r="C51" s="11"/>
      <c r="D51" s="2">
        <v>1032.75</v>
      </c>
      <c r="E51" s="2"/>
      <c r="F51" s="19">
        <f t="shared" si="5"/>
        <v>6.1727923539355945E-4</v>
      </c>
      <c r="G51" s="2"/>
      <c r="H51" s="2"/>
      <c r="I51" s="2"/>
      <c r="J51" s="19">
        <f t="shared" si="6"/>
        <v>0</v>
      </c>
      <c r="K51" s="2"/>
      <c r="L51" s="2">
        <f t="shared" si="7"/>
        <v>1032.75</v>
      </c>
      <c r="M51" s="2"/>
      <c r="N51" s="19">
        <f t="shared" si="8"/>
        <v>0</v>
      </c>
      <c r="O51" s="11"/>
      <c r="P51" s="2">
        <v>2031.15</v>
      </c>
      <c r="Q51" s="2"/>
      <c r="R51" s="19">
        <f t="shared" si="9"/>
        <v>4.4027928943260144E-4</v>
      </c>
      <c r="S51" s="2"/>
      <c r="T51" s="2"/>
      <c r="U51" s="2"/>
      <c r="V51" s="19">
        <f t="shared" si="10"/>
        <v>0</v>
      </c>
      <c r="W51" s="2"/>
      <c r="X51" s="2">
        <f t="shared" si="11"/>
        <v>2031.15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"5200", " - ", "PURCHASES OFFSET")</f>
        <v xml:space="preserve">          5200 - PURCHASES OFFSET</v>
      </c>
      <c r="C52" s="11"/>
      <c r="D52" s="2">
        <v>-846175</v>
      </c>
      <c r="E52" s="2"/>
      <c r="F52" s="19">
        <f t="shared" si="5"/>
        <v>-0.50576253401999038</v>
      </c>
      <c r="G52" s="2"/>
      <c r="H52" s="2"/>
      <c r="I52" s="2"/>
      <c r="J52" s="19">
        <f t="shared" si="6"/>
        <v>0</v>
      </c>
      <c r="K52" s="2"/>
      <c r="L52" s="2">
        <f t="shared" si="7"/>
        <v>-846175</v>
      </c>
      <c r="M52" s="2"/>
      <c r="N52" s="19">
        <f t="shared" si="8"/>
        <v>0</v>
      </c>
      <c r="O52" s="11"/>
      <c r="P52" s="2">
        <v>-2574540</v>
      </c>
      <c r="Q52" s="2"/>
      <c r="R52" s="19">
        <f t="shared" si="9"/>
        <v>-0.55806643616464058</v>
      </c>
      <c r="S52" s="2"/>
      <c r="T52" s="2"/>
      <c r="U52" s="2"/>
      <c r="V52" s="19">
        <f t="shared" si="10"/>
        <v>0</v>
      </c>
      <c r="W52" s="2"/>
      <c r="X52" s="2">
        <f t="shared" si="11"/>
        <v>-2574540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"5300", " - ", "COG$ OFFSET")</f>
        <v xml:space="preserve">          5300 - COG$ OFFSET</v>
      </c>
      <c r="C53" s="11"/>
      <c r="D53" s="2">
        <v>571526</v>
      </c>
      <c r="E53" s="2"/>
      <c r="F53" s="19">
        <f t="shared" si="5"/>
        <v>0.34160361393128968</v>
      </c>
      <c r="G53" s="2"/>
      <c r="H53" s="2"/>
      <c r="I53" s="2"/>
      <c r="J53" s="19">
        <f t="shared" si="6"/>
        <v>0</v>
      </c>
      <c r="K53" s="2"/>
      <c r="L53" s="2">
        <f t="shared" si="7"/>
        <v>571526</v>
      </c>
      <c r="M53" s="2"/>
      <c r="N53" s="19">
        <f t="shared" si="8"/>
        <v>0</v>
      </c>
      <c r="O53" s="11"/>
      <c r="P53" s="2">
        <v>2056933.4699999997</v>
      </c>
      <c r="Q53" s="2"/>
      <c r="R53" s="19">
        <f t="shared" si="9"/>
        <v>0.44586820598268717</v>
      </c>
      <c r="S53" s="2"/>
      <c r="T53" s="2"/>
      <c r="U53" s="2"/>
      <c r="V53" s="19">
        <f t="shared" si="10"/>
        <v>0</v>
      </c>
      <c r="W53" s="2"/>
      <c r="X53" s="2">
        <f t="shared" si="11"/>
        <v>2056933.4699999997</v>
      </c>
      <c r="Y53" s="2"/>
      <c r="Z53" s="19">
        <f t="shared" si="12"/>
        <v>0</v>
      </c>
    </row>
    <row r="54" spans="1:26" s="24" customFormat="1" hidden="1" outlineLevel="1" x14ac:dyDescent="0.25">
      <c r="A54" s="44"/>
      <c r="B54" s="11" t="str">
        <f>CONCATENATE("          ", "5500", " - ", "FREIGHT-IN")</f>
        <v xml:space="preserve">          5500 - FREIGHT-IN</v>
      </c>
      <c r="C54" s="11"/>
      <c r="D54" s="2">
        <v>7.3</v>
      </c>
      <c r="E54" s="2"/>
      <c r="F54" s="19">
        <f t="shared" si="5"/>
        <v>4.3632422351711286E-6</v>
      </c>
      <c r="G54" s="2"/>
      <c r="H54" s="2"/>
      <c r="I54" s="2"/>
      <c r="J54" s="19">
        <f t="shared" si="6"/>
        <v>0</v>
      </c>
      <c r="K54" s="2"/>
      <c r="L54" s="2">
        <f t="shared" si="7"/>
        <v>7.3</v>
      </c>
      <c r="M54" s="2"/>
      <c r="N54" s="19">
        <f t="shared" si="8"/>
        <v>0</v>
      </c>
      <c r="O54" s="11"/>
      <c r="P54" s="2">
        <v>7.3</v>
      </c>
      <c r="Q54" s="2"/>
      <c r="R54" s="19">
        <f t="shared" si="9"/>
        <v>1.5823739324313765E-6</v>
      </c>
      <c r="S54" s="2"/>
      <c r="T54" s="2"/>
      <c r="U54" s="2"/>
      <c r="V54" s="19">
        <f t="shared" si="10"/>
        <v>0</v>
      </c>
      <c r="W54" s="2"/>
      <c r="X54" s="2">
        <f t="shared" si="11"/>
        <v>7.3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"5501", " - ", "FREIGHT-IN-NEW TEXT")</f>
        <v xml:space="preserve">          5501 - FREIGHT-IN-NEW TEXT</v>
      </c>
      <c r="C55" s="11"/>
      <c r="D55" s="2">
        <v>3407.43</v>
      </c>
      <c r="E55" s="2"/>
      <c r="F55" s="19">
        <f t="shared" si="5"/>
        <v>2.03663595745057E-3</v>
      </c>
      <c r="G55" s="2"/>
      <c r="H55" s="2"/>
      <c r="I55" s="2"/>
      <c r="J55" s="19">
        <f t="shared" si="6"/>
        <v>0</v>
      </c>
      <c r="K55" s="2"/>
      <c r="L55" s="2">
        <f t="shared" si="7"/>
        <v>3407.43</v>
      </c>
      <c r="M55" s="2"/>
      <c r="N55" s="19">
        <f t="shared" si="8"/>
        <v>0</v>
      </c>
      <c r="O55" s="11"/>
      <c r="P55" s="2">
        <v>42077.369999999995</v>
      </c>
      <c r="Q55" s="2"/>
      <c r="R55" s="19">
        <f t="shared" si="9"/>
        <v>9.1208401963383586E-3</v>
      </c>
      <c r="S55" s="2"/>
      <c r="T55" s="2"/>
      <c r="U55" s="2"/>
      <c r="V55" s="19">
        <f t="shared" si="10"/>
        <v>0</v>
      </c>
      <c r="W55" s="2"/>
      <c r="X55" s="2">
        <f t="shared" si="11"/>
        <v>42077.369999999995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"5502", " - ", "FREIGHT-IN-USED TEXT")</f>
        <v xml:space="preserve">          5502 - FREIGHT-IN-USED TEXT</v>
      </c>
      <c r="C56" s="11"/>
      <c r="D56" s="2">
        <v>4124.8100000000004</v>
      </c>
      <c r="E56" s="2"/>
      <c r="F56" s="19">
        <f t="shared" si="5"/>
        <v>2.4654171512405792E-3</v>
      </c>
      <c r="G56" s="2"/>
      <c r="H56" s="2"/>
      <c r="I56" s="2"/>
      <c r="J56" s="19">
        <f t="shared" si="6"/>
        <v>0</v>
      </c>
      <c r="K56" s="2"/>
      <c r="L56" s="2">
        <f t="shared" si="7"/>
        <v>4124.8100000000004</v>
      </c>
      <c r="M56" s="2"/>
      <c r="N56" s="19">
        <f t="shared" si="8"/>
        <v>0</v>
      </c>
      <c r="O56" s="11"/>
      <c r="P56" s="2">
        <v>11778.23</v>
      </c>
      <c r="Q56" s="2"/>
      <c r="R56" s="19">
        <f t="shared" si="9"/>
        <v>2.5530909756412618E-3</v>
      </c>
      <c r="S56" s="2"/>
      <c r="T56" s="2"/>
      <c r="U56" s="2"/>
      <c r="V56" s="19">
        <f t="shared" si="10"/>
        <v>0</v>
      </c>
      <c r="W56" s="2"/>
      <c r="X56" s="2">
        <f t="shared" si="11"/>
        <v>11778.23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"5504", " - ", "FREIGHT-IN-DIGITAL TEXT")</f>
        <v xml:space="preserve">          5504 - FREIGHT-IN-DIGITAL TEXT</v>
      </c>
      <c r="C57" s="11"/>
      <c r="D57" s="2"/>
      <c r="E57" s="2"/>
      <c r="F57" s="19">
        <f t="shared" si="5"/>
        <v>0</v>
      </c>
      <c r="G57" s="2"/>
      <c r="H57" s="2"/>
      <c r="I57" s="2"/>
      <c r="J57" s="19">
        <f t="shared" si="6"/>
        <v>0</v>
      </c>
      <c r="K57" s="2"/>
      <c r="L57" s="2">
        <f t="shared" si="7"/>
        <v>0</v>
      </c>
      <c r="M57" s="2"/>
      <c r="N57" s="19">
        <f t="shared" si="8"/>
        <v>0</v>
      </c>
      <c r="O57" s="11"/>
      <c r="P57" s="2">
        <v>105.97</v>
      </c>
      <c r="Q57" s="2"/>
      <c r="R57" s="19">
        <f t="shared" si="9"/>
        <v>2.2970433646541502E-5</v>
      </c>
      <c r="S57" s="2"/>
      <c r="T57" s="2"/>
      <c r="U57" s="2"/>
      <c r="V57" s="19">
        <f t="shared" si="10"/>
        <v>0</v>
      </c>
      <c r="W57" s="2"/>
      <c r="X57" s="2">
        <f t="shared" si="11"/>
        <v>105.97</v>
      </c>
      <c r="Y57" s="2"/>
      <c r="Z57" s="19">
        <f t="shared" si="12"/>
        <v>0</v>
      </c>
    </row>
    <row r="58" spans="1:26" s="24" customFormat="1" hidden="1" outlineLevel="1" x14ac:dyDescent="0.25">
      <c r="A58" s="44"/>
      <c r="B58" s="11" t="str">
        <f>CONCATENATE("          ", "5513", " - ", "FREIGHT-IN-TRADE BOOKS")</f>
        <v xml:space="preserve">          5513 - FREIGHT-IN-TRADE BOOKS</v>
      </c>
      <c r="C58" s="11"/>
      <c r="D58" s="2"/>
      <c r="E58" s="2"/>
      <c r="F58" s="19">
        <f t="shared" si="5"/>
        <v>0</v>
      </c>
      <c r="G58" s="2"/>
      <c r="H58" s="2"/>
      <c r="I58" s="2"/>
      <c r="J58" s="19">
        <f t="shared" si="6"/>
        <v>0</v>
      </c>
      <c r="K58" s="2"/>
      <c r="L58" s="2">
        <f t="shared" si="7"/>
        <v>0</v>
      </c>
      <c r="M58" s="2"/>
      <c r="N58" s="19">
        <f t="shared" si="8"/>
        <v>0</v>
      </c>
      <c r="O58" s="11"/>
      <c r="P58" s="2">
        <v>21.41</v>
      </c>
      <c r="Q58" s="2"/>
      <c r="R58" s="19">
        <f t="shared" si="9"/>
        <v>4.6409076566240783E-6</v>
      </c>
      <c r="S58" s="2"/>
      <c r="T58" s="2"/>
      <c r="U58" s="2"/>
      <c r="V58" s="19">
        <f t="shared" si="10"/>
        <v>0</v>
      </c>
      <c r="W58" s="2"/>
      <c r="X58" s="2">
        <f t="shared" si="11"/>
        <v>21.41</v>
      </c>
      <c r="Y58" s="2"/>
      <c r="Z58" s="19">
        <f t="shared" si="12"/>
        <v>0</v>
      </c>
    </row>
    <row r="59" spans="1:26" s="24" customFormat="1" hidden="1" outlineLevel="1" x14ac:dyDescent="0.25">
      <c r="A59" s="44"/>
      <c r="B59" s="11" t="str">
        <f>CONCATENATE("          ", "5518", " - ", "FREIGHT-IN-STUDY GUIDES")</f>
        <v xml:space="preserve">          5518 - FREIGHT-IN-STUDY GUIDES</v>
      </c>
      <c r="C59" s="11"/>
      <c r="D59" s="2"/>
      <c r="E59" s="2"/>
      <c r="F59" s="19">
        <f t="shared" si="5"/>
        <v>0</v>
      </c>
      <c r="G59" s="2"/>
      <c r="H59" s="2"/>
      <c r="I59" s="2"/>
      <c r="J59" s="19">
        <f t="shared" si="6"/>
        <v>0</v>
      </c>
      <c r="K59" s="2"/>
      <c r="L59" s="2">
        <f t="shared" si="7"/>
        <v>0</v>
      </c>
      <c r="M59" s="2"/>
      <c r="N59" s="19">
        <f t="shared" si="8"/>
        <v>0</v>
      </c>
      <c r="O59" s="11"/>
      <c r="P59" s="2">
        <v>21.13</v>
      </c>
      <c r="Q59" s="2"/>
      <c r="R59" s="19">
        <f t="shared" si="9"/>
        <v>4.5802138619554769E-6</v>
      </c>
      <c r="S59" s="2"/>
      <c r="T59" s="2"/>
      <c r="U59" s="2"/>
      <c r="V59" s="19">
        <f t="shared" si="10"/>
        <v>0</v>
      </c>
      <c r="W59" s="2"/>
      <c r="X59" s="2">
        <f t="shared" si="11"/>
        <v>21.13</v>
      </c>
      <c r="Y59" s="2"/>
      <c r="Z59" s="19">
        <f t="shared" si="12"/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9" t="s">
        <v>6</v>
      </c>
      <c r="C61" s="29"/>
      <c r="D61" s="21">
        <f>D12-D42</f>
        <v>668927.65000000026</v>
      </c>
      <c r="E61" s="14"/>
      <c r="F61" s="20">
        <f>IF(D$12=0,0,D61/D$12)</f>
        <v>0.39982101024024269</v>
      </c>
      <c r="G61" s="14"/>
      <c r="H61" s="21">
        <f>H12-H42</f>
        <v>541338.70000000019</v>
      </c>
      <c r="I61" s="14"/>
      <c r="J61" s="20">
        <f>IF(H$12=0,0,H61/H$12)</f>
        <v>0.27718315412186384</v>
      </c>
      <c r="K61" s="16"/>
      <c r="L61" s="21">
        <f>+D61-H61</f>
        <v>127588.95000000007</v>
      </c>
      <c r="M61" s="16"/>
      <c r="N61" s="20">
        <f>IF(H61=0,0,L61/H61)</f>
        <v>0.23569153655557976</v>
      </c>
      <c r="O61" s="28"/>
      <c r="P61" s="21">
        <f>P12-P42</f>
        <v>1454665.7199999979</v>
      </c>
      <c r="Q61" s="14"/>
      <c r="R61" s="20">
        <f>IF(P$12=0,0,P61/P$12)</f>
        <v>0.31531850900404329</v>
      </c>
      <c r="S61" s="14"/>
      <c r="T61" s="21">
        <f>T12-T42</f>
        <v>1430907</v>
      </c>
      <c r="U61" s="14"/>
      <c r="V61" s="20">
        <f>IF(T$12=0,0,T61/T$12)</f>
        <v>0.27874199903924185</v>
      </c>
      <c r="W61" s="16"/>
      <c r="X61" s="21">
        <f>+P61-T61</f>
        <v>23758.719999997877</v>
      </c>
      <c r="Y61" s="16"/>
      <c r="Z61" s="20">
        <f>IF(T61=0,0,X61/T61)</f>
        <v>1.6603958188755718E-2</v>
      </c>
    </row>
    <row r="62" spans="1:26" x14ac:dyDescent="0.25">
      <c r="A62" s="9"/>
      <c r="B62" s="10"/>
      <c r="C62" s="9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8" t="s">
        <v>9</v>
      </c>
      <c r="C63" s="10"/>
      <c r="D63" s="22">
        <f>SUM(OSRRefD22x_0)</f>
        <v>51001.53</v>
      </c>
      <c r="E63" s="22"/>
      <c r="F63" s="35">
        <f t="shared" ref="F63:F74" si="13">IF(D$12=0,0,D63/D$12)</f>
        <v>3.0483839692376356E-2</v>
      </c>
      <c r="G63" s="22"/>
      <c r="H63" s="22">
        <f>SUM(OSRRefH22x_0)</f>
        <v>71192.425393092242</v>
      </c>
      <c r="I63" s="22"/>
      <c r="J63" s="35">
        <f t="shared" ref="J63:J74" si="14">IF(H$12=0,0,H63/H$12)</f>
        <v>3.6452854783969396E-2</v>
      </c>
      <c r="K63" s="4"/>
      <c r="L63" s="22">
        <f t="shared" ref="L63:L74" si="15">+D63-H63</f>
        <v>-20190.895393092243</v>
      </c>
      <c r="M63" s="4"/>
      <c r="N63" s="35">
        <f t="shared" ref="N63:N74" si="16">IF(H63=0,0,L63/H63)</f>
        <v>-0.28361016332295591</v>
      </c>
      <c r="O63" s="10"/>
      <c r="P63" s="22">
        <f>SUM(OSRRefP22x_0)</f>
        <v>306588.51999999996</v>
      </c>
      <c r="Q63" s="22"/>
      <c r="R63" s="35">
        <f t="shared" ref="R63:R74" si="17">IF(P$12=0,0,P63/P$12)</f>
        <v>6.6457216716536385E-2</v>
      </c>
      <c r="S63" s="22"/>
      <c r="T63" s="22">
        <f>SUM(OSRRefT22x_0)</f>
        <v>406308.25321202824</v>
      </c>
      <c r="U63" s="22"/>
      <c r="V63" s="35">
        <f t="shared" ref="V63:V74" si="18">IF(T$12=0,0,T63/T$12)</f>
        <v>7.9149221246708007E-2</v>
      </c>
      <c r="W63" s="4"/>
      <c r="X63" s="22">
        <f t="shared" ref="X63:X74" si="19">+P63-T63</f>
        <v>-99719.733212028281</v>
      </c>
      <c r="Y63" s="4"/>
      <c r="Z63" s="35">
        <f t="shared" ref="Z63:Z74" si="20">IF(T63=0,0,X63/T63)</f>
        <v>-0.24542876602605079</v>
      </c>
    </row>
    <row r="64" spans="1:26" s="27" customFormat="1" outlineLevel="1" collapsed="1" x14ac:dyDescent="0.25">
      <c r="A64" s="26"/>
      <c r="B64" s="13" t="str">
        <f>CONCATENATE("     ","*Benefits                                         ")</f>
        <v xml:space="preserve">     *Benefits                                         </v>
      </c>
      <c r="C64" s="13"/>
      <c r="D64" s="1">
        <f>SUM(OSRRefD22_0x_0)</f>
        <v>10868.34</v>
      </c>
      <c r="E64" s="1"/>
      <c r="F64" s="5">
        <f t="shared" si="13"/>
        <v>6.4960548101643551E-3</v>
      </c>
      <c r="G64" s="1"/>
      <c r="H64" s="1">
        <f>SUM(OSRRefH22_0x_0)</f>
        <v>14497.099673438453</v>
      </c>
      <c r="I64" s="1"/>
      <c r="J64" s="5">
        <f t="shared" si="14"/>
        <v>7.422990104167154E-3</v>
      </c>
      <c r="K64" s="1"/>
      <c r="L64" s="1">
        <f t="shared" si="15"/>
        <v>-3628.7596734384533</v>
      </c>
      <c r="M64" s="1"/>
      <c r="N64" s="5">
        <f t="shared" si="16"/>
        <v>-0.25030935533174659</v>
      </c>
      <c r="O64" s="13"/>
      <c r="P64" s="1">
        <f>SUM(OSRRefP22_0x_0)</f>
        <v>71759.13</v>
      </c>
      <c r="Q64" s="1"/>
      <c r="R64" s="5">
        <f t="shared" si="17"/>
        <v>1.5554763935062242E-2</v>
      </c>
      <c r="S64" s="1"/>
      <c r="T64" s="1">
        <f>SUM(OSRRefT22_0x_0)</f>
        <v>91065.820590174437</v>
      </c>
      <c r="U64" s="1"/>
      <c r="V64" s="5">
        <f t="shared" si="18"/>
        <v>1.7739705568184497E-2</v>
      </c>
      <c r="W64" s="1"/>
      <c r="X64" s="1">
        <f t="shared" si="19"/>
        <v>-19306.690590174432</v>
      </c>
      <c r="Y64" s="1"/>
      <c r="Z64" s="5">
        <f t="shared" si="20"/>
        <v>-0.21200808893010217</v>
      </c>
    </row>
    <row r="65" spans="1:26" s="24" customFormat="1" hidden="1" outlineLevel="2" x14ac:dyDescent="0.25">
      <c r="A65" s="25"/>
      <c r="B65" s="11" t="str">
        <f>CONCATENATE("          ", "6111", " - ", "F.I.C.A.")</f>
        <v xml:space="preserve">          6111 - F.I.C.A.</v>
      </c>
      <c r="C65" s="11"/>
      <c r="D65" s="7">
        <v>1676.57</v>
      </c>
      <c r="E65" s="2"/>
      <c r="F65" s="6">
        <f t="shared" si="13"/>
        <v>1.0020932923590219E-3</v>
      </c>
      <c r="G65" s="2"/>
      <c r="H65" s="7">
        <v>2290.5700858107698</v>
      </c>
      <c r="I65" s="2"/>
      <c r="J65" s="6">
        <f t="shared" si="14"/>
        <v>1.172846946139667E-3</v>
      </c>
      <c r="K65" s="2"/>
      <c r="L65" s="7">
        <f t="shared" si="15"/>
        <v>-614.00008581076986</v>
      </c>
      <c r="M65" s="2"/>
      <c r="N65" s="6">
        <f t="shared" si="16"/>
        <v>-0.26805557691260884</v>
      </c>
      <c r="O65" s="11"/>
      <c r="P65" s="7">
        <v>12311.48</v>
      </c>
      <c r="Q65" s="2"/>
      <c r="R65" s="6">
        <f t="shared" si="17"/>
        <v>2.6686801399520878E-3</v>
      </c>
      <c r="S65" s="2"/>
      <c r="T65" s="7">
        <v>13324.523691026789</v>
      </c>
      <c r="U65" s="2"/>
      <c r="V65" s="6">
        <f t="shared" si="18"/>
        <v>2.5956294643065866E-3</v>
      </c>
      <c r="W65" s="2"/>
      <c r="X65" s="7">
        <f t="shared" si="19"/>
        <v>-1013.043691026789</v>
      </c>
      <c r="Y65" s="2"/>
      <c r="Z65" s="6">
        <f t="shared" si="20"/>
        <v>-7.602851062578761E-2</v>
      </c>
    </row>
    <row r="66" spans="1:26" s="24" customFormat="1" hidden="1" outlineLevel="2" x14ac:dyDescent="0.25">
      <c r="A66" s="25"/>
      <c r="B66" s="11" t="str">
        <f>CONCATENATE("          ", "6112", " - ", "COMPENSATION INSURANCE")</f>
        <v xml:space="preserve">          6112 - COMPENSATION INSURANCE</v>
      </c>
      <c r="C66" s="11"/>
      <c r="D66" s="7">
        <v>89.99</v>
      </c>
      <c r="E66" s="2"/>
      <c r="F66" s="6">
        <f t="shared" si="13"/>
        <v>5.3787420375760255E-5</v>
      </c>
      <c r="G66" s="2"/>
      <c r="H66" s="7">
        <v>842.14644168461496</v>
      </c>
      <c r="I66" s="2"/>
      <c r="J66" s="6">
        <f t="shared" si="14"/>
        <v>4.3120657536334606E-4</v>
      </c>
      <c r="K66" s="2"/>
      <c r="L66" s="7">
        <f t="shared" si="15"/>
        <v>-752.15644168461495</v>
      </c>
      <c r="M66" s="2"/>
      <c r="N66" s="6">
        <f t="shared" si="16"/>
        <v>-0.89314210029791774</v>
      </c>
      <c r="O66" s="11"/>
      <c r="P66" s="7">
        <v>473.32</v>
      </c>
      <c r="Q66" s="2"/>
      <c r="R66" s="6">
        <f t="shared" si="17"/>
        <v>1.025985246162218E-4</v>
      </c>
      <c r="S66" s="2"/>
      <c r="T66" s="7">
        <v>4452.1767884846131</v>
      </c>
      <c r="U66" s="2"/>
      <c r="V66" s="6">
        <f t="shared" si="18"/>
        <v>8.6728813130295182E-4</v>
      </c>
      <c r="W66" s="2"/>
      <c r="X66" s="7">
        <f t="shared" si="19"/>
        <v>-3978.8567884846129</v>
      </c>
      <c r="Y66" s="2"/>
      <c r="Z66" s="6">
        <f t="shared" si="20"/>
        <v>-0.89368795928674161</v>
      </c>
    </row>
    <row r="67" spans="1:26" s="24" customFormat="1" hidden="1" outlineLevel="2" x14ac:dyDescent="0.25">
      <c r="A67" s="25"/>
      <c r="B67" s="11" t="str">
        <f>CONCATENATE("          ", "6113", " - ", "GROUP INSURANCE")</f>
        <v xml:space="preserve">          6113 - GROUP INSURANCE</v>
      </c>
      <c r="C67" s="11"/>
      <c r="D67" s="7">
        <v>4248.21</v>
      </c>
      <c r="E67" s="2"/>
      <c r="F67" s="6">
        <f t="shared" si="13"/>
        <v>2.5391738761474441E-3</v>
      </c>
      <c r="G67" s="2"/>
      <c r="H67" s="7">
        <v>5783.4615384615399</v>
      </c>
      <c r="I67" s="2"/>
      <c r="J67" s="6">
        <f t="shared" si="14"/>
        <v>2.9613218322895748E-3</v>
      </c>
      <c r="K67" s="2"/>
      <c r="L67" s="7">
        <f t="shared" si="15"/>
        <v>-1535.2515384615399</v>
      </c>
      <c r="M67" s="2"/>
      <c r="N67" s="6">
        <f t="shared" si="16"/>
        <v>-0.26545547649132156</v>
      </c>
      <c r="O67" s="11"/>
      <c r="P67" s="7">
        <v>29259.63</v>
      </c>
      <c r="Q67" s="2"/>
      <c r="R67" s="6">
        <f t="shared" si="17"/>
        <v>6.342421340354394E-3</v>
      </c>
      <c r="S67" s="2"/>
      <c r="T67" s="7">
        <v>38597.461538461539</v>
      </c>
      <c r="U67" s="2"/>
      <c r="V67" s="6">
        <f t="shared" si="18"/>
        <v>7.5188209905123265E-3</v>
      </c>
      <c r="W67" s="2"/>
      <c r="X67" s="7">
        <f t="shared" si="19"/>
        <v>-9337.831538461538</v>
      </c>
      <c r="Y67" s="2"/>
      <c r="Z67" s="6">
        <f t="shared" si="20"/>
        <v>-0.2419286441714979</v>
      </c>
    </row>
    <row r="68" spans="1:26" s="24" customFormat="1" hidden="1" outlineLevel="2" x14ac:dyDescent="0.25">
      <c r="A68" s="25"/>
      <c r="B68" s="11" t="str">
        <f>CONCATENATE("          ", "6114", " - ", "STATE UNEMPLOYMENT INSURANCE")</f>
        <v xml:space="preserve">          6114 - STATE UNEMPLOYMENT INSURANCE</v>
      </c>
      <c r="C68" s="11"/>
      <c r="D68" s="7">
        <v>68.81</v>
      </c>
      <c r="E68" s="2"/>
      <c r="F68" s="6">
        <f t="shared" si="13"/>
        <v>4.1128040849606219E-5</v>
      </c>
      <c r="G68" s="2"/>
      <c r="H68" s="7">
        <v>115.24109202</v>
      </c>
      <c r="I68" s="2"/>
      <c r="J68" s="6">
        <f t="shared" si="14"/>
        <v>5.9007215576036859E-5</v>
      </c>
      <c r="K68" s="2"/>
      <c r="L68" s="7">
        <f t="shared" si="15"/>
        <v>-46.431092019999994</v>
      </c>
      <c r="M68" s="2"/>
      <c r="N68" s="6">
        <f t="shared" si="16"/>
        <v>-0.40290395731361101</v>
      </c>
      <c r="O68" s="11"/>
      <c r="P68" s="7">
        <v>460.4</v>
      </c>
      <c r="Q68" s="2"/>
      <c r="R68" s="6">
        <f t="shared" si="17"/>
        <v>9.9797939519370634E-5</v>
      </c>
      <c r="S68" s="2"/>
      <c r="T68" s="7">
        <v>609.24524473999998</v>
      </c>
      <c r="U68" s="2"/>
      <c r="V68" s="6">
        <f t="shared" si="18"/>
        <v>1.1868153375724611E-4</v>
      </c>
      <c r="W68" s="2"/>
      <c r="X68" s="7">
        <f t="shared" si="19"/>
        <v>-148.84524474</v>
      </c>
      <c r="Y68" s="2"/>
      <c r="Z68" s="6">
        <f t="shared" si="20"/>
        <v>-0.2443108846972139</v>
      </c>
    </row>
    <row r="69" spans="1:26" s="24" customFormat="1" hidden="1" outlineLevel="2" x14ac:dyDescent="0.25">
      <c r="A69" s="25"/>
      <c r="B69" s="11" t="str">
        <f>CONCATENATE("          ", "6115", " - ", "P.E.R.S.")</f>
        <v xml:space="preserve">          6115 - P.E.R.S.</v>
      </c>
      <c r="C69" s="11"/>
      <c r="D69" s="7">
        <v>1997.27</v>
      </c>
      <c r="E69" s="2"/>
      <c r="F69" s="6">
        <f t="shared" si="13"/>
        <v>1.193777098498663E-3</v>
      </c>
      <c r="G69" s="2"/>
      <c r="H69" s="7">
        <v>1544.9483098461499</v>
      </c>
      <c r="I69" s="2"/>
      <c r="J69" s="6">
        <f t="shared" si="14"/>
        <v>7.9106416274764453E-4</v>
      </c>
      <c r="K69" s="2"/>
      <c r="L69" s="7">
        <f t="shared" si="15"/>
        <v>452.32169015385011</v>
      </c>
      <c r="M69" s="2"/>
      <c r="N69" s="6">
        <f t="shared" si="16"/>
        <v>0.29277464318459528</v>
      </c>
      <c r="O69" s="11"/>
      <c r="P69" s="7">
        <v>10429.67</v>
      </c>
      <c r="Q69" s="2"/>
      <c r="R69" s="6">
        <f t="shared" si="17"/>
        <v>2.2607723194330897E-3</v>
      </c>
      <c r="S69" s="2"/>
      <c r="T69" s="7">
        <v>9578.6795210461296</v>
      </c>
      <c r="U69" s="2"/>
      <c r="V69" s="6">
        <f t="shared" si="18"/>
        <v>1.8659355764229584E-3</v>
      </c>
      <c r="W69" s="2"/>
      <c r="X69" s="7">
        <f t="shared" si="19"/>
        <v>850.99047895387048</v>
      </c>
      <c r="Y69" s="2"/>
      <c r="Z69" s="6">
        <f t="shared" si="20"/>
        <v>8.8842149597351816E-2</v>
      </c>
    </row>
    <row r="70" spans="1:26" s="24" customFormat="1" hidden="1" outlineLevel="2" x14ac:dyDescent="0.25">
      <c r="A70" s="25"/>
      <c r="B70" s="11" t="str">
        <f>CONCATENATE("          ", "6116", " - ", "EDUCATIONAL BENEFITS")</f>
        <v xml:space="preserve">          6116 - EDUCATIONAL BENEFITS</v>
      </c>
      <c r="C70" s="11"/>
      <c r="D70" s="7"/>
      <c r="E70" s="2"/>
      <c r="F70" s="6">
        <f t="shared" si="13"/>
        <v>0</v>
      </c>
      <c r="G70" s="2"/>
      <c r="H70" s="7">
        <v>0</v>
      </c>
      <c r="I70" s="2"/>
      <c r="J70" s="6">
        <f t="shared" si="14"/>
        <v>0</v>
      </c>
      <c r="K70" s="2"/>
      <c r="L70" s="7">
        <f t="shared" si="15"/>
        <v>0</v>
      </c>
      <c r="M70" s="2"/>
      <c r="N70" s="6">
        <f t="shared" si="16"/>
        <v>0</v>
      </c>
      <c r="O70" s="11"/>
      <c r="P70" s="7"/>
      <c r="Q70" s="2"/>
      <c r="R70" s="6">
        <f t="shared" si="17"/>
        <v>0</v>
      </c>
      <c r="S70" s="2"/>
      <c r="T70" s="7">
        <v>0</v>
      </c>
      <c r="U70" s="2"/>
      <c r="V70" s="6">
        <f t="shared" si="18"/>
        <v>0</v>
      </c>
      <c r="W70" s="2"/>
      <c r="X70" s="7">
        <f t="shared" si="19"/>
        <v>0</v>
      </c>
      <c r="Y70" s="2"/>
      <c r="Z70" s="6">
        <f t="shared" si="20"/>
        <v>0</v>
      </c>
    </row>
    <row r="71" spans="1:26" s="24" customFormat="1" hidden="1" outlineLevel="2" x14ac:dyDescent="0.25">
      <c r="A71" s="25"/>
      <c r="B71" s="11" t="str">
        <f>CONCATENATE("          ", "6117", " - ", "RETIREMENT STAFF HOURLY")</f>
        <v xml:space="preserve">          6117 - RETIREMENT STAFF HOURLY</v>
      </c>
      <c r="C71" s="11"/>
      <c r="D71" s="7">
        <v>213.49</v>
      </c>
      <c r="E71" s="2"/>
      <c r="F71" s="6">
        <f t="shared" si="13"/>
        <v>1.2760391572420334E-4</v>
      </c>
      <c r="G71" s="2"/>
      <c r="H71" s="7"/>
      <c r="I71" s="2"/>
      <c r="J71" s="6">
        <f t="shared" si="14"/>
        <v>0</v>
      </c>
      <c r="K71" s="2"/>
      <c r="L71" s="7">
        <f t="shared" si="15"/>
        <v>213.49</v>
      </c>
      <c r="M71" s="2"/>
      <c r="N71" s="6">
        <f t="shared" si="16"/>
        <v>0</v>
      </c>
      <c r="O71" s="11"/>
      <c r="P71" s="7">
        <v>952.23</v>
      </c>
      <c r="Q71" s="2"/>
      <c r="R71" s="6">
        <f t="shared" si="17"/>
        <v>2.0640875749029173E-4</v>
      </c>
      <c r="S71" s="2"/>
      <c r="T71" s="7"/>
      <c r="U71" s="2"/>
      <c r="V71" s="6">
        <f t="shared" si="18"/>
        <v>0</v>
      </c>
      <c r="W71" s="2"/>
      <c r="X71" s="7">
        <f t="shared" si="19"/>
        <v>952.23</v>
      </c>
      <c r="Y71" s="2"/>
      <c r="Z71" s="6">
        <f t="shared" si="20"/>
        <v>0</v>
      </c>
    </row>
    <row r="72" spans="1:26" s="24" customFormat="1" hidden="1" outlineLevel="2" x14ac:dyDescent="0.25">
      <c r="A72" s="25"/>
      <c r="B72" s="11" t="str">
        <f>CONCATENATE("          ", "6118", " - ", "VACATION")</f>
        <v xml:space="preserve">          6118 - VACATION</v>
      </c>
      <c r="C72" s="11"/>
      <c r="D72" s="7">
        <v>781.18</v>
      </c>
      <c r="E72" s="2"/>
      <c r="F72" s="6">
        <f t="shared" si="13"/>
        <v>4.6691473551657291E-4</v>
      </c>
      <c r="G72" s="2"/>
      <c r="H72" s="7">
        <v>1784.9504480000001</v>
      </c>
      <c r="I72" s="2"/>
      <c r="J72" s="6">
        <f t="shared" si="14"/>
        <v>9.1395312237583192E-4</v>
      </c>
      <c r="K72" s="2"/>
      <c r="L72" s="7">
        <f t="shared" si="15"/>
        <v>-1003.7704480000001</v>
      </c>
      <c r="M72" s="2"/>
      <c r="N72" s="6">
        <f t="shared" si="16"/>
        <v>-0.56235199645161249</v>
      </c>
      <c r="O72" s="11"/>
      <c r="P72" s="7">
        <v>6417.64</v>
      </c>
      <c r="Q72" s="2"/>
      <c r="R72" s="6">
        <f t="shared" si="17"/>
        <v>1.3911104443464245E-3</v>
      </c>
      <c r="S72" s="2"/>
      <c r="T72" s="7">
        <v>11066.692777599999</v>
      </c>
      <c r="U72" s="2"/>
      <c r="V72" s="6">
        <f t="shared" si="18"/>
        <v>2.1558019267369326E-3</v>
      </c>
      <c r="W72" s="2"/>
      <c r="X72" s="7">
        <f t="shared" si="19"/>
        <v>-4649.052777599999</v>
      </c>
      <c r="Y72" s="2"/>
      <c r="Z72" s="6">
        <f t="shared" si="20"/>
        <v>-0.42009413932680123</v>
      </c>
    </row>
    <row r="73" spans="1:26" s="24" customFormat="1" hidden="1" outlineLevel="2" x14ac:dyDescent="0.25">
      <c r="A73" s="25"/>
      <c r="B73" s="11" t="str">
        <f>CONCATENATE("          ", "6119", " - ", "SICK LEAVE")</f>
        <v xml:space="preserve">          6119 - SICK LEAVE</v>
      </c>
      <c r="C73" s="11"/>
      <c r="D73" s="7">
        <v>925.42</v>
      </c>
      <c r="E73" s="2"/>
      <c r="F73" s="6">
        <f t="shared" si="13"/>
        <v>5.5312762044822821E-4</v>
      </c>
      <c r="G73" s="2"/>
      <c r="H73" s="7">
        <v>1385.78175761538</v>
      </c>
      <c r="I73" s="2"/>
      <c r="J73" s="6">
        <f t="shared" si="14"/>
        <v>7.0956567210208904E-4</v>
      </c>
      <c r="K73" s="2"/>
      <c r="L73" s="7">
        <f t="shared" si="15"/>
        <v>-460.36175761538004</v>
      </c>
      <c r="M73" s="2"/>
      <c r="N73" s="6">
        <f t="shared" si="16"/>
        <v>-0.33220364973454369</v>
      </c>
      <c r="O73" s="11"/>
      <c r="P73" s="7">
        <v>7045.53</v>
      </c>
      <c r="Q73" s="2"/>
      <c r="R73" s="6">
        <f t="shared" si="17"/>
        <v>1.5272141112552377E-3</v>
      </c>
      <c r="S73" s="2"/>
      <c r="T73" s="7">
        <v>8187.0410288153807</v>
      </c>
      <c r="U73" s="2"/>
      <c r="V73" s="6">
        <f t="shared" si="18"/>
        <v>1.5948431187968824E-3</v>
      </c>
      <c r="W73" s="2"/>
      <c r="X73" s="7">
        <f t="shared" si="19"/>
        <v>-1141.511028815381</v>
      </c>
      <c r="Y73" s="2"/>
      <c r="Z73" s="6">
        <f t="shared" si="20"/>
        <v>-0.1394290104077506</v>
      </c>
    </row>
    <row r="74" spans="1:26" s="24" customFormat="1" hidden="1" outlineLevel="2" x14ac:dyDescent="0.25">
      <c r="A74" s="25"/>
      <c r="B74" s="11" t="str">
        <f>CONCATENATE("          ", "6156", " - ", "EMPLOYEE MEALS")</f>
        <v xml:space="preserve">          6156 - EMPLOYEE MEALS</v>
      </c>
      <c r="C74" s="11"/>
      <c r="D74" s="7">
        <v>867.4</v>
      </c>
      <c r="E74" s="2"/>
      <c r="F74" s="6">
        <f t="shared" si="13"/>
        <v>5.1844881024485441E-4</v>
      </c>
      <c r="G74" s="2"/>
      <c r="H74" s="7">
        <v>750</v>
      </c>
      <c r="I74" s="2"/>
      <c r="J74" s="6">
        <f t="shared" si="14"/>
        <v>3.8402457757296462E-4</v>
      </c>
      <c r="K74" s="2"/>
      <c r="L74" s="7">
        <f t="shared" si="15"/>
        <v>117.39999999999998</v>
      </c>
      <c r="M74" s="2"/>
      <c r="N74" s="6">
        <f t="shared" si="16"/>
        <v>0.1565333333333333</v>
      </c>
      <c r="O74" s="11"/>
      <c r="P74" s="7">
        <v>4409.2299999999996</v>
      </c>
      <c r="Q74" s="2"/>
      <c r="R74" s="6">
        <f t="shared" si="17"/>
        <v>9.5576035809512294E-4</v>
      </c>
      <c r="S74" s="2"/>
      <c r="T74" s="7">
        <v>5250</v>
      </c>
      <c r="U74" s="2"/>
      <c r="V74" s="6">
        <f t="shared" si="18"/>
        <v>1.0227048263486164E-3</v>
      </c>
      <c r="W74" s="2"/>
      <c r="X74" s="7">
        <f t="shared" si="19"/>
        <v>-840.77000000000044</v>
      </c>
      <c r="Y74" s="2"/>
      <c r="Z74" s="6">
        <f t="shared" si="20"/>
        <v>-0.16014666666666674</v>
      </c>
    </row>
    <row r="75" spans="1:26" s="27" customFormat="1" outlineLevel="1" collapsed="1" x14ac:dyDescent="0.25">
      <c r="A75" s="26"/>
      <c r="B75" s="13" t="str">
        <f>CONCATENATE("     ","*Payroll                                          ")</f>
        <v xml:space="preserve">     *Payroll                                          </v>
      </c>
      <c r="C75" s="13"/>
      <c r="D75" s="1">
        <f>SUM(OSRRefD22_1x_0)</f>
        <v>34667.289999999994</v>
      </c>
      <c r="E75" s="1"/>
      <c r="F75" s="5">
        <f t="shared" ref="F75:F85" si="21">IF(D$12=0,0,D75/D$12)</f>
        <v>2.0720792316017221E-2</v>
      </c>
      <c r="G75" s="1"/>
      <c r="H75" s="1">
        <f>SUM(OSRRefH22_1x_0)</f>
        <v>41430.325719653796</v>
      </c>
      <c r="I75" s="1"/>
      <c r="J75" s="5">
        <f t="shared" ref="J75:J85" si="22">IF(H$12=0,0,H75/H$12)</f>
        <v>2.1213684444267175E-2</v>
      </c>
      <c r="K75" s="1"/>
      <c r="L75" s="1">
        <f t="shared" ref="L75:L85" si="23">+D75-H75</f>
        <v>-6763.0357196538025</v>
      </c>
      <c r="M75" s="1"/>
      <c r="N75" s="5">
        <f t="shared" ref="N75:N85" si="24">IF(H75=0,0,L75/H75)</f>
        <v>-0.16323877744570908</v>
      </c>
      <c r="O75" s="13"/>
      <c r="P75" s="1">
        <f>SUM(OSRRefP22_1x_0)</f>
        <v>177685.43</v>
      </c>
      <c r="Q75" s="1"/>
      <c r="R75" s="5">
        <f t="shared" ref="R75:R85" si="25">IF(P$12=0,0,P75/P$12)</f>
        <v>3.8515725014364392E-2</v>
      </c>
      <c r="S75" s="1"/>
      <c r="T75" s="1">
        <f>SUM(OSRRefT22_1x_0)</f>
        <v>216387.43262185383</v>
      </c>
      <c r="U75" s="1"/>
      <c r="V75" s="5">
        <f t="shared" ref="V75:V85" si="26">IF(T$12=0,0,T75/T$12)</f>
        <v>4.2152470800677327E-2</v>
      </c>
      <c r="W75" s="1"/>
      <c r="X75" s="1">
        <f t="shared" ref="X75:X85" si="27">+P75-T75</f>
        <v>-38702.002621853841</v>
      </c>
      <c r="Y75" s="1"/>
      <c r="Z75" s="5">
        <f t="shared" ref="Z75:Z85" si="28">IF(T75=0,0,X75/T75)</f>
        <v>-0.17885513106247358</v>
      </c>
    </row>
    <row r="76" spans="1:26" s="24" customFormat="1" hidden="1" outlineLevel="2" x14ac:dyDescent="0.25">
      <c r="A76" s="25"/>
      <c r="B76" s="11" t="str">
        <f>CONCATENATE("          ", "6001", " - ", "ADMINISTRATIVE SALARIES")</f>
        <v xml:space="preserve">          6001 - ADMINISTRATIVE SALARIES</v>
      </c>
      <c r="C76" s="11"/>
      <c r="D76" s="7"/>
      <c r="E76" s="2"/>
      <c r="F76" s="6">
        <f t="shared" si="21"/>
        <v>0</v>
      </c>
      <c r="G76" s="2"/>
      <c r="H76" s="7">
        <v>0</v>
      </c>
      <c r="I76" s="2"/>
      <c r="J76" s="6">
        <f t="shared" si="22"/>
        <v>0</v>
      </c>
      <c r="K76" s="2"/>
      <c r="L76" s="7">
        <f t="shared" si="23"/>
        <v>0</v>
      </c>
      <c r="M76" s="2"/>
      <c r="N76" s="6">
        <f t="shared" si="24"/>
        <v>0</v>
      </c>
      <c r="O76" s="11"/>
      <c r="P76" s="7"/>
      <c r="Q76" s="2"/>
      <c r="R76" s="6">
        <f t="shared" si="25"/>
        <v>0</v>
      </c>
      <c r="S76" s="2"/>
      <c r="T76" s="7">
        <v>0</v>
      </c>
      <c r="U76" s="2"/>
      <c r="V76" s="6">
        <f t="shared" si="26"/>
        <v>0</v>
      </c>
      <c r="W76" s="2"/>
      <c r="X76" s="7">
        <f t="shared" si="27"/>
        <v>0</v>
      </c>
      <c r="Y76" s="2"/>
      <c r="Z76" s="6">
        <f t="shared" si="28"/>
        <v>0</v>
      </c>
    </row>
    <row r="77" spans="1:26" s="24" customFormat="1" hidden="1" outlineLevel="2" x14ac:dyDescent="0.25">
      <c r="A77" s="25"/>
      <c r="B77" s="11" t="str">
        <f>CONCATENATE("          ", "6002", " - ", "STAFF SALARIES")</f>
        <v xml:space="preserve">          6002 - STAFF SALARIES</v>
      </c>
      <c r="C77" s="11"/>
      <c r="D77" s="7">
        <v>18107.66</v>
      </c>
      <c r="E77" s="2"/>
      <c r="F77" s="6">
        <f t="shared" si="21"/>
        <v>1.0823028341386143E-2</v>
      </c>
      <c r="G77" s="2"/>
      <c r="H77" s="7">
        <v>15956.265429653798</v>
      </c>
      <c r="I77" s="2"/>
      <c r="J77" s="6">
        <f t="shared" si="22"/>
        <v>8.1701307883531981E-3</v>
      </c>
      <c r="K77" s="2"/>
      <c r="L77" s="7">
        <f t="shared" si="23"/>
        <v>2151.3945703462014</v>
      </c>
      <c r="M77" s="2"/>
      <c r="N77" s="6">
        <f t="shared" si="24"/>
        <v>0.13483070834030866</v>
      </c>
      <c r="O77" s="11"/>
      <c r="P77" s="7">
        <v>107136.24</v>
      </c>
      <c r="Q77" s="2"/>
      <c r="R77" s="6">
        <f t="shared" si="25"/>
        <v>2.3223231971878321E-2</v>
      </c>
      <c r="S77" s="2"/>
      <c r="T77" s="7">
        <v>98928.845663853805</v>
      </c>
      <c r="U77" s="2"/>
      <c r="V77" s="6">
        <f t="shared" si="26"/>
        <v>1.927143008105156E-2</v>
      </c>
      <c r="W77" s="2"/>
      <c r="X77" s="7">
        <f t="shared" si="27"/>
        <v>8207.3943361462007</v>
      </c>
      <c r="Y77" s="2"/>
      <c r="Z77" s="6">
        <f t="shared" si="28"/>
        <v>8.2962600857931404E-2</v>
      </c>
    </row>
    <row r="78" spans="1:26" s="24" customFormat="1" hidden="1" outlineLevel="2" x14ac:dyDescent="0.25">
      <c r="A78" s="25"/>
      <c r="B78" s="11" t="str">
        <f>CONCATENATE("          ", "6003", " - ", "STAFF HOURLY-9 MONTH")</f>
        <v xml:space="preserve">          6003 - STAFF HOURLY-9 MONTH</v>
      </c>
      <c r="C78" s="11"/>
      <c r="D78" s="7"/>
      <c r="E78" s="2"/>
      <c r="F78" s="6">
        <f t="shared" si="21"/>
        <v>0</v>
      </c>
      <c r="G78" s="2"/>
      <c r="H78" s="7">
        <v>0</v>
      </c>
      <c r="I78" s="2"/>
      <c r="J78" s="6">
        <f t="shared" si="22"/>
        <v>0</v>
      </c>
      <c r="K78" s="2"/>
      <c r="L78" s="7">
        <f t="shared" si="23"/>
        <v>0</v>
      </c>
      <c r="M78" s="2"/>
      <c r="N78" s="6">
        <f t="shared" si="24"/>
        <v>0</v>
      </c>
      <c r="O78" s="11"/>
      <c r="P78" s="7"/>
      <c r="Q78" s="2"/>
      <c r="R78" s="6">
        <f t="shared" si="25"/>
        <v>0</v>
      </c>
      <c r="S78" s="2"/>
      <c r="T78" s="7">
        <v>0</v>
      </c>
      <c r="U78" s="2"/>
      <c r="V78" s="6">
        <f t="shared" si="26"/>
        <v>0</v>
      </c>
      <c r="W78" s="2"/>
      <c r="X78" s="7">
        <f t="shared" si="27"/>
        <v>0</v>
      </c>
      <c r="Y78" s="2"/>
      <c r="Z78" s="6">
        <f t="shared" si="28"/>
        <v>0</v>
      </c>
    </row>
    <row r="79" spans="1:26" s="24" customFormat="1" hidden="1" outlineLevel="2" x14ac:dyDescent="0.25">
      <c r="A79" s="25"/>
      <c r="B79" s="11" t="str">
        <f>CONCATENATE("          ", "6004", " - ", "STAFF HOURLY")</f>
        <v xml:space="preserve">          6004 - STAFF HOURLY</v>
      </c>
      <c r="C79" s="11"/>
      <c r="D79" s="7">
        <v>3344.03</v>
      </c>
      <c r="E79" s="2"/>
      <c r="F79" s="6">
        <f t="shared" si="21"/>
        <v>1.9987414974903168E-3</v>
      </c>
      <c r="G79" s="2"/>
      <c r="H79" s="7">
        <v>7332.4185900000002</v>
      </c>
      <c r="I79" s="2"/>
      <c r="J79" s="6">
        <f t="shared" si="22"/>
        <v>3.7544386021505375E-3</v>
      </c>
      <c r="K79" s="2"/>
      <c r="L79" s="7">
        <f t="shared" si="23"/>
        <v>-3988.38859</v>
      </c>
      <c r="M79" s="2"/>
      <c r="N79" s="6">
        <f t="shared" si="24"/>
        <v>-0.54393902108090098</v>
      </c>
      <c r="O79" s="11"/>
      <c r="P79" s="7">
        <v>21895.89</v>
      </c>
      <c r="Q79" s="2"/>
      <c r="R79" s="6">
        <f t="shared" si="25"/>
        <v>4.7462308990938147E-3</v>
      </c>
      <c r="S79" s="2"/>
      <c r="T79" s="7">
        <v>45460.995258000003</v>
      </c>
      <c r="U79" s="2"/>
      <c r="V79" s="6">
        <f t="shared" si="26"/>
        <v>8.8558436687558428E-3</v>
      </c>
      <c r="W79" s="2"/>
      <c r="X79" s="7">
        <f t="shared" si="27"/>
        <v>-23565.105258000003</v>
      </c>
      <c r="Y79" s="2"/>
      <c r="Z79" s="6">
        <f t="shared" si="28"/>
        <v>-0.51835876280894078</v>
      </c>
    </row>
    <row r="80" spans="1:26" s="24" customFormat="1" hidden="1" outlineLevel="2" x14ac:dyDescent="0.25">
      <c r="A80" s="25"/>
      <c r="B80" s="11" t="str">
        <f>CONCATENATE("          ", "6005", " - ", "TEMPORARY WAGES-HOURLY")</f>
        <v xml:space="preserve">          6005 - TEMPORARY WAGES-HOURLY</v>
      </c>
      <c r="C80" s="11"/>
      <c r="D80" s="7">
        <v>4271.78</v>
      </c>
      <c r="E80" s="2"/>
      <c r="F80" s="6">
        <f t="shared" si="21"/>
        <v>2.5532617692273049E-3</v>
      </c>
      <c r="G80" s="2"/>
      <c r="H80" s="7">
        <v>4606.8</v>
      </c>
      <c r="I80" s="2"/>
      <c r="J80" s="6">
        <f t="shared" si="22"/>
        <v>2.3588325652841779E-3</v>
      </c>
      <c r="K80" s="2"/>
      <c r="L80" s="7">
        <f t="shared" si="23"/>
        <v>-335.02000000000044</v>
      </c>
      <c r="M80" s="2"/>
      <c r="N80" s="6">
        <f t="shared" si="24"/>
        <v>-7.2722931318919951E-2</v>
      </c>
      <c r="O80" s="11"/>
      <c r="P80" s="7">
        <v>17825.05</v>
      </c>
      <c r="Q80" s="2"/>
      <c r="R80" s="6">
        <f t="shared" si="25"/>
        <v>3.8638211594912201E-3</v>
      </c>
      <c r="S80" s="2"/>
      <c r="T80" s="7">
        <v>24430</v>
      </c>
      <c r="U80" s="2"/>
      <c r="V80" s="6">
        <f t="shared" si="26"/>
        <v>4.7589864586088954E-3</v>
      </c>
      <c r="W80" s="2"/>
      <c r="X80" s="7">
        <f t="shared" si="27"/>
        <v>-6604.9500000000007</v>
      </c>
      <c r="Y80" s="2"/>
      <c r="Z80" s="6">
        <f t="shared" si="28"/>
        <v>-0.27036225951698734</v>
      </c>
    </row>
    <row r="81" spans="1:26" s="24" customFormat="1" hidden="1" outlineLevel="2" x14ac:dyDescent="0.25">
      <c r="A81" s="25"/>
      <c r="B81" s="11" t="str">
        <f>CONCATENATE("          ", "6006", " - ", "TEMPORARY PART TIME")</f>
        <v xml:space="preserve">          6006 - TEMPORARY PART TIME</v>
      </c>
      <c r="C81" s="11"/>
      <c r="D81" s="7"/>
      <c r="E81" s="2"/>
      <c r="F81" s="6">
        <f t="shared" si="21"/>
        <v>0</v>
      </c>
      <c r="G81" s="2"/>
      <c r="H81" s="7">
        <v>0</v>
      </c>
      <c r="I81" s="2"/>
      <c r="J81" s="6">
        <f t="shared" si="22"/>
        <v>0</v>
      </c>
      <c r="K81" s="2"/>
      <c r="L81" s="7">
        <f t="shared" si="23"/>
        <v>0</v>
      </c>
      <c r="M81" s="2"/>
      <c r="N81" s="6">
        <f t="shared" si="24"/>
        <v>0</v>
      </c>
      <c r="O81" s="11"/>
      <c r="P81" s="7"/>
      <c r="Q81" s="2"/>
      <c r="R81" s="6">
        <f t="shared" si="25"/>
        <v>0</v>
      </c>
      <c r="S81" s="2"/>
      <c r="T81" s="7">
        <v>0</v>
      </c>
      <c r="U81" s="2"/>
      <c r="V81" s="6">
        <f t="shared" si="26"/>
        <v>0</v>
      </c>
      <c r="W81" s="2"/>
      <c r="X81" s="7">
        <f t="shared" si="27"/>
        <v>0</v>
      </c>
      <c r="Y81" s="2"/>
      <c r="Z81" s="6">
        <f t="shared" si="28"/>
        <v>0</v>
      </c>
    </row>
    <row r="82" spans="1:26" s="24" customFormat="1" hidden="1" outlineLevel="2" x14ac:dyDescent="0.25">
      <c r="A82" s="25"/>
      <c r="B82" s="11" t="str">
        <f>CONCATENATE("          ", "6007", " - ", "STUDENT HOURLY")</f>
        <v xml:space="preserve">          6007 - STUDENT HOURLY</v>
      </c>
      <c r="C82" s="11"/>
      <c r="D82" s="7">
        <v>8943.82</v>
      </c>
      <c r="E82" s="2"/>
      <c r="F82" s="6">
        <f t="shared" si="21"/>
        <v>5.3457607079134585E-3</v>
      </c>
      <c r="G82" s="2"/>
      <c r="H82" s="7">
        <v>3748.5</v>
      </c>
      <c r="I82" s="2"/>
      <c r="J82" s="6">
        <f t="shared" si="22"/>
        <v>1.9193548387096773E-3</v>
      </c>
      <c r="K82" s="2"/>
      <c r="L82" s="7">
        <f t="shared" si="23"/>
        <v>5195.32</v>
      </c>
      <c r="M82" s="2"/>
      <c r="N82" s="6">
        <f t="shared" si="24"/>
        <v>1.3859730558890222</v>
      </c>
      <c r="O82" s="11"/>
      <c r="P82" s="7">
        <v>30828.25</v>
      </c>
      <c r="Q82" s="2"/>
      <c r="R82" s="6">
        <f t="shared" si="25"/>
        <v>6.6824409839010383E-3</v>
      </c>
      <c r="S82" s="2"/>
      <c r="T82" s="7">
        <v>11781</v>
      </c>
      <c r="U82" s="2"/>
      <c r="V82" s="6">
        <f t="shared" si="26"/>
        <v>2.2949496303262956E-3</v>
      </c>
      <c r="W82" s="2"/>
      <c r="X82" s="7">
        <f t="shared" si="27"/>
        <v>19047.25</v>
      </c>
      <c r="Y82" s="2"/>
      <c r="Z82" s="6">
        <f t="shared" si="28"/>
        <v>1.6167770138358373</v>
      </c>
    </row>
    <row r="83" spans="1:26" s="24" customFormat="1" hidden="1" outlineLevel="2" x14ac:dyDescent="0.25">
      <c r="A83" s="25"/>
      <c r="B83" s="11" t="str">
        <f>CONCATENATE("          ", "6008", " - ", "STUDENT HOURLY-FICA EXEMPT")</f>
        <v xml:space="preserve">          6008 - STUDENT HOURLY-FICA EXEMPT</v>
      </c>
      <c r="C83" s="11"/>
      <c r="D83" s="7"/>
      <c r="E83" s="2"/>
      <c r="F83" s="6">
        <f t="shared" si="21"/>
        <v>0</v>
      </c>
      <c r="G83" s="2"/>
      <c r="H83" s="7">
        <v>9786.341699999999</v>
      </c>
      <c r="I83" s="2"/>
      <c r="J83" s="6">
        <f t="shared" si="22"/>
        <v>5.0109276497695846E-3</v>
      </c>
      <c r="K83" s="2"/>
      <c r="L83" s="7">
        <f t="shared" si="23"/>
        <v>-9786.341699999999</v>
      </c>
      <c r="M83" s="2"/>
      <c r="N83" s="6">
        <f t="shared" si="24"/>
        <v>-1</v>
      </c>
      <c r="O83" s="11"/>
      <c r="P83" s="7"/>
      <c r="Q83" s="2"/>
      <c r="R83" s="6">
        <f t="shared" si="25"/>
        <v>0</v>
      </c>
      <c r="S83" s="2"/>
      <c r="T83" s="7">
        <v>35786.591700000004</v>
      </c>
      <c r="U83" s="2"/>
      <c r="V83" s="6">
        <f t="shared" si="26"/>
        <v>6.9712609619347323E-3</v>
      </c>
      <c r="W83" s="2"/>
      <c r="X83" s="7">
        <f t="shared" si="27"/>
        <v>-35786.591700000004</v>
      </c>
      <c r="Y83" s="2"/>
      <c r="Z83" s="6">
        <f t="shared" si="28"/>
        <v>-1</v>
      </c>
    </row>
    <row r="84" spans="1:26" s="24" customFormat="1" hidden="1" outlineLevel="2" x14ac:dyDescent="0.25">
      <c r="A84" s="25"/>
      <c r="B84" s="11" t="str">
        <f>CONCATENATE("          ", "6009", " - ", "TEMPORARY-SEASONAL")</f>
        <v xml:space="preserve">          6009 - TEMPORARY-SEASONAL</v>
      </c>
      <c r="C84" s="11"/>
      <c r="D84" s="7"/>
      <c r="E84" s="2"/>
      <c r="F84" s="6">
        <f t="shared" si="21"/>
        <v>0</v>
      </c>
      <c r="G84" s="2"/>
      <c r="H84" s="7">
        <v>0</v>
      </c>
      <c r="I84" s="2"/>
      <c r="J84" s="6">
        <f t="shared" si="22"/>
        <v>0</v>
      </c>
      <c r="K84" s="2"/>
      <c r="L84" s="7">
        <f t="shared" si="23"/>
        <v>0</v>
      </c>
      <c r="M84" s="2"/>
      <c r="N84" s="6">
        <f t="shared" si="24"/>
        <v>0</v>
      </c>
      <c r="O84" s="11"/>
      <c r="P84" s="7"/>
      <c r="Q84" s="2"/>
      <c r="R84" s="6">
        <f t="shared" si="25"/>
        <v>0</v>
      </c>
      <c r="S84" s="2"/>
      <c r="T84" s="7">
        <v>0</v>
      </c>
      <c r="U84" s="2"/>
      <c r="V84" s="6">
        <f t="shared" si="26"/>
        <v>0</v>
      </c>
      <c r="W84" s="2"/>
      <c r="X84" s="7">
        <f t="shared" si="27"/>
        <v>0</v>
      </c>
      <c r="Y84" s="2"/>
      <c r="Z84" s="6">
        <f t="shared" si="28"/>
        <v>0</v>
      </c>
    </row>
    <row r="85" spans="1:26" s="24" customFormat="1" hidden="1" outlineLevel="2" x14ac:dyDescent="0.25">
      <c r="A85" s="25"/>
      <c r="B85" s="11" t="str">
        <f>CONCATENATE("          ", "6010", " - ", "GRATUITY")</f>
        <v xml:space="preserve">          6010 - GRATUITY</v>
      </c>
      <c r="C85" s="11"/>
      <c r="D85" s="7"/>
      <c r="E85" s="2"/>
      <c r="F85" s="6">
        <f t="shared" si="21"/>
        <v>0</v>
      </c>
      <c r="G85" s="2"/>
      <c r="H85" s="7">
        <v>0</v>
      </c>
      <c r="I85" s="2"/>
      <c r="J85" s="6">
        <f t="shared" si="22"/>
        <v>0</v>
      </c>
      <c r="K85" s="2"/>
      <c r="L85" s="7">
        <f t="shared" si="23"/>
        <v>0</v>
      </c>
      <c r="M85" s="2"/>
      <c r="N85" s="6">
        <f t="shared" si="24"/>
        <v>0</v>
      </c>
      <c r="O85" s="11"/>
      <c r="P85" s="7"/>
      <c r="Q85" s="2"/>
      <c r="R85" s="6">
        <f t="shared" si="25"/>
        <v>0</v>
      </c>
      <c r="S85" s="2"/>
      <c r="T85" s="7">
        <v>0</v>
      </c>
      <c r="U85" s="2"/>
      <c r="V85" s="6">
        <f t="shared" si="26"/>
        <v>0</v>
      </c>
      <c r="W85" s="2"/>
      <c r="X85" s="7">
        <f t="shared" si="27"/>
        <v>0</v>
      </c>
      <c r="Y85" s="2"/>
      <c r="Z85" s="6">
        <f t="shared" si="28"/>
        <v>0</v>
      </c>
    </row>
    <row r="86" spans="1:26" s="27" customFormat="1" outlineLevel="1" collapsed="1" x14ac:dyDescent="0.25">
      <c r="A86" s="26"/>
      <c r="B86" s="13" t="str">
        <f>CONCATENATE("     ","Advertising/Promo                                 ")</f>
        <v xml:space="preserve">     Advertising/Promo                                 </v>
      </c>
      <c r="C86" s="13"/>
      <c r="D86" s="1">
        <f>SUM(OSRRefD22_2x_0)</f>
        <v>-365.85</v>
      </c>
      <c r="E86" s="1"/>
      <c r="F86" s="5">
        <f t="shared" ref="F86:F90" si="29">IF(D$12=0,0,D86/D$12)</f>
        <v>-2.186701605119668E-4</v>
      </c>
      <c r="G86" s="1"/>
      <c r="H86" s="1">
        <f>SUM(OSRRefH22_2x_0)</f>
        <v>1000</v>
      </c>
      <c r="I86" s="1"/>
      <c r="J86" s="5">
        <f t="shared" ref="J86:J90" si="30">IF(H$12=0,0,H86/H$12)</f>
        <v>5.1203277009728612E-4</v>
      </c>
      <c r="K86" s="1"/>
      <c r="L86" s="1">
        <f t="shared" ref="L86:L90" si="31">+D86-H86</f>
        <v>-1365.85</v>
      </c>
      <c r="M86" s="1"/>
      <c r="N86" s="5">
        <f t="shared" ref="N86:N90" si="32">IF(H86=0,0,L86/H86)</f>
        <v>-1.36585</v>
      </c>
      <c r="O86" s="13"/>
      <c r="P86" s="1">
        <f>SUM(OSRRefP22_2x_0)</f>
        <v>3981.09</v>
      </c>
      <c r="Q86" s="1"/>
      <c r="R86" s="5">
        <f t="shared" ref="R86:R90" si="33">IF(P$12=0,0,P86/P$12)</f>
        <v>8.6295521077578473E-4</v>
      </c>
      <c r="S86" s="1"/>
      <c r="T86" s="1">
        <f>SUM(OSRRefT22_2x_0)</f>
        <v>4400</v>
      </c>
      <c r="U86" s="1"/>
      <c r="V86" s="5">
        <f t="shared" ref="V86:V90" si="34">IF(T$12=0,0,T86/T$12)</f>
        <v>8.571240449397929E-4</v>
      </c>
      <c r="W86" s="1"/>
      <c r="X86" s="1">
        <f t="shared" ref="X86:X90" si="35">+P86-T86</f>
        <v>-418.90999999999985</v>
      </c>
      <c r="Y86" s="1"/>
      <c r="Z86" s="5">
        <f t="shared" ref="Z86:Z90" si="36">IF(T86=0,0,X86/T86)</f>
        <v>-9.5206818181818142E-2</v>
      </c>
    </row>
    <row r="87" spans="1:26" s="24" customFormat="1" hidden="1" outlineLevel="2" x14ac:dyDescent="0.25">
      <c r="A87" s="25"/>
      <c r="B87" s="11" t="str">
        <f>CONCATENATE("          ", "6362", " - ", "ADVERTISING EXPENSE")</f>
        <v xml:space="preserve">          6362 - ADVERTISING EXPENSE</v>
      </c>
      <c r="C87" s="11"/>
      <c r="D87" s="7">
        <v>-365.85</v>
      </c>
      <c r="E87" s="2"/>
      <c r="F87" s="6">
        <f t="shared" si="29"/>
        <v>-2.186701605119668E-4</v>
      </c>
      <c r="G87" s="2"/>
      <c r="H87" s="7">
        <v>1000</v>
      </c>
      <c r="I87" s="2"/>
      <c r="J87" s="6">
        <f t="shared" si="30"/>
        <v>5.1203277009728612E-4</v>
      </c>
      <c r="K87" s="2"/>
      <c r="L87" s="7">
        <f t="shared" si="31"/>
        <v>-1365.85</v>
      </c>
      <c r="M87" s="2"/>
      <c r="N87" s="6">
        <f t="shared" si="32"/>
        <v>-1.36585</v>
      </c>
      <c r="O87" s="11"/>
      <c r="P87" s="7">
        <v>3981.09</v>
      </c>
      <c r="Q87" s="2"/>
      <c r="R87" s="6">
        <f t="shared" si="33"/>
        <v>8.6295521077578473E-4</v>
      </c>
      <c r="S87" s="2"/>
      <c r="T87" s="7">
        <v>4400</v>
      </c>
      <c r="U87" s="2"/>
      <c r="V87" s="6">
        <f t="shared" si="34"/>
        <v>8.571240449397929E-4</v>
      </c>
      <c r="W87" s="2"/>
      <c r="X87" s="7">
        <f t="shared" si="35"/>
        <v>-418.90999999999985</v>
      </c>
      <c r="Y87" s="2"/>
      <c r="Z87" s="6">
        <f t="shared" si="36"/>
        <v>-9.5206818181818142E-2</v>
      </c>
    </row>
    <row r="88" spans="1:26" s="27" customFormat="1" outlineLevel="1" collapsed="1" x14ac:dyDescent="0.25">
      <c r="A88" s="26"/>
      <c r="B88" s="13" t="str">
        <f>CONCATENATE("     ","Discounts and Markdowns                           ")</f>
        <v xml:space="preserve">     Discounts and Markdowns                           </v>
      </c>
      <c r="C88" s="13"/>
      <c r="D88" s="1">
        <f>SUM(OSRRefD22_3x_0)</f>
        <v>2330.11</v>
      </c>
      <c r="E88" s="1"/>
      <c r="F88" s="5">
        <f t="shared" si="29"/>
        <v>1.3927170362458357E-3</v>
      </c>
      <c r="G88" s="1"/>
      <c r="H88" s="1">
        <f>SUM(OSRRefH22_3x_0)</f>
        <v>4425</v>
      </c>
      <c r="I88" s="1"/>
      <c r="J88" s="5">
        <f t="shared" si="30"/>
        <v>2.2657450076804912E-3</v>
      </c>
      <c r="K88" s="1"/>
      <c r="L88" s="1">
        <f t="shared" si="31"/>
        <v>-2094.89</v>
      </c>
      <c r="M88" s="1"/>
      <c r="N88" s="5">
        <f t="shared" si="32"/>
        <v>-0.47342146892655362</v>
      </c>
      <c r="O88" s="13"/>
      <c r="P88" s="1">
        <f>SUM(OSRRefP22_3x_0)</f>
        <v>491.94000000000005</v>
      </c>
      <c r="Q88" s="1"/>
      <c r="R88" s="5">
        <f t="shared" si="33"/>
        <v>1.0663466196168376E-4</v>
      </c>
      <c r="S88" s="1"/>
      <c r="T88" s="1">
        <f>SUM(OSRRefT22_3x_0)</f>
        <v>19275</v>
      </c>
      <c r="U88" s="1"/>
      <c r="V88" s="5">
        <f t="shared" si="34"/>
        <v>3.7547877195942062E-3</v>
      </c>
      <c r="W88" s="1"/>
      <c r="X88" s="1">
        <f t="shared" si="35"/>
        <v>-18783.060000000001</v>
      </c>
      <c r="Y88" s="1"/>
      <c r="Z88" s="5">
        <f t="shared" si="36"/>
        <v>-0.97447782101167324</v>
      </c>
    </row>
    <row r="89" spans="1:26" s="24" customFormat="1" hidden="1" outlineLevel="2" x14ac:dyDescent="0.25">
      <c r="A89" s="25"/>
      <c r="B89" s="11" t="str">
        <f>CONCATENATE("          ", "6382", " - ", "DISCOUNTS/MARK DOWNS")</f>
        <v xml:space="preserve">          6382 - DISCOUNTS/MARK DOWNS</v>
      </c>
      <c r="C89" s="11"/>
      <c r="D89" s="7">
        <v>2330.11</v>
      </c>
      <c r="E89" s="2"/>
      <c r="F89" s="6">
        <f t="shared" si="29"/>
        <v>1.3927170362458357E-3</v>
      </c>
      <c r="G89" s="2"/>
      <c r="H89" s="7">
        <v>4425</v>
      </c>
      <c r="I89" s="2"/>
      <c r="J89" s="6">
        <f t="shared" si="30"/>
        <v>2.2657450076804912E-3</v>
      </c>
      <c r="K89" s="2"/>
      <c r="L89" s="7">
        <f t="shared" si="31"/>
        <v>-2094.89</v>
      </c>
      <c r="M89" s="2"/>
      <c r="N89" s="6">
        <f t="shared" si="32"/>
        <v>-0.47342146892655362</v>
      </c>
      <c r="O89" s="11"/>
      <c r="P89" s="7">
        <v>925.57</v>
      </c>
      <c r="Q89" s="2"/>
      <c r="R89" s="6">
        <f t="shared" si="33"/>
        <v>2.006298411836314E-4</v>
      </c>
      <c r="S89" s="2"/>
      <c r="T89" s="7">
        <v>19275</v>
      </c>
      <c r="U89" s="2"/>
      <c r="V89" s="6">
        <f t="shared" si="34"/>
        <v>3.7547877195942062E-3</v>
      </c>
      <c r="W89" s="2"/>
      <c r="X89" s="7">
        <f t="shared" si="35"/>
        <v>-18349.43</v>
      </c>
      <c r="Y89" s="2"/>
      <c r="Z89" s="6">
        <f t="shared" si="36"/>
        <v>-0.95198080415045394</v>
      </c>
    </row>
    <row r="90" spans="1:26" s="24" customFormat="1" hidden="1" outlineLevel="2" x14ac:dyDescent="0.25">
      <c r="A90" s="25"/>
      <c r="B90" s="11" t="str">
        <f>CONCATENATE("          ", "9175", " - ", "EARNED DISCOUNTS")</f>
        <v xml:space="preserve">          9175 - EARNED DISCOUNTS</v>
      </c>
      <c r="C90" s="11"/>
      <c r="D90" s="7"/>
      <c r="E90" s="2"/>
      <c r="F90" s="6">
        <f t="shared" si="29"/>
        <v>0</v>
      </c>
      <c r="G90" s="2"/>
      <c r="H90" s="7"/>
      <c r="I90" s="2"/>
      <c r="J90" s="6">
        <f t="shared" si="30"/>
        <v>0</v>
      </c>
      <c r="K90" s="2"/>
      <c r="L90" s="7">
        <f t="shared" si="31"/>
        <v>0</v>
      </c>
      <c r="M90" s="2"/>
      <c r="N90" s="6">
        <f t="shared" si="32"/>
        <v>0</v>
      </c>
      <c r="O90" s="11"/>
      <c r="P90" s="7">
        <v>-433.63</v>
      </c>
      <c r="Q90" s="2"/>
      <c r="R90" s="6">
        <f t="shared" si="33"/>
        <v>-9.3995179221947637E-5</v>
      </c>
      <c r="S90" s="2"/>
      <c r="T90" s="7"/>
      <c r="U90" s="2"/>
      <c r="V90" s="6">
        <f t="shared" si="34"/>
        <v>0</v>
      </c>
      <c r="W90" s="2"/>
      <c r="X90" s="7">
        <f t="shared" si="35"/>
        <v>-433.63</v>
      </c>
      <c r="Y90" s="2"/>
      <c r="Z90" s="6">
        <f t="shared" si="36"/>
        <v>0</v>
      </c>
    </row>
    <row r="91" spans="1:26" s="27" customFormat="1" outlineLevel="1" collapsed="1" x14ac:dyDescent="0.25">
      <c r="A91" s="26"/>
      <c r="B91" s="13" t="str">
        <f>CONCATENATE("     ","Employees' Appreciation                           ")</f>
        <v xml:space="preserve">     Employees' Appreciation                           </v>
      </c>
      <c r="C91" s="13"/>
      <c r="D91" s="1">
        <f>SUM(OSRRefD22_4x_0)</f>
        <v>0</v>
      </c>
      <c r="E91" s="1"/>
      <c r="F91" s="5">
        <f t="shared" ref="F91:F97" si="37">IF(D$12=0,0,D91/D$12)</f>
        <v>0</v>
      </c>
      <c r="G91" s="1"/>
      <c r="H91" s="1">
        <f>SUM(OSRRefH22_4x_0)</f>
        <v>100</v>
      </c>
      <c r="I91" s="1"/>
      <c r="J91" s="5">
        <f t="shared" ref="J91:J97" si="38">IF(H$12=0,0,H91/H$12)</f>
        <v>5.1203277009728616E-5</v>
      </c>
      <c r="K91" s="1"/>
      <c r="L91" s="1">
        <f t="shared" ref="L91:L97" si="39">+D91-H91</f>
        <v>-100</v>
      </c>
      <c r="M91" s="1"/>
      <c r="N91" s="5">
        <f t="shared" ref="N91:N97" si="40">IF(H91=0,0,L91/H91)</f>
        <v>-1</v>
      </c>
      <c r="O91" s="13"/>
      <c r="P91" s="1">
        <f>SUM(OSRRefP22_4x_0)</f>
        <v>37.880000000000003</v>
      </c>
      <c r="Q91" s="1"/>
      <c r="R91" s="5">
        <f t="shared" ref="R91:R97" si="41">IF(P$12=0,0,P91/P$12)</f>
        <v>8.211003364452129E-6</v>
      </c>
      <c r="S91" s="1"/>
      <c r="T91" s="1">
        <f>SUM(OSRRefT22_4x_0)</f>
        <v>700</v>
      </c>
      <c r="U91" s="1"/>
      <c r="V91" s="5">
        <f t="shared" ref="V91:V97" si="42">IF(T$12=0,0,T91/T$12)</f>
        <v>1.3636064351314886E-4</v>
      </c>
      <c r="W91" s="1"/>
      <c r="X91" s="1">
        <f t="shared" ref="X91:X97" si="43">+P91-T91</f>
        <v>-662.12</v>
      </c>
      <c r="Y91" s="1"/>
      <c r="Z91" s="5">
        <f t="shared" ref="Z91:Z97" si="44">IF(T91=0,0,X91/T91)</f>
        <v>-0.94588571428571433</v>
      </c>
    </row>
    <row r="92" spans="1:26" s="24" customFormat="1" hidden="1" outlineLevel="2" x14ac:dyDescent="0.25">
      <c r="A92" s="25"/>
      <c r="B92" s="11" t="str">
        <f>CONCATENATE("          ", "6277", " - ", "EMPLOYEE APPRECIATION")</f>
        <v xml:space="preserve">          6277 - EMPLOYEE APPRECIATION</v>
      </c>
      <c r="C92" s="11"/>
      <c r="D92" s="7"/>
      <c r="E92" s="2"/>
      <c r="F92" s="6">
        <f t="shared" si="37"/>
        <v>0</v>
      </c>
      <c r="G92" s="2"/>
      <c r="H92" s="7">
        <v>100</v>
      </c>
      <c r="I92" s="2"/>
      <c r="J92" s="6">
        <f t="shared" si="38"/>
        <v>5.1203277009728616E-5</v>
      </c>
      <c r="K92" s="2"/>
      <c r="L92" s="7">
        <f t="shared" si="39"/>
        <v>-100</v>
      </c>
      <c r="M92" s="2"/>
      <c r="N92" s="6">
        <f t="shared" si="40"/>
        <v>-1</v>
      </c>
      <c r="O92" s="11"/>
      <c r="P92" s="7">
        <v>37.880000000000003</v>
      </c>
      <c r="Q92" s="2"/>
      <c r="R92" s="6">
        <f t="shared" si="41"/>
        <v>8.211003364452129E-6</v>
      </c>
      <c r="S92" s="2"/>
      <c r="T92" s="7">
        <v>700</v>
      </c>
      <c r="U92" s="2"/>
      <c r="V92" s="6">
        <f t="shared" si="42"/>
        <v>1.3636064351314886E-4</v>
      </c>
      <c r="W92" s="2"/>
      <c r="X92" s="7">
        <f t="shared" si="43"/>
        <v>-662.12</v>
      </c>
      <c r="Y92" s="2"/>
      <c r="Z92" s="6">
        <f t="shared" si="44"/>
        <v>-0.94588571428571433</v>
      </c>
    </row>
    <row r="93" spans="1:26" s="27" customFormat="1" outlineLevel="1" collapsed="1" x14ac:dyDescent="0.25">
      <c r="A93" s="26"/>
      <c r="B93" s="13" t="str">
        <f>CONCATENATE("     ","Equipment Rental                                  ")</f>
        <v xml:space="preserve">     Equipment Rental                                  </v>
      </c>
      <c r="C93" s="13"/>
      <c r="D93" s="1">
        <f>SUM(OSRRefD22_5x_0)</f>
        <v>91.26</v>
      </c>
      <c r="E93" s="1"/>
      <c r="F93" s="5">
        <f t="shared" si="37"/>
        <v>5.4546504983796887E-5</v>
      </c>
      <c r="G93" s="1"/>
      <c r="H93" s="1">
        <f>SUM(OSRRefH22_5x_0)</f>
        <v>100</v>
      </c>
      <c r="I93" s="1"/>
      <c r="J93" s="5">
        <f t="shared" si="38"/>
        <v>5.1203277009728616E-5</v>
      </c>
      <c r="K93" s="1"/>
      <c r="L93" s="1">
        <f t="shared" si="39"/>
        <v>-8.7399999999999949</v>
      </c>
      <c r="M93" s="1"/>
      <c r="N93" s="5">
        <f t="shared" si="40"/>
        <v>-8.739999999999995E-2</v>
      </c>
      <c r="O93" s="13"/>
      <c r="P93" s="1">
        <f>SUM(OSRRefP22_5x_0)</f>
        <v>638.82000000000005</v>
      </c>
      <c r="Q93" s="1"/>
      <c r="R93" s="5">
        <f t="shared" si="41"/>
        <v>1.3847289253641259E-4</v>
      </c>
      <c r="S93" s="1"/>
      <c r="T93" s="1">
        <f>SUM(OSRRefT22_5x_0)</f>
        <v>700</v>
      </c>
      <c r="U93" s="1"/>
      <c r="V93" s="5">
        <f t="shared" si="42"/>
        <v>1.3636064351314886E-4</v>
      </c>
      <c r="W93" s="1"/>
      <c r="X93" s="1">
        <f t="shared" si="43"/>
        <v>-61.17999999999995</v>
      </c>
      <c r="Y93" s="1"/>
      <c r="Z93" s="5">
        <f t="shared" si="44"/>
        <v>-8.7399999999999922E-2</v>
      </c>
    </row>
    <row r="94" spans="1:26" s="24" customFormat="1" hidden="1" outlineLevel="2" x14ac:dyDescent="0.25">
      <c r="A94" s="25"/>
      <c r="B94" s="11" t="str">
        <f>CONCATENATE("          ", "6351", " - ", "EQUIPMENT RENTAL")</f>
        <v xml:space="preserve">          6351 - EQUIPMENT RENTAL</v>
      </c>
      <c r="C94" s="11"/>
      <c r="D94" s="7">
        <v>91.26</v>
      </c>
      <c r="E94" s="2"/>
      <c r="F94" s="6">
        <f t="shared" si="37"/>
        <v>5.4546504983796887E-5</v>
      </c>
      <c r="G94" s="2"/>
      <c r="H94" s="7">
        <v>100</v>
      </c>
      <c r="I94" s="2"/>
      <c r="J94" s="6">
        <f t="shared" si="38"/>
        <v>5.1203277009728616E-5</v>
      </c>
      <c r="K94" s="2"/>
      <c r="L94" s="7">
        <f t="shared" si="39"/>
        <v>-8.7399999999999949</v>
      </c>
      <c r="M94" s="2"/>
      <c r="N94" s="6">
        <f t="shared" si="40"/>
        <v>-8.739999999999995E-2</v>
      </c>
      <c r="O94" s="11"/>
      <c r="P94" s="7">
        <v>638.82000000000005</v>
      </c>
      <c r="Q94" s="2"/>
      <c r="R94" s="6">
        <f t="shared" si="41"/>
        <v>1.3847289253641259E-4</v>
      </c>
      <c r="S94" s="2"/>
      <c r="T94" s="7">
        <v>700</v>
      </c>
      <c r="U94" s="2"/>
      <c r="V94" s="6">
        <f t="shared" si="42"/>
        <v>1.3636064351314886E-4</v>
      </c>
      <c r="W94" s="2"/>
      <c r="X94" s="7">
        <f t="shared" si="43"/>
        <v>-61.17999999999995</v>
      </c>
      <c r="Y94" s="2"/>
      <c r="Z94" s="6">
        <f t="shared" si="44"/>
        <v>-8.7399999999999922E-2</v>
      </c>
    </row>
    <row r="95" spans="1:26" s="27" customFormat="1" outlineLevel="1" collapsed="1" x14ac:dyDescent="0.25">
      <c r="A95" s="26"/>
      <c r="B95" s="13" t="str">
        <f>CONCATENATE("     ","Freight out/Postage                               ")</f>
        <v xml:space="preserve">     Freight out/Postage                               </v>
      </c>
      <c r="C95" s="13"/>
      <c r="D95" s="1">
        <f>SUM(OSRRefD22_6x_0)</f>
        <v>11.489999999999998</v>
      </c>
      <c r="E95" s="1"/>
      <c r="F95" s="5">
        <f t="shared" si="37"/>
        <v>6.8676237372762006E-6</v>
      </c>
      <c r="G95" s="1"/>
      <c r="H95" s="1">
        <f>SUM(OSRRefH22_6x_0)</f>
        <v>2000</v>
      </c>
      <c r="I95" s="1"/>
      <c r="J95" s="5">
        <f t="shared" si="38"/>
        <v>1.0240655401945722E-3</v>
      </c>
      <c r="K95" s="1"/>
      <c r="L95" s="1">
        <f t="shared" si="39"/>
        <v>-1988.51</v>
      </c>
      <c r="M95" s="1"/>
      <c r="N95" s="5">
        <f t="shared" si="40"/>
        <v>-0.994255</v>
      </c>
      <c r="O95" s="13"/>
      <c r="P95" s="1">
        <f>SUM(OSRRefP22_6x_0)</f>
        <v>11953.390000000001</v>
      </c>
      <c r="Q95" s="1"/>
      <c r="R95" s="5">
        <f t="shared" si="41"/>
        <v>2.5910592794775194E-3</v>
      </c>
      <c r="S95" s="1"/>
      <c r="T95" s="1">
        <f>SUM(OSRRefT22_6x_0)</f>
        <v>15800</v>
      </c>
      <c r="U95" s="1"/>
      <c r="V95" s="5">
        <f t="shared" si="42"/>
        <v>3.0778545250110746E-3</v>
      </c>
      <c r="W95" s="1"/>
      <c r="X95" s="1">
        <f t="shared" si="43"/>
        <v>-3846.6099999999988</v>
      </c>
      <c r="Y95" s="1"/>
      <c r="Z95" s="5">
        <f t="shared" si="44"/>
        <v>-0.24345632911392398</v>
      </c>
    </row>
    <row r="96" spans="1:26" s="24" customFormat="1" hidden="1" outlineLevel="2" x14ac:dyDescent="0.25">
      <c r="A96" s="25"/>
      <c r="B96" s="11" t="str">
        <f>CONCATENATE("          ", "6305", " - ", "FREIGHT OUT")</f>
        <v xml:space="preserve">          6305 - FREIGHT OUT</v>
      </c>
      <c r="C96" s="11"/>
      <c r="D96" s="7">
        <v>10.54</v>
      </c>
      <c r="E96" s="2"/>
      <c r="F96" s="6">
        <f t="shared" si="37"/>
        <v>6.2998045422881775E-6</v>
      </c>
      <c r="G96" s="2"/>
      <c r="H96" s="7">
        <v>2000</v>
      </c>
      <c r="I96" s="2"/>
      <c r="J96" s="6">
        <f t="shared" si="38"/>
        <v>1.0240655401945722E-3</v>
      </c>
      <c r="K96" s="2"/>
      <c r="L96" s="7">
        <f t="shared" si="39"/>
        <v>-1989.46</v>
      </c>
      <c r="M96" s="2"/>
      <c r="N96" s="6">
        <f t="shared" si="40"/>
        <v>-0.99473</v>
      </c>
      <c r="O96" s="11"/>
      <c r="P96" s="7">
        <v>11951.94</v>
      </c>
      <c r="Q96" s="2"/>
      <c r="R96" s="6">
        <f t="shared" si="41"/>
        <v>2.5907449723265568E-3</v>
      </c>
      <c r="S96" s="2"/>
      <c r="T96" s="7">
        <v>15800</v>
      </c>
      <c r="U96" s="2"/>
      <c r="V96" s="6">
        <f t="shared" si="42"/>
        <v>3.0778545250110746E-3</v>
      </c>
      <c r="W96" s="2"/>
      <c r="X96" s="7">
        <f t="shared" si="43"/>
        <v>-3848.0599999999995</v>
      </c>
      <c r="Y96" s="2"/>
      <c r="Z96" s="6">
        <f t="shared" si="44"/>
        <v>-0.24354810126582274</v>
      </c>
    </row>
    <row r="97" spans="1:26" s="24" customFormat="1" hidden="1" outlineLevel="2" x14ac:dyDescent="0.25">
      <c r="A97" s="25"/>
      <c r="B97" s="11" t="str">
        <f>CONCATENATE("          ", "6307", " - ", "POSTAGE")</f>
        <v xml:space="preserve">          6307 - POSTAGE</v>
      </c>
      <c r="C97" s="11"/>
      <c r="D97" s="7">
        <v>0.95</v>
      </c>
      <c r="E97" s="2"/>
      <c r="F97" s="6">
        <f t="shared" si="37"/>
        <v>5.6781919498802365E-7</v>
      </c>
      <c r="G97" s="2"/>
      <c r="H97" s="7"/>
      <c r="I97" s="2"/>
      <c r="J97" s="6">
        <f t="shared" si="38"/>
        <v>0</v>
      </c>
      <c r="K97" s="2"/>
      <c r="L97" s="7">
        <f t="shared" si="39"/>
        <v>0.95</v>
      </c>
      <c r="M97" s="2"/>
      <c r="N97" s="6">
        <f t="shared" si="40"/>
        <v>0</v>
      </c>
      <c r="O97" s="11"/>
      <c r="P97" s="7">
        <v>1.45</v>
      </c>
      <c r="Q97" s="2"/>
      <c r="R97" s="6">
        <f t="shared" si="41"/>
        <v>3.1430715096239666E-7</v>
      </c>
      <c r="S97" s="2"/>
      <c r="T97" s="7"/>
      <c r="U97" s="2"/>
      <c r="V97" s="6">
        <f t="shared" si="42"/>
        <v>0</v>
      </c>
      <c r="W97" s="2"/>
      <c r="X97" s="7">
        <f t="shared" si="43"/>
        <v>1.45</v>
      </c>
      <c r="Y97" s="2"/>
      <c r="Z97" s="6">
        <f t="shared" si="44"/>
        <v>0</v>
      </c>
    </row>
    <row r="98" spans="1:26" s="27" customFormat="1" outlineLevel="1" collapsed="1" x14ac:dyDescent="0.25">
      <c r="A98" s="26"/>
      <c r="B98" s="13" t="str">
        <f>CONCATENATE("     ","General                                           ")</f>
        <v xml:space="preserve">     General                                           </v>
      </c>
      <c r="C98" s="13"/>
      <c r="D98" s="1">
        <f>SUM(OSRRefD22_7x_0)</f>
        <v>100.16</v>
      </c>
      <c r="E98" s="1"/>
      <c r="F98" s="5">
        <f t="shared" ref="F98:F105" si="45">IF(D$12=0,0,D98/D$12)</f>
        <v>5.9866074284210997E-5</v>
      </c>
      <c r="G98" s="1"/>
      <c r="H98" s="1">
        <f>SUM(OSRRefH22_7x_0)</f>
        <v>0</v>
      </c>
      <c r="I98" s="1"/>
      <c r="J98" s="5">
        <f t="shared" ref="J98:J105" si="46">IF(H$12=0,0,H98/H$12)</f>
        <v>0</v>
      </c>
      <c r="K98" s="1"/>
      <c r="L98" s="1">
        <f t="shared" ref="L98:L105" si="47">+D98-H98</f>
        <v>100.16</v>
      </c>
      <c r="M98" s="1"/>
      <c r="N98" s="5">
        <f t="shared" ref="N98:N105" si="48">IF(H98=0,0,L98/H98)</f>
        <v>0</v>
      </c>
      <c r="O98" s="13"/>
      <c r="P98" s="1">
        <f>SUM(OSRRefP22_7x_0)</f>
        <v>8253.06</v>
      </c>
      <c r="Q98" s="1"/>
      <c r="R98" s="5">
        <f t="shared" ref="R98:R105" si="49">IF(P$12=0,0,P98/P$12)</f>
        <v>1.78896260367015E-3</v>
      </c>
      <c r="S98" s="1"/>
      <c r="T98" s="1">
        <f>SUM(OSRRefT22_7x_0)</f>
        <v>13000</v>
      </c>
      <c r="U98" s="1"/>
      <c r="V98" s="5">
        <f t="shared" ref="V98:V105" si="50">IF(T$12=0,0,T98/T$12)</f>
        <v>2.5324119509584791E-3</v>
      </c>
      <c r="W98" s="1"/>
      <c r="X98" s="1">
        <f t="shared" ref="X98:X105" si="51">+P98-T98</f>
        <v>-4746.9400000000005</v>
      </c>
      <c r="Y98" s="1"/>
      <c r="Z98" s="5">
        <f t="shared" ref="Z98:Z105" si="52">IF(T98=0,0,X98/T98)</f>
        <v>-0.36514923076923078</v>
      </c>
    </row>
    <row r="99" spans="1:26" s="24" customFormat="1" hidden="1" outlineLevel="2" x14ac:dyDescent="0.25">
      <c r="A99" s="25"/>
      <c r="B99" s="11" t="str">
        <f>CONCATENATE("          ", "6279", " - ", "GENERAL EXPENSE")</f>
        <v xml:space="preserve">          6279 - GENERAL EXPENSE</v>
      </c>
      <c r="C99" s="11"/>
      <c r="D99" s="7">
        <v>100.16</v>
      </c>
      <c r="E99" s="2"/>
      <c r="F99" s="6">
        <f t="shared" si="45"/>
        <v>5.9866074284210997E-5</v>
      </c>
      <c r="G99" s="2"/>
      <c r="H99" s="7"/>
      <c r="I99" s="2"/>
      <c r="J99" s="6">
        <f t="shared" si="46"/>
        <v>0</v>
      </c>
      <c r="K99" s="2"/>
      <c r="L99" s="7">
        <f t="shared" si="47"/>
        <v>100.16</v>
      </c>
      <c r="M99" s="2"/>
      <c r="N99" s="6">
        <f t="shared" si="48"/>
        <v>0</v>
      </c>
      <c r="O99" s="11"/>
      <c r="P99" s="7">
        <v>8253.06</v>
      </c>
      <c r="Q99" s="2"/>
      <c r="R99" s="6">
        <f t="shared" si="49"/>
        <v>1.78896260367015E-3</v>
      </c>
      <c r="S99" s="2"/>
      <c r="T99" s="7">
        <v>13000</v>
      </c>
      <c r="U99" s="2"/>
      <c r="V99" s="6">
        <f t="shared" si="50"/>
        <v>2.5324119509584791E-3</v>
      </c>
      <c r="W99" s="2"/>
      <c r="X99" s="7">
        <f t="shared" si="51"/>
        <v>-4746.9400000000005</v>
      </c>
      <c r="Y99" s="2"/>
      <c r="Z99" s="6">
        <f t="shared" si="52"/>
        <v>-0.36514923076923078</v>
      </c>
    </row>
    <row r="100" spans="1:26" s="27" customFormat="1" outlineLevel="1" collapsed="1" x14ac:dyDescent="0.25">
      <c r="A100" s="26"/>
      <c r="B100" s="13" t="str">
        <f>CONCATENATE("     ","Inventory Adjustment                              ")</f>
        <v xml:space="preserve">     Inventory Adjustment                              </v>
      </c>
      <c r="C100" s="13"/>
      <c r="D100" s="1">
        <f>SUM(OSRRefD22_8x_0)</f>
        <v>1000</v>
      </c>
      <c r="E100" s="1"/>
      <c r="F100" s="5">
        <f t="shared" si="45"/>
        <v>5.9770441577686705E-4</v>
      </c>
      <c r="G100" s="1"/>
      <c r="H100" s="1">
        <f>SUM(OSRRefH22_8x_0)</f>
        <v>1000</v>
      </c>
      <c r="I100" s="1"/>
      <c r="J100" s="5">
        <f t="shared" si="46"/>
        <v>5.1203277009728612E-4</v>
      </c>
      <c r="K100" s="1"/>
      <c r="L100" s="1">
        <f t="shared" si="47"/>
        <v>0</v>
      </c>
      <c r="M100" s="1"/>
      <c r="N100" s="5">
        <f t="shared" si="48"/>
        <v>0</v>
      </c>
      <c r="O100" s="13"/>
      <c r="P100" s="1">
        <f>SUM(OSRRefP22_8x_0)</f>
        <v>12800</v>
      </c>
      <c r="Q100" s="1"/>
      <c r="R100" s="5">
        <f t="shared" si="49"/>
        <v>2.7745734705646053E-3</v>
      </c>
      <c r="S100" s="1"/>
      <c r="T100" s="1">
        <f>SUM(OSRRefT22_8x_0)</f>
        <v>12800</v>
      </c>
      <c r="U100" s="1"/>
      <c r="V100" s="5">
        <f t="shared" si="50"/>
        <v>2.4934517670975793E-3</v>
      </c>
      <c r="W100" s="1"/>
      <c r="X100" s="1">
        <f t="shared" si="51"/>
        <v>0</v>
      </c>
      <c r="Y100" s="1"/>
      <c r="Z100" s="5">
        <f t="shared" si="52"/>
        <v>0</v>
      </c>
    </row>
    <row r="101" spans="1:26" s="24" customFormat="1" hidden="1" outlineLevel="2" x14ac:dyDescent="0.25">
      <c r="A101" s="25"/>
      <c r="B101" s="11" t="str">
        <f>CONCATENATE("          ", "6408", " - ", "INVENTORY ADJUSTMENT")</f>
        <v xml:space="preserve">          6408 - INVENTORY ADJUSTMENT</v>
      </c>
      <c r="C101" s="11"/>
      <c r="D101" s="7">
        <v>1000</v>
      </c>
      <c r="E101" s="2"/>
      <c r="F101" s="6">
        <f t="shared" si="45"/>
        <v>5.9770441577686705E-4</v>
      </c>
      <c r="G101" s="2"/>
      <c r="H101" s="7">
        <v>1000</v>
      </c>
      <c r="I101" s="2"/>
      <c r="J101" s="6">
        <f t="shared" si="46"/>
        <v>5.1203277009728612E-4</v>
      </c>
      <c r="K101" s="2"/>
      <c r="L101" s="7">
        <f t="shared" si="47"/>
        <v>0</v>
      </c>
      <c r="M101" s="2"/>
      <c r="N101" s="6">
        <f t="shared" si="48"/>
        <v>0</v>
      </c>
      <c r="O101" s="11"/>
      <c r="P101" s="7">
        <v>12800</v>
      </c>
      <c r="Q101" s="2"/>
      <c r="R101" s="6">
        <f t="shared" si="49"/>
        <v>2.7745734705646053E-3</v>
      </c>
      <c r="S101" s="2"/>
      <c r="T101" s="7">
        <v>12800</v>
      </c>
      <c r="U101" s="2"/>
      <c r="V101" s="6">
        <f t="shared" si="50"/>
        <v>2.4934517670975793E-3</v>
      </c>
      <c r="W101" s="2"/>
      <c r="X101" s="7">
        <f t="shared" si="51"/>
        <v>0</v>
      </c>
      <c r="Y101" s="2"/>
      <c r="Z101" s="6">
        <f t="shared" si="52"/>
        <v>0</v>
      </c>
    </row>
    <row r="102" spans="1:26" s="27" customFormat="1" outlineLevel="1" collapsed="1" x14ac:dyDescent="0.25">
      <c r="A102" s="26"/>
      <c r="B102" s="13" t="str">
        <f>CONCATENATE("     ","Repair and Maintenance                            ")</f>
        <v xml:space="preserve">     Repair and Maintenance                            </v>
      </c>
      <c r="C102" s="13"/>
      <c r="D102" s="1">
        <f>SUM(OSRRefD22_9x_0)</f>
        <v>0</v>
      </c>
      <c r="E102" s="1"/>
      <c r="F102" s="5">
        <f t="shared" si="45"/>
        <v>0</v>
      </c>
      <c r="G102" s="1"/>
      <c r="H102" s="1">
        <f>SUM(OSRRefH22_9x_0)</f>
        <v>140</v>
      </c>
      <c r="I102" s="1"/>
      <c r="J102" s="5">
        <f t="shared" si="46"/>
        <v>7.1684587813620058E-5</v>
      </c>
      <c r="K102" s="1"/>
      <c r="L102" s="1">
        <f t="shared" si="47"/>
        <v>-140</v>
      </c>
      <c r="M102" s="1"/>
      <c r="N102" s="5">
        <f t="shared" si="48"/>
        <v>-1</v>
      </c>
      <c r="O102" s="13"/>
      <c r="P102" s="1">
        <f>SUM(OSRRefP22_9x_0)</f>
        <v>143.16</v>
      </c>
      <c r="Q102" s="1"/>
      <c r="R102" s="5">
        <f t="shared" si="49"/>
        <v>3.1031870159846008E-5</v>
      </c>
      <c r="S102" s="1"/>
      <c r="T102" s="1">
        <f>SUM(OSRRefT22_9x_0)</f>
        <v>2980</v>
      </c>
      <c r="U102" s="1"/>
      <c r="V102" s="5">
        <f t="shared" si="50"/>
        <v>5.8050673952740519E-4</v>
      </c>
      <c r="W102" s="1"/>
      <c r="X102" s="1">
        <f t="shared" si="51"/>
        <v>-2836.84</v>
      </c>
      <c r="Y102" s="1"/>
      <c r="Z102" s="5">
        <f t="shared" si="52"/>
        <v>-0.95195973154362423</v>
      </c>
    </row>
    <row r="103" spans="1:26" s="24" customFormat="1" hidden="1" outlineLevel="2" x14ac:dyDescent="0.25">
      <c r="A103" s="25"/>
      <c r="B103" s="11" t="str">
        <f>CONCATENATE("          ", "6372", " - ", "COMPUTER HARDWARE MAINTENANCE")</f>
        <v xml:space="preserve">          6372 - COMPUTER HARDWARE MAINTENANCE</v>
      </c>
      <c r="C103" s="11"/>
      <c r="D103" s="7"/>
      <c r="E103" s="2"/>
      <c r="F103" s="6">
        <f t="shared" si="45"/>
        <v>0</v>
      </c>
      <c r="G103" s="2"/>
      <c r="H103" s="7"/>
      <c r="I103" s="2"/>
      <c r="J103" s="6">
        <f t="shared" si="46"/>
        <v>0</v>
      </c>
      <c r="K103" s="2"/>
      <c r="L103" s="7">
        <f t="shared" si="47"/>
        <v>0</v>
      </c>
      <c r="M103" s="2"/>
      <c r="N103" s="6">
        <f t="shared" si="48"/>
        <v>0</v>
      </c>
      <c r="O103" s="11"/>
      <c r="P103" s="7"/>
      <c r="Q103" s="2"/>
      <c r="R103" s="6">
        <f t="shared" si="49"/>
        <v>0</v>
      </c>
      <c r="S103" s="2"/>
      <c r="T103" s="7">
        <v>2000</v>
      </c>
      <c r="U103" s="2"/>
      <c r="V103" s="6">
        <f t="shared" si="50"/>
        <v>3.8960183860899675E-4</v>
      </c>
      <c r="W103" s="2"/>
      <c r="X103" s="7">
        <f t="shared" si="51"/>
        <v>-2000</v>
      </c>
      <c r="Y103" s="2"/>
      <c r="Z103" s="6">
        <f t="shared" si="52"/>
        <v>-1</v>
      </c>
    </row>
    <row r="104" spans="1:26" s="24" customFormat="1" hidden="1" outlineLevel="2" x14ac:dyDescent="0.25">
      <c r="A104" s="25"/>
      <c r="B104" s="11" t="str">
        <f>CONCATENATE("          ", "6373", " - ", "MAINTENANCE CONTRACTS")</f>
        <v xml:space="preserve">          6373 - MAINTENANCE CONTRACTS</v>
      </c>
      <c r="C104" s="11"/>
      <c r="D104" s="7"/>
      <c r="E104" s="2"/>
      <c r="F104" s="6">
        <f t="shared" si="45"/>
        <v>0</v>
      </c>
      <c r="G104" s="2"/>
      <c r="H104" s="7">
        <v>40</v>
      </c>
      <c r="I104" s="2"/>
      <c r="J104" s="6">
        <f t="shared" si="46"/>
        <v>2.0481310803891446E-5</v>
      </c>
      <c r="K104" s="2"/>
      <c r="L104" s="7">
        <f t="shared" si="47"/>
        <v>-40</v>
      </c>
      <c r="M104" s="2"/>
      <c r="N104" s="6">
        <f t="shared" si="48"/>
        <v>-1</v>
      </c>
      <c r="O104" s="11"/>
      <c r="P104" s="7">
        <v>143.16</v>
      </c>
      <c r="Q104" s="2"/>
      <c r="R104" s="6">
        <f t="shared" si="49"/>
        <v>3.1031870159846008E-5</v>
      </c>
      <c r="S104" s="2"/>
      <c r="T104" s="7">
        <v>280</v>
      </c>
      <c r="U104" s="2"/>
      <c r="V104" s="6">
        <f t="shared" si="50"/>
        <v>5.4544257405259547E-5</v>
      </c>
      <c r="W104" s="2"/>
      <c r="X104" s="7">
        <f t="shared" si="51"/>
        <v>-136.84</v>
      </c>
      <c r="Y104" s="2"/>
      <c r="Z104" s="6">
        <f t="shared" si="52"/>
        <v>-0.48871428571428571</v>
      </c>
    </row>
    <row r="105" spans="1:26" s="24" customFormat="1" hidden="1" outlineLevel="2" x14ac:dyDescent="0.25">
      <c r="A105" s="25"/>
      <c r="B105" s="11" t="str">
        <f>CONCATENATE("          ", "6375", " - ", "OUTSIDE REPAIRS &amp; MAINTENANCE")</f>
        <v xml:space="preserve">          6375 - OUTSIDE REPAIRS &amp; MAINTENANCE</v>
      </c>
      <c r="C105" s="11"/>
      <c r="D105" s="7"/>
      <c r="E105" s="2"/>
      <c r="F105" s="6">
        <f t="shared" si="45"/>
        <v>0</v>
      </c>
      <c r="G105" s="2"/>
      <c r="H105" s="7">
        <v>100</v>
      </c>
      <c r="I105" s="2"/>
      <c r="J105" s="6">
        <f t="shared" si="46"/>
        <v>5.1203277009728616E-5</v>
      </c>
      <c r="K105" s="2"/>
      <c r="L105" s="7">
        <f t="shared" si="47"/>
        <v>-100</v>
      </c>
      <c r="M105" s="2"/>
      <c r="N105" s="6">
        <f t="shared" si="48"/>
        <v>-1</v>
      </c>
      <c r="O105" s="11"/>
      <c r="P105" s="7"/>
      <c r="Q105" s="2"/>
      <c r="R105" s="6">
        <f t="shared" si="49"/>
        <v>0</v>
      </c>
      <c r="S105" s="2"/>
      <c r="T105" s="7">
        <v>700</v>
      </c>
      <c r="U105" s="2"/>
      <c r="V105" s="6">
        <f t="shared" si="50"/>
        <v>1.3636064351314886E-4</v>
      </c>
      <c r="W105" s="2"/>
      <c r="X105" s="7">
        <f t="shared" si="51"/>
        <v>-700</v>
      </c>
      <c r="Y105" s="2"/>
      <c r="Z105" s="6">
        <f t="shared" si="52"/>
        <v>-1</v>
      </c>
    </row>
    <row r="106" spans="1:26" s="27" customFormat="1" outlineLevel="1" collapsed="1" x14ac:dyDescent="0.25">
      <c r="A106" s="26"/>
      <c r="B106" s="13" t="str">
        <f>CONCATENATE("     ","Subscriptions &amp; Dues                              ")</f>
        <v xml:space="preserve">     Subscriptions &amp; Dues                              </v>
      </c>
      <c r="C106" s="13"/>
      <c r="D106" s="1">
        <f>SUM(OSRRefD22_10x_0)</f>
        <v>258.10000000000002</v>
      </c>
      <c r="E106" s="1"/>
      <c r="F106" s="5">
        <f t="shared" ref="F106:F111" si="53">IF(D$12=0,0,D106/D$12)</f>
        <v>1.5426750971200939E-4</v>
      </c>
      <c r="G106" s="1"/>
      <c r="H106" s="1">
        <f>SUM(OSRRefH22_10x_0)</f>
        <v>2100</v>
      </c>
      <c r="I106" s="1"/>
      <c r="J106" s="5">
        <f t="shared" ref="J106:J111" si="54">IF(H$12=0,0,H106/H$12)</f>
        <v>1.0752688172043009E-3</v>
      </c>
      <c r="K106" s="1"/>
      <c r="L106" s="1">
        <f t="shared" ref="L106:L111" si="55">+D106-H106</f>
        <v>-1841.9</v>
      </c>
      <c r="M106" s="1"/>
      <c r="N106" s="5">
        <f t="shared" ref="N106:N111" si="56">IF(H106=0,0,L106/H106)</f>
        <v>-0.87709523809523815</v>
      </c>
      <c r="O106" s="13"/>
      <c r="P106" s="1">
        <f>SUM(OSRRefP22_10x_0)</f>
        <v>1815.5</v>
      </c>
      <c r="Q106" s="1"/>
      <c r="R106" s="5">
        <f t="shared" ref="R106:R111" si="57">IF(P$12=0,0,P106/P$12)</f>
        <v>3.9353422936015946E-4</v>
      </c>
      <c r="S106" s="1"/>
      <c r="T106" s="1">
        <f>SUM(OSRRefT22_10x_0)</f>
        <v>6400</v>
      </c>
      <c r="U106" s="1"/>
      <c r="V106" s="5">
        <f t="shared" ref="V106:V111" si="58">IF(T$12=0,0,T106/T$12)</f>
        <v>1.2467258835487896E-3</v>
      </c>
      <c r="W106" s="1"/>
      <c r="X106" s="1">
        <f t="shared" ref="X106:X111" si="59">+P106-T106</f>
        <v>-4584.5</v>
      </c>
      <c r="Y106" s="1"/>
      <c r="Z106" s="5">
        <f t="shared" ref="Z106:Z111" si="60">IF(T106=0,0,X106/T106)</f>
        <v>-0.71632812499999998</v>
      </c>
    </row>
    <row r="107" spans="1:26" s="24" customFormat="1" hidden="1" outlineLevel="2" x14ac:dyDescent="0.25">
      <c r="A107" s="25"/>
      <c r="B107" s="11" t="str">
        <f>CONCATENATE("          ", "6258", " - ", "MEMBERSHIP DUES")</f>
        <v xml:space="preserve">          6258 - MEMBERSHIP DUES</v>
      </c>
      <c r="C107" s="11"/>
      <c r="D107" s="7">
        <v>258.10000000000002</v>
      </c>
      <c r="E107" s="2"/>
      <c r="F107" s="6">
        <f t="shared" si="53"/>
        <v>1.5426750971200939E-4</v>
      </c>
      <c r="G107" s="2"/>
      <c r="H107" s="7">
        <v>2100</v>
      </c>
      <c r="I107" s="2"/>
      <c r="J107" s="6">
        <f t="shared" si="54"/>
        <v>1.0752688172043009E-3</v>
      </c>
      <c r="K107" s="2"/>
      <c r="L107" s="7">
        <f t="shared" si="55"/>
        <v>-1841.9</v>
      </c>
      <c r="M107" s="2"/>
      <c r="N107" s="6">
        <f t="shared" si="56"/>
        <v>-0.87709523809523815</v>
      </c>
      <c r="O107" s="11"/>
      <c r="P107" s="7">
        <v>1815.5</v>
      </c>
      <c r="Q107" s="2"/>
      <c r="R107" s="6">
        <f t="shared" si="57"/>
        <v>3.9353422936015946E-4</v>
      </c>
      <c r="S107" s="2"/>
      <c r="T107" s="7">
        <v>6400</v>
      </c>
      <c r="U107" s="2"/>
      <c r="V107" s="6">
        <f t="shared" si="58"/>
        <v>1.2467258835487896E-3</v>
      </c>
      <c r="W107" s="2"/>
      <c r="X107" s="7">
        <f t="shared" si="59"/>
        <v>-4584.5</v>
      </c>
      <c r="Y107" s="2"/>
      <c r="Z107" s="6">
        <f t="shared" si="60"/>
        <v>-0.71632812499999998</v>
      </c>
    </row>
    <row r="108" spans="1:26" s="27" customFormat="1" outlineLevel="1" collapsed="1" x14ac:dyDescent="0.25">
      <c r="A108" s="26"/>
      <c r="B108" s="13" t="str">
        <f>CONCATENATE("     ","Supplies                                          ")</f>
        <v xml:space="preserve">     Supplies                                          </v>
      </c>
      <c r="C108" s="13"/>
      <c r="D108" s="1">
        <f>SUM(OSRRefD22_11x_0)</f>
        <v>220.28</v>
      </c>
      <c r="E108" s="1"/>
      <c r="F108" s="5">
        <f t="shared" si="53"/>
        <v>1.3166232870732826E-4</v>
      </c>
      <c r="G108" s="1"/>
      <c r="H108" s="1">
        <f>SUM(OSRRefH22_11x_0)</f>
        <v>2500</v>
      </c>
      <c r="I108" s="1"/>
      <c r="J108" s="5">
        <f t="shared" si="54"/>
        <v>1.2800819252432153E-3</v>
      </c>
      <c r="K108" s="1"/>
      <c r="L108" s="1">
        <f t="shared" si="55"/>
        <v>-2279.7199999999998</v>
      </c>
      <c r="M108" s="1"/>
      <c r="N108" s="5">
        <f t="shared" si="56"/>
        <v>-0.91188799999999992</v>
      </c>
      <c r="O108" s="13"/>
      <c r="P108" s="1">
        <f>SUM(OSRRefP22_11x_0)</f>
        <v>9643.3300000000017</v>
      </c>
      <c r="Q108" s="1"/>
      <c r="R108" s="5">
        <f t="shared" si="57"/>
        <v>2.0903224676484203E-3</v>
      </c>
      <c r="S108" s="1"/>
      <c r="T108" s="1">
        <f>SUM(OSRRefT22_11x_0)</f>
        <v>13250</v>
      </c>
      <c r="U108" s="1"/>
      <c r="V108" s="5">
        <f t="shared" si="58"/>
        <v>2.5811121807846034E-3</v>
      </c>
      <c r="W108" s="1"/>
      <c r="X108" s="1">
        <f t="shared" si="59"/>
        <v>-3606.6699999999983</v>
      </c>
      <c r="Y108" s="1"/>
      <c r="Z108" s="5">
        <f t="shared" si="60"/>
        <v>-0.27220150943396215</v>
      </c>
    </row>
    <row r="109" spans="1:26" s="24" customFormat="1" hidden="1" outlineLevel="2" x14ac:dyDescent="0.25">
      <c r="A109" s="25"/>
      <c r="B109" s="11" t="str">
        <f>CONCATENATE("          ", "6241", " - ", "OFFICE EXPENSE")</f>
        <v xml:space="preserve">          6241 - OFFICE EXPENSE</v>
      </c>
      <c r="C109" s="11"/>
      <c r="D109" s="7">
        <v>220.28</v>
      </c>
      <c r="E109" s="2"/>
      <c r="F109" s="6">
        <f t="shared" si="53"/>
        <v>1.3166232870732826E-4</v>
      </c>
      <c r="G109" s="2"/>
      <c r="H109" s="7">
        <v>800</v>
      </c>
      <c r="I109" s="2"/>
      <c r="J109" s="6">
        <f t="shared" si="54"/>
        <v>4.0962621607782893E-4</v>
      </c>
      <c r="K109" s="2"/>
      <c r="L109" s="7">
        <f t="shared" si="55"/>
        <v>-579.72</v>
      </c>
      <c r="M109" s="2"/>
      <c r="N109" s="6">
        <f t="shared" si="56"/>
        <v>-0.72465000000000002</v>
      </c>
      <c r="O109" s="11"/>
      <c r="P109" s="7">
        <v>3804.21</v>
      </c>
      <c r="Q109" s="2"/>
      <c r="R109" s="6">
        <f t="shared" si="57"/>
        <v>8.2461407362942004E-4</v>
      </c>
      <c r="S109" s="2"/>
      <c r="T109" s="7">
        <v>4950</v>
      </c>
      <c r="U109" s="2"/>
      <c r="V109" s="6">
        <f t="shared" si="58"/>
        <v>9.6426455055726704E-4</v>
      </c>
      <c r="W109" s="2"/>
      <c r="X109" s="7">
        <f t="shared" si="59"/>
        <v>-1145.79</v>
      </c>
      <c r="Y109" s="2"/>
      <c r="Z109" s="6">
        <f t="shared" si="60"/>
        <v>-0.23147272727272727</v>
      </c>
    </row>
    <row r="110" spans="1:26" s="24" customFormat="1" hidden="1" outlineLevel="2" x14ac:dyDescent="0.25">
      <c r="A110" s="25"/>
      <c r="B110" s="11" t="str">
        <f>CONCATENATE("          ", "6245", " - ", "PRINTING")</f>
        <v xml:space="preserve">          6245 - PRINTING</v>
      </c>
      <c r="C110" s="11"/>
      <c r="D110" s="7"/>
      <c r="E110" s="2"/>
      <c r="F110" s="6">
        <f t="shared" si="53"/>
        <v>0</v>
      </c>
      <c r="G110" s="2"/>
      <c r="H110" s="7">
        <v>500</v>
      </c>
      <c r="I110" s="2"/>
      <c r="J110" s="6">
        <f t="shared" si="54"/>
        <v>2.5601638504864306E-4</v>
      </c>
      <c r="K110" s="2"/>
      <c r="L110" s="7">
        <f t="shared" si="55"/>
        <v>-500</v>
      </c>
      <c r="M110" s="2"/>
      <c r="N110" s="6">
        <f t="shared" si="56"/>
        <v>-1</v>
      </c>
      <c r="O110" s="11"/>
      <c r="P110" s="7">
        <v>4978.08</v>
      </c>
      <c r="Q110" s="2"/>
      <c r="R110" s="6">
        <f t="shared" si="57"/>
        <v>1.0790663048709571E-3</v>
      </c>
      <c r="S110" s="2"/>
      <c r="T110" s="7">
        <v>1900</v>
      </c>
      <c r="U110" s="2"/>
      <c r="V110" s="6">
        <f t="shared" si="58"/>
        <v>3.701217466785469E-4</v>
      </c>
      <c r="W110" s="2"/>
      <c r="X110" s="7">
        <f t="shared" si="59"/>
        <v>3078.08</v>
      </c>
      <c r="Y110" s="2"/>
      <c r="Z110" s="6">
        <f t="shared" si="60"/>
        <v>1.6200421052631579</v>
      </c>
    </row>
    <row r="111" spans="1:26" s="24" customFormat="1" hidden="1" outlineLevel="2" x14ac:dyDescent="0.25">
      <c r="A111" s="25"/>
      <c r="B111" s="11" t="str">
        <f>CONCATENATE("          ", "6247", " - ", "STORE SUPPLIES")</f>
        <v xml:space="preserve">          6247 - STORE SUPPLIES</v>
      </c>
      <c r="C111" s="11"/>
      <c r="D111" s="7"/>
      <c r="E111" s="2"/>
      <c r="F111" s="6">
        <f t="shared" si="53"/>
        <v>0</v>
      </c>
      <c r="G111" s="2"/>
      <c r="H111" s="7">
        <v>1200</v>
      </c>
      <c r="I111" s="2"/>
      <c r="J111" s="6">
        <f t="shared" si="54"/>
        <v>6.1443932411674336E-4</v>
      </c>
      <c r="K111" s="2"/>
      <c r="L111" s="7">
        <f t="shared" si="55"/>
        <v>-1200</v>
      </c>
      <c r="M111" s="2"/>
      <c r="N111" s="6">
        <f t="shared" si="56"/>
        <v>-1</v>
      </c>
      <c r="O111" s="11"/>
      <c r="P111" s="7">
        <v>861.04</v>
      </c>
      <c r="Q111" s="2"/>
      <c r="R111" s="6">
        <f t="shared" si="57"/>
        <v>1.8664208914804278E-4</v>
      </c>
      <c r="S111" s="2"/>
      <c r="T111" s="7">
        <v>6400</v>
      </c>
      <c r="U111" s="2"/>
      <c r="V111" s="6">
        <f t="shared" si="58"/>
        <v>1.2467258835487896E-3</v>
      </c>
      <c r="W111" s="2"/>
      <c r="X111" s="7">
        <f t="shared" si="59"/>
        <v>-5538.96</v>
      </c>
      <c r="Y111" s="2"/>
      <c r="Z111" s="6">
        <f t="shared" si="60"/>
        <v>-0.86546250000000002</v>
      </c>
    </row>
    <row r="112" spans="1:26" s="27" customFormat="1" outlineLevel="1" collapsed="1" x14ac:dyDescent="0.25">
      <c r="A112" s="26"/>
      <c r="B112" s="13" t="str">
        <f>CONCATENATE("     ","Telephone/Data Lines                              ")</f>
        <v xml:space="preserve">     Telephone/Data Lines                              </v>
      </c>
      <c r="C112" s="13"/>
      <c r="D112" s="1">
        <f>SUM(OSRRefD22_12x_0)</f>
        <v>976.35</v>
      </c>
      <c r="E112" s="1"/>
      <c r="F112" s="5">
        <f t="shared" ref="F112:F114" si="61">IF(D$12=0,0,D112/D$12)</f>
        <v>5.8356870634374415E-4</v>
      </c>
      <c r="G112" s="1"/>
      <c r="H112" s="1">
        <f>SUM(OSRRefH22_12x_0)</f>
        <v>1100</v>
      </c>
      <c r="I112" s="1"/>
      <c r="J112" s="5">
        <f t="shared" ref="J112:J114" si="62">IF(H$12=0,0,H112/H$12)</f>
        <v>5.6323604710701474E-4</v>
      </c>
      <c r="K112" s="1"/>
      <c r="L112" s="1">
        <f t="shared" ref="L112:L114" si="63">+D112-H112</f>
        <v>-123.64999999999998</v>
      </c>
      <c r="M112" s="1"/>
      <c r="N112" s="5">
        <f t="shared" ref="N112:N114" si="64">IF(H112=0,0,L112/H112)</f>
        <v>-0.11240909090909089</v>
      </c>
      <c r="O112" s="13"/>
      <c r="P112" s="1">
        <f>SUM(OSRRefP22_12x_0)</f>
        <v>5910.3899999999994</v>
      </c>
      <c r="Q112" s="1"/>
      <c r="R112" s="5">
        <f t="shared" ref="R112:R114" si="65">IF(P$12=0,0,P112/P$12)</f>
        <v>1.2811571323976824E-3</v>
      </c>
      <c r="S112" s="1"/>
      <c r="T112" s="1">
        <f>SUM(OSRRefT22_12x_0)</f>
        <v>6500</v>
      </c>
      <c r="U112" s="1"/>
      <c r="V112" s="5">
        <f t="shared" ref="V112:V114" si="66">IF(T$12=0,0,T112/T$12)</f>
        <v>1.2662059754792396E-3</v>
      </c>
      <c r="W112" s="1"/>
      <c r="X112" s="1">
        <f t="shared" ref="X112:X114" si="67">+P112-T112</f>
        <v>-589.61000000000058</v>
      </c>
      <c r="Y112" s="1"/>
      <c r="Z112" s="5">
        <f t="shared" ref="Z112:Z114" si="68">IF(T112=0,0,X112/T112)</f>
        <v>-9.0709230769230861E-2</v>
      </c>
    </row>
    <row r="113" spans="1:26" s="24" customFormat="1" hidden="1" outlineLevel="2" x14ac:dyDescent="0.25">
      <c r="A113" s="25"/>
      <c r="B113" s="11" t="str">
        <f>CONCATENATE("          ", "6303", " - ", "DATA PHONE LINES")</f>
        <v xml:space="preserve">          6303 - DATA PHONE LINES</v>
      </c>
      <c r="C113" s="11"/>
      <c r="D113" s="7">
        <v>295</v>
      </c>
      <c r="E113" s="2"/>
      <c r="F113" s="6">
        <f t="shared" si="61"/>
        <v>1.7632280265417576E-4</v>
      </c>
      <c r="G113" s="2"/>
      <c r="H113" s="7">
        <v>300</v>
      </c>
      <c r="I113" s="2"/>
      <c r="J113" s="6">
        <f t="shared" si="62"/>
        <v>1.5360983102918584E-4</v>
      </c>
      <c r="K113" s="2"/>
      <c r="L113" s="7">
        <f t="shared" si="63"/>
        <v>-5</v>
      </c>
      <c r="M113" s="2"/>
      <c r="N113" s="6">
        <f t="shared" si="64"/>
        <v>-1.6666666666666666E-2</v>
      </c>
      <c r="O113" s="11"/>
      <c r="P113" s="7">
        <v>2065</v>
      </c>
      <c r="Q113" s="2"/>
      <c r="R113" s="6">
        <f t="shared" si="65"/>
        <v>4.4761673568093047E-4</v>
      </c>
      <c r="S113" s="2"/>
      <c r="T113" s="7">
        <v>2100</v>
      </c>
      <c r="U113" s="2"/>
      <c r="V113" s="6">
        <f t="shared" si="66"/>
        <v>4.090819305394466E-4</v>
      </c>
      <c r="W113" s="2"/>
      <c r="X113" s="7">
        <f t="shared" si="67"/>
        <v>-35</v>
      </c>
      <c r="Y113" s="2"/>
      <c r="Z113" s="6">
        <f t="shared" si="68"/>
        <v>-1.6666666666666666E-2</v>
      </c>
    </row>
    <row r="114" spans="1:26" s="24" customFormat="1" hidden="1" outlineLevel="2" x14ac:dyDescent="0.25">
      <c r="A114" s="25"/>
      <c r="B114" s="11" t="str">
        <f>CONCATENATE("          ", "6309", " - ", "TELEPHONE")</f>
        <v xml:space="preserve">          6309 - TELEPHONE</v>
      </c>
      <c r="C114" s="11"/>
      <c r="D114" s="7">
        <v>681.35</v>
      </c>
      <c r="E114" s="2"/>
      <c r="F114" s="6">
        <f t="shared" si="61"/>
        <v>4.0724590368956836E-4</v>
      </c>
      <c r="G114" s="2"/>
      <c r="H114" s="7">
        <v>800</v>
      </c>
      <c r="I114" s="2"/>
      <c r="J114" s="6">
        <f t="shared" si="62"/>
        <v>4.0962621607782893E-4</v>
      </c>
      <c r="K114" s="2"/>
      <c r="L114" s="7">
        <f t="shared" si="63"/>
        <v>-118.64999999999998</v>
      </c>
      <c r="M114" s="2"/>
      <c r="N114" s="6">
        <f t="shared" si="64"/>
        <v>-0.14831249999999996</v>
      </c>
      <c r="O114" s="11"/>
      <c r="P114" s="7">
        <v>3845.39</v>
      </c>
      <c r="Q114" s="2"/>
      <c r="R114" s="6">
        <f t="shared" si="65"/>
        <v>8.3354039671675213E-4</v>
      </c>
      <c r="S114" s="2"/>
      <c r="T114" s="7">
        <v>4400</v>
      </c>
      <c r="U114" s="2"/>
      <c r="V114" s="6">
        <f t="shared" si="66"/>
        <v>8.571240449397929E-4</v>
      </c>
      <c r="W114" s="2"/>
      <c r="X114" s="7">
        <f t="shared" si="67"/>
        <v>-554.61000000000013</v>
      </c>
      <c r="Y114" s="2"/>
      <c r="Z114" s="6">
        <f t="shared" si="68"/>
        <v>-0.12604772727272731</v>
      </c>
    </row>
    <row r="115" spans="1:26" s="27" customFormat="1" outlineLevel="1" collapsed="1" x14ac:dyDescent="0.25">
      <c r="A115" s="26"/>
      <c r="B115" s="13" t="str">
        <f>CONCATENATE("     ","Training                                          ")</f>
        <v xml:space="preserve">     Training                                          </v>
      </c>
      <c r="C115" s="13"/>
      <c r="D115" s="1">
        <f>SUM(OSRRefD22_13x_0)</f>
        <v>844</v>
      </c>
      <c r="E115" s="1"/>
      <c r="F115" s="5">
        <f t="shared" ref="F115:F119" si="69">IF(D$12=0,0,D115/D$12)</f>
        <v>5.0446252691567571E-4</v>
      </c>
      <c r="G115" s="1"/>
      <c r="H115" s="1">
        <f>SUM(OSRRefH22_13x_0)</f>
        <v>800</v>
      </c>
      <c r="I115" s="1"/>
      <c r="J115" s="5">
        <f t="shared" ref="J115:J119" si="70">IF(H$12=0,0,H115/H$12)</f>
        <v>4.0962621607782893E-4</v>
      </c>
      <c r="K115" s="1"/>
      <c r="L115" s="1">
        <f t="shared" ref="L115:L119" si="71">+D115-H115</f>
        <v>44</v>
      </c>
      <c r="M115" s="1"/>
      <c r="N115" s="5">
        <f t="shared" ref="N115:N119" si="72">IF(H115=0,0,L115/H115)</f>
        <v>5.5E-2</v>
      </c>
      <c r="O115" s="13"/>
      <c r="P115" s="1">
        <f>SUM(OSRRefP22_13x_0)</f>
        <v>1391.47</v>
      </c>
      <c r="Q115" s="1"/>
      <c r="R115" s="5">
        <f t="shared" ref="R115:R119" si="73">IF(P$12=0,0,P115/P$12)</f>
        <v>3.0161998024113526E-4</v>
      </c>
      <c r="S115" s="1"/>
      <c r="T115" s="1">
        <f>SUM(OSRRefT22_13x_0)</f>
        <v>2600</v>
      </c>
      <c r="U115" s="1"/>
      <c r="V115" s="5">
        <f t="shared" ref="V115:V119" si="74">IF(T$12=0,0,T115/T$12)</f>
        <v>5.0648239019169584E-4</v>
      </c>
      <c r="W115" s="1"/>
      <c r="X115" s="1">
        <f t="shared" ref="X115:X119" si="75">+P115-T115</f>
        <v>-1208.53</v>
      </c>
      <c r="Y115" s="1"/>
      <c r="Z115" s="5">
        <f t="shared" ref="Z115:Z119" si="76">IF(T115=0,0,X115/T115)</f>
        <v>-0.46481923076923076</v>
      </c>
    </row>
    <row r="116" spans="1:26" s="24" customFormat="1" hidden="1" outlineLevel="2" x14ac:dyDescent="0.25">
      <c r="A116" s="25"/>
      <c r="B116" s="11" t="str">
        <f>CONCATENATE("          ", "6376", " - ", "TRAINING")</f>
        <v xml:space="preserve">          6376 - TRAINING</v>
      </c>
      <c r="C116" s="11"/>
      <c r="D116" s="7">
        <v>844</v>
      </c>
      <c r="E116" s="2"/>
      <c r="F116" s="6">
        <f t="shared" si="69"/>
        <v>5.0446252691567571E-4</v>
      </c>
      <c r="G116" s="2"/>
      <c r="H116" s="7">
        <v>800</v>
      </c>
      <c r="I116" s="2"/>
      <c r="J116" s="6">
        <f t="shared" si="70"/>
        <v>4.0962621607782893E-4</v>
      </c>
      <c r="K116" s="2"/>
      <c r="L116" s="7">
        <f t="shared" si="71"/>
        <v>44</v>
      </c>
      <c r="M116" s="2"/>
      <c r="N116" s="6">
        <f t="shared" si="72"/>
        <v>5.5E-2</v>
      </c>
      <c r="O116" s="11"/>
      <c r="P116" s="7">
        <v>1391.47</v>
      </c>
      <c r="Q116" s="2"/>
      <c r="R116" s="6">
        <f t="shared" si="73"/>
        <v>3.0161998024113526E-4</v>
      </c>
      <c r="S116" s="2"/>
      <c r="T116" s="7">
        <v>2600</v>
      </c>
      <c r="U116" s="2"/>
      <c r="V116" s="6">
        <f t="shared" si="74"/>
        <v>5.0648239019169584E-4</v>
      </c>
      <c r="W116" s="2"/>
      <c r="X116" s="7">
        <f t="shared" si="75"/>
        <v>-1208.53</v>
      </c>
      <c r="Y116" s="2"/>
      <c r="Z116" s="6">
        <f t="shared" si="76"/>
        <v>-0.46481923076923076</v>
      </c>
    </row>
    <row r="117" spans="1:26" s="27" customFormat="1" outlineLevel="1" collapsed="1" x14ac:dyDescent="0.25">
      <c r="A117" s="26"/>
      <c r="B117" s="13" t="str">
        <f>CONCATENATE("     ","Travel                                            ")</f>
        <v xml:space="preserve">     Travel                                            </v>
      </c>
      <c r="C117" s="13"/>
      <c r="D117" s="1">
        <f>SUM(OSRRefD22_14x_0)</f>
        <v>0</v>
      </c>
      <c r="E117" s="1"/>
      <c r="F117" s="5">
        <f t="shared" si="69"/>
        <v>0</v>
      </c>
      <c r="G117" s="1"/>
      <c r="H117" s="1">
        <f>SUM(OSRRefH22_14x_0)</f>
        <v>0</v>
      </c>
      <c r="I117" s="1"/>
      <c r="J117" s="5">
        <f t="shared" si="70"/>
        <v>0</v>
      </c>
      <c r="K117" s="1"/>
      <c r="L117" s="1">
        <f t="shared" si="71"/>
        <v>0</v>
      </c>
      <c r="M117" s="1"/>
      <c r="N117" s="5">
        <f t="shared" si="72"/>
        <v>0</v>
      </c>
      <c r="O117" s="13"/>
      <c r="P117" s="1">
        <f>SUM(OSRRefP22_14x_0)</f>
        <v>83.93</v>
      </c>
      <c r="Q117" s="1"/>
      <c r="R117" s="5">
        <f t="shared" si="73"/>
        <v>1.8192964951913073E-5</v>
      </c>
      <c r="S117" s="1"/>
      <c r="T117" s="1">
        <f>SUM(OSRRefT22_14x_0)</f>
        <v>450</v>
      </c>
      <c r="U117" s="1"/>
      <c r="V117" s="5">
        <f t="shared" si="74"/>
        <v>8.7660413687024277E-5</v>
      </c>
      <c r="W117" s="1"/>
      <c r="X117" s="1">
        <f t="shared" si="75"/>
        <v>-366.07</v>
      </c>
      <c r="Y117" s="1"/>
      <c r="Z117" s="5">
        <f t="shared" si="76"/>
        <v>-0.81348888888888893</v>
      </c>
    </row>
    <row r="118" spans="1:26" s="24" customFormat="1" hidden="1" outlineLevel="2" x14ac:dyDescent="0.25">
      <c r="A118" s="25"/>
      <c r="B118" s="11" t="str">
        <f>CONCATENATE("          ", "6292", " - ", "TRAVEL/CONFERENCE")</f>
        <v xml:space="preserve">          6292 - TRAVEL/CONFERENCE</v>
      </c>
      <c r="C118" s="11"/>
      <c r="D118" s="7"/>
      <c r="E118" s="2"/>
      <c r="F118" s="6">
        <f t="shared" si="69"/>
        <v>0</v>
      </c>
      <c r="G118" s="2"/>
      <c r="H118" s="7"/>
      <c r="I118" s="2"/>
      <c r="J118" s="6">
        <f t="shared" si="70"/>
        <v>0</v>
      </c>
      <c r="K118" s="2"/>
      <c r="L118" s="7">
        <f t="shared" si="71"/>
        <v>0</v>
      </c>
      <c r="M118" s="2"/>
      <c r="N118" s="6">
        <f t="shared" si="72"/>
        <v>0</v>
      </c>
      <c r="O118" s="11"/>
      <c r="P118" s="7">
        <v>83.93</v>
      </c>
      <c r="Q118" s="2"/>
      <c r="R118" s="6">
        <f t="shared" si="73"/>
        <v>1.8192964951913073E-5</v>
      </c>
      <c r="S118" s="2"/>
      <c r="T118" s="7"/>
      <c r="U118" s="2"/>
      <c r="V118" s="6">
        <f t="shared" si="74"/>
        <v>0</v>
      </c>
      <c r="W118" s="2"/>
      <c r="X118" s="7">
        <f t="shared" si="75"/>
        <v>83.93</v>
      </c>
      <c r="Y118" s="2"/>
      <c r="Z118" s="6">
        <f t="shared" si="76"/>
        <v>0</v>
      </c>
    </row>
    <row r="119" spans="1:26" s="24" customFormat="1" hidden="1" outlineLevel="2" x14ac:dyDescent="0.25">
      <c r="A119" s="25"/>
      <c r="B119" s="11" t="str">
        <f>CONCATENATE("          ", "6298", " - ", "VEHICLE MILEAGE")</f>
        <v xml:space="preserve">          6298 - VEHICLE MILEAGE</v>
      </c>
      <c r="C119" s="11"/>
      <c r="D119" s="7"/>
      <c r="E119" s="2"/>
      <c r="F119" s="6">
        <f t="shared" si="69"/>
        <v>0</v>
      </c>
      <c r="G119" s="2"/>
      <c r="H119" s="7"/>
      <c r="I119" s="2"/>
      <c r="J119" s="6">
        <f t="shared" si="70"/>
        <v>0</v>
      </c>
      <c r="K119" s="2"/>
      <c r="L119" s="7">
        <f t="shared" si="71"/>
        <v>0</v>
      </c>
      <c r="M119" s="2"/>
      <c r="N119" s="6">
        <f t="shared" si="72"/>
        <v>0</v>
      </c>
      <c r="O119" s="11"/>
      <c r="P119" s="7"/>
      <c r="Q119" s="2"/>
      <c r="R119" s="6">
        <f t="shared" si="73"/>
        <v>0</v>
      </c>
      <c r="S119" s="2"/>
      <c r="T119" s="7">
        <v>450</v>
      </c>
      <c r="U119" s="2"/>
      <c r="V119" s="6">
        <f t="shared" si="74"/>
        <v>8.7660413687024277E-5</v>
      </c>
      <c r="W119" s="2"/>
      <c r="X119" s="7">
        <f t="shared" si="75"/>
        <v>-450</v>
      </c>
      <c r="Y119" s="2"/>
      <c r="Z119" s="6">
        <f t="shared" si="76"/>
        <v>-1</v>
      </c>
    </row>
    <row r="120" spans="1:26" s="53" customFormat="1" x14ac:dyDescent="0.25">
      <c r="A120" s="36"/>
      <c r="B120" s="36"/>
      <c r="C120" s="36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6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25">
      <c r="A121" s="10"/>
      <c r="B121" s="28" t="s">
        <v>0</v>
      </c>
      <c r="C121" s="10"/>
      <c r="D121" s="4">
        <f>SUM(OSRRefD25x_0)</f>
        <v>-37238.14</v>
      </c>
      <c r="E121" s="4"/>
      <c r="F121" s="12">
        <f t="shared" ref="F121:F125" si="77">IF(D$12=0,0,D121/D$12)</f>
        <v>-2.2257400713317183E-2</v>
      </c>
      <c r="G121" s="4"/>
      <c r="H121" s="4">
        <f>SUM(OSRRefH25x_0)</f>
        <v>6000</v>
      </c>
      <c r="I121" s="4"/>
      <c r="J121" s="12">
        <f t="shared" ref="J121:J125" si="78">IF(H$12=0,0,H121/H$12)</f>
        <v>3.0721966205837169E-3</v>
      </c>
      <c r="K121" s="4"/>
      <c r="L121" s="4">
        <f t="shared" ref="L121:L125" si="79">+D121-H121</f>
        <v>-43238.14</v>
      </c>
      <c r="M121" s="4"/>
      <c r="N121" s="12">
        <f t="shared" ref="N121:N125" si="80">IF(H121=0,0,L121/H121)</f>
        <v>-7.2063566666666663</v>
      </c>
      <c r="O121" s="10"/>
      <c r="P121" s="4">
        <f>SUM(OSRRefP25x_0)</f>
        <v>108810.67</v>
      </c>
      <c r="Q121" s="4"/>
      <c r="R121" s="12">
        <f t="shared" ref="R121:R125" si="81">IF(P$12=0,0,P121/P$12)</f>
        <v>2.3586187366903124E-2</v>
      </c>
      <c r="S121" s="4"/>
      <c r="T121" s="4">
        <f>SUM(OSRRefT25x_0)</f>
        <v>98150</v>
      </c>
      <c r="U121" s="4"/>
      <c r="V121" s="12">
        <f t="shared" ref="V121:V125" si="82">IF(T$12=0,0,T121/T$12)</f>
        <v>1.9119710229736516E-2</v>
      </c>
      <c r="W121" s="4"/>
      <c r="X121" s="4">
        <f t="shared" ref="X121:X125" si="83">+P121-T121</f>
        <v>10660.669999999998</v>
      </c>
      <c r="Y121" s="4"/>
      <c r="Z121" s="12">
        <f t="shared" ref="Z121:Z125" si="84">IF(T121=0,0,X121/T121)</f>
        <v>0.10861609780947527</v>
      </c>
    </row>
    <row r="122" spans="1:26" s="24" customFormat="1" hidden="1" outlineLevel="1" x14ac:dyDescent="0.25">
      <c r="A122" s="44"/>
      <c r="B122" s="11" t="str">
        <f>CONCATENATE("          ", "9150", " - ", "MISC. INCOME")</f>
        <v xml:space="preserve">          9150 - MISC. INCOME</v>
      </c>
      <c r="C122" s="11"/>
      <c r="D122" s="2">
        <f>-37707.24</f>
        <v>-37707.24</v>
      </c>
      <c r="E122" s="2"/>
      <c r="F122" s="19">
        <f t="shared" si="77"/>
        <v>-2.253778385475811E-2</v>
      </c>
      <c r="G122" s="2"/>
      <c r="H122" s="2"/>
      <c r="I122" s="2"/>
      <c r="J122" s="19">
        <f t="shared" si="78"/>
        <v>0</v>
      </c>
      <c r="K122" s="2"/>
      <c r="L122" s="2">
        <f t="shared" si="79"/>
        <v>-37707.24</v>
      </c>
      <c r="M122" s="2"/>
      <c r="N122" s="19">
        <f t="shared" si="80"/>
        <v>0</v>
      </c>
      <c r="O122" s="11"/>
      <c r="P122" s="2">
        <f>--16434.61</f>
        <v>16434.61</v>
      </c>
      <c r="Q122" s="2"/>
      <c r="R122" s="19">
        <f t="shared" si="81"/>
        <v>3.5624244457090446E-3</v>
      </c>
      <c r="S122" s="2"/>
      <c r="T122" s="2"/>
      <c r="U122" s="2"/>
      <c r="V122" s="19">
        <f t="shared" si="82"/>
        <v>0</v>
      </c>
      <c r="W122" s="2"/>
      <c r="X122" s="2">
        <f t="shared" si="83"/>
        <v>16434.61</v>
      </c>
      <c r="Y122" s="2"/>
      <c r="Z122" s="19">
        <f t="shared" si="84"/>
        <v>0</v>
      </c>
    </row>
    <row r="123" spans="1:26" s="24" customFormat="1" hidden="1" outlineLevel="1" x14ac:dyDescent="0.25">
      <c r="A123" s="44"/>
      <c r="B123" s="11" t="str">
        <f>CONCATENATE("          ", "9151", " - ", "MISC. INCOME")</f>
        <v xml:space="preserve">          9151 - MISC. INCOME</v>
      </c>
      <c r="C123" s="11"/>
      <c r="D123" s="2">
        <f>0</f>
        <v>0</v>
      </c>
      <c r="E123" s="2"/>
      <c r="F123" s="19">
        <f t="shared" si="77"/>
        <v>0</v>
      </c>
      <c r="G123" s="2"/>
      <c r="H123" s="2"/>
      <c r="I123" s="2"/>
      <c r="J123" s="19">
        <f t="shared" si="78"/>
        <v>0</v>
      </c>
      <c r="K123" s="2"/>
      <c r="L123" s="2">
        <f t="shared" si="79"/>
        <v>0</v>
      </c>
      <c r="M123" s="2"/>
      <c r="N123" s="19">
        <f t="shared" si="80"/>
        <v>0</v>
      </c>
      <c r="O123" s="11"/>
      <c r="P123" s="2">
        <f>--87676.2</f>
        <v>87676.2</v>
      </c>
      <c r="Q123" s="2"/>
      <c r="R123" s="19">
        <f t="shared" si="81"/>
        <v>1.9005004571868472E-2</v>
      </c>
      <c r="S123" s="2"/>
      <c r="T123" s="2"/>
      <c r="U123" s="2"/>
      <c r="V123" s="19">
        <f t="shared" si="82"/>
        <v>0</v>
      </c>
      <c r="W123" s="2"/>
      <c r="X123" s="2">
        <f t="shared" si="83"/>
        <v>87676.2</v>
      </c>
      <c r="Y123" s="2"/>
      <c r="Z123" s="19">
        <f t="shared" si="84"/>
        <v>0</v>
      </c>
    </row>
    <row r="124" spans="1:26" s="24" customFormat="1" hidden="1" outlineLevel="1" x14ac:dyDescent="0.25">
      <c r="A124" s="44"/>
      <c r="B124" s="11" t="str">
        <f>CONCATENATE("          ", "9152", " - ", "MISC. INCOME")</f>
        <v xml:space="preserve">          9152 - MISC. INCOME</v>
      </c>
      <c r="C124" s="11"/>
      <c r="D124" s="2">
        <f>--469.1</f>
        <v>469.1</v>
      </c>
      <c r="E124" s="2"/>
      <c r="F124" s="19">
        <f t="shared" si="77"/>
        <v>2.8038314144092835E-4</v>
      </c>
      <c r="G124" s="2"/>
      <c r="H124" s="2"/>
      <c r="I124" s="2"/>
      <c r="J124" s="19">
        <f t="shared" si="78"/>
        <v>0</v>
      </c>
      <c r="K124" s="2"/>
      <c r="L124" s="2">
        <f t="shared" si="79"/>
        <v>469.1</v>
      </c>
      <c r="M124" s="2"/>
      <c r="N124" s="19">
        <f t="shared" si="80"/>
        <v>0</v>
      </c>
      <c r="O124" s="11"/>
      <c r="P124" s="2">
        <f>--4699.86</f>
        <v>4699.8599999999997</v>
      </c>
      <c r="Q124" s="2"/>
      <c r="R124" s="19">
        <f t="shared" si="81"/>
        <v>1.0187583493256067E-3</v>
      </c>
      <c r="S124" s="2"/>
      <c r="T124" s="2"/>
      <c r="U124" s="2"/>
      <c r="V124" s="19">
        <f t="shared" si="82"/>
        <v>0</v>
      </c>
      <c r="W124" s="2"/>
      <c r="X124" s="2">
        <f t="shared" si="83"/>
        <v>4699.8599999999997</v>
      </c>
      <c r="Y124" s="2"/>
      <c r="Z124" s="19">
        <f t="shared" si="84"/>
        <v>0</v>
      </c>
    </row>
    <row r="125" spans="1:26" s="24" customFormat="1" hidden="1" outlineLevel="1" x14ac:dyDescent="0.25">
      <c r="A125" s="44"/>
      <c r="B125" s="11" t="str">
        <f>CONCATENATE("          ", "9160", " - ", "MISC. INCOME")</f>
        <v xml:space="preserve">          9160 - MISC. INCOME</v>
      </c>
      <c r="C125" s="11"/>
      <c r="D125" s="2">
        <f>0</f>
        <v>0</v>
      </c>
      <c r="E125" s="2"/>
      <c r="F125" s="19">
        <f t="shared" si="77"/>
        <v>0</v>
      </c>
      <c r="G125" s="2"/>
      <c r="H125" s="2">
        <v>6000</v>
      </c>
      <c r="I125" s="2"/>
      <c r="J125" s="19">
        <f t="shared" si="78"/>
        <v>3.0721966205837169E-3</v>
      </c>
      <c r="K125" s="2"/>
      <c r="L125" s="2">
        <f t="shared" si="79"/>
        <v>-6000</v>
      </c>
      <c r="M125" s="2"/>
      <c r="N125" s="19">
        <f t="shared" si="80"/>
        <v>-1</v>
      </c>
      <c r="O125" s="11"/>
      <c r="P125" s="2">
        <f>0</f>
        <v>0</v>
      </c>
      <c r="Q125" s="2"/>
      <c r="R125" s="19">
        <f t="shared" si="81"/>
        <v>0</v>
      </c>
      <c r="S125" s="2"/>
      <c r="T125" s="2">
        <v>98150</v>
      </c>
      <c r="U125" s="2"/>
      <c r="V125" s="19">
        <f t="shared" si="82"/>
        <v>1.9119710229736516E-2</v>
      </c>
      <c r="W125" s="2"/>
      <c r="X125" s="2">
        <f t="shared" si="83"/>
        <v>-98150</v>
      </c>
      <c r="Y125" s="2"/>
      <c r="Z125" s="19">
        <f t="shared" si="84"/>
        <v>-1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9" t="s">
        <v>3</v>
      </c>
      <c r="C127" s="29"/>
      <c r="D127" s="21">
        <f>+D61-D63+D121</f>
        <v>580687.98000000021</v>
      </c>
      <c r="E127" s="14"/>
      <c r="F127" s="20">
        <f>IF(D$12=0,0,D127/D$12)</f>
        <v>0.34707976983454913</v>
      </c>
      <c r="G127" s="14"/>
      <c r="H127" s="21">
        <f>+H61-H63+H121</f>
        <v>476146.27460690797</v>
      </c>
      <c r="I127" s="14"/>
      <c r="J127" s="20">
        <f>IF(H$12=0,0,H127/H$12)</f>
        <v>0.24380249595847819</v>
      </c>
      <c r="K127" s="16"/>
      <c r="L127" s="21">
        <f>+D127-H127</f>
        <v>104541.70539309224</v>
      </c>
      <c r="M127" s="16"/>
      <c r="N127" s="20">
        <f>IF(H127=0,0,L127/H127)</f>
        <v>0.21955796142561176</v>
      </c>
      <c r="O127" s="28"/>
      <c r="P127" s="21">
        <f>+P61-P63+P121</f>
        <v>1256887.8699999978</v>
      </c>
      <c r="Q127" s="14"/>
      <c r="R127" s="20">
        <f>IF(P$12=0,0,P127/P$12)</f>
        <v>0.27244747965441002</v>
      </c>
      <c r="S127" s="14"/>
      <c r="T127" s="21">
        <f>+T61-T63+T121</f>
        <v>1122748.7467879718</v>
      </c>
      <c r="U127" s="14"/>
      <c r="V127" s="20">
        <f>IF(T$12=0,0,T127/T$12)</f>
        <v>0.21871248802227039</v>
      </c>
      <c r="W127" s="16"/>
      <c r="X127" s="21">
        <f>+P127-T127</f>
        <v>134139.12321202597</v>
      </c>
      <c r="Y127" s="16"/>
      <c r="Z127" s="20">
        <f>IF(T127=0,0,X127/T127)</f>
        <v>0.11947385699229623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2"/>
      <c r="B129" s="10" t="s">
        <v>14</v>
      </c>
      <c r="C129" s="10"/>
      <c r="D129" s="4">
        <v>163534.04999999999</v>
      </c>
      <c r="E129" s="4"/>
      <c r="F129" s="12">
        <f>IF(D$12=0,0,D129/D$12)</f>
        <v>9.7745023814874946E-2</v>
      </c>
      <c r="G129" s="4"/>
      <c r="H129" s="4">
        <v>222362</v>
      </c>
      <c r="I129" s="4"/>
      <c r="J129" s="12">
        <f>IF(H$12=0,0,H129/H$12)</f>
        <v>0.11385663082437275</v>
      </c>
      <c r="K129" s="4"/>
      <c r="L129" s="4">
        <f>+D129-H129</f>
        <v>-58827.950000000012</v>
      </c>
      <c r="M129" s="4"/>
      <c r="N129" s="12">
        <f>IF(H129=0,0,L129/H129)</f>
        <v>-0.26455936715805761</v>
      </c>
      <c r="O129" s="10"/>
      <c r="P129" s="4">
        <v>481104.11</v>
      </c>
      <c r="Q129" s="4"/>
      <c r="R129" s="12">
        <f>IF(P$12=0,0,P129/P$12)</f>
        <v>0.10428583595199965</v>
      </c>
      <c r="S129" s="4"/>
      <c r="T129" s="4">
        <v>632050</v>
      </c>
      <c r="U129" s="4"/>
      <c r="V129" s="12">
        <f>IF(T$12=0,0,T129/T$12)</f>
        <v>0.12312392104640821</v>
      </c>
      <c r="W129" s="4"/>
      <c r="X129" s="4">
        <f>+P129-T129</f>
        <v>-150945.89000000001</v>
      </c>
      <c r="Y129" s="4"/>
      <c r="Z129" s="12">
        <f>IF(T129=0,0,X129/T129)</f>
        <v>-0.23881953959338661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9" t="s">
        <v>4</v>
      </c>
      <c r="C131" s="29"/>
      <c r="D131" s="34">
        <f>+D127-D129</f>
        <v>417153.93000000023</v>
      </c>
      <c r="E131" s="14"/>
      <c r="F131" s="32">
        <f>IF(D$12=0,0,D131/D$12)</f>
        <v>0.2493347460196742</v>
      </c>
      <c r="G131" s="14"/>
      <c r="H131" s="34">
        <f>+H127-H129</f>
        <v>253784.27460690797</v>
      </c>
      <c r="I131" s="14"/>
      <c r="J131" s="32">
        <f>IF(H$12=0,0,H131/H$12)</f>
        <v>0.12994586513410544</v>
      </c>
      <c r="K131" s="16"/>
      <c r="L131" s="34">
        <f>D131-H131</f>
        <v>163369.65539309225</v>
      </c>
      <c r="M131" s="16"/>
      <c r="N131" s="32">
        <f>IF(H131=0,0,L131/H131)</f>
        <v>0.64373435133496393</v>
      </c>
      <c r="O131" s="28"/>
      <c r="P131" s="34">
        <f>+P127-P129</f>
        <v>775783.7599999978</v>
      </c>
      <c r="Q131" s="14"/>
      <c r="R131" s="32">
        <f>IF(P$12=0,0,P131/P$12)</f>
        <v>0.16816164370241035</v>
      </c>
      <c r="S131" s="14"/>
      <c r="T131" s="34">
        <f>+T127-T129</f>
        <v>490698.74678797182</v>
      </c>
      <c r="U131" s="14"/>
      <c r="V131" s="32">
        <f>IF(T$12=0,0,T131/T$12)</f>
        <v>9.5588566975862183E-2</v>
      </c>
      <c r="W131" s="16"/>
      <c r="X131" s="34">
        <f>P131-T131</f>
        <v>285085.01321202598</v>
      </c>
      <c r="Y131" s="16"/>
      <c r="Z131" s="32">
        <f>IF(T131=0,0,X131/T131)</f>
        <v>0.58097766721056987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9" t="s">
        <v>5</v>
      </c>
      <c r="C134" s="29"/>
      <c r="D134" s="31">
        <f>SUM(D131:D133)</f>
        <v>417153.93000000023</v>
      </c>
      <c r="E134" s="14"/>
      <c r="F134" s="30">
        <f>IF(D$12=0,0,D134/D$12)</f>
        <v>0.2493347460196742</v>
      </c>
      <c r="G134" s="14"/>
      <c r="H134" s="31">
        <f>SUM(H131:H133)</f>
        <v>253784.27460690797</v>
      </c>
      <c r="I134" s="14"/>
      <c r="J134" s="30">
        <f>IF(H$12=0,0,H134/H$12)</f>
        <v>0.12994586513410544</v>
      </c>
      <c r="K134" s="16"/>
      <c r="L134" s="31">
        <f>+D134-H134</f>
        <v>163369.65539309225</v>
      </c>
      <c r="M134" s="16"/>
      <c r="N134" s="30">
        <f>IF(H134=0,0,L134/H134)</f>
        <v>0.64373435133496393</v>
      </c>
      <c r="O134" s="28"/>
      <c r="P134" s="31">
        <f>SUM(P131:P133)</f>
        <v>775783.7599999978</v>
      </c>
      <c r="Q134" s="14"/>
      <c r="R134" s="30">
        <f>IF(P$12=0,0,P134/P$12)</f>
        <v>0.16816164370241035</v>
      </c>
      <c r="S134" s="14"/>
      <c r="T134" s="31">
        <f>SUM(T131:T133)</f>
        <v>490698.74678797182</v>
      </c>
      <c r="U134" s="14"/>
      <c r="V134" s="30">
        <f>IF(T$12=0,0,T134/T$12)</f>
        <v>9.5588566975862183E-2</v>
      </c>
      <c r="W134" s="16"/>
      <c r="X134" s="31">
        <f>+P134-T134</f>
        <v>285085.01321202598</v>
      </c>
      <c r="Y134" s="16"/>
      <c r="Z134" s="30">
        <f>IF(T134=0,0,X134/T134)</f>
        <v>0.58097766721056987</v>
      </c>
    </row>
    <row r="135" spans="1:26" ht="15.75" thickTop="1" x14ac:dyDescent="0.25">
      <c r="A135" s="9"/>
      <c r="C135" s="9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A136" s="9"/>
      <c r="B136" s="63">
        <v>43879.545762581016</v>
      </c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A137" s="9"/>
      <c r="B137" s="57" t="s">
        <v>314</v>
      </c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A138" s="9"/>
      <c r="B138" s="60"/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25"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","311", " - ", "Textbooks")</f>
        <v>Department 311 - Textbooks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1092908.1500000001</v>
      </c>
      <c r="E12" s="4"/>
      <c r="F12" s="12"/>
      <c r="G12" s="4"/>
      <c r="H12" s="4">
        <f>SUM(OSRRefH13x_0)</f>
        <v>1074000</v>
      </c>
      <c r="I12" s="4"/>
      <c r="J12" s="12"/>
      <c r="K12" s="4"/>
      <c r="L12" s="4">
        <f t="shared" ref="L12:L40" si="0">+D12-H12</f>
        <v>18908.15000000014</v>
      </c>
      <c r="M12" s="4"/>
      <c r="N12" s="12">
        <f t="shared" ref="N12:N40" si="1">IF(H12=0,0,L12/H12)</f>
        <v>1.7605353817504787E-2</v>
      </c>
      <c r="O12" s="10"/>
      <c r="P12" s="4">
        <f>SUM(OSRRefP13x_0)</f>
        <v>3130187.82</v>
      </c>
      <c r="Q12" s="4"/>
      <c r="R12" s="12"/>
      <c r="S12" s="4"/>
      <c r="T12" s="4">
        <f>SUM(OSRRefT13x_0)</f>
        <v>3196976</v>
      </c>
      <c r="U12" s="4"/>
      <c r="V12" s="12"/>
      <c r="W12" s="4"/>
      <c r="X12" s="4">
        <f t="shared" ref="X12:X40" si="2">+P12-T12</f>
        <v>-66788.180000000168</v>
      </c>
      <c r="Y12" s="4"/>
      <c r="Z12" s="12">
        <f t="shared" ref="Z12:Z40" si="3">IF(T12=0,0,X12/T12)</f>
        <v>-2.0891048290634703E-2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--614719.15</f>
        <v>614719.15</v>
      </c>
      <c r="E13" s="2"/>
      <c r="F13" s="19"/>
      <c r="G13" s="2"/>
      <c r="H13" s="2"/>
      <c r="I13" s="2"/>
      <c r="J13" s="19"/>
      <c r="K13" s="2"/>
      <c r="L13" s="2">
        <f t="shared" si="0"/>
        <v>614719.15</v>
      </c>
      <c r="M13" s="2"/>
      <c r="N13" s="19">
        <f t="shared" si="1"/>
        <v>0</v>
      </c>
      <c r="O13" s="11"/>
      <c r="P13" s="2">
        <f>--1898269.92</f>
        <v>1898269.92</v>
      </c>
      <c r="Q13" s="2"/>
      <c r="R13" s="19"/>
      <c r="S13" s="2"/>
      <c r="T13" s="2"/>
      <c r="U13" s="2"/>
      <c r="V13" s="19"/>
      <c r="W13" s="2"/>
      <c r="X13" s="2">
        <f t="shared" si="2"/>
        <v>1898269.92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--277674.65</f>
        <v>277674.65000000002</v>
      </c>
      <c r="E14" s="2"/>
      <c r="F14" s="19"/>
      <c r="G14" s="2"/>
      <c r="H14" s="2"/>
      <c r="I14" s="2"/>
      <c r="J14" s="19"/>
      <c r="K14" s="2"/>
      <c r="L14" s="2">
        <f t="shared" si="0"/>
        <v>277674.65000000002</v>
      </c>
      <c r="M14" s="2"/>
      <c r="N14" s="19">
        <f t="shared" si="1"/>
        <v>0</v>
      </c>
      <c r="O14" s="11"/>
      <c r="P14" s="2">
        <f>--648207.53</f>
        <v>648207.53</v>
      </c>
      <c r="Q14" s="2"/>
      <c r="R14" s="19"/>
      <c r="S14" s="2"/>
      <c r="T14" s="2"/>
      <c r="U14" s="2"/>
      <c r="V14" s="19"/>
      <c r="W14" s="2"/>
      <c r="X14" s="2">
        <f t="shared" si="2"/>
        <v>648207.53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--15841.34</f>
        <v>15841.34</v>
      </c>
      <c r="E15" s="2"/>
      <c r="F15" s="19"/>
      <c r="G15" s="2"/>
      <c r="H15" s="2"/>
      <c r="I15" s="2"/>
      <c r="J15" s="19"/>
      <c r="K15" s="2"/>
      <c r="L15" s="2">
        <f t="shared" si="0"/>
        <v>15841.34</v>
      </c>
      <c r="M15" s="2"/>
      <c r="N15" s="19">
        <f t="shared" si="1"/>
        <v>0</v>
      </c>
      <c r="O15" s="11"/>
      <c r="P15" s="2">
        <f>--32272.01</f>
        <v>32272.01</v>
      </c>
      <c r="Q15" s="2"/>
      <c r="R15" s="19"/>
      <c r="S15" s="2"/>
      <c r="T15" s="2"/>
      <c r="U15" s="2"/>
      <c r="V15" s="19"/>
      <c r="W15" s="2"/>
      <c r="X15" s="2">
        <f t="shared" si="2"/>
        <v>32272.01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--10921.53</f>
        <v>10921.53</v>
      </c>
      <c r="E16" s="2"/>
      <c r="F16" s="19"/>
      <c r="G16" s="2"/>
      <c r="H16" s="2"/>
      <c r="I16" s="2"/>
      <c r="J16" s="19"/>
      <c r="K16" s="2"/>
      <c r="L16" s="2">
        <f t="shared" si="0"/>
        <v>10921.53</v>
      </c>
      <c r="M16" s="2"/>
      <c r="N16" s="19">
        <f t="shared" si="1"/>
        <v>0</v>
      </c>
      <c r="O16" s="11"/>
      <c r="P16" s="2">
        <f>--41201.41</f>
        <v>41201.410000000003</v>
      </c>
      <c r="Q16" s="2"/>
      <c r="R16" s="19"/>
      <c r="S16" s="2"/>
      <c r="T16" s="2"/>
      <c r="U16" s="2"/>
      <c r="V16" s="19"/>
      <c r="W16" s="2"/>
      <c r="X16" s="2">
        <f t="shared" si="2"/>
        <v>41201.410000000003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--13.22</f>
        <v>13.22</v>
      </c>
      <c r="Q17" s="2"/>
      <c r="R17" s="19"/>
      <c r="S17" s="2"/>
      <c r="T17" s="2"/>
      <c r="U17" s="2"/>
      <c r="V17" s="19"/>
      <c r="W17" s="2"/>
      <c r="X17" s="2">
        <f t="shared" si="2"/>
        <v>13.22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--229.57</f>
        <v>229.57</v>
      </c>
      <c r="E18" s="2"/>
      <c r="F18" s="19"/>
      <c r="G18" s="2"/>
      <c r="H18" s="2"/>
      <c r="I18" s="2"/>
      <c r="J18" s="19"/>
      <c r="K18" s="2"/>
      <c r="L18" s="2">
        <f t="shared" si="0"/>
        <v>229.57</v>
      </c>
      <c r="M18" s="2"/>
      <c r="N18" s="19">
        <f t="shared" si="1"/>
        <v>0</v>
      </c>
      <c r="O18" s="11"/>
      <c r="P18" s="2">
        <f>--1509.89</f>
        <v>1509.89</v>
      </c>
      <c r="Q18" s="2"/>
      <c r="R18" s="19"/>
      <c r="S18" s="2"/>
      <c r="T18" s="2"/>
      <c r="U18" s="2"/>
      <c r="V18" s="19"/>
      <c r="W18" s="2"/>
      <c r="X18" s="2">
        <f t="shared" si="2"/>
        <v>1509.89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--107.48</f>
        <v>107.48</v>
      </c>
      <c r="E19" s="2"/>
      <c r="F19" s="19"/>
      <c r="G19" s="2"/>
      <c r="H19" s="2"/>
      <c r="I19" s="2"/>
      <c r="J19" s="19"/>
      <c r="K19" s="2"/>
      <c r="L19" s="2">
        <f t="shared" si="0"/>
        <v>107.48</v>
      </c>
      <c r="M19" s="2"/>
      <c r="N19" s="19">
        <f t="shared" si="1"/>
        <v>0</v>
      </c>
      <c r="O19" s="11"/>
      <c r="P19" s="2">
        <f>--1100.17</f>
        <v>1100.17</v>
      </c>
      <c r="Q19" s="2"/>
      <c r="R19" s="19"/>
      <c r="S19" s="2"/>
      <c r="T19" s="2"/>
      <c r="U19" s="2"/>
      <c r="V19" s="19"/>
      <c r="W19" s="2"/>
      <c r="X19" s="2">
        <f t="shared" si="2"/>
        <v>1100.17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--737.51</f>
        <v>737.51</v>
      </c>
      <c r="E20" s="2"/>
      <c r="F20" s="19"/>
      <c r="G20" s="2"/>
      <c r="H20" s="2"/>
      <c r="I20" s="2"/>
      <c r="J20" s="19"/>
      <c r="K20" s="2"/>
      <c r="L20" s="2">
        <f t="shared" si="0"/>
        <v>737.51</v>
      </c>
      <c r="M20" s="2"/>
      <c r="N20" s="19">
        <f t="shared" si="1"/>
        <v>0</v>
      </c>
      <c r="O20" s="11"/>
      <c r="P20" s="2">
        <f>--3627.9</f>
        <v>3627.9</v>
      </c>
      <c r="Q20" s="2"/>
      <c r="R20" s="19"/>
      <c r="S20" s="2"/>
      <c r="T20" s="2"/>
      <c r="U20" s="2"/>
      <c r="V20" s="19"/>
      <c r="W20" s="2"/>
      <c r="X20" s="2">
        <f t="shared" si="2"/>
        <v>3627.9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1074000</v>
      </c>
      <c r="I21" s="2"/>
      <c r="J21" s="19"/>
      <c r="K21" s="2"/>
      <c r="L21" s="2">
        <f t="shared" si="0"/>
        <v>-1074000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3196976</v>
      </c>
      <c r="U21" s="2"/>
      <c r="V21" s="19"/>
      <c r="W21" s="2"/>
      <c r="X21" s="2">
        <f t="shared" si="2"/>
        <v>-3196976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--37117.66</f>
        <v>37117.660000000003</v>
      </c>
      <c r="E22" s="2"/>
      <c r="F22" s="19"/>
      <c r="G22" s="2"/>
      <c r="H22" s="2"/>
      <c r="I22" s="2"/>
      <c r="J22" s="19"/>
      <c r="K22" s="2"/>
      <c r="L22" s="2">
        <f t="shared" si="0"/>
        <v>37117.660000000003</v>
      </c>
      <c r="M22" s="2"/>
      <c r="N22" s="19">
        <f t="shared" si="1"/>
        <v>0</v>
      </c>
      <c r="O22" s="11"/>
      <c r="P22" s="2">
        <f>--132405.23</f>
        <v>132405.23000000001</v>
      </c>
      <c r="Q22" s="2"/>
      <c r="R22" s="19"/>
      <c r="S22" s="2"/>
      <c r="T22" s="2"/>
      <c r="U22" s="2"/>
      <c r="V22" s="19"/>
      <c r="W22" s="2"/>
      <c r="X22" s="2">
        <f t="shared" si="2"/>
        <v>132405.23000000001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--28414.21</f>
        <v>28414.21</v>
      </c>
      <c r="E23" s="2"/>
      <c r="F23" s="19"/>
      <c r="G23" s="2"/>
      <c r="H23" s="2"/>
      <c r="I23" s="2"/>
      <c r="J23" s="19"/>
      <c r="K23" s="2"/>
      <c r="L23" s="2">
        <f t="shared" si="0"/>
        <v>28414.21</v>
      </c>
      <c r="M23" s="2"/>
      <c r="N23" s="19">
        <f t="shared" si="1"/>
        <v>0</v>
      </c>
      <c r="O23" s="11"/>
      <c r="P23" s="2">
        <f>--66616.8</f>
        <v>66616.800000000003</v>
      </c>
      <c r="Q23" s="2"/>
      <c r="R23" s="19"/>
      <c r="S23" s="2"/>
      <c r="T23" s="2"/>
      <c r="U23" s="2"/>
      <c r="V23" s="19"/>
      <c r="W23" s="2"/>
      <c r="X23" s="2">
        <f t="shared" si="2"/>
        <v>66616.800000000003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--334.99</f>
        <v>334.99</v>
      </c>
      <c r="E24" s="2"/>
      <c r="F24" s="19"/>
      <c r="G24" s="2"/>
      <c r="H24" s="2"/>
      <c r="I24" s="2"/>
      <c r="J24" s="19"/>
      <c r="K24" s="2"/>
      <c r="L24" s="2">
        <f t="shared" si="0"/>
        <v>334.99</v>
      </c>
      <c r="M24" s="2"/>
      <c r="N24" s="19">
        <f t="shared" si="1"/>
        <v>0</v>
      </c>
      <c r="O24" s="11"/>
      <c r="P24" s="2">
        <f>--664.97</f>
        <v>664.97</v>
      </c>
      <c r="Q24" s="2"/>
      <c r="R24" s="19"/>
      <c r="S24" s="2"/>
      <c r="T24" s="2"/>
      <c r="U24" s="2"/>
      <c r="V24" s="19"/>
      <c r="W24" s="2"/>
      <c r="X24" s="2">
        <f t="shared" si="2"/>
        <v>664.97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--169179.13</f>
        <v>169179.13</v>
      </c>
      <c r="E25" s="2"/>
      <c r="F25" s="19"/>
      <c r="G25" s="2"/>
      <c r="H25" s="2"/>
      <c r="I25" s="2"/>
      <c r="J25" s="19"/>
      <c r="K25" s="2"/>
      <c r="L25" s="2">
        <f t="shared" si="0"/>
        <v>169179.13</v>
      </c>
      <c r="M25" s="2"/>
      <c r="N25" s="19">
        <f t="shared" si="1"/>
        <v>0</v>
      </c>
      <c r="O25" s="11"/>
      <c r="P25" s="2">
        <f>--502067.96</f>
        <v>502067.96</v>
      </c>
      <c r="Q25" s="2"/>
      <c r="R25" s="19"/>
      <c r="S25" s="2"/>
      <c r="T25" s="2"/>
      <c r="U25" s="2"/>
      <c r="V25" s="19"/>
      <c r="W25" s="2"/>
      <c r="X25" s="2">
        <f t="shared" si="2"/>
        <v>502067.96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--4684.53</f>
        <v>4684.53</v>
      </c>
      <c r="E26" s="2"/>
      <c r="F26" s="19"/>
      <c r="G26" s="2"/>
      <c r="H26" s="2"/>
      <c r="I26" s="2"/>
      <c r="J26" s="19"/>
      <c r="K26" s="2"/>
      <c r="L26" s="2">
        <f t="shared" si="0"/>
        <v>4684.53</v>
      </c>
      <c r="M26" s="2"/>
      <c r="N26" s="19">
        <f t="shared" si="1"/>
        <v>0</v>
      </c>
      <c r="O26" s="11"/>
      <c r="P26" s="2">
        <f>--12708.5</f>
        <v>12708.5</v>
      </c>
      <c r="Q26" s="2"/>
      <c r="R26" s="19"/>
      <c r="S26" s="2"/>
      <c r="T26" s="2"/>
      <c r="U26" s="2"/>
      <c r="V26" s="19"/>
      <c r="W26" s="2"/>
      <c r="X26" s="2">
        <f t="shared" si="2"/>
        <v>12708.5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 t="shared" ref="D27:D28" si="4"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--1146.72</f>
        <v>1146.72</v>
      </c>
      <c r="Q27" s="2"/>
      <c r="R27" s="19"/>
      <c r="S27" s="2"/>
      <c r="T27" s="2"/>
      <c r="U27" s="2"/>
      <c r="V27" s="19"/>
      <c r="W27" s="2"/>
      <c r="X27" s="2">
        <f t="shared" si="2"/>
        <v>1146.72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 t="shared" si="4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--41.91</f>
        <v>41.91</v>
      </c>
      <c r="Q28" s="2"/>
      <c r="R28" s="19"/>
      <c r="S28" s="2"/>
      <c r="T28" s="2"/>
      <c r="U28" s="2"/>
      <c r="V28" s="19"/>
      <c r="W28" s="2"/>
      <c r="X28" s="2">
        <f t="shared" si="2"/>
        <v>41.91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-37895.48</f>
        <v>-37895.480000000003</v>
      </c>
      <c r="E29" s="2"/>
      <c r="F29" s="19"/>
      <c r="G29" s="2"/>
      <c r="H29" s="2"/>
      <c r="I29" s="2"/>
      <c r="J29" s="19"/>
      <c r="K29" s="2"/>
      <c r="L29" s="2">
        <f t="shared" si="0"/>
        <v>-37895.480000000003</v>
      </c>
      <c r="M29" s="2"/>
      <c r="N29" s="19">
        <f t="shared" si="1"/>
        <v>0</v>
      </c>
      <c r="O29" s="11"/>
      <c r="P29" s="2">
        <f>-116625.85</f>
        <v>-116625.85</v>
      </c>
      <c r="Q29" s="2"/>
      <c r="R29" s="19"/>
      <c r="S29" s="2"/>
      <c r="T29" s="2"/>
      <c r="U29" s="2"/>
      <c r="V29" s="19"/>
      <c r="W29" s="2"/>
      <c r="X29" s="2">
        <f t="shared" si="2"/>
        <v>-116625.85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-16170.8</f>
        <v>-16170.8</v>
      </c>
      <c r="E30" s="2"/>
      <c r="F30" s="19"/>
      <c r="G30" s="2"/>
      <c r="H30" s="2"/>
      <c r="I30" s="2"/>
      <c r="J30" s="19"/>
      <c r="K30" s="2"/>
      <c r="L30" s="2">
        <f t="shared" si="0"/>
        <v>-16170.8</v>
      </c>
      <c r="M30" s="2"/>
      <c r="N30" s="19">
        <f t="shared" si="1"/>
        <v>0</v>
      </c>
      <c r="O30" s="11"/>
      <c r="P30" s="2">
        <f>-43379.15</f>
        <v>-43379.15</v>
      </c>
      <c r="Q30" s="2"/>
      <c r="R30" s="19"/>
      <c r="S30" s="2"/>
      <c r="T30" s="2"/>
      <c r="U30" s="2"/>
      <c r="V30" s="19"/>
      <c r="W30" s="2"/>
      <c r="X30" s="2">
        <f t="shared" si="2"/>
        <v>-43379.15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/>
      <c r="U31" s="2"/>
      <c r="V31" s="19"/>
      <c r="W31" s="2"/>
      <c r="X31" s="2">
        <f t="shared" si="2"/>
        <v>-144.99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-4891.98</f>
        <v>-4891.9799999999996</v>
      </c>
      <c r="E32" s="2"/>
      <c r="F32" s="19"/>
      <c r="G32" s="2"/>
      <c r="H32" s="2"/>
      <c r="I32" s="2"/>
      <c r="J32" s="19"/>
      <c r="K32" s="2"/>
      <c r="L32" s="2">
        <f t="shared" si="0"/>
        <v>-4891.9799999999996</v>
      </c>
      <c r="M32" s="2"/>
      <c r="N32" s="19">
        <f t="shared" si="1"/>
        <v>0</v>
      </c>
      <c r="O32" s="11"/>
      <c r="P32" s="2">
        <f>-16261.44</f>
        <v>-16261.44</v>
      </c>
      <c r="Q32" s="2"/>
      <c r="R32" s="19"/>
      <c r="S32" s="2"/>
      <c r="T32" s="2"/>
      <c r="U32" s="2"/>
      <c r="V32" s="19"/>
      <c r="W32" s="2"/>
      <c r="X32" s="2">
        <f t="shared" si="2"/>
        <v>-16261.44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-13.95</f>
        <v>-13.95</v>
      </c>
      <c r="E33" s="2"/>
      <c r="F33" s="19"/>
      <c r="G33" s="2"/>
      <c r="H33" s="2"/>
      <c r="I33" s="2"/>
      <c r="J33" s="19"/>
      <c r="K33" s="2"/>
      <c r="L33" s="2">
        <f t="shared" si="0"/>
        <v>-13.95</v>
      </c>
      <c r="M33" s="2"/>
      <c r="N33" s="19">
        <f t="shared" si="1"/>
        <v>0</v>
      </c>
      <c r="O33" s="11"/>
      <c r="P33" s="2">
        <f>-116.66</f>
        <v>-116.66</v>
      </c>
      <c r="Q33" s="2"/>
      <c r="R33" s="19"/>
      <c r="S33" s="2"/>
      <c r="T33" s="2"/>
      <c r="U33" s="2"/>
      <c r="V33" s="19"/>
      <c r="W33" s="2"/>
      <c r="X33" s="2">
        <f t="shared" si="2"/>
        <v>-116.66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-11.94</f>
        <v>-11.94</v>
      </c>
      <c r="Q34" s="2"/>
      <c r="R34" s="19"/>
      <c r="S34" s="2"/>
      <c r="T34" s="2"/>
      <c r="U34" s="2"/>
      <c r="V34" s="19"/>
      <c r="W34" s="2"/>
      <c r="X34" s="2">
        <f t="shared" si="2"/>
        <v>-11.94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>-6.5</f>
        <v>-6.5</v>
      </c>
      <c r="E35" s="2"/>
      <c r="F35" s="19"/>
      <c r="G35" s="2"/>
      <c r="H35" s="2"/>
      <c r="I35" s="2"/>
      <c r="J35" s="19"/>
      <c r="K35" s="2"/>
      <c r="L35" s="2">
        <f t="shared" si="0"/>
        <v>-6.5</v>
      </c>
      <c r="M35" s="2"/>
      <c r="N35" s="19">
        <f t="shared" si="1"/>
        <v>0</v>
      </c>
      <c r="O35" s="11"/>
      <c r="P35" s="2">
        <f>-39.25</f>
        <v>-39.25</v>
      </c>
      <c r="Q35" s="2"/>
      <c r="R35" s="19"/>
      <c r="S35" s="2"/>
      <c r="T35" s="2"/>
      <c r="U35" s="2"/>
      <c r="V35" s="19"/>
      <c r="W35" s="2"/>
      <c r="X35" s="2">
        <f t="shared" si="2"/>
        <v>-39.25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>-2910.64</f>
        <v>-2910.64</v>
      </c>
      <c r="E36" s="2"/>
      <c r="F36" s="19"/>
      <c r="G36" s="2"/>
      <c r="H36" s="2"/>
      <c r="I36" s="2"/>
      <c r="J36" s="19"/>
      <c r="K36" s="2"/>
      <c r="L36" s="2">
        <f t="shared" si="0"/>
        <v>-2910.64</v>
      </c>
      <c r="M36" s="2"/>
      <c r="N36" s="19">
        <f t="shared" si="1"/>
        <v>0</v>
      </c>
      <c r="O36" s="11"/>
      <c r="P36" s="2">
        <f>-15221.62</f>
        <v>-15221.62</v>
      </c>
      <c r="Q36" s="2"/>
      <c r="R36" s="19"/>
      <c r="S36" s="2"/>
      <c r="T36" s="2"/>
      <c r="U36" s="2"/>
      <c r="V36" s="19"/>
      <c r="W36" s="2"/>
      <c r="X36" s="2">
        <f t="shared" si="2"/>
        <v>-15221.62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>-614.47</f>
        <v>-614.47</v>
      </c>
      <c r="E37" s="2"/>
      <c r="F37" s="19"/>
      <c r="G37" s="2"/>
      <c r="H37" s="2"/>
      <c r="I37" s="2"/>
      <c r="J37" s="19"/>
      <c r="K37" s="2"/>
      <c r="L37" s="2">
        <f t="shared" si="0"/>
        <v>-614.47</v>
      </c>
      <c r="M37" s="2"/>
      <c r="N37" s="19">
        <f t="shared" si="1"/>
        <v>0</v>
      </c>
      <c r="O37" s="11"/>
      <c r="P37" s="2">
        <f>-1312.37</f>
        <v>-1312.37</v>
      </c>
      <c r="Q37" s="2"/>
      <c r="R37" s="19"/>
      <c r="S37" s="2"/>
      <c r="T37" s="2"/>
      <c r="U37" s="2"/>
      <c r="V37" s="19"/>
      <c r="W37" s="2"/>
      <c r="X37" s="2">
        <f t="shared" si="2"/>
        <v>-1312.37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>0</f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/>
      <c r="U38" s="2"/>
      <c r="V38" s="19"/>
      <c r="W38" s="2"/>
      <c r="X38" s="2">
        <f t="shared" si="2"/>
        <v>-184.99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-4312.43</f>
        <v>-4312.43</v>
      </c>
      <c r="E39" s="2"/>
      <c r="F39" s="19"/>
      <c r="G39" s="2"/>
      <c r="H39" s="2"/>
      <c r="I39" s="2"/>
      <c r="J39" s="19"/>
      <c r="K39" s="2"/>
      <c r="L39" s="2">
        <f t="shared" si="0"/>
        <v>-4312.43</v>
      </c>
      <c r="M39" s="2"/>
      <c r="N39" s="19">
        <f t="shared" si="1"/>
        <v>0</v>
      </c>
      <c r="O39" s="11"/>
      <c r="P39" s="2">
        <f>-17742.75</f>
        <v>-17742.75</v>
      </c>
      <c r="Q39" s="2"/>
      <c r="R39" s="19"/>
      <c r="S39" s="2"/>
      <c r="T39" s="2"/>
      <c r="U39" s="2"/>
      <c r="V39" s="19"/>
      <c r="W39" s="2"/>
      <c r="X39" s="2">
        <f t="shared" si="2"/>
        <v>-17742.75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-237.35</f>
        <v>-237.35</v>
      </c>
      <c r="E40" s="2"/>
      <c r="F40" s="19"/>
      <c r="G40" s="2"/>
      <c r="H40" s="2"/>
      <c r="I40" s="2"/>
      <c r="J40" s="19"/>
      <c r="K40" s="2"/>
      <c r="L40" s="2">
        <f t="shared" si="0"/>
        <v>-237.35</v>
      </c>
      <c r="M40" s="2"/>
      <c r="N40" s="19">
        <f t="shared" si="1"/>
        <v>0</v>
      </c>
      <c r="O40" s="11"/>
      <c r="P40" s="2">
        <f>-625.31</f>
        <v>-625.30999999999995</v>
      </c>
      <c r="Q40" s="2"/>
      <c r="R40" s="19"/>
      <c r="S40" s="2"/>
      <c r="T40" s="2"/>
      <c r="U40" s="2"/>
      <c r="V40" s="19"/>
      <c r="W40" s="2"/>
      <c r="X40" s="2">
        <f t="shared" si="2"/>
        <v>-625.30999999999995</v>
      </c>
      <c r="Y40" s="2"/>
      <c r="Z40" s="19">
        <f t="shared" si="3"/>
        <v>0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8" t="s">
        <v>8</v>
      </c>
      <c r="C42" s="10"/>
      <c r="D42" s="4">
        <f>SUM(OSRRefD16x_0)</f>
        <v>571532.92000000016</v>
      </c>
      <c r="E42" s="4"/>
      <c r="F42" s="12">
        <f t="shared" ref="F42:F59" si="5">IF(D$12=0,0,D42/D$12)</f>
        <v>0.52294689174017051</v>
      </c>
      <c r="G42" s="4"/>
      <c r="H42" s="4">
        <f>SUM(OSRRefH16x_0)</f>
        <v>770749</v>
      </c>
      <c r="I42" s="4"/>
      <c r="J42" s="12">
        <f t="shared" ref="J42:J59" si="6">IF(H$12=0,0,H42/H$12)</f>
        <v>0.71764338919925508</v>
      </c>
      <c r="K42" s="4"/>
      <c r="L42" s="4">
        <f t="shared" ref="L42:L59" si="7">+D42-H42</f>
        <v>-199216.07999999984</v>
      </c>
      <c r="M42" s="4"/>
      <c r="N42" s="12">
        <f t="shared" ref="N42:N59" si="8">IF(H42=0,0,L42/H42)</f>
        <v>-0.25847076026047372</v>
      </c>
      <c r="O42" s="10"/>
      <c r="P42" s="4">
        <f>SUM(OSRRefP16x_0)</f>
        <v>2056937.1099999999</v>
      </c>
      <c r="Q42" s="4"/>
      <c r="R42" s="12">
        <f t="shared" ref="R42:R59" si="9">IF(P$12=0,0,P42/P$12)</f>
        <v>0.65712897381346269</v>
      </c>
      <c r="S42" s="4"/>
      <c r="T42" s="4">
        <f>SUM(OSRRefT16x_0)</f>
        <v>2298207</v>
      </c>
      <c r="U42" s="4"/>
      <c r="V42" s="12">
        <f t="shared" ref="V42:V59" si="10">IF(T$12=0,0,T42/T$12)</f>
        <v>0.71886901872269293</v>
      </c>
      <c r="W42" s="4"/>
      <c r="X42" s="4">
        <f t="shared" ref="X42:X59" si="11">+P42-T42</f>
        <v>-241269.89000000013</v>
      </c>
      <c r="Y42" s="4"/>
      <c r="Z42" s="12">
        <f t="shared" ref="Z42:Z59" si="12">IF(T42=0,0,X42/T42)</f>
        <v>-0.10498179232767114</v>
      </c>
    </row>
    <row r="43" spans="1:26" s="24" customFormat="1" hidden="1" outlineLevel="1" x14ac:dyDescent="0.25">
      <c r="A43" s="44"/>
      <c r="B43" s="11" t="str">
        <f>CONCATENATE("          ", "5000", " - ", "PURCHASES @ COST")</f>
        <v xml:space="preserve">          5000 - PURCHASES @ COST</v>
      </c>
      <c r="C43" s="11"/>
      <c r="D43" s="2"/>
      <c r="E43" s="2"/>
      <c r="F43" s="19">
        <f t="shared" si="5"/>
        <v>0</v>
      </c>
      <c r="G43" s="2"/>
      <c r="H43" s="2">
        <v>770749</v>
      </c>
      <c r="I43" s="2"/>
      <c r="J43" s="19">
        <f t="shared" si="6"/>
        <v>0.71764338919925508</v>
      </c>
      <c r="K43" s="2"/>
      <c r="L43" s="2">
        <f t="shared" si="7"/>
        <v>-770749</v>
      </c>
      <c r="M43" s="2"/>
      <c r="N43" s="19">
        <f t="shared" si="8"/>
        <v>-1</v>
      </c>
      <c r="O43" s="11"/>
      <c r="P43" s="2"/>
      <c r="Q43" s="2"/>
      <c r="R43" s="19">
        <f t="shared" si="9"/>
        <v>0</v>
      </c>
      <c r="S43" s="2"/>
      <c r="T43" s="2">
        <v>2298207</v>
      </c>
      <c r="U43" s="2"/>
      <c r="V43" s="19">
        <f t="shared" si="10"/>
        <v>0.71886901872269293</v>
      </c>
      <c r="W43" s="2"/>
      <c r="X43" s="2">
        <f t="shared" si="11"/>
        <v>-2298207</v>
      </c>
      <c r="Y43" s="2"/>
      <c r="Z43" s="19">
        <f t="shared" si="12"/>
        <v>-1</v>
      </c>
    </row>
    <row r="44" spans="1:26" s="24" customFormat="1" hidden="1" outlineLevel="1" x14ac:dyDescent="0.25">
      <c r="A44" s="44"/>
      <c r="B44" s="11" t="str">
        <f>CONCATENATE("          ", "5001", " - ", "PURCHASES @ COST-NEW TEXT")</f>
        <v xml:space="preserve">          5001 - PURCHASES @ COST-NEW TEXT</v>
      </c>
      <c r="C44" s="11"/>
      <c r="D44" s="2">
        <v>739345.02</v>
      </c>
      <c r="E44" s="2"/>
      <c r="F44" s="19">
        <f t="shared" si="5"/>
        <v>0.67649328079399895</v>
      </c>
      <c r="G44" s="2"/>
      <c r="H44" s="2"/>
      <c r="I44" s="2"/>
      <c r="J44" s="19">
        <f t="shared" si="6"/>
        <v>0</v>
      </c>
      <c r="K44" s="2"/>
      <c r="L44" s="2">
        <f t="shared" si="7"/>
        <v>739345.02</v>
      </c>
      <c r="M44" s="2"/>
      <c r="N44" s="19">
        <f t="shared" si="8"/>
        <v>0</v>
      </c>
      <c r="O44" s="11"/>
      <c r="P44" s="2">
        <v>2174334.31</v>
      </c>
      <c r="Q44" s="2"/>
      <c r="R44" s="19">
        <f t="shared" si="9"/>
        <v>0.69463381593504514</v>
      </c>
      <c r="S44" s="2"/>
      <c r="T44" s="2"/>
      <c r="U44" s="2"/>
      <c r="V44" s="19">
        <f t="shared" si="10"/>
        <v>0</v>
      </c>
      <c r="W44" s="2"/>
      <c r="X44" s="2">
        <f t="shared" si="11"/>
        <v>2174334.31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"5002", " - ", "PURCHASES @ COST-USED TEXT")</f>
        <v xml:space="preserve">          5002 - PURCHASES @ COST-USED TEXT</v>
      </c>
      <c r="C45" s="11"/>
      <c r="D45" s="2">
        <v>-21642.639999999999</v>
      </c>
      <c r="E45" s="2"/>
      <c r="F45" s="19">
        <f t="shared" si="5"/>
        <v>-1.9802798615784864E-2</v>
      </c>
      <c r="G45" s="2"/>
      <c r="H45" s="2"/>
      <c r="I45" s="2"/>
      <c r="J45" s="19">
        <f t="shared" si="6"/>
        <v>0</v>
      </c>
      <c r="K45" s="2"/>
      <c r="L45" s="2">
        <f t="shared" si="7"/>
        <v>-21642.639999999999</v>
      </c>
      <c r="M45" s="2"/>
      <c r="N45" s="19">
        <f t="shared" si="8"/>
        <v>0</v>
      </c>
      <c r="O45" s="11"/>
      <c r="P45" s="2">
        <v>-136150.99</v>
      </c>
      <c r="Q45" s="2"/>
      <c r="R45" s="19">
        <f t="shared" si="9"/>
        <v>-4.3496108805381524E-2</v>
      </c>
      <c r="S45" s="2"/>
      <c r="T45" s="2"/>
      <c r="U45" s="2"/>
      <c r="V45" s="19">
        <f t="shared" si="10"/>
        <v>0</v>
      </c>
      <c r="W45" s="2"/>
      <c r="X45" s="2">
        <f t="shared" si="11"/>
        <v>-136150.99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"5003", " - ", "PURCHASES @ COST-RENTAL TEXT")</f>
        <v xml:space="preserve">          5003 - PURCHASES @ COST-RENTAL TEXT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-78.400000000000006</v>
      </c>
      <c r="Q46" s="2"/>
      <c r="R46" s="19">
        <f t="shared" si="9"/>
        <v>-2.5046420377420039E-5</v>
      </c>
      <c r="S46" s="2"/>
      <c r="T46" s="2"/>
      <c r="U46" s="2"/>
      <c r="V46" s="19">
        <f t="shared" si="10"/>
        <v>0</v>
      </c>
      <c r="W46" s="2"/>
      <c r="X46" s="2">
        <f t="shared" si="11"/>
        <v>-78.400000000000006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"5004", " - ", "PURCHASES @ COST-DIGITAL TEXT")</f>
        <v xml:space="preserve">          5004 - PURCHASES @ COST-DIGITAL TEXT</v>
      </c>
      <c r="C47" s="11"/>
      <c r="D47" s="2">
        <v>119541.49999999999</v>
      </c>
      <c r="E47" s="2"/>
      <c r="F47" s="19">
        <f t="shared" si="5"/>
        <v>0.10937927400394989</v>
      </c>
      <c r="G47" s="2"/>
      <c r="H47" s="2"/>
      <c r="I47" s="2"/>
      <c r="J47" s="19">
        <f t="shared" si="6"/>
        <v>0</v>
      </c>
      <c r="K47" s="2"/>
      <c r="L47" s="2">
        <f t="shared" si="7"/>
        <v>119541.49999999999</v>
      </c>
      <c r="M47" s="2"/>
      <c r="N47" s="19">
        <f t="shared" si="8"/>
        <v>0</v>
      </c>
      <c r="O47" s="11"/>
      <c r="P47" s="2">
        <v>473893.77</v>
      </c>
      <c r="Q47" s="2"/>
      <c r="R47" s="19">
        <f t="shared" si="9"/>
        <v>0.15139467573546433</v>
      </c>
      <c r="S47" s="2"/>
      <c r="T47" s="2"/>
      <c r="U47" s="2"/>
      <c r="V47" s="19">
        <f t="shared" si="10"/>
        <v>0</v>
      </c>
      <c r="W47" s="2"/>
      <c r="X47" s="2">
        <f t="shared" si="11"/>
        <v>473893.77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"5011", " - ", "PURCHASES @ COST-NO VALUE TEXT")</f>
        <v xml:space="preserve">          5011 - PURCHASES @ COST-NO VALUE TEXT</v>
      </c>
      <c r="C48" s="11"/>
      <c r="D48" s="2">
        <v>573</v>
      </c>
      <c r="E48" s="2"/>
      <c r="F48" s="19">
        <f t="shared" si="5"/>
        <v>5.2428925523155805E-4</v>
      </c>
      <c r="G48" s="2"/>
      <c r="H48" s="2"/>
      <c r="I48" s="2"/>
      <c r="J48" s="19">
        <f t="shared" si="6"/>
        <v>0</v>
      </c>
      <c r="K48" s="2"/>
      <c r="L48" s="2">
        <f t="shared" si="7"/>
        <v>573</v>
      </c>
      <c r="M48" s="2"/>
      <c r="N48" s="19">
        <f t="shared" si="8"/>
        <v>0</v>
      </c>
      <c r="O48" s="11"/>
      <c r="P48" s="2">
        <v>5475</v>
      </c>
      <c r="Q48" s="2"/>
      <c r="R48" s="19">
        <f t="shared" si="9"/>
        <v>1.7490963209996773E-3</v>
      </c>
      <c r="S48" s="2"/>
      <c r="T48" s="2"/>
      <c r="U48" s="2"/>
      <c r="V48" s="19">
        <f t="shared" si="10"/>
        <v>0</v>
      </c>
      <c r="W48" s="2"/>
      <c r="X48" s="2">
        <f t="shared" si="11"/>
        <v>5475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"5013", " - ", "PURCHASES @ COST-TRADE BOOKS")</f>
        <v xml:space="preserve">          5013 - PURCHASES @ COST-TRADE BOOKS</v>
      </c>
      <c r="C49" s="11"/>
      <c r="D49" s="2">
        <v>-276.85000000000002</v>
      </c>
      <c r="E49" s="2"/>
      <c r="F49" s="19">
        <f t="shared" si="5"/>
        <v>-2.5331497436449711E-4</v>
      </c>
      <c r="G49" s="2"/>
      <c r="H49" s="2"/>
      <c r="I49" s="2"/>
      <c r="J49" s="19">
        <f t="shared" si="6"/>
        <v>0</v>
      </c>
      <c r="K49" s="2"/>
      <c r="L49" s="2">
        <f t="shared" si="7"/>
        <v>-276.85000000000002</v>
      </c>
      <c r="M49" s="2"/>
      <c r="N49" s="19">
        <f t="shared" si="8"/>
        <v>0</v>
      </c>
      <c r="O49" s="11"/>
      <c r="P49" s="2">
        <v>458.46</v>
      </c>
      <c r="Q49" s="2"/>
      <c r="R49" s="19">
        <f t="shared" si="9"/>
        <v>1.464640546713264E-4</v>
      </c>
      <c r="S49" s="2"/>
      <c r="T49" s="2"/>
      <c r="U49" s="2"/>
      <c r="V49" s="19">
        <f t="shared" si="10"/>
        <v>0</v>
      </c>
      <c r="W49" s="2"/>
      <c r="X49" s="2">
        <f t="shared" si="11"/>
        <v>458.46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"5014", " - ", "PURCHASES @ COST-REMAINDERS")</f>
        <v xml:space="preserve">          5014 - PURCHASES @ COST-REMAINDERS</v>
      </c>
      <c r="C50" s="11"/>
      <c r="D50" s="2">
        <v>69.599999999999994</v>
      </c>
      <c r="E50" s="2"/>
      <c r="F50" s="19">
        <f t="shared" si="5"/>
        <v>6.3683302206136885E-5</v>
      </c>
      <c r="G50" s="2"/>
      <c r="H50" s="2"/>
      <c r="I50" s="2"/>
      <c r="J50" s="19">
        <f t="shared" si="6"/>
        <v>0</v>
      </c>
      <c r="K50" s="2"/>
      <c r="L50" s="2">
        <f t="shared" si="7"/>
        <v>69.599999999999994</v>
      </c>
      <c r="M50" s="2"/>
      <c r="N50" s="19">
        <f t="shared" si="8"/>
        <v>0</v>
      </c>
      <c r="O50" s="11"/>
      <c r="P50" s="2">
        <v>568.92999999999995</v>
      </c>
      <c r="Q50" s="2"/>
      <c r="R50" s="19">
        <f t="shared" si="9"/>
        <v>1.8175586664956098E-4</v>
      </c>
      <c r="S50" s="2"/>
      <c r="T50" s="2"/>
      <c r="U50" s="2"/>
      <c r="V50" s="19">
        <f t="shared" si="10"/>
        <v>0</v>
      </c>
      <c r="W50" s="2"/>
      <c r="X50" s="2">
        <f t="shared" si="11"/>
        <v>568.92999999999995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"5018", " - ", "PURCHASES @ COST-STUDY GUIDES")</f>
        <v xml:space="preserve">          5018 - PURCHASES @ COST-STUDY GUIDES</v>
      </c>
      <c r="C51" s="11"/>
      <c r="D51" s="2">
        <v>1032.75</v>
      </c>
      <c r="E51" s="2"/>
      <c r="F51" s="19">
        <f t="shared" si="5"/>
        <v>9.4495589588200978E-4</v>
      </c>
      <c r="G51" s="2"/>
      <c r="H51" s="2"/>
      <c r="I51" s="2"/>
      <c r="J51" s="19">
        <f t="shared" si="6"/>
        <v>0</v>
      </c>
      <c r="K51" s="2"/>
      <c r="L51" s="2">
        <f t="shared" si="7"/>
        <v>1032.75</v>
      </c>
      <c r="M51" s="2"/>
      <c r="N51" s="19">
        <f t="shared" si="8"/>
        <v>0</v>
      </c>
      <c r="O51" s="11"/>
      <c r="P51" s="2">
        <v>2031.15</v>
      </c>
      <c r="Q51" s="2"/>
      <c r="R51" s="19">
        <f t="shared" si="9"/>
        <v>6.4889077486730503E-4</v>
      </c>
      <c r="S51" s="2"/>
      <c r="T51" s="2"/>
      <c r="U51" s="2"/>
      <c r="V51" s="19">
        <f t="shared" si="10"/>
        <v>0</v>
      </c>
      <c r="W51" s="2"/>
      <c r="X51" s="2">
        <f t="shared" si="11"/>
        <v>2031.15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"5200", " - ", "PURCHASES OFFSET")</f>
        <v xml:space="preserve">          5200 - PURCHASES OFFSET</v>
      </c>
      <c r="C52" s="11"/>
      <c r="D52" s="2">
        <v>-846175</v>
      </c>
      <c r="E52" s="2"/>
      <c r="F52" s="19">
        <f t="shared" si="5"/>
        <v>-0.77424164144077423</v>
      </c>
      <c r="G52" s="2"/>
      <c r="H52" s="2"/>
      <c r="I52" s="2"/>
      <c r="J52" s="19">
        <f t="shared" si="6"/>
        <v>0</v>
      </c>
      <c r="K52" s="2"/>
      <c r="L52" s="2">
        <f t="shared" si="7"/>
        <v>-846175</v>
      </c>
      <c r="M52" s="2"/>
      <c r="N52" s="19">
        <f t="shared" si="8"/>
        <v>0</v>
      </c>
      <c r="O52" s="11"/>
      <c r="P52" s="2">
        <v>-2574540</v>
      </c>
      <c r="Q52" s="2"/>
      <c r="R52" s="19">
        <f t="shared" si="9"/>
        <v>-0.82248738671534416</v>
      </c>
      <c r="S52" s="2"/>
      <c r="T52" s="2"/>
      <c r="U52" s="2"/>
      <c r="V52" s="19">
        <f t="shared" si="10"/>
        <v>0</v>
      </c>
      <c r="W52" s="2"/>
      <c r="X52" s="2">
        <f t="shared" si="11"/>
        <v>-2574540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"5300", " - ", "COG$ OFFSET")</f>
        <v xml:space="preserve">          5300 - COG$ OFFSET</v>
      </c>
      <c r="C53" s="11"/>
      <c r="D53" s="2">
        <v>571526</v>
      </c>
      <c r="E53" s="2"/>
      <c r="F53" s="19">
        <f t="shared" si="5"/>
        <v>0.5229405600095488</v>
      </c>
      <c r="G53" s="2"/>
      <c r="H53" s="2"/>
      <c r="I53" s="2"/>
      <c r="J53" s="19">
        <f t="shared" si="6"/>
        <v>0</v>
      </c>
      <c r="K53" s="2"/>
      <c r="L53" s="2">
        <f t="shared" si="7"/>
        <v>571526</v>
      </c>
      <c r="M53" s="2"/>
      <c r="N53" s="19">
        <f t="shared" si="8"/>
        <v>0</v>
      </c>
      <c r="O53" s="11"/>
      <c r="P53" s="2">
        <v>2056933.4699999997</v>
      </c>
      <c r="Q53" s="2"/>
      <c r="R53" s="19">
        <f t="shared" si="9"/>
        <v>0.65712781094394512</v>
      </c>
      <c r="S53" s="2"/>
      <c r="T53" s="2"/>
      <c r="U53" s="2"/>
      <c r="V53" s="19">
        <f t="shared" si="10"/>
        <v>0</v>
      </c>
      <c r="W53" s="2"/>
      <c r="X53" s="2">
        <f t="shared" si="11"/>
        <v>2056933.4699999997</v>
      </c>
      <c r="Y53" s="2"/>
      <c r="Z53" s="19">
        <f t="shared" si="12"/>
        <v>0</v>
      </c>
    </row>
    <row r="54" spans="1:26" s="24" customFormat="1" hidden="1" outlineLevel="1" x14ac:dyDescent="0.25">
      <c r="A54" s="44"/>
      <c r="B54" s="11" t="str">
        <f>CONCATENATE("          ", "5500", " - ", "FREIGHT-IN")</f>
        <v xml:space="preserve">          5500 - FREIGHT-IN</v>
      </c>
      <c r="C54" s="11"/>
      <c r="D54" s="2">
        <v>7.3</v>
      </c>
      <c r="E54" s="2"/>
      <c r="F54" s="19">
        <f t="shared" si="5"/>
        <v>6.679426811850565E-6</v>
      </c>
      <c r="G54" s="2"/>
      <c r="H54" s="2"/>
      <c r="I54" s="2"/>
      <c r="J54" s="19">
        <f t="shared" si="6"/>
        <v>0</v>
      </c>
      <c r="K54" s="2"/>
      <c r="L54" s="2">
        <f t="shared" si="7"/>
        <v>7.3</v>
      </c>
      <c r="M54" s="2"/>
      <c r="N54" s="19">
        <f t="shared" si="8"/>
        <v>0</v>
      </c>
      <c r="O54" s="11"/>
      <c r="P54" s="2">
        <v>7.3</v>
      </c>
      <c r="Q54" s="2"/>
      <c r="R54" s="19">
        <f t="shared" si="9"/>
        <v>2.3321284279995696E-6</v>
      </c>
      <c r="S54" s="2"/>
      <c r="T54" s="2"/>
      <c r="U54" s="2"/>
      <c r="V54" s="19">
        <f t="shared" si="10"/>
        <v>0</v>
      </c>
      <c r="W54" s="2"/>
      <c r="X54" s="2">
        <f t="shared" si="11"/>
        <v>7.3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"5501", " - ", "FREIGHT-IN-NEW TEXT")</f>
        <v xml:space="preserve">          5501 - FREIGHT-IN-NEW TEXT</v>
      </c>
      <c r="C55" s="11"/>
      <c r="D55" s="2">
        <v>3407.43</v>
      </c>
      <c r="E55" s="2"/>
      <c r="F55" s="19">
        <f t="shared" si="5"/>
        <v>3.1177642878772562E-3</v>
      </c>
      <c r="G55" s="2"/>
      <c r="H55" s="2"/>
      <c r="I55" s="2"/>
      <c r="J55" s="19">
        <f t="shared" si="6"/>
        <v>0</v>
      </c>
      <c r="K55" s="2"/>
      <c r="L55" s="2">
        <f t="shared" si="7"/>
        <v>3407.43</v>
      </c>
      <c r="M55" s="2"/>
      <c r="N55" s="19">
        <f t="shared" si="8"/>
        <v>0</v>
      </c>
      <c r="O55" s="11"/>
      <c r="P55" s="2">
        <v>42077.369999999995</v>
      </c>
      <c r="Q55" s="2"/>
      <c r="R55" s="19">
        <f t="shared" si="9"/>
        <v>1.3442442568829623E-2</v>
      </c>
      <c r="S55" s="2"/>
      <c r="T55" s="2"/>
      <c r="U55" s="2"/>
      <c r="V55" s="19">
        <f t="shared" si="10"/>
        <v>0</v>
      </c>
      <c r="W55" s="2"/>
      <c r="X55" s="2">
        <f t="shared" si="11"/>
        <v>42077.369999999995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"5502", " - ", "FREIGHT-IN-USED TEXT")</f>
        <v xml:space="preserve">          5502 - FREIGHT-IN-USED TEXT</v>
      </c>
      <c r="C56" s="11"/>
      <c r="D56" s="2">
        <v>4124.8100000000004</v>
      </c>
      <c r="E56" s="2"/>
      <c r="F56" s="19">
        <f t="shared" si="5"/>
        <v>3.7741597955875798E-3</v>
      </c>
      <c r="G56" s="2"/>
      <c r="H56" s="2"/>
      <c r="I56" s="2"/>
      <c r="J56" s="19">
        <f t="shared" si="6"/>
        <v>0</v>
      </c>
      <c r="K56" s="2"/>
      <c r="L56" s="2">
        <f t="shared" si="7"/>
        <v>4124.8100000000004</v>
      </c>
      <c r="M56" s="2"/>
      <c r="N56" s="19">
        <f t="shared" si="8"/>
        <v>0</v>
      </c>
      <c r="O56" s="11"/>
      <c r="P56" s="2">
        <v>11778.23</v>
      </c>
      <c r="Q56" s="2"/>
      <c r="R56" s="19">
        <f t="shared" si="9"/>
        <v>3.7627869882900511E-3</v>
      </c>
      <c r="S56" s="2"/>
      <c r="T56" s="2"/>
      <c r="U56" s="2"/>
      <c r="V56" s="19">
        <f t="shared" si="10"/>
        <v>0</v>
      </c>
      <c r="W56" s="2"/>
      <c r="X56" s="2">
        <f t="shared" si="11"/>
        <v>11778.23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"5504", " - ", "FREIGHT-IN-DIGITAL TEXT")</f>
        <v xml:space="preserve">          5504 - FREIGHT-IN-DIGITAL TEXT</v>
      </c>
      <c r="C57" s="11"/>
      <c r="D57" s="2"/>
      <c r="E57" s="2"/>
      <c r="F57" s="19">
        <f t="shared" si="5"/>
        <v>0</v>
      </c>
      <c r="G57" s="2"/>
      <c r="H57" s="2"/>
      <c r="I57" s="2"/>
      <c r="J57" s="19">
        <f t="shared" si="6"/>
        <v>0</v>
      </c>
      <c r="K57" s="2"/>
      <c r="L57" s="2">
        <f t="shared" si="7"/>
        <v>0</v>
      </c>
      <c r="M57" s="2"/>
      <c r="N57" s="19">
        <f t="shared" si="8"/>
        <v>0</v>
      </c>
      <c r="O57" s="11"/>
      <c r="P57" s="2">
        <v>105.97</v>
      </c>
      <c r="Q57" s="2"/>
      <c r="R57" s="19">
        <f t="shared" si="9"/>
        <v>3.3854198563714304E-5</v>
      </c>
      <c r="S57" s="2"/>
      <c r="T57" s="2"/>
      <c r="U57" s="2"/>
      <c r="V57" s="19">
        <f t="shared" si="10"/>
        <v>0</v>
      </c>
      <c r="W57" s="2"/>
      <c r="X57" s="2">
        <f t="shared" si="11"/>
        <v>105.97</v>
      </c>
      <c r="Y57" s="2"/>
      <c r="Z57" s="19">
        <f t="shared" si="12"/>
        <v>0</v>
      </c>
    </row>
    <row r="58" spans="1:26" s="24" customFormat="1" hidden="1" outlineLevel="1" x14ac:dyDescent="0.25">
      <c r="A58" s="44"/>
      <c r="B58" s="11" t="str">
        <f>CONCATENATE("          ", "5513", " - ", "FREIGHT-IN-TRADE BOOKS")</f>
        <v xml:space="preserve">          5513 - FREIGHT-IN-TRADE BOOKS</v>
      </c>
      <c r="C58" s="11"/>
      <c r="D58" s="2"/>
      <c r="E58" s="2"/>
      <c r="F58" s="19">
        <f t="shared" si="5"/>
        <v>0</v>
      </c>
      <c r="G58" s="2"/>
      <c r="H58" s="2"/>
      <c r="I58" s="2"/>
      <c r="J58" s="19">
        <f t="shared" si="6"/>
        <v>0</v>
      </c>
      <c r="K58" s="2"/>
      <c r="L58" s="2">
        <f t="shared" si="7"/>
        <v>0</v>
      </c>
      <c r="M58" s="2"/>
      <c r="N58" s="19">
        <f t="shared" si="8"/>
        <v>0</v>
      </c>
      <c r="O58" s="11"/>
      <c r="P58" s="2">
        <v>21.41</v>
      </c>
      <c r="Q58" s="2"/>
      <c r="R58" s="19">
        <f t="shared" si="9"/>
        <v>6.8398451566398343E-6</v>
      </c>
      <c r="S58" s="2"/>
      <c r="T58" s="2"/>
      <c r="U58" s="2"/>
      <c r="V58" s="19">
        <f t="shared" si="10"/>
        <v>0</v>
      </c>
      <c r="W58" s="2"/>
      <c r="X58" s="2">
        <f t="shared" si="11"/>
        <v>21.41</v>
      </c>
      <c r="Y58" s="2"/>
      <c r="Z58" s="19">
        <f t="shared" si="12"/>
        <v>0</v>
      </c>
    </row>
    <row r="59" spans="1:26" s="24" customFormat="1" hidden="1" outlineLevel="1" x14ac:dyDescent="0.25">
      <c r="A59" s="44"/>
      <c r="B59" s="11" t="str">
        <f>CONCATENATE("          ", "5518", " - ", "FREIGHT-IN-STUDY GUIDES")</f>
        <v xml:space="preserve">          5518 - FREIGHT-IN-STUDY GUIDES</v>
      </c>
      <c r="C59" s="11"/>
      <c r="D59" s="2"/>
      <c r="E59" s="2"/>
      <c r="F59" s="19">
        <f t="shared" si="5"/>
        <v>0</v>
      </c>
      <c r="G59" s="2"/>
      <c r="H59" s="2"/>
      <c r="I59" s="2"/>
      <c r="J59" s="19">
        <f t="shared" si="6"/>
        <v>0</v>
      </c>
      <c r="K59" s="2"/>
      <c r="L59" s="2">
        <f t="shared" si="7"/>
        <v>0</v>
      </c>
      <c r="M59" s="2"/>
      <c r="N59" s="19">
        <f t="shared" si="8"/>
        <v>0</v>
      </c>
      <c r="O59" s="11"/>
      <c r="P59" s="2">
        <v>21.13</v>
      </c>
      <c r="Q59" s="2"/>
      <c r="R59" s="19">
        <f t="shared" si="9"/>
        <v>6.7503936552919055E-6</v>
      </c>
      <c r="S59" s="2"/>
      <c r="T59" s="2"/>
      <c r="U59" s="2"/>
      <c r="V59" s="19">
        <f t="shared" si="10"/>
        <v>0</v>
      </c>
      <c r="W59" s="2"/>
      <c r="X59" s="2">
        <f t="shared" si="11"/>
        <v>21.13</v>
      </c>
      <c r="Y59" s="2"/>
      <c r="Z59" s="19">
        <f t="shared" si="12"/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9" t="s">
        <v>6</v>
      </c>
      <c r="C61" s="29"/>
      <c r="D61" s="21">
        <f>D12-D42</f>
        <v>521375.23</v>
      </c>
      <c r="E61" s="14"/>
      <c r="F61" s="20">
        <f>IF(D$12=0,0,D61/D$12)</f>
        <v>0.47705310825982944</v>
      </c>
      <c r="G61" s="14"/>
      <c r="H61" s="21">
        <f>H12-H42</f>
        <v>303251</v>
      </c>
      <c r="I61" s="14"/>
      <c r="J61" s="20">
        <f>IF(H$12=0,0,H61/H$12)</f>
        <v>0.28235661080074487</v>
      </c>
      <c r="K61" s="16"/>
      <c r="L61" s="21">
        <f>+D61-H61</f>
        <v>218124.22999999998</v>
      </c>
      <c r="M61" s="16"/>
      <c r="N61" s="20">
        <f>IF(H61=0,0,L61/H61)</f>
        <v>0.71928610293123507</v>
      </c>
      <c r="O61" s="28"/>
      <c r="P61" s="21">
        <f>P12-P42</f>
        <v>1073250.71</v>
      </c>
      <c r="Q61" s="14"/>
      <c r="R61" s="20">
        <f>IF(P$12=0,0,P61/P$12)</f>
        <v>0.34287102618653725</v>
      </c>
      <c r="S61" s="14"/>
      <c r="T61" s="21">
        <f>T12-T42</f>
        <v>898769</v>
      </c>
      <c r="U61" s="14"/>
      <c r="V61" s="20">
        <f>IF(T$12=0,0,T61/T$12)</f>
        <v>0.28113098127730707</v>
      </c>
      <c r="W61" s="16"/>
      <c r="X61" s="21">
        <f>+P61-T61</f>
        <v>174481.70999999996</v>
      </c>
      <c r="Y61" s="16"/>
      <c r="Z61" s="20">
        <f>IF(T61=0,0,X61/T61)</f>
        <v>0.19413409897315101</v>
      </c>
    </row>
    <row r="62" spans="1:26" x14ac:dyDescent="0.25">
      <c r="A62" s="9"/>
      <c r="B62" s="10"/>
      <c r="C62" s="9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8" t="s">
        <v>9</v>
      </c>
      <c r="C63" s="10"/>
      <c r="D63" s="22">
        <f>SUM(OSRRefD22x_0)</f>
        <v>51001.53</v>
      </c>
      <c r="E63" s="22"/>
      <c r="F63" s="35">
        <f t="shared" ref="F63:F74" si="13">IF(D$12=0,0,D63/D$12)</f>
        <v>4.6665888620191907E-2</v>
      </c>
      <c r="G63" s="22"/>
      <c r="H63" s="22">
        <f>SUM(OSRRefH22x_0)</f>
        <v>71192.425393092242</v>
      </c>
      <c r="I63" s="22"/>
      <c r="J63" s="35">
        <f t="shared" ref="J63:J74" si="14">IF(H$12=0,0,H63/H$12)</f>
        <v>6.6287174481463915E-2</v>
      </c>
      <c r="K63" s="4"/>
      <c r="L63" s="22">
        <f t="shared" ref="L63:L74" si="15">+D63-H63</f>
        <v>-20190.895393092243</v>
      </c>
      <c r="M63" s="4"/>
      <c r="N63" s="35">
        <f t="shared" ref="N63:N74" si="16">IF(H63=0,0,L63/H63)</f>
        <v>-0.28361016332295591</v>
      </c>
      <c r="O63" s="10"/>
      <c r="P63" s="22">
        <f>SUM(OSRRefP22x_0)</f>
        <v>306588.51999999996</v>
      </c>
      <c r="Q63" s="22"/>
      <c r="R63" s="35">
        <f t="shared" ref="R63:R74" si="17">IF(P$12=0,0,P63/P$12)</f>
        <v>9.7945726464426661E-2</v>
      </c>
      <c r="S63" s="22"/>
      <c r="T63" s="22">
        <f>SUM(OSRRefT22x_0)</f>
        <v>406308.25321202824</v>
      </c>
      <c r="U63" s="22"/>
      <c r="V63" s="35">
        <f t="shared" ref="V63:V74" si="18">IF(T$12=0,0,T63/T$12)</f>
        <v>0.12709143053061026</v>
      </c>
      <c r="W63" s="4"/>
      <c r="X63" s="22">
        <f t="shared" ref="X63:X74" si="19">+P63-T63</f>
        <v>-99719.733212028281</v>
      </c>
      <c r="Y63" s="4"/>
      <c r="Z63" s="35">
        <f t="shared" ref="Z63:Z74" si="20">IF(T63=0,0,X63/T63)</f>
        <v>-0.24542876602605079</v>
      </c>
    </row>
    <row r="64" spans="1:26" s="27" customFormat="1" outlineLevel="1" collapsed="1" x14ac:dyDescent="0.25">
      <c r="A64" s="26"/>
      <c r="B64" s="13" t="str">
        <f>CONCATENATE("     ","*Benefits                                         ")</f>
        <v xml:space="preserve">     *Benefits                                         </v>
      </c>
      <c r="C64" s="13"/>
      <c r="D64" s="1">
        <f>SUM(OSRRefD22_0x_0)</f>
        <v>10868.34</v>
      </c>
      <c r="E64" s="1"/>
      <c r="F64" s="5">
        <f t="shared" si="13"/>
        <v>9.9444221364805435E-3</v>
      </c>
      <c r="G64" s="1"/>
      <c r="H64" s="1">
        <f>SUM(OSRRefH22_0x_0)</f>
        <v>14497.099673438453</v>
      </c>
      <c r="I64" s="1"/>
      <c r="J64" s="5">
        <f t="shared" si="14"/>
        <v>1.3498230608415693E-2</v>
      </c>
      <c r="K64" s="1"/>
      <c r="L64" s="1">
        <f t="shared" si="15"/>
        <v>-3628.7596734384533</v>
      </c>
      <c r="M64" s="1"/>
      <c r="N64" s="5">
        <f t="shared" si="16"/>
        <v>-0.25030935533174659</v>
      </c>
      <c r="O64" s="13"/>
      <c r="P64" s="1">
        <f>SUM(OSRRefP22_0x_0)</f>
        <v>71759.13</v>
      </c>
      <c r="Q64" s="1"/>
      <c r="R64" s="5">
        <f t="shared" si="17"/>
        <v>2.292486397828997E-2</v>
      </c>
      <c r="S64" s="1"/>
      <c r="T64" s="1">
        <f>SUM(OSRRefT22_0x_0)</f>
        <v>91065.820590174437</v>
      </c>
      <c r="U64" s="1"/>
      <c r="V64" s="5">
        <f t="shared" si="18"/>
        <v>2.8484987247378284E-2</v>
      </c>
      <c r="W64" s="1"/>
      <c r="X64" s="1">
        <f t="shared" si="19"/>
        <v>-19306.690590174432</v>
      </c>
      <c r="Y64" s="1"/>
      <c r="Z64" s="5">
        <f t="shared" si="20"/>
        <v>-0.21200808893010217</v>
      </c>
    </row>
    <row r="65" spans="1:26" s="24" customFormat="1" hidden="1" outlineLevel="2" x14ac:dyDescent="0.25">
      <c r="A65" s="25"/>
      <c r="B65" s="11" t="str">
        <f>CONCATENATE("          ", "6111", " - ", "F.I.C.A.")</f>
        <v xml:space="preserve">          6111 - F.I.C.A.</v>
      </c>
      <c r="C65" s="11"/>
      <c r="D65" s="7">
        <v>1676.57</v>
      </c>
      <c r="E65" s="2"/>
      <c r="F65" s="6">
        <f t="shared" si="13"/>
        <v>1.5340447410882605E-3</v>
      </c>
      <c r="G65" s="2"/>
      <c r="H65" s="7">
        <v>2290.5700858107698</v>
      </c>
      <c r="I65" s="2"/>
      <c r="J65" s="6">
        <f t="shared" si="14"/>
        <v>2.1327468210528581E-3</v>
      </c>
      <c r="K65" s="2"/>
      <c r="L65" s="7">
        <f t="shared" si="15"/>
        <v>-614.00008581076986</v>
      </c>
      <c r="M65" s="2"/>
      <c r="N65" s="6">
        <f t="shared" si="16"/>
        <v>-0.26805557691260884</v>
      </c>
      <c r="O65" s="11"/>
      <c r="P65" s="7">
        <v>12311.48</v>
      </c>
      <c r="Q65" s="2"/>
      <c r="R65" s="6">
        <f t="shared" si="17"/>
        <v>3.9331441779107048E-3</v>
      </c>
      <c r="S65" s="2"/>
      <c r="T65" s="7">
        <v>13324.523691026789</v>
      </c>
      <c r="U65" s="2"/>
      <c r="V65" s="6">
        <f t="shared" si="18"/>
        <v>4.167852273844655E-3</v>
      </c>
      <c r="W65" s="2"/>
      <c r="X65" s="7">
        <f t="shared" si="19"/>
        <v>-1013.043691026789</v>
      </c>
      <c r="Y65" s="2"/>
      <c r="Z65" s="6">
        <f t="shared" si="20"/>
        <v>-7.602851062578761E-2</v>
      </c>
    </row>
    <row r="66" spans="1:26" s="24" customFormat="1" hidden="1" outlineLevel="2" x14ac:dyDescent="0.25">
      <c r="A66" s="25"/>
      <c r="B66" s="11" t="str">
        <f>CONCATENATE("          ", "6112", " - ", "COMPENSATION INSURANCE")</f>
        <v xml:space="preserve">          6112 - COMPENSATION INSURANCE</v>
      </c>
      <c r="C66" s="11"/>
      <c r="D66" s="7">
        <v>89.99</v>
      </c>
      <c r="E66" s="2"/>
      <c r="F66" s="6">
        <f t="shared" si="13"/>
        <v>8.2339947780607169E-5</v>
      </c>
      <c r="G66" s="2"/>
      <c r="H66" s="7">
        <v>842.14644168461496</v>
      </c>
      <c r="I66" s="2"/>
      <c r="J66" s="6">
        <f t="shared" si="14"/>
        <v>7.8412145408250926E-4</v>
      </c>
      <c r="K66" s="2"/>
      <c r="L66" s="7">
        <f t="shared" si="15"/>
        <v>-752.15644168461495</v>
      </c>
      <c r="M66" s="2"/>
      <c r="N66" s="6">
        <f t="shared" si="16"/>
        <v>-0.89314210029791774</v>
      </c>
      <c r="O66" s="11"/>
      <c r="P66" s="7">
        <v>473.32</v>
      </c>
      <c r="Q66" s="2"/>
      <c r="R66" s="6">
        <f t="shared" si="17"/>
        <v>1.5121137363572005E-4</v>
      </c>
      <c r="S66" s="2"/>
      <c r="T66" s="7">
        <v>4452.1767884846131</v>
      </c>
      <c r="U66" s="2"/>
      <c r="V66" s="6">
        <f t="shared" si="18"/>
        <v>1.3926212735049038E-3</v>
      </c>
      <c r="W66" s="2"/>
      <c r="X66" s="7">
        <f t="shared" si="19"/>
        <v>-3978.8567884846129</v>
      </c>
      <c r="Y66" s="2"/>
      <c r="Z66" s="6">
        <f t="shared" si="20"/>
        <v>-0.89368795928674161</v>
      </c>
    </row>
    <row r="67" spans="1:26" s="24" customFormat="1" hidden="1" outlineLevel="2" x14ac:dyDescent="0.25">
      <c r="A67" s="25"/>
      <c r="B67" s="11" t="str">
        <f>CONCATENATE("          ", "6113", " - ", "GROUP INSURANCE")</f>
        <v xml:space="preserve">          6113 - GROUP INSURANCE</v>
      </c>
      <c r="C67" s="11"/>
      <c r="D67" s="7">
        <v>4248.21</v>
      </c>
      <c r="E67" s="2"/>
      <c r="F67" s="6">
        <f t="shared" si="13"/>
        <v>3.8870695584070805E-3</v>
      </c>
      <c r="G67" s="2"/>
      <c r="H67" s="7">
        <v>5783.4615384615399</v>
      </c>
      <c r="I67" s="2"/>
      <c r="J67" s="6">
        <f t="shared" si="14"/>
        <v>5.3849734994986407E-3</v>
      </c>
      <c r="K67" s="2"/>
      <c r="L67" s="7">
        <f t="shared" si="15"/>
        <v>-1535.2515384615399</v>
      </c>
      <c r="M67" s="2"/>
      <c r="N67" s="6">
        <f t="shared" si="16"/>
        <v>-0.26545547649132156</v>
      </c>
      <c r="O67" s="11"/>
      <c r="P67" s="7">
        <v>29259.63</v>
      </c>
      <c r="Q67" s="2"/>
      <c r="R67" s="6">
        <f t="shared" si="17"/>
        <v>9.3475636870889115E-3</v>
      </c>
      <c r="S67" s="2"/>
      <c r="T67" s="7">
        <v>38597.461538461539</v>
      </c>
      <c r="U67" s="2"/>
      <c r="V67" s="6">
        <f t="shared" si="18"/>
        <v>1.2073115825224068E-2</v>
      </c>
      <c r="W67" s="2"/>
      <c r="X67" s="7">
        <f t="shared" si="19"/>
        <v>-9337.831538461538</v>
      </c>
      <c r="Y67" s="2"/>
      <c r="Z67" s="6">
        <f t="shared" si="20"/>
        <v>-0.2419286441714979</v>
      </c>
    </row>
    <row r="68" spans="1:26" s="24" customFormat="1" hidden="1" outlineLevel="2" x14ac:dyDescent="0.25">
      <c r="A68" s="25"/>
      <c r="B68" s="11" t="str">
        <f>CONCATENATE("          ", "6114", " - ", "STATE UNEMPLOYMENT INSURANCE")</f>
        <v xml:space="preserve">          6114 - STATE UNEMPLOYMENT INSURANCE</v>
      </c>
      <c r="C68" s="11"/>
      <c r="D68" s="7">
        <v>68.81</v>
      </c>
      <c r="E68" s="2"/>
      <c r="F68" s="6">
        <f t="shared" si="13"/>
        <v>6.2960460126498271E-5</v>
      </c>
      <c r="G68" s="2"/>
      <c r="H68" s="7">
        <v>115.24109202</v>
      </c>
      <c r="I68" s="2"/>
      <c r="J68" s="6">
        <f t="shared" si="14"/>
        <v>1.0730083055865921E-4</v>
      </c>
      <c r="K68" s="2"/>
      <c r="L68" s="7">
        <f t="shared" si="15"/>
        <v>-46.431092019999994</v>
      </c>
      <c r="M68" s="2"/>
      <c r="N68" s="6">
        <f t="shared" si="16"/>
        <v>-0.40290395731361101</v>
      </c>
      <c r="O68" s="11"/>
      <c r="P68" s="7">
        <v>460.4</v>
      </c>
      <c r="Q68" s="2"/>
      <c r="R68" s="6">
        <f t="shared" si="17"/>
        <v>1.4708382578780847E-4</v>
      </c>
      <c r="S68" s="2"/>
      <c r="T68" s="7">
        <v>609.24524473999998</v>
      </c>
      <c r="U68" s="2"/>
      <c r="V68" s="6">
        <f t="shared" si="18"/>
        <v>1.9056922690067113E-4</v>
      </c>
      <c r="W68" s="2"/>
      <c r="X68" s="7">
        <f t="shared" si="19"/>
        <v>-148.84524474</v>
      </c>
      <c r="Y68" s="2"/>
      <c r="Z68" s="6">
        <f t="shared" si="20"/>
        <v>-0.2443108846972139</v>
      </c>
    </row>
    <row r="69" spans="1:26" s="24" customFormat="1" hidden="1" outlineLevel="2" x14ac:dyDescent="0.25">
      <c r="A69" s="25"/>
      <c r="B69" s="11" t="str">
        <f>CONCATENATE("          ", "6115", " - ", "P.E.R.S.")</f>
        <v xml:space="preserve">          6115 - P.E.R.S.</v>
      </c>
      <c r="C69" s="11"/>
      <c r="D69" s="7">
        <v>1997.27</v>
      </c>
      <c r="E69" s="2"/>
      <c r="F69" s="6">
        <f t="shared" si="13"/>
        <v>1.8274820258225722E-3</v>
      </c>
      <c r="G69" s="2"/>
      <c r="H69" s="7">
        <v>1544.9483098461499</v>
      </c>
      <c r="I69" s="2"/>
      <c r="J69" s="6">
        <f t="shared" si="14"/>
        <v>1.4384993573986497E-3</v>
      </c>
      <c r="K69" s="2"/>
      <c r="L69" s="7">
        <f t="shared" si="15"/>
        <v>452.32169015385011</v>
      </c>
      <c r="M69" s="2"/>
      <c r="N69" s="6">
        <f t="shared" si="16"/>
        <v>0.29277464318459528</v>
      </c>
      <c r="O69" s="11"/>
      <c r="P69" s="7">
        <v>10429.67</v>
      </c>
      <c r="Q69" s="2"/>
      <c r="R69" s="6">
        <f t="shared" si="17"/>
        <v>3.3319630002266129E-3</v>
      </c>
      <c r="S69" s="2"/>
      <c r="T69" s="7">
        <v>9578.6795210461296</v>
      </c>
      <c r="U69" s="2"/>
      <c r="V69" s="6">
        <f t="shared" si="18"/>
        <v>2.9961687297765543E-3</v>
      </c>
      <c r="W69" s="2"/>
      <c r="X69" s="7">
        <f t="shared" si="19"/>
        <v>850.99047895387048</v>
      </c>
      <c r="Y69" s="2"/>
      <c r="Z69" s="6">
        <f t="shared" si="20"/>
        <v>8.8842149597351816E-2</v>
      </c>
    </row>
    <row r="70" spans="1:26" s="24" customFormat="1" hidden="1" outlineLevel="2" x14ac:dyDescent="0.25">
      <c r="A70" s="25"/>
      <c r="B70" s="11" t="str">
        <f>CONCATENATE("          ", "6116", " - ", "EDUCATIONAL BENEFITS")</f>
        <v xml:space="preserve">          6116 - EDUCATIONAL BENEFITS</v>
      </c>
      <c r="C70" s="11"/>
      <c r="D70" s="7"/>
      <c r="E70" s="2"/>
      <c r="F70" s="6">
        <f t="shared" si="13"/>
        <v>0</v>
      </c>
      <c r="G70" s="2"/>
      <c r="H70" s="7">
        <v>0</v>
      </c>
      <c r="I70" s="2"/>
      <c r="J70" s="6">
        <f t="shared" si="14"/>
        <v>0</v>
      </c>
      <c r="K70" s="2"/>
      <c r="L70" s="7">
        <f t="shared" si="15"/>
        <v>0</v>
      </c>
      <c r="M70" s="2"/>
      <c r="N70" s="6">
        <f t="shared" si="16"/>
        <v>0</v>
      </c>
      <c r="O70" s="11"/>
      <c r="P70" s="7"/>
      <c r="Q70" s="2"/>
      <c r="R70" s="6">
        <f t="shared" si="17"/>
        <v>0</v>
      </c>
      <c r="S70" s="2"/>
      <c r="T70" s="7">
        <v>0</v>
      </c>
      <c r="U70" s="2"/>
      <c r="V70" s="6">
        <f t="shared" si="18"/>
        <v>0</v>
      </c>
      <c r="W70" s="2"/>
      <c r="X70" s="7">
        <f t="shared" si="19"/>
        <v>0</v>
      </c>
      <c r="Y70" s="2"/>
      <c r="Z70" s="6">
        <f t="shared" si="20"/>
        <v>0</v>
      </c>
    </row>
    <row r="71" spans="1:26" s="24" customFormat="1" hidden="1" outlineLevel="2" x14ac:dyDescent="0.25">
      <c r="A71" s="25"/>
      <c r="B71" s="11" t="str">
        <f>CONCATENATE("          ", "6117", " - ", "RETIREMENT STAFF HOURLY")</f>
        <v xml:space="preserve">          6117 - RETIREMENT STAFF HOURLY</v>
      </c>
      <c r="C71" s="11"/>
      <c r="D71" s="7">
        <v>213.49</v>
      </c>
      <c r="E71" s="2"/>
      <c r="F71" s="6">
        <f t="shared" si="13"/>
        <v>1.9534120959753112E-4</v>
      </c>
      <c r="G71" s="2"/>
      <c r="H71" s="7"/>
      <c r="I71" s="2"/>
      <c r="J71" s="6">
        <f t="shared" si="14"/>
        <v>0</v>
      </c>
      <c r="K71" s="2"/>
      <c r="L71" s="7">
        <f t="shared" si="15"/>
        <v>213.49</v>
      </c>
      <c r="M71" s="2"/>
      <c r="N71" s="6">
        <f t="shared" si="16"/>
        <v>0</v>
      </c>
      <c r="O71" s="11"/>
      <c r="P71" s="7">
        <v>952.23</v>
      </c>
      <c r="Q71" s="2"/>
      <c r="R71" s="6">
        <f t="shared" si="17"/>
        <v>3.0420858260192199E-4</v>
      </c>
      <c r="S71" s="2"/>
      <c r="T71" s="7"/>
      <c r="U71" s="2"/>
      <c r="V71" s="6">
        <f t="shared" si="18"/>
        <v>0</v>
      </c>
      <c r="W71" s="2"/>
      <c r="X71" s="7">
        <f t="shared" si="19"/>
        <v>952.23</v>
      </c>
      <c r="Y71" s="2"/>
      <c r="Z71" s="6">
        <f t="shared" si="20"/>
        <v>0</v>
      </c>
    </row>
    <row r="72" spans="1:26" s="24" customFormat="1" hidden="1" outlineLevel="2" x14ac:dyDescent="0.25">
      <c r="A72" s="25"/>
      <c r="B72" s="11" t="str">
        <f>CONCATENATE("          ", "6118", " - ", "VACATION")</f>
        <v xml:space="preserve">          6118 - VACATION</v>
      </c>
      <c r="C72" s="11"/>
      <c r="D72" s="7">
        <v>781.18</v>
      </c>
      <c r="E72" s="2"/>
      <c r="F72" s="6">
        <f t="shared" si="13"/>
        <v>7.1477186806594845E-4</v>
      </c>
      <c r="G72" s="2"/>
      <c r="H72" s="7">
        <v>1784.9504480000001</v>
      </c>
      <c r="I72" s="2"/>
      <c r="J72" s="6">
        <f t="shared" si="14"/>
        <v>1.6619650353817505E-3</v>
      </c>
      <c r="K72" s="2"/>
      <c r="L72" s="7">
        <f t="shared" si="15"/>
        <v>-1003.7704480000001</v>
      </c>
      <c r="M72" s="2"/>
      <c r="N72" s="6">
        <f t="shared" si="16"/>
        <v>-0.56235199645161249</v>
      </c>
      <c r="O72" s="11"/>
      <c r="P72" s="7">
        <v>6417.64</v>
      </c>
      <c r="Q72" s="2"/>
      <c r="R72" s="6">
        <f t="shared" si="17"/>
        <v>2.0502411896804328E-3</v>
      </c>
      <c r="S72" s="2"/>
      <c r="T72" s="7">
        <v>11066.692777599999</v>
      </c>
      <c r="U72" s="2"/>
      <c r="V72" s="6">
        <f t="shared" si="18"/>
        <v>3.4616127170175814E-3</v>
      </c>
      <c r="W72" s="2"/>
      <c r="X72" s="7">
        <f t="shared" si="19"/>
        <v>-4649.052777599999</v>
      </c>
      <c r="Y72" s="2"/>
      <c r="Z72" s="6">
        <f t="shared" si="20"/>
        <v>-0.42009413932680123</v>
      </c>
    </row>
    <row r="73" spans="1:26" s="24" customFormat="1" hidden="1" outlineLevel="2" x14ac:dyDescent="0.25">
      <c r="A73" s="25"/>
      <c r="B73" s="11" t="str">
        <f>CONCATENATE("          ", "6119", " - ", "SICK LEAVE")</f>
        <v xml:space="preserve">          6119 - SICK LEAVE</v>
      </c>
      <c r="C73" s="11"/>
      <c r="D73" s="7">
        <v>925.42</v>
      </c>
      <c r="E73" s="2"/>
      <c r="F73" s="6">
        <f t="shared" si="13"/>
        <v>8.4675002194832191E-4</v>
      </c>
      <c r="G73" s="2"/>
      <c r="H73" s="7">
        <v>1385.78175761538</v>
      </c>
      <c r="I73" s="2"/>
      <c r="J73" s="6">
        <f t="shared" si="14"/>
        <v>1.290299588096257E-3</v>
      </c>
      <c r="K73" s="2"/>
      <c r="L73" s="7">
        <f t="shared" si="15"/>
        <v>-460.36175761538004</v>
      </c>
      <c r="M73" s="2"/>
      <c r="N73" s="6">
        <f t="shared" si="16"/>
        <v>-0.33220364973454369</v>
      </c>
      <c r="O73" s="11"/>
      <c r="P73" s="7">
        <v>7045.53</v>
      </c>
      <c r="Q73" s="2"/>
      <c r="R73" s="6">
        <f t="shared" si="17"/>
        <v>2.2508329867566863E-3</v>
      </c>
      <c r="S73" s="2"/>
      <c r="T73" s="7">
        <v>8187.0410288153807</v>
      </c>
      <c r="U73" s="2"/>
      <c r="V73" s="6">
        <f t="shared" si="18"/>
        <v>2.5608703439798674E-3</v>
      </c>
      <c r="W73" s="2"/>
      <c r="X73" s="7">
        <f t="shared" si="19"/>
        <v>-1141.511028815381</v>
      </c>
      <c r="Y73" s="2"/>
      <c r="Z73" s="6">
        <f t="shared" si="20"/>
        <v>-0.1394290104077506</v>
      </c>
    </row>
    <row r="74" spans="1:26" s="24" customFormat="1" hidden="1" outlineLevel="2" x14ac:dyDescent="0.25">
      <c r="A74" s="25"/>
      <c r="B74" s="11" t="str">
        <f>CONCATENATE("          ", "6156", " - ", "EMPLOYEE MEALS")</f>
        <v xml:space="preserve">          6156 - EMPLOYEE MEALS</v>
      </c>
      <c r="C74" s="11"/>
      <c r="D74" s="7">
        <v>867.4</v>
      </c>
      <c r="E74" s="2"/>
      <c r="F74" s="6">
        <f t="shared" si="13"/>
        <v>7.9366230364372333E-4</v>
      </c>
      <c r="G74" s="2"/>
      <c r="H74" s="7">
        <v>750</v>
      </c>
      <c r="I74" s="2"/>
      <c r="J74" s="6">
        <f t="shared" si="14"/>
        <v>6.9832402234636874E-4</v>
      </c>
      <c r="K74" s="2"/>
      <c r="L74" s="7">
        <f t="shared" si="15"/>
        <v>117.39999999999998</v>
      </c>
      <c r="M74" s="2"/>
      <c r="N74" s="6">
        <f t="shared" si="16"/>
        <v>0.1565333333333333</v>
      </c>
      <c r="O74" s="11"/>
      <c r="P74" s="7">
        <v>4409.2299999999996</v>
      </c>
      <c r="Q74" s="2"/>
      <c r="R74" s="6">
        <f t="shared" si="17"/>
        <v>1.4086151546011702E-3</v>
      </c>
      <c r="S74" s="2"/>
      <c r="T74" s="7">
        <v>5250</v>
      </c>
      <c r="U74" s="2"/>
      <c r="V74" s="6">
        <f t="shared" si="18"/>
        <v>1.6421768571299878E-3</v>
      </c>
      <c r="W74" s="2"/>
      <c r="X74" s="7">
        <f t="shared" si="19"/>
        <v>-840.77000000000044</v>
      </c>
      <c r="Y74" s="2"/>
      <c r="Z74" s="6">
        <f t="shared" si="20"/>
        <v>-0.16014666666666674</v>
      </c>
    </row>
    <row r="75" spans="1:26" s="27" customFormat="1" outlineLevel="1" collapsed="1" x14ac:dyDescent="0.25">
      <c r="A75" s="26"/>
      <c r="B75" s="13" t="str">
        <f>CONCATENATE("     ","*Payroll                                          ")</f>
        <v xml:space="preserve">     *Payroll                                          </v>
      </c>
      <c r="C75" s="13"/>
      <c r="D75" s="1">
        <f>SUM(OSRRefD22_1x_0)</f>
        <v>34667.289999999994</v>
      </c>
      <c r="E75" s="1"/>
      <c r="F75" s="5">
        <f t="shared" ref="F75:F85" si="21">IF(D$12=0,0,D75/D$12)</f>
        <v>3.1720222783588894E-2</v>
      </c>
      <c r="G75" s="1"/>
      <c r="H75" s="1">
        <f>SUM(OSRRefH22_1x_0)</f>
        <v>41430.325719653796</v>
      </c>
      <c r="I75" s="1"/>
      <c r="J75" s="5">
        <f t="shared" ref="J75:J85" si="22">IF(H$12=0,0,H75/H$12)</f>
        <v>3.857572227155847E-2</v>
      </c>
      <c r="K75" s="1"/>
      <c r="L75" s="1">
        <f t="shared" ref="L75:L85" si="23">+D75-H75</f>
        <v>-6763.0357196538025</v>
      </c>
      <c r="M75" s="1"/>
      <c r="N75" s="5">
        <f t="shared" ref="N75:N85" si="24">IF(H75=0,0,L75/H75)</f>
        <v>-0.16323877744570908</v>
      </c>
      <c r="O75" s="13"/>
      <c r="P75" s="1">
        <f>SUM(OSRRefP22_1x_0)</f>
        <v>177685.43</v>
      </c>
      <c r="Q75" s="1"/>
      <c r="R75" s="5">
        <f t="shared" ref="R75:R85" si="25">IF(P$12=0,0,P75/P$12)</f>
        <v>5.6765101718401038E-2</v>
      </c>
      <c r="S75" s="1"/>
      <c r="T75" s="1">
        <f>SUM(OSRRefT22_1x_0)</f>
        <v>216387.43262185383</v>
      </c>
      <c r="U75" s="1"/>
      <c r="V75" s="5">
        <f t="shared" ref="V75:V85" si="26">IF(T$12=0,0,T75/T$12)</f>
        <v>6.7685035052453893E-2</v>
      </c>
      <c r="W75" s="1"/>
      <c r="X75" s="1">
        <f t="shared" ref="X75:X85" si="27">+P75-T75</f>
        <v>-38702.002621853841</v>
      </c>
      <c r="Y75" s="1"/>
      <c r="Z75" s="5">
        <f t="shared" ref="Z75:Z85" si="28">IF(T75=0,0,X75/T75)</f>
        <v>-0.17885513106247358</v>
      </c>
    </row>
    <row r="76" spans="1:26" s="24" customFormat="1" hidden="1" outlineLevel="2" x14ac:dyDescent="0.25">
      <c r="A76" s="25"/>
      <c r="B76" s="11" t="str">
        <f>CONCATENATE("          ", "6001", " - ", "ADMINISTRATIVE SALARIES")</f>
        <v xml:space="preserve">          6001 - ADMINISTRATIVE SALARIES</v>
      </c>
      <c r="C76" s="11"/>
      <c r="D76" s="7"/>
      <c r="E76" s="2"/>
      <c r="F76" s="6">
        <f t="shared" si="21"/>
        <v>0</v>
      </c>
      <c r="G76" s="2"/>
      <c r="H76" s="7">
        <v>0</v>
      </c>
      <c r="I76" s="2"/>
      <c r="J76" s="6">
        <f t="shared" si="22"/>
        <v>0</v>
      </c>
      <c r="K76" s="2"/>
      <c r="L76" s="7">
        <f t="shared" si="23"/>
        <v>0</v>
      </c>
      <c r="M76" s="2"/>
      <c r="N76" s="6">
        <f t="shared" si="24"/>
        <v>0</v>
      </c>
      <c r="O76" s="11"/>
      <c r="P76" s="7"/>
      <c r="Q76" s="2"/>
      <c r="R76" s="6">
        <f t="shared" si="25"/>
        <v>0</v>
      </c>
      <c r="S76" s="2"/>
      <c r="T76" s="7">
        <v>0</v>
      </c>
      <c r="U76" s="2"/>
      <c r="V76" s="6">
        <f t="shared" si="26"/>
        <v>0</v>
      </c>
      <c r="W76" s="2"/>
      <c r="X76" s="7">
        <f t="shared" si="27"/>
        <v>0</v>
      </c>
      <c r="Y76" s="2"/>
      <c r="Z76" s="6">
        <f t="shared" si="28"/>
        <v>0</v>
      </c>
    </row>
    <row r="77" spans="1:26" s="24" customFormat="1" hidden="1" outlineLevel="2" x14ac:dyDescent="0.25">
      <c r="A77" s="25"/>
      <c r="B77" s="11" t="str">
        <f>CONCATENATE("          ", "6002", " - ", "STAFF SALARIES")</f>
        <v xml:space="preserve">          6002 - STAFF SALARIES</v>
      </c>
      <c r="C77" s="11"/>
      <c r="D77" s="7">
        <v>18107.66</v>
      </c>
      <c r="E77" s="2"/>
      <c r="F77" s="6">
        <f t="shared" si="21"/>
        <v>1.656832735669507E-2</v>
      </c>
      <c r="G77" s="2"/>
      <c r="H77" s="7">
        <v>15956.265429653798</v>
      </c>
      <c r="I77" s="2"/>
      <c r="J77" s="6">
        <f t="shared" si="22"/>
        <v>1.4856857941949533E-2</v>
      </c>
      <c r="K77" s="2"/>
      <c r="L77" s="7">
        <f t="shared" si="23"/>
        <v>2151.3945703462014</v>
      </c>
      <c r="M77" s="2"/>
      <c r="N77" s="6">
        <f t="shared" si="24"/>
        <v>0.13483070834030866</v>
      </c>
      <c r="O77" s="11"/>
      <c r="P77" s="7">
        <v>107136.24</v>
      </c>
      <c r="Q77" s="2"/>
      <c r="R77" s="6">
        <f t="shared" si="25"/>
        <v>3.4226776845614336E-2</v>
      </c>
      <c r="S77" s="2"/>
      <c r="T77" s="7">
        <v>98928.845663853805</v>
      </c>
      <c r="U77" s="2"/>
      <c r="V77" s="6">
        <f t="shared" si="26"/>
        <v>3.094450682890763E-2</v>
      </c>
      <c r="W77" s="2"/>
      <c r="X77" s="7">
        <f t="shared" si="27"/>
        <v>8207.3943361462007</v>
      </c>
      <c r="Y77" s="2"/>
      <c r="Z77" s="6">
        <f t="shared" si="28"/>
        <v>8.2962600857931404E-2</v>
      </c>
    </row>
    <row r="78" spans="1:26" s="24" customFormat="1" hidden="1" outlineLevel="2" x14ac:dyDescent="0.25">
      <c r="A78" s="25"/>
      <c r="B78" s="11" t="str">
        <f>CONCATENATE("          ", "6003", " - ", "STAFF HOURLY-9 MONTH")</f>
        <v xml:space="preserve">          6003 - STAFF HOURLY-9 MONTH</v>
      </c>
      <c r="C78" s="11"/>
      <c r="D78" s="7"/>
      <c r="E78" s="2"/>
      <c r="F78" s="6">
        <f t="shared" si="21"/>
        <v>0</v>
      </c>
      <c r="G78" s="2"/>
      <c r="H78" s="7">
        <v>0</v>
      </c>
      <c r="I78" s="2"/>
      <c r="J78" s="6">
        <f t="shared" si="22"/>
        <v>0</v>
      </c>
      <c r="K78" s="2"/>
      <c r="L78" s="7">
        <f t="shared" si="23"/>
        <v>0</v>
      </c>
      <c r="M78" s="2"/>
      <c r="N78" s="6">
        <f t="shared" si="24"/>
        <v>0</v>
      </c>
      <c r="O78" s="11"/>
      <c r="P78" s="7"/>
      <c r="Q78" s="2"/>
      <c r="R78" s="6">
        <f t="shared" si="25"/>
        <v>0</v>
      </c>
      <c r="S78" s="2"/>
      <c r="T78" s="7">
        <v>0</v>
      </c>
      <c r="U78" s="2"/>
      <c r="V78" s="6">
        <f t="shared" si="26"/>
        <v>0</v>
      </c>
      <c r="W78" s="2"/>
      <c r="X78" s="7">
        <f t="shared" si="27"/>
        <v>0</v>
      </c>
      <c r="Y78" s="2"/>
      <c r="Z78" s="6">
        <f t="shared" si="28"/>
        <v>0</v>
      </c>
    </row>
    <row r="79" spans="1:26" s="24" customFormat="1" hidden="1" outlineLevel="2" x14ac:dyDescent="0.25">
      <c r="A79" s="25"/>
      <c r="B79" s="11" t="str">
        <f>CONCATENATE("          ", "6004", " - ", "STAFF HOURLY")</f>
        <v xml:space="preserve">          6004 - STAFF HOURLY</v>
      </c>
      <c r="C79" s="11"/>
      <c r="D79" s="7">
        <v>3344.03</v>
      </c>
      <c r="E79" s="2"/>
      <c r="F79" s="6">
        <f t="shared" si="21"/>
        <v>3.0597539235113214E-3</v>
      </c>
      <c r="G79" s="2"/>
      <c r="H79" s="7">
        <v>7332.4185900000002</v>
      </c>
      <c r="I79" s="2"/>
      <c r="J79" s="6">
        <f t="shared" si="22"/>
        <v>6.8272053910614526E-3</v>
      </c>
      <c r="K79" s="2"/>
      <c r="L79" s="7">
        <f t="shared" si="23"/>
        <v>-3988.38859</v>
      </c>
      <c r="M79" s="2"/>
      <c r="N79" s="6">
        <f t="shared" si="24"/>
        <v>-0.54393902108090098</v>
      </c>
      <c r="O79" s="11"/>
      <c r="P79" s="7">
        <v>21895.89</v>
      </c>
      <c r="Q79" s="2"/>
      <c r="R79" s="6">
        <f t="shared" si="25"/>
        <v>6.9950722637467811E-3</v>
      </c>
      <c r="S79" s="2"/>
      <c r="T79" s="7">
        <v>45460.995258000003</v>
      </c>
      <c r="U79" s="2"/>
      <c r="V79" s="6">
        <f t="shared" si="26"/>
        <v>1.4219998917101661E-2</v>
      </c>
      <c r="W79" s="2"/>
      <c r="X79" s="7">
        <f t="shared" si="27"/>
        <v>-23565.105258000003</v>
      </c>
      <c r="Y79" s="2"/>
      <c r="Z79" s="6">
        <f t="shared" si="28"/>
        <v>-0.51835876280894078</v>
      </c>
    </row>
    <row r="80" spans="1:26" s="24" customFormat="1" hidden="1" outlineLevel="2" x14ac:dyDescent="0.25">
      <c r="A80" s="25"/>
      <c r="B80" s="11" t="str">
        <f>CONCATENATE("          ", "6005", " - ", "TEMPORARY WAGES-HOURLY")</f>
        <v xml:space="preserve">          6005 - TEMPORARY WAGES-HOURLY</v>
      </c>
      <c r="C80" s="11"/>
      <c r="D80" s="7">
        <v>4271.78</v>
      </c>
      <c r="E80" s="2"/>
      <c r="F80" s="6">
        <f t="shared" si="21"/>
        <v>3.9086358720995893E-3</v>
      </c>
      <c r="G80" s="2"/>
      <c r="H80" s="7">
        <v>4606.8</v>
      </c>
      <c r="I80" s="2"/>
      <c r="J80" s="6">
        <f t="shared" si="22"/>
        <v>4.2893854748603357E-3</v>
      </c>
      <c r="K80" s="2"/>
      <c r="L80" s="7">
        <f t="shared" si="23"/>
        <v>-335.02000000000044</v>
      </c>
      <c r="M80" s="2"/>
      <c r="N80" s="6">
        <f t="shared" si="24"/>
        <v>-7.2722931318919951E-2</v>
      </c>
      <c r="O80" s="11"/>
      <c r="P80" s="7">
        <v>17825.05</v>
      </c>
      <c r="Q80" s="2"/>
      <c r="R80" s="6">
        <f t="shared" si="25"/>
        <v>5.694562443221059E-3</v>
      </c>
      <c r="S80" s="2"/>
      <c r="T80" s="7">
        <v>24430</v>
      </c>
      <c r="U80" s="2"/>
      <c r="V80" s="6">
        <f t="shared" si="26"/>
        <v>7.6415963085115432E-3</v>
      </c>
      <c r="W80" s="2"/>
      <c r="X80" s="7">
        <f t="shared" si="27"/>
        <v>-6604.9500000000007</v>
      </c>
      <c r="Y80" s="2"/>
      <c r="Z80" s="6">
        <f t="shared" si="28"/>
        <v>-0.27036225951698734</v>
      </c>
    </row>
    <row r="81" spans="1:26" s="24" customFormat="1" hidden="1" outlineLevel="2" x14ac:dyDescent="0.25">
      <c r="A81" s="25"/>
      <c r="B81" s="11" t="str">
        <f>CONCATENATE("          ", "6006", " - ", "TEMPORARY PART TIME")</f>
        <v xml:space="preserve">          6006 - TEMPORARY PART TIME</v>
      </c>
      <c r="C81" s="11"/>
      <c r="D81" s="7"/>
      <c r="E81" s="2"/>
      <c r="F81" s="6">
        <f t="shared" si="21"/>
        <v>0</v>
      </c>
      <c r="G81" s="2"/>
      <c r="H81" s="7">
        <v>0</v>
      </c>
      <c r="I81" s="2"/>
      <c r="J81" s="6">
        <f t="shared" si="22"/>
        <v>0</v>
      </c>
      <c r="K81" s="2"/>
      <c r="L81" s="7">
        <f t="shared" si="23"/>
        <v>0</v>
      </c>
      <c r="M81" s="2"/>
      <c r="N81" s="6">
        <f t="shared" si="24"/>
        <v>0</v>
      </c>
      <c r="O81" s="11"/>
      <c r="P81" s="7"/>
      <c r="Q81" s="2"/>
      <c r="R81" s="6">
        <f t="shared" si="25"/>
        <v>0</v>
      </c>
      <c r="S81" s="2"/>
      <c r="T81" s="7">
        <v>0</v>
      </c>
      <c r="U81" s="2"/>
      <c r="V81" s="6">
        <f t="shared" si="26"/>
        <v>0</v>
      </c>
      <c r="W81" s="2"/>
      <c r="X81" s="7">
        <f t="shared" si="27"/>
        <v>0</v>
      </c>
      <c r="Y81" s="2"/>
      <c r="Z81" s="6">
        <f t="shared" si="28"/>
        <v>0</v>
      </c>
    </row>
    <row r="82" spans="1:26" s="24" customFormat="1" hidden="1" outlineLevel="2" x14ac:dyDescent="0.25">
      <c r="A82" s="25"/>
      <c r="B82" s="11" t="str">
        <f>CONCATENATE("          ", "6007", " - ", "STUDENT HOURLY")</f>
        <v xml:space="preserve">          6007 - STUDENT HOURLY</v>
      </c>
      <c r="C82" s="11"/>
      <c r="D82" s="7">
        <v>8943.82</v>
      </c>
      <c r="E82" s="2"/>
      <c r="F82" s="6">
        <f t="shared" si="21"/>
        <v>8.1835056312829207E-3</v>
      </c>
      <c r="G82" s="2"/>
      <c r="H82" s="7">
        <v>3748.5</v>
      </c>
      <c r="I82" s="2"/>
      <c r="J82" s="6">
        <f t="shared" si="22"/>
        <v>3.4902234636871509E-3</v>
      </c>
      <c r="K82" s="2"/>
      <c r="L82" s="7">
        <f t="shared" si="23"/>
        <v>5195.32</v>
      </c>
      <c r="M82" s="2"/>
      <c r="N82" s="6">
        <f t="shared" si="24"/>
        <v>1.3859730558890222</v>
      </c>
      <c r="O82" s="11"/>
      <c r="P82" s="7">
        <v>30828.25</v>
      </c>
      <c r="Q82" s="2"/>
      <c r="R82" s="6">
        <f t="shared" si="25"/>
        <v>9.8486901658188675E-3</v>
      </c>
      <c r="S82" s="2"/>
      <c r="T82" s="7">
        <v>11781</v>
      </c>
      <c r="U82" s="2"/>
      <c r="V82" s="6">
        <f t="shared" si="26"/>
        <v>3.6850448673996926E-3</v>
      </c>
      <c r="W82" s="2"/>
      <c r="X82" s="7">
        <f t="shared" si="27"/>
        <v>19047.25</v>
      </c>
      <c r="Y82" s="2"/>
      <c r="Z82" s="6">
        <f t="shared" si="28"/>
        <v>1.6167770138358373</v>
      </c>
    </row>
    <row r="83" spans="1:26" s="24" customFormat="1" hidden="1" outlineLevel="2" x14ac:dyDescent="0.25">
      <c r="A83" s="25"/>
      <c r="B83" s="11" t="str">
        <f>CONCATENATE("          ", "6008", " - ", "STUDENT HOURLY-FICA EXEMPT")</f>
        <v xml:space="preserve">          6008 - STUDENT HOURLY-FICA EXEMPT</v>
      </c>
      <c r="C83" s="11"/>
      <c r="D83" s="7"/>
      <c r="E83" s="2"/>
      <c r="F83" s="6">
        <f t="shared" si="21"/>
        <v>0</v>
      </c>
      <c r="G83" s="2"/>
      <c r="H83" s="7">
        <v>9786.341699999999</v>
      </c>
      <c r="I83" s="2"/>
      <c r="J83" s="6">
        <f t="shared" si="22"/>
        <v>9.1120499999999983E-3</v>
      </c>
      <c r="K83" s="2"/>
      <c r="L83" s="7">
        <f t="shared" si="23"/>
        <v>-9786.341699999999</v>
      </c>
      <c r="M83" s="2"/>
      <c r="N83" s="6">
        <f t="shared" si="24"/>
        <v>-1</v>
      </c>
      <c r="O83" s="11"/>
      <c r="P83" s="7"/>
      <c r="Q83" s="2"/>
      <c r="R83" s="6">
        <f t="shared" si="25"/>
        <v>0</v>
      </c>
      <c r="S83" s="2"/>
      <c r="T83" s="7">
        <v>35786.591700000004</v>
      </c>
      <c r="U83" s="2"/>
      <c r="V83" s="6">
        <f t="shared" si="26"/>
        <v>1.1193888130533356E-2</v>
      </c>
      <c r="W83" s="2"/>
      <c r="X83" s="7">
        <f t="shared" si="27"/>
        <v>-35786.591700000004</v>
      </c>
      <c r="Y83" s="2"/>
      <c r="Z83" s="6">
        <f t="shared" si="28"/>
        <v>-1</v>
      </c>
    </row>
    <row r="84" spans="1:26" s="24" customFormat="1" hidden="1" outlineLevel="2" x14ac:dyDescent="0.25">
      <c r="A84" s="25"/>
      <c r="B84" s="11" t="str">
        <f>CONCATENATE("          ", "6009", " - ", "TEMPORARY-SEASONAL")</f>
        <v xml:space="preserve">          6009 - TEMPORARY-SEASONAL</v>
      </c>
      <c r="C84" s="11"/>
      <c r="D84" s="7"/>
      <c r="E84" s="2"/>
      <c r="F84" s="6">
        <f t="shared" si="21"/>
        <v>0</v>
      </c>
      <c r="G84" s="2"/>
      <c r="H84" s="7">
        <v>0</v>
      </c>
      <c r="I84" s="2"/>
      <c r="J84" s="6">
        <f t="shared" si="22"/>
        <v>0</v>
      </c>
      <c r="K84" s="2"/>
      <c r="L84" s="7">
        <f t="shared" si="23"/>
        <v>0</v>
      </c>
      <c r="M84" s="2"/>
      <c r="N84" s="6">
        <f t="shared" si="24"/>
        <v>0</v>
      </c>
      <c r="O84" s="11"/>
      <c r="P84" s="7"/>
      <c r="Q84" s="2"/>
      <c r="R84" s="6">
        <f t="shared" si="25"/>
        <v>0</v>
      </c>
      <c r="S84" s="2"/>
      <c r="T84" s="7">
        <v>0</v>
      </c>
      <c r="U84" s="2"/>
      <c r="V84" s="6">
        <f t="shared" si="26"/>
        <v>0</v>
      </c>
      <c r="W84" s="2"/>
      <c r="X84" s="7">
        <f t="shared" si="27"/>
        <v>0</v>
      </c>
      <c r="Y84" s="2"/>
      <c r="Z84" s="6">
        <f t="shared" si="28"/>
        <v>0</v>
      </c>
    </row>
    <row r="85" spans="1:26" s="24" customFormat="1" hidden="1" outlineLevel="2" x14ac:dyDescent="0.25">
      <c r="A85" s="25"/>
      <c r="B85" s="11" t="str">
        <f>CONCATENATE("          ", "6010", " - ", "GRATUITY")</f>
        <v xml:space="preserve">          6010 - GRATUITY</v>
      </c>
      <c r="C85" s="11"/>
      <c r="D85" s="7"/>
      <c r="E85" s="2"/>
      <c r="F85" s="6">
        <f t="shared" si="21"/>
        <v>0</v>
      </c>
      <c r="G85" s="2"/>
      <c r="H85" s="7">
        <v>0</v>
      </c>
      <c r="I85" s="2"/>
      <c r="J85" s="6">
        <f t="shared" si="22"/>
        <v>0</v>
      </c>
      <c r="K85" s="2"/>
      <c r="L85" s="7">
        <f t="shared" si="23"/>
        <v>0</v>
      </c>
      <c r="M85" s="2"/>
      <c r="N85" s="6">
        <f t="shared" si="24"/>
        <v>0</v>
      </c>
      <c r="O85" s="11"/>
      <c r="P85" s="7"/>
      <c r="Q85" s="2"/>
      <c r="R85" s="6">
        <f t="shared" si="25"/>
        <v>0</v>
      </c>
      <c r="S85" s="2"/>
      <c r="T85" s="7">
        <v>0</v>
      </c>
      <c r="U85" s="2"/>
      <c r="V85" s="6">
        <f t="shared" si="26"/>
        <v>0</v>
      </c>
      <c r="W85" s="2"/>
      <c r="X85" s="7">
        <f t="shared" si="27"/>
        <v>0</v>
      </c>
      <c r="Y85" s="2"/>
      <c r="Z85" s="6">
        <f t="shared" si="28"/>
        <v>0</v>
      </c>
    </row>
    <row r="86" spans="1:26" s="27" customFormat="1" outlineLevel="1" collapsed="1" x14ac:dyDescent="0.25">
      <c r="A86" s="26"/>
      <c r="B86" s="13" t="str">
        <f>CONCATENATE("     ","Advertising/Promo                                 ")</f>
        <v xml:space="preserve">     Advertising/Promo                                 </v>
      </c>
      <c r="C86" s="13"/>
      <c r="D86" s="1">
        <f>SUM(OSRRefD22_2x_0)</f>
        <v>-365.85</v>
      </c>
      <c r="E86" s="1"/>
      <c r="F86" s="5">
        <f t="shared" ref="F86:F90" si="29">IF(D$12=0,0,D86/D$12)</f>
        <v>-3.3474908207062044E-4</v>
      </c>
      <c r="G86" s="1"/>
      <c r="H86" s="1">
        <f>SUM(OSRRefH22_2x_0)</f>
        <v>1000</v>
      </c>
      <c r="I86" s="1"/>
      <c r="J86" s="5">
        <f t="shared" ref="J86:J90" si="30">IF(H$12=0,0,H86/H$12)</f>
        <v>9.3109869646182495E-4</v>
      </c>
      <c r="K86" s="1"/>
      <c r="L86" s="1">
        <f t="shared" ref="L86:L90" si="31">+D86-H86</f>
        <v>-1365.85</v>
      </c>
      <c r="M86" s="1"/>
      <c r="N86" s="5">
        <f t="shared" ref="N86:N90" si="32">IF(H86=0,0,L86/H86)</f>
        <v>-1.36585</v>
      </c>
      <c r="O86" s="13"/>
      <c r="P86" s="1">
        <f>SUM(OSRRefP22_2x_0)</f>
        <v>3981.09</v>
      </c>
      <c r="Q86" s="1"/>
      <c r="R86" s="5">
        <f t="shared" ref="R86:R90" si="33">IF(P$12=0,0,P86/P$12)</f>
        <v>1.2718374196472339E-3</v>
      </c>
      <c r="S86" s="1"/>
      <c r="T86" s="1">
        <f>SUM(OSRRefT22_2x_0)</f>
        <v>4400</v>
      </c>
      <c r="U86" s="1"/>
      <c r="V86" s="5">
        <f t="shared" ref="V86:V90" si="34">IF(T$12=0,0,T86/T$12)</f>
        <v>1.376300604070847E-3</v>
      </c>
      <c r="W86" s="1"/>
      <c r="X86" s="1">
        <f t="shared" ref="X86:X90" si="35">+P86-T86</f>
        <v>-418.90999999999985</v>
      </c>
      <c r="Y86" s="1"/>
      <c r="Z86" s="5">
        <f t="shared" ref="Z86:Z90" si="36">IF(T86=0,0,X86/T86)</f>
        <v>-9.5206818181818142E-2</v>
      </c>
    </row>
    <row r="87" spans="1:26" s="24" customFormat="1" hidden="1" outlineLevel="2" x14ac:dyDescent="0.25">
      <c r="A87" s="25"/>
      <c r="B87" s="11" t="str">
        <f>CONCATENATE("          ", "6362", " - ", "ADVERTISING EXPENSE")</f>
        <v xml:space="preserve">          6362 - ADVERTISING EXPENSE</v>
      </c>
      <c r="C87" s="11"/>
      <c r="D87" s="7">
        <v>-365.85</v>
      </c>
      <c r="E87" s="2"/>
      <c r="F87" s="6">
        <f t="shared" si="29"/>
        <v>-3.3474908207062044E-4</v>
      </c>
      <c r="G87" s="2"/>
      <c r="H87" s="7">
        <v>1000</v>
      </c>
      <c r="I87" s="2"/>
      <c r="J87" s="6">
        <f t="shared" si="30"/>
        <v>9.3109869646182495E-4</v>
      </c>
      <c r="K87" s="2"/>
      <c r="L87" s="7">
        <f t="shared" si="31"/>
        <v>-1365.85</v>
      </c>
      <c r="M87" s="2"/>
      <c r="N87" s="6">
        <f t="shared" si="32"/>
        <v>-1.36585</v>
      </c>
      <c r="O87" s="11"/>
      <c r="P87" s="7">
        <v>3981.09</v>
      </c>
      <c r="Q87" s="2"/>
      <c r="R87" s="6">
        <f t="shared" si="33"/>
        <v>1.2718374196472339E-3</v>
      </c>
      <c r="S87" s="2"/>
      <c r="T87" s="7">
        <v>4400</v>
      </c>
      <c r="U87" s="2"/>
      <c r="V87" s="6">
        <f t="shared" si="34"/>
        <v>1.376300604070847E-3</v>
      </c>
      <c r="W87" s="2"/>
      <c r="X87" s="7">
        <f t="shared" si="35"/>
        <v>-418.90999999999985</v>
      </c>
      <c r="Y87" s="2"/>
      <c r="Z87" s="6">
        <f t="shared" si="36"/>
        <v>-9.5206818181818142E-2</v>
      </c>
    </row>
    <row r="88" spans="1:26" s="27" customFormat="1" outlineLevel="1" collapsed="1" x14ac:dyDescent="0.25">
      <c r="A88" s="26"/>
      <c r="B88" s="13" t="str">
        <f>CONCATENATE("     ","Discounts and Markdowns                           ")</f>
        <v xml:space="preserve">     Discounts and Markdowns                           </v>
      </c>
      <c r="C88" s="13"/>
      <c r="D88" s="1">
        <f>SUM(OSRRefD22_3x_0)</f>
        <v>2330.11</v>
      </c>
      <c r="E88" s="1"/>
      <c r="F88" s="5">
        <f t="shared" si="29"/>
        <v>2.132027288843989E-3</v>
      </c>
      <c r="G88" s="1"/>
      <c r="H88" s="1">
        <f>SUM(OSRRefH22_3x_0)</f>
        <v>4425</v>
      </c>
      <c r="I88" s="1"/>
      <c r="J88" s="5">
        <f t="shared" si="30"/>
        <v>4.1201117318435754E-3</v>
      </c>
      <c r="K88" s="1"/>
      <c r="L88" s="1">
        <f t="shared" si="31"/>
        <v>-2094.89</v>
      </c>
      <c r="M88" s="1"/>
      <c r="N88" s="5">
        <f t="shared" si="32"/>
        <v>-0.47342146892655362</v>
      </c>
      <c r="O88" s="13"/>
      <c r="P88" s="1">
        <f>SUM(OSRRefP22_3x_0)</f>
        <v>491.94000000000005</v>
      </c>
      <c r="Q88" s="1"/>
      <c r="R88" s="5">
        <f t="shared" si="33"/>
        <v>1.5715989847535732E-4</v>
      </c>
      <c r="S88" s="1"/>
      <c r="T88" s="1">
        <f>SUM(OSRRefT22_3x_0)</f>
        <v>19275</v>
      </c>
      <c r="U88" s="1"/>
      <c r="V88" s="5">
        <f t="shared" si="34"/>
        <v>6.0291350326058127E-3</v>
      </c>
      <c r="W88" s="1"/>
      <c r="X88" s="1">
        <f t="shared" si="35"/>
        <v>-18783.060000000001</v>
      </c>
      <c r="Y88" s="1"/>
      <c r="Z88" s="5">
        <f t="shared" si="36"/>
        <v>-0.97447782101167324</v>
      </c>
    </row>
    <row r="89" spans="1:26" s="24" customFormat="1" hidden="1" outlineLevel="2" x14ac:dyDescent="0.25">
      <c r="A89" s="25"/>
      <c r="B89" s="11" t="str">
        <f>CONCATENATE("          ", "6382", " - ", "DISCOUNTS/MARK DOWNS")</f>
        <v xml:space="preserve">          6382 - DISCOUNTS/MARK DOWNS</v>
      </c>
      <c r="C89" s="11"/>
      <c r="D89" s="7">
        <v>2330.11</v>
      </c>
      <c r="E89" s="2"/>
      <c r="F89" s="6">
        <f t="shared" si="29"/>
        <v>2.132027288843989E-3</v>
      </c>
      <c r="G89" s="2"/>
      <c r="H89" s="7">
        <v>4425</v>
      </c>
      <c r="I89" s="2"/>
      <c r="J89" s="6">
        <f t="shared" si="30"/>
        <v>4.1201117318435754E-3</v>
      </c>
      <c r="K89" s="2"/>
      <c r="L89" s="7">
        <f t="shared" si="31"/>
        <v>-2094.89</v>
      </c>
      <c r="M89" s="2"/>
      <c r="N89" s="6">
        <f t="shared" si="32"/>
        <v>-0.47342146892655362</v>
      </c>
      <c r="O89" s="11"/>
      <c r="P89" s="7">
        <v>925.57</v>
      </c>
      <c r="Q89" s="2"/>
      <c r="R89" s="6">
        <f t="shared" si="33"/>
        <v>2.9569152179500851E-4</v>
      </c>
      <c r="S89" s="2"/>
      <c r="T89" s="7">
        <v>19275</v>
      </c>
      <c r="U89" s="2"/>
      <c r="V89" s="6">
        <f t="shared" si="34"/>
        <v>6.0291350326058127E-3</v>
      </c>
      <c r="W89" s="2"/>
      <c r="X89" s="7">
        <f t="shared" si="35"/>
        <v>-18349.43</v>
      </c>
      <c r="Y89" s="2"/>
      <c r="Z89" s="6">
        <f t="shared" si="36"/>
        <v>-0.95198080415045394</v>
      </c>
    </row>
    <row r="90" spans="1:26" s="24" customFormat="1" hidden="1" outlineLevel="2" x14ac:dyDescent="0.25">
      <c r="A90" s="25"/>
      <c r="B90" s="11" t="str">
        <f>CONCATENATE("          ", "9175", " - ", "EARNED DISCOUNTS")</f>
        <v xml:space="preserve">          9175 - EARNED DISCOUNTS</v>
      </c>
      <c r="C90" s="11"/>
      <c r="D90" s="7"/>
      <c r="E90" s="2"/>
      <c r="F90" s="6">
        <f t="shared" si="29"/>
        <v>0</v>
      </c>
      <c r="G90" s="2"/>
      <c r="H90" s="7"/>
      <c r="I90" s="2"/>
      <c r="J90" s="6">
        <f t="shared" si="30"/>
        <v>0</v>
      </c>
      <c r="K90" s="2"/>
      <c r="L90" s="7">
        <f t="shared" si="31"/>
        <v>0</v>
      </c>
      <c r="M90" s="2"/>
      <c r="N90" s="6">
        <f t="shared" si="32"/>
        <v>0</v>
      </c>
      <c r="O90" s="11"/>
      <c r="P90" s="7">
        <v>-433.63</v>
      </c>
      <c r="Q90" s="2"/>
      <c r="R90" s="6">
        <f t="shared" si="33"/>
        <v>-1.3853162331965116E-4</v>
      </c>
      <c r="S90" s="2"/>
      <c r="T90" s="7"/>
      <c r="U90" s="2"/>
      <c r="V90" s="6">
        <f t="shared" si="34"/>
        <v>0</v>
      </c>
      <c r="W90" s="2"/>
      <c r="X90" s="7">
        <f t="shared" si="35"/>
        <v>-433.63</v>
      </c>
      <c r="Y90" s="2"/>
      <c r="Z90" s="6">
        <f t="shared" si="36"/>
        <v>0</v>
      </c>
    </row>
    <row r="91" spans="1:26" s="27" customFormat="1" outlineLevel="1" collapsed="1" x14ac:dyDescent="0.25">
      <c r="A91" s="26"/>
      <c r="B91" s="13" t="str">
        <f>CONCATENATE("     ","Employees' Appreciation                           ")</f>
        <v xml:space="preserve">     Employees' Appreciation                           </v>
      </c>
      <c r="C91" s="13"/>
      <c r="D91" s="1">
        <f>SUM(OSRRefD22_4x_0)</f>
        <v>0</v>
      </c>
      <c r="E91" s="1"/>
      <c r="F91" s="5">
        <f t="shared" ref="F91:F97" si="37">IF(D$12=0,0,D91/D$12)</f>
        <v>0</v>
      </c>
      <c r="G91" s="1"/>
      <c r="H91" s="1">
        <f>SUM(OSRRefH22_4x_0)</f>
        <v>100</v>
      </c>
      <c r="I91" s="1"/>
      <c r="J91" s="5">
        <f t="shared" ref="J91:J97" si="38">IF(H$12=0,0,H91/H$12)</f>
        <v>9.3109869646182492E-5</v>
      </c>
      <c r="K91" s="1"/>
      <c r="L91" s="1">
        <f t="shared" ref="L91:L97" si="39">+D91-H91</f>
        <v>-100</v>
      </c>
      <c r="M91" s="1"/>
      <c r="N91" s="5">
        <f t="shared" ref="N91:N97" si="40">IF(H91=0,0,L91/H91)</f>
        <v>-1</v>
      </c>
      <c r="O91" s="13"/>
      <c r="P91" s="1">
        <f>SUM(OSRRefP22_4x_0)</f>
        <v>37.880000000000003</v>
      </c>
      <c r="Q91" s="1"/>
      <c r="R91" s="5">
        <f t="shared" ref="R91:R97" si="41">IF(P$12=0,0,P91/P$12)</f>
        <v>1.210151025378407E-5</v>
      </c>
      <c r="S91" s="1"/>
      <c r="T91" s="1">
        <f>SUM(OSRRefT22_4x_0)</f>
        <v>700</v>
      </c>
      <c r="U91" s="1"/>
      <c r="V91" s="5">
        <f t="shared" ref="V91:V97" si="42">IF(T$12=0,0,T91/T$12)</f>
        <v>2.1895691428399839E-4</v>
      </c>
      <c r="W91" s="1"/>
      <c r="X91" s="1">
        <f t="shared" ref="X91:X97" si="43">+P91-T91</f>
        <v>-662.12</v>
      </c>
      <c r="Y91" s="1"/>
      <c r="Z91" s="5">
        <f t="shared" ref="Z91:Z97" si="44">IF(T91=0,0,X91/T91)</f>
        <v>-0.94588571428571433</v>
      </c>
    </row>
    <row r="92" spans="1:26" s="24" customFormat="1" hidden="1" outlineLevel="2" x14ac:dyDescent="0.25">
      <c r="A92" s="25"/>
      <c r="B92" s="11" t="str">
        <f>CONCATENATE("          ", "6277", " - ", "EMPLOYEE APPRECIATION")</f>
        <v xml:space="preserve">          6277 - EMPLOYEE APPRECIATION</v>
      </c>
      <c r="C92" s="11"/>
      <c r="D92" s="7"/>
      <c r="E92" s="2"/>
      <c r="F92" s="6">
        <f t="shared" si="37"/>
        <v>0</v>
      </c>
      <c r="G92" s="2"/>
      <c r="H92" s="7">
        <v>100</v>
      </c>
      <c r="I92" s="2"/>
      <c r="J92" s="6">
        <f t="shared" si="38"/>
        <v>9.3109869646182492E-5</v>
      </c>
      <c r="K92" s="2"/>
      <c r="L92" s="7">
        <f t="shared" si="39"/>
        <v>-100</v>
      </c>
      <c r="M92" s="2"/>
      <c r="N92" s="6">
        <f t="shared" si="40"/>
        <v>-1</v>
      </c>
      <c r="O92" s="11"/>
      <c r="P92" s="7">
        <v>37.880000000000003</v>
      </c>
      <c r="Q92" s="2"/>
      <c r="R92" s="6">
        <f t="shared" si="41"/>
        <v>1.210151025378407E-5</v>
      </c>
      <c r="S92" s="2"/>
      <c r="T92" s="7">
        <v>700</v>
      </c>
      <c r="U92" s="2"/>
      <c r="V92" s="6">
        <f t="shared" si="42"/>
        <v>2.1895691428399839E-4</v>
      </c>
      <c r="W92" s="2"/>
      <c r="X92" s="7">
        <f t="shared" si="43"/>
        <v>-662.12</v>
      </c>
      <c r="Y92" s="2"/>
      <c r="Z92" s="6">
        <f t="shared" si="44"/>
        <v>-0.94588571428571433</v>
      </c>
    </row>
    <row r="93" spans="1:26" s="27" customFormat="1" outlineLevel="1" collapsed="1" x14ac:dyDescent="0.25">
      <c r="A93" s="26"/>
      <c r="B93" s="13" t="str">
        <f>CONCATENATE("     ","Equipment Rental                                  ")</f>
        <v xml:space="preserve">     Equipment Rental                                  </v>
      </c>
      <c r="C93" s="13"/>
      <c r="D93" s="1">
        <f>SUM(OSRRefD22_5x_0)</f>
        <v>91.26</v>
      </c>
      <c r="E93" s="1"/>
      <c r="F93" s="5">
        <f t="shared" si="37"/>
        <v>8.3501985047874323E-5</v>
      </c>
      <c r="G93" s="1"/>
      <c r="H93" s="1">
        <f>SUM(OSRRefH22_5x_0)</f>
        <v>100</v>
      </c>
      <c r="I93" s="1"/>
      <c r="J93" s="5">
        <f t="shared" si="38"/>
        <v>9.3109869646182492E-5</v>
      </c>
      <c r="K93" s="1"/>
      <c r="L93" s="1">
        <f t="shared" si="39"/>
        <v>-8.7399999999999949</v>
      </c>
      <c r="M93" s="1"/>
      <c r="N93" s="5">
        <f t="shared" si="40"/>
        <v>-8.739999999999995E-2</v>
      </c>
      <c r="O93" s="13"/>
      <c r="P93" s="1">
        <f>SUM(OSRRefP22_5x_0)</f>
        <v>638.82000000000005</v>
      </c>
      <c r="Q93" s="1"/>
      <c r="R93" s="5">
        <f t="shared" si="41"/>
        <v>2.0408360032529935E-4</v>
      </c>
      <c r="S93" s="1"/>
      <c r="T93" s="1">
        <f>SUM(OSRRefT22_5x_0)</f>
        <v>700</v>
      </c>
      <c r="U93" s="1"/>
      <c r="V93" s="5">
        <f t="shared" si="42"/>
        <v>2.1895691428399839E-4</v>
      </c>
      <c r="W93" s="1"/>
      <c r="X93" s="1">
        <f t="shared" si="43"/>
        <v>-61.17999999999995</v>
      </c>
      <c r="Y93" s="1"/>
      <c r="Z93" s="5">
        <f t="shared" si="44"/>
        <v>-8.7399999999999922E-2</v>
      </c>
    </row>
    <row r="94" spans="1:26" s="24" customFormat="1" hidden="1" outlineLevel="2" x14ac:dyDescent="0.25">
      <c r="A94" s="25"/>
      <c r="B94" s="11" t="str">
        <f>CONCATENATE("          ", "6351", " - ", "EQUIPMENT RENTAL")</f>
        <v xml:space="preserve">          6351 - EQUIPMENT RENTAL</v>
      </c>
      <c r="C94" s="11"/>
      <c r="D94" s="7">
        <v>91.26</v>
      </c>
      <c r="E94" s="2"/>
      <c r="F94" s="6">
        <f t="shared" si="37"/>
        <v>8.3501985047874323E-5</v>
      </c>
      <c r="G94" s="2"/>
      <c r="H94" s="7">
        <v>100</v>
      </c>
      <c r="I94" s="2"/>
      <c r="J94" s="6">
        <f t="shared" si="38"/>
        <v>9.3109869646182492E-5</v>
      </c>
      <c r="K94" s="2"/>
      <c r="L94" s="7">
        <f t="shared" si="39"/>
        <v>-8.7399999999999949</v>
      </c>
      <c r="M94" s="2"/>
      <c r="N94" s="6">
        <f t="shared" si="40"/>
        <v>-8.739999999999995E-2</v>
      </c>
      <c r="O94" s="11"/>
      <c r="P94" s="7">
        <v>638.82000000000005</v>
      </c>
      <c r="Q94" s="2"/>
      <c r="R94" s="6">
        <f t="shared" si="41"/>
        <v>2.0408360032529935E-4</v>
      </c>
      <c r="S94" s="2"/>
      <c r="T94" s="7">
        <v>700</v>
      </c>
      <c r="U94" s="2"/>
      <c r="V94" s="6">
        <f t="shared" si="42"/>
        <v>2.1895691428399839E-4</v>
      </c>
      <c r="W94" s="2"/>
      <c r="X94" s="7">
        <f t="shared" si="43"/>
        <v>-61.17999999999995</v>
      </c>
      <c r="Y94" s="2"/>
      <c r="Z94" s="6">
        <f t="shared" si="44"/>
        <v>-8.7399999999999922E-2</v>
      </c>
    </row>
    <row r="95" spans="1:26" s="27" customFormat="1" outlineLevel="1" collapsed="1" x14ac:dyDescent="0.25">
      <c r="A95" s="26"/>
      <c r="B95" s="13" t="str">
        <f>CONCATENATE("     ","Freight out/Postage                               ")</f>
        <v xml:space="preserve">     Freight out/Postage                               </v>
      </c>
      <c r="C95" s="13"/>
      <c r="D95" s="1">
        <f>SUM(OSRRefD22_6x_0)</f>
        <v>11.489999999999998</v>
      </c>
      <c r="E95" s="1"/>
      <c r="F95" s="5">
        <f t="shared" si="37"/>
        <v>1.0513234803857942E-5</v>
      </c>
      <c r="G95" s="1"/>
      <c r="H95" s="1">
        <f>SUM(OSRRefH22_6x_0)</f>
        <v>2000</v>
      </c>
      <c r="I95" s="1"/>
      <c r="J95" s="5">
        <f t="shared" si="38"/>
        <v>1.8621973929236499E-3</v>
      </c>
      <c r="K95" s="1"/>
      <c r="L95" s="1">
        <f t="shared" si="39"/>
        <v>-1988.51</v>
      </c>
      <c r="M95" s="1"/>
      <c r="N95" s="5">
        <f t="shared" si="40"/>
        <v>-0.994255</v>
      </c>
      <c r="O95" s="13"/>
      <c r="P95" s="1">
        <f>SUM(OSRRefP22_6x_0)</f>
        <v>11953.390000000001</v>
      </c>
      <c r="Q95" s="1"/>
      <c r="R95" s="5">
        <f t="shared" si="41"/>
        <v>3.8187452917761342E-3</v>
      </c>
      <c r="S95" s="1"/>
      <c r="T95" s="1">
        <f>SUM(OSRRefT22_6x_0)</f>
        <v>15800</v>
      </c>
      <c r="U95" s="1"/>
      <c r="V95" s="5">
        <f t="shared" si="42"/>
        <v>4.9421703509816778E-3</v>
      </c>
      <c r="W95" s="1"/>
      <c r="X95" s="1">
        <f t="shared" si="43"/>
        <v>-3846.6099999999988</v>
      </c>
      <c r="Y95" s="1"/>
      <c r="Z95" s="5">
        <f t="shared" si="44"/>
        <v>-0.24345632911392398</v>
      </c>
    </row>
    <row r="96" spans="1:26" s="24" customFormat="1" hidden="1" outlineLevel="2" x14ac:dyDescent="0.25">
      <c r="A96" s="25"/>
      <c r="B96" s="11" t="str">
        <f>CONCATENATE("          ", "6305", " - ", "FREIGHT OUT")</f>
        <v xml:space="preserve">          6305 - FREIGHT OUT</v>
      </c>
      <c r="C96" s="11"/>
      <c r="D96" s="7">
        <v>10.54</v>
      </c>
      <c r="E96" s="2"/>
      <c r="F96" s="6">
        <f t="shared" si="37"/>
        <v>9.6439943283431433E-6</v>
      </c>
      <c r="G96" s="2"/>
      <c r="H96" s="7">
        <v>2000</v>
      </c>
      <c r="I96" s="2"/>
      <c r="J96" s="6">
        <f t="shared" si="38"/>
        <v>1.8621973929236499E-3</v>
      </c>
      <c r="K96" s="2"/>
      <c r="L96" s="7">
        <f t="shared" si="39"/>
        <v>-1989.46</v>
      </c>
      <c r="M96" s="2"/>
      <c r="N96" s="6">
        <f t="shared" si="40"/>
        <v>-0.99473</v>
      </c>
      <c r="O96" s="11"/>
      <c r="P96" s="7">
        <v>11951.94</v>
      </c>
      <c r="Q96" s="2"/>
      <c r="R96" s="6">
        <f t="shared" si="41"/>
        <v>3.8182820607870109E-3</v>
      </c>
      <c r="S96" s="2"/>
      <c r="T96" s="7">
        <v>15800</v>
      </c>
      <c r="U96" s="2"/>
      <c r="V96" s="6">
        <f t="shared" si="42"/>
        <v>4.9421703509816778E-3</v>
      </c>
      <c r="W96" s="2"/>
      <c r="X96" s="7">
        <f t="shared" si="43"/>
        <v>-3848.0599999999995</v>
      </c>
      <c r="Y96" s="2"/>
      <c r="Z96" s="6">
        <f t="shared" si="44"/>
        <v>-0.24354810126582274</v>
      </c>
    </row>
    <row r="97" spans="1:26" s="24" customFormat="1" hidden="1" outlineLevel="2" x14ac:dyDescent="0.25">
      <c r="A97" s="25"/>
      <c r="B97" s="11" t="str">
        <f>CONCATENATE("          ", "6307", " - ", "POSTAGE")</f>
        <v xml:space="preserve">          6307 - POSTAGE</v>
      </c>
      <c r="C97" s="11"/>
      <c r="D97" s="7">
        <v>0.95</v>
      </c>
      <c r="E97" s="2"/>
      <c r="F97" s="6">
        <f t="shared" si="37"/>
        <v>8.6924047551479946E-7</v>
      </c>
      <c r="G97" s="2"/>
      <c r="H97" s="7"/>
      <c r="I97" s="2"/>
      <c r="J97" s="6">
        <f t="shared" si="38"/>
        <v>0</v>
      </c>
      <c r="K97" s="2"/>
      <c r="L97" s="7">
        <f t="shared" si="39"/>
        <v>0.95</v>
      </c>
      <c r="M97" s="2"/>
      <c r="N97" s="6">
        <f t="shared" si="40"/>
        <v>0</v>
      </c>
      <c r="O97" s="11"/>
      <c r="P97" s="7">
        <v>1.45</v>
      </c>
      <c r="Q97" s="2"/>
      <c r="R97" s="6">
        <f t="shared" si="41"/>
        <v>4.632309891232022E-7</v>
      </c>
      <c r="S97" s="2"/>
      <c r="T97" s="7"/>
      <c r="U97" s="2"/>
      <c r="V97" s="6">
        <f t="shared" si="42"/>
        <v>0</v>
      </c>
      <c r="W97" s="2"/>
      <c r="X97" s="7">
        <f t="shared" si="43"/>
        <v>1.45</v>
      </c>
      <c r="Y97" s="2"/>
      <c r="Z97" s="6">
        <f t="shared" si="44"/>
        <v>0</v>
      </c>
    </row>
    <row r="98" spans="1:26" s="27" customFormat="1" outlineLevel="1" collapsed="1" x14ac:dyDescent="0.25">
      <c r="A98" s="26"/>
      <c r="B98" s="13" t="str">
        <f>CONCATENATE("     ","General                                           ")</f>
        <v xml:space="preserve">     General                                           </v>
      </c>
      <c r="C98" s="13"/>
      <c r="D98" s="1">
        <f>SUM(OSRRefD22_7x_0)</f>
        <v>100.16</v>
      </c>
      <c r="E98" s="1"/>
      <c r="F98" s="5">
        <f t="shared" ref="F98:F105" si="45">IF(D$12=0,0,D98/D$12)</f>
        <v>9.1645395818486651E-5</v>
      </c>
      <c r="G98" s="1"/>
      <c r="H98" s="1">
        <f>SUM(OSRRefH22_7x_0)</f>
        <v>0</v>
      </c>
      <c r="I98" s="1"/>
      <c r="J98" s="5">
        <f t="shared" ref="J98:J105" si="46">IF(H$12=0,0,H98/H$12)</f>
        <v>0</v>
      </c>
      <c r="K98" s="1"/>
      <c r="L98" s="1">
        <f t="shared" ref="L98:L105" si="47">+D98-H98</f>
        <v>100.16</v>
      </c>
      <c r="M98" s="1"/>
      <c r="N98" s="5">
        <f t="shared" ref="N98:N105" si="48">IF(H98=0,0,L98/H98)</f>
        <v>0</v>
      </c>
      <c r="O98" s="13"/>
      <c r="P98" s="1">
        <f>SUM(OSRRefP22_7x_0)</f>
        <v>8253.06</v>
      </c>
      <c r="Q98" s="1"/>
      <c r="R98" s="5">
        <f t="shared" ref="R98:R105" si="49">IF(P$12=0,0,P98/P$12)</f>
        <v>2.6366021704090589E-3</v>
      </c>
      <c r="S98" s="1"/>
      <c r="T98" s="1">
        <f>SUM(OSRRefT22_7x_0)</f>
        <v>13000</v>
      </c>
      <c r="U98" s="1"/>
      <c r="V98" s="5">
        <f t="shared" ref="V98:V105" si="50">IF(T$12=0,0,T98/T$12)</f>
        <v>4.0663426938456846E-3</v>
      </c>
      <c r="W98" s="1"/>
      <c r="X98" s="1">
        <f t="shared" ref="X98:X105" si="51">+P98-T98</f>
        <v>-4746.9400000000005</v>
      </c>
      <c r="Y98" s="1"/>
      <c r="Z98" s="5">
        <f t="shared" ref="Z98:Z105" si="52">IF(T98=0,0,X98/T98)</f>
        <v>-0.36514923076923078</v>
      </c>
    </row>
    <row r="99" spans="1:26" s="24" customFormat="1" hidden="1" outlineLevel="2" x14ac:dyDescent="0.25">
      <c r="A99" s="25"/>
      <c r="B99" s="11" t="str">
        <f>CONCATENATE("          ", "6279", " - ", "GENERAL EXPENSE")</f>
        <v xml:space="preserve">          6279 - GENERAL EXPENSE</v>
      </c>
      <c r="C99" s="11"/>
      <c r="D99" s="7">
        <v>100.16</v>
      </c>
      <c r="E99" s="2"/>
      <c r="F99" s="6">
        <f t="shared" si="45"/>
        <v>9.1645395818486651E-5</v>
      </c>
      <c r="G99" s="2"/>
      <c r="H99" s="7"/>
      <c r="I99" s="2"/>
      <c r="J99" s="6">
        <f t="shared" si="46"/>
        <v>0</v>
      </c>
      <c r="K99" s="2"/>
      <c r="L99" s="7">
        <f t="shared" si="47"/>
        <v>100.16</v>
      </c>
      <c r="M99" s="2"/>
      <c r="N99" s="6">
        <f t="shared" si="48"/>
        <v>0</v>
      </c>
      <c r="O99" s="11"/>
      <c r="P99" s="7">
        <v>8253.06</v>
      </c>
      <c r="Q99" s="2"/>
      <c r="R99" s="6">
        <f t="shared" si="49"/>
        <v>2.6366021704090589E-3</v>
      </c>
      <c r="S99" s="2"/>
      <c r="T99" s="7">
        <v>13000</v>
      </c>
      <c r="U99" s="2"/>
      <c r="V99" s="6">
        <f t="shared" si="50"/>
        <v>4.0663426938456846E-3</v>
      </c>
      <c r="W99" s="2"/>
      <c r="X99" s="7">
        <f t="shared" si="51"/>
        <v>-4746.9400000000005</v>
      </c>
      <c r="Y99" s="2"/>
      <c r="Z99" s="6">
        <f t="shared" si="52"/>
        <v>-0.36514923076923078</v>
      </c>
    </row>
    <row r="100" spans="1:26" s="27" customFormat="1" outlineLevel="1" collapsed="1" x14ac:dyDescent="0.25">
      <c r="A100" s="26"/>
      <c r="B100" s="13" t="str">
        <f>CONCATENATE("     ","Inventory Adjustment                              ")</f>
        <v xml:space="preserve">     Inventory Adjustment                              </v>
      </c>
      <c r="C100" s="13"/>
      <c r="D100" s="1">
        <f>SUM(OSRRefD22_8x_0)</f>
        <v>1000</v>
      </c>
      <c r="E100" s="1"/>
      <c r="F100" s="5">
        <f t="shared" si="45"/>
        <v>9.1498997422610479E-4</v>
      </c>
      <c r="G100" s="1"/>
      <c r="H100" s="1">
        <f>SUM(OSRRefH22_8x_0)</f>
        <v>1000</v>
      </c>
      <c r="I100" s="1"/>
      <c r="J100" s="5">
        <f t="shared" si="46"/>
        <v>9.3109869646182495E-4</v>
      </c>
      <c r="K100" s="1"/>
      <c r="L100" s="1">
        <f t="shared" si="47"/>
        <v>0</v>
      </c>
      <c r="M100" s="1"/>
      <c r="N100" s="5">
        <f t="shared" si="48"/>
        <v>0</v>
      </c>
      <c r="O100" s="13"/>
      <c r="P100" s="1">
        <f>SUM(OSRRefP22_8x_0)</f>
        <v>12800</v>
      </c>
      <c r="Q100" s="1"/>
      <c r="R100" s="5">
        <f t="shared" si="49"/>
        <v>4.0892114901910264E-3</v>
      </c>
      <c r="S100" s="1"/>
      <c r="T100" s="1">
        <f>SUM(OSRRefT22_8x_0)</f>
        <v>12800</v>
      </c>
      <c r="U100" s="1"/>
      <c r="V100" s="5">
        <f t="shared" si="50"/>
        <v>4.0037835754788273E-3</v>
      </c>
      <c r="W100" s="1"/>
      <c r="X100" s="1">
        <f t="shared" si="51"/>
        <v>0</v>
      </c>
      <c r="Y100" s="1"/>
      <c r="Z100" s="5">
        <f t="shared" si="52"/>
        <v>0</v>
      </c>
    </row>
    <row r="101" spans="1:26" s="24" customFormat="1" hidden="1" outlineLevel="2" x14ac:dyDescent="0.25">
      <c r="A101" s="25"/>
      <c r="B101" s="11" t="str">
        <f>CONCATENATE("          ", "6408", " - ", "INVENTORY ADJUSTMENT")</f>
        <v xml:space="preserve">          6408 - INVENTORY ADJUSTMENT</v>
      </c>
      <c r="C101" s="11"/>
      <c r="D101" s="7">
        <v>1000</v>
      </c>
      <c r="E101" s="2"/>
      <c r="F101" s="6">
        <f t="shared" si="45"/>
        <v>9.1498997422610479E-4</v>
      </c>
      <c r="G101" s="2"/>
      <c r="H101" s="7">
        <v>1000</v>
      </c>
      <c r="I101" s="2"/>
      <c r="J101" s="6">
        <f t="shared" si="46"/>
        <v>9.3109869646182495E-4</v>
      </c>
      <c r="K101" s="2"/>
      <c r="L101" s="7">
        <f t="shared" si="47"/>
        <v>0</v>
      </c>
      <c r="M101" s="2"/>
      <c r="N101" s="6">
        <f t="shared" si="48"/>
        <v>0</v>
      </c>
      <c r="O101" s="11"/>
      <c r="P101" s="7">
        <v>12800</v>
      </c>
      <c r="Q101" s="2"/>
      <c r="R101" s="6">
        <f t="shared" si="49"/>
        <v>4.0892114901910264E-3</v>
      </c>
      <c r="S101" s="2"/>
      <c r="T101" s="7">
        <v>12800</v>
      </c>
      <c r="U101" s="2"/>
      <c r="V101" s="6">
        <f t="shared" si="50"/>
        <v>4.0037835754788273E-3</v>
      </c>
      <c r="W101" s="2"/>
      <c r="X101" s="7">
        <f t="shared" si="51"/>
        <v>0</v>
      </c>
      <c r="Y101" s="2"/>
      <c r="Z101" s="6">
        <f t="shared" si="52"/>
        <v>0</v>
      </c>
    </row>
    <row r="102" spans="1:26" s="27" customFormat="1" outlineLevel="1" collapsed="1" x14ac:dyDescent="0.25">
      <c r="A102" s="26"/>
      <c r="B102" s="13" t="str">
        <f>CONCATENATE("     ","Repair and Maintenance                            ")</f>
        <v xml:space="preserve">     Repair and Maintenance                            </v>
      </c>
      <c r="C102" s="13"/>
      <c r="D102" s="1">
        <f>SUM(OSRRefD22_9x_0)</f>
        <v>0</v>
      </c>
      <c r="E102" s="1"/>
      <c r="F102" s="5">
        <f t="shared" si="45"/>
        <v>0</v>
      </c>
      <c r="G102" s="1"/>
      <c r="H102" s="1">
        <f>SUM(OSRRefH22_9x_0)</f>
        <v>140</v>
      </c>
      <c r="I102" s="1"/>
      <c r="J102" s="5">
        <f t="shared" si="46"/>
        <v>1.3035381750465549E-4</v>
      </c>
      <c r="K102" s="1"/>
      <c r="L102" s="1">
        <f t="shared" si="47"/>
        <v>-140</v>
      </c>
      <c r="M102" s="1"/>
      <c r="N102" s="5">
        <f t="shared" si="48"/>
        <v>-1</v>
      </c>
      <c r="O102" s="13"/>
      <c r="P102" s="1">
        <f>SUM(OSRRefP22_9x_0)</f>
        <v>143.16</v>
      </c>
      <c r="Q102" s="1"/>
      <c r="R102" s="5">
        <f t="shared" si="49"/>
        <v>4.5735274760605261E-5</v>
      </c>
      <c r="S102" s="1"/>
      <c r="T102" s="1">
        <f>SUM(OSRRefT22_9x_0)</f>
        <v>2980</v>
      </c>
      <c r="U102" s="1"/>
      <c r="V102" s="5">
        <f t="shared" si="50"/>
        <v>9.321308636661645E-4</v>
      </c>
      <c r="W102" s="1"/>
      <c r="X102" s="1">
        <f t="shared" si="51"/>
        <v>-2836.84</v>
      </c>
      <c r="Y102" s="1"/>
      <c r="Z102" s="5">
        <f t="shared" si="52"/>
        <v>-0.95195973154362423</v>
      </c>
    </row>
    <row r="103" spans="1:26" s="24" customFormat="1" hidden="1" outlineLevel="2" x14ac:dyDescent="0.25">
      <c r="A103" s="25"/>
      <c r="B103" s="11" t="str">
        <f>CONCATENATE("          ", "6372", " - ", "COMPUTER HARDWARE MAINTENANCE")</f>
        <v xml:space="preserve">          6372 - COMPUTER HARDWARE MAINTENANCE</v>
      </c>
      <c r="C103" s="11"/>
      <c r="D103" s="7"/>
      <c r="E103" s="2"/>
      <c r="F103" s="6">
        <f t="shared" si="45"/>
        <v>0</v>
      </c>
      <c r="G103" s="2"/>
      <c r="H103" s="7"/>
      <c r="I103" s="2"/>
      <c r="J103" s="6">
        <f t="shared" si="46"/>
        <v>0</v>
      </c>
      <c r="K103" s="2"/>
      <c r="L103" s="7">
        <f t="shared" si="47"/>
        <v>0</v>
      </c>
      <c r="M103" s="2"/>
      <c r="N103" s="6">
        <f t="shared" si="48"/>
        <v>0</v>
      </c>
      <c r="O103" s="11"/>
      <c r="P103" s="7"/>
      <c r="Q103" s="2"/>
      <c r="R103" s="6">
        <f t="shared" si="49"/>
        <v>0</v>
      </c>
      <c r="S103" s="2"/>
      <c r="T103" s="7">
        <v>2000</v>
      </c>
      <c r="U103" s="2"/>
      <c r="V103" s="6">
        <f t="shared" si="50"/>
        <v>6.2559118366856679E-4</v>
      </c>
      <c r="W103" s="2"/>
      <c r="X103" s="7">
        <f t="shared" si="51"/>
        <v>-2000</v>
      </c>
      <c r="Y103" s="2"/>
      <c r="Z103" s="6">
        <f t="shared" si="52"/>
        <v>-1</v>
      </c>
    </row>
    <row r="104" spans="1:26" s="24" customFormat="1" hidden="1" outlineLevel="2" x14ac:dyDescent="0.25">
      <c r="A104" s="25"/>
      <c r="B104" s="11" t="str">
        <f>CONCATENATE("          ", "6373", " - ", "MAINTENANCE CONTRACTS")</f>
        <v xml:space="preserve">          6373 - MAINTENANCE CONTRACTS</v>
      </c>
      <c r="C104" s="11"/>
      <c r="D104" s="7"/>
      <c r="E104" s="2"/>
      <c r="F104" s="6">
        <f t="shared" si="45"/>
        <v>0</v>
      </c>
      <c r="G104" s="2"/>
      <c r="H104" s="7">
        <v>40</v>
      </c>
      <c r="I104" s="2"/>
      <c r="J104" s="6">
        <f t="shared" si="46"/>
        <v>3.7243947858473001E-5</v>
      </c>
      <c r="K104" s="2"/>
      <c r="L104" s="7">
        <f t="shared" si="47"/>
        <v>-40</v>
      </c>
      <c r="M104" s="2"/>
      <c r="N104" s="6">
        <f t="shared" si="48"/>
        <v>-1</v>
      </c>
      <c r="O104" s="11"/>
      <c r="P104" s="7">
        <v>143.16</v>
      </c>
      <c r="Q104" s="2"/>
      <c r="R104" s="6">
        <f t="shared" si="49"/>
        <v>4.5735274760605261E-5</v>
      </c>
      <c r="S104" s="2"/>
      <c r="T104" s="7">
        <v>280</v>
      </c>
      <c r="U104" s="2"/>
      <c r="V104" s="6">
        <f t="shared" si="50"/>
        <v>8.7582765713599354E-5</v>
      </c>
      <c r="W104" s="2"/>
      <c r="X104" s="7">
        <f t="shared" si="51"/>
        <v>-136.84</v>
      </c>
      <c r="Y104" s="2"/>
      <c r="Z104" s="6">
        <f t="shared" si="52"/>
        <v>-0.48871428571428571</v>
      </c>
    </row>
    <row r="105" spans="1:26" s="24" customFormat="1" hidden="1" outlineLevel="2" x14ac:dyDescent="0.25">
      <c r="A105" s="25"/>
      <c r="B105" s="11" t="str">
        <f>CONCATENATE("          ", "6375", " - ", "OUTSIDE REPAIRS &amp; MAINTENANCE")</f>
        <v xml:space="preserve">          6375 - OUTSIDE REPAIRS &amp; MAINTENANCE</v>
      </c>
      <c r="C105" s="11"/>
      <c r="D105" s="7"/>
      <c r="E105" s="2"/>
      <c r="F105" s="6">
        <f t="shared" si="45"/>
        <v>0</v>
      </c>
      <c r="G105" s="2"/>
      <c r="H105" s="7">
        <v>100</v>
      </c>
      <c r="I105" s="2"/>
      <c r="J105" s="6">
        <f t="shared" si="46"/>
        <v>9.3109869646182492E-5</v>
      </c>
      <c r="K105" s="2"/>
      <c r="L105" s="7">
        <f t="shared" si="47"/>
        <v>-100</v>
      </c>
      <c r="M105" s="2"/>
      <c r="N105" s="6">
        <f t="shared" si="48"/>
        <v>-1</v>
      </c>
      <c r="O105" s="11"/>
      <c r="P105" s="7"/>
      <c r="Q105" s="2"/>
      <c r="R105" s="6">
        <f t="shared" si="49"/>
        <v>0</v>
      </c>
      <c r="S105" s="2"/>
      <c r="T105" s="7">
        <v>700</v>
      </c>
      <c r="U105" s="2"/>
      <c r="V105" s="6">
        <f t="shared" si="50"/>
        <v>2.1895691428399839E-4</v>
      </c>
      <c r="W105" s="2"/>
      <c r="X105" s="7">
        <f t="shared" si="51"/>
        <v>-700</v>
      </c>
      <c r="Y105" s="2"/>
      <c r="Z105" s="6">
        <f t="shared" si="52"/>
        <v>-1</v>
      </c>
    </row>
    <row r="106" spans="1:26" s="27" customFormat="1" outlineLevel="1" collapsed="1" x14ac:dyDescent="0.25">
      <c r="A106" s="26"/>
      <c r="B106" s="13" t="str">
        <f>CONCATENATE("     ","Subscriptions &amp; Dues                              ")</f>
        <v xml:space="preserve">     Subscriptions &amp; Dues                              </v>
      </c>
      <c r="C106" s="13"/>
      <c r="D106" s="1">
        <f>SUM(OSRRefD22_10x_0)</f>
        <v>258.10000000000002</v>
      </c>
      <c r="E106" s="1"/>
      <c r="F106" s="5">
        <f t="shared" ref="F106:F111" si="53">IF(D$12=0,0,D106/D$12)</f>
        <v>2.3615891234775766E-4</v>
      </c>
      <c r="G106" s="1"/>
      <c r="H106" s="1">
        <f>SUM(OSRRefH22_10x_0)</f>
        <v>2100</v>
      </c>
      <c r="I106" s="1"/>
      <c r="J106" s="5">
        <f t="shared" ref="J106:J111" si="54">IF(H$12=0,0,H106/H$12)</f>
        <v>1.9553072625698325E-3</v>
      </c>
      <c r="K106" s="1"/>
      <c r="L106" s="1">
        <f t="shared" ref="L106:L111" si="55">+D106-H106</f>
        <v>-1841.9</v>
      </c>
      <c r="M106" s="1"/>
      <c r="N106" s="5">
        <f t="shared" ref="N106:N111" si="56">IF(H106=0,0,L106/H106)</f>
        <v>-0.87709523809523815</v>
      </c>
      <c r="O106" s="13"/>
      <c r="P106" s="1">
        <f>SUM(OSRRefP22_10x_0)</f>
        <v>1815.5</v>
      </c>
      <c r="Q106" s="1"/>
      <c r="R106" s="5">
        <f t="shared" ref="R106:R111" si="57">IF(P$12=0,0,P106/P$12)</f>
        <v>5.7999714534701628E-4</v>
      </c>
      <c r="S106" s="1"/>
      <c r="T106" s="1">
        <f>SUM(OSRRefT22_10x_0)</f>
        <v>6400</v>
      </c>
      <c r="U106" s="1"/>
      <c r="V106" s="5">
        <f t="shared" ref="V106:V111" si="58">IF(T$12=0,0,T106/T$12)</f>
        <v>2.0018917877394136E-3</v>
      </c>
      <c r="W106" s="1"/>
      <c r="X106" s="1">
        <f t="shared" ref="X106:X111" si="59">+P106-T106</f>
        <v>-4584.5</v>
      </c>
      <c r="Y106" s="1"/>
      <c r="Z106" s="5">
        <f t="shared" ref="Z106:Z111" si="60">IF(T106=0,0,X106/T106)</f>
        <v>-0.71632812499999998</v>
      </c>
    </row>
    <row r="107" spans="1:26" s="24" customFormat="1" hidden="1" outlineLevel="2" x14ac:dyDescent="0.25">
      <c r="A107" s="25"/>
      <c r="B107" s="11" t="str">
        <f>CONCATENATE("          ", "6258", " - ", "MEMBERSHIP DUES")</f>
        <v xml:space="preserve">          6258 - MEMBERSHIP DUES</v>
      </c>
      <c r="C107" s="11"/>
      <c r="D107" s="7">
        <v>258.10000000000002</v>
      </c>
      <c r="E107" s="2"/>
      <c r="F107" s="6">
        <f t="shared" si="53"/>
        <v>2.3615891234775766E-4</v>
      </c>
      <c r="G107" s="2"/>
      <c r="H107" s="7">
        <v>2100</v>
      </c>
      <c r="I107" s="2"/>
      <c r="J107" s="6">
        <f t="shared" si="54"/>
        <v>1.9553072625698325E-3</v>
      </c>
      <c r="K107" s="2"/>
      <c r="L107" s="7">
        <f t="shared" si="55"/>
        <v>-1841.9</v>
      </c>
      <c r="M107" s="2"/>
      <c r="N107" s="6">
        <f t="shared" si="56"/>
        <v>-0.87709523809523815</v>
      </c>
      <c r="O107" s="11"/>
      <c r="P107" s="7">
        <v>1815.5</v>
      </c>
      <c r="Q107" s="2"/>
      <c r="R107" s="6">
        <f t="shared" si="57"/>
        <v>5.7999714534701628E-4</v>
      </c>
      <c r="S107" s="2"/>
      <c r="T107" s="7">
        <v>6400</v>
      </c>
      <c r="U107" s="2"/>
      <c r="V107" s="6">
        <f t="shared" si="58"/>
        <v>2.0018917877394136E-3</v>
      </c>
      <c r="W107" s="2"/>
      <c r="X107" s="7">
        <f t="shared" si="59"/>
        <v>-4584.5</v>
      </c>
      <c r="Y107" s="2"/>
      <c r="Z107" s="6">
        <f t="shared" si="60"/>
        <v>-0.71632812499999998</v>
      </c>
    </row>
    <row r="108" spans="1:26" s="27" customFormat="1" outlineLevel="1" collapsed="1" x14ac:dyDescent="0.25">
      <c r="A108" s="26"/>
      <c r="B108" s="13" t="str">
        <f>CONCATENATE("     ","Supplies                                          ")</f>
        <v xml:space="preserve">     Supplies                                          </v>
      </c>
      <c r="C108" s="13"/>
      <c r="D108" s="1">
        <f>SUM(OSRRefD22_11x_0)</f>
        <v>220.28</v>
      </c>
      <c r="E108" s="1"/>
      <c r="F108" s="5">
        <f t="shared" si="53"/>
        <v>2.0155399152252637E-4</v>
      </c>
      <c r="G108" s="1"/>
      <c r="H108" s="1">
        <f>SUM(OSRRefH22_11x_0)</f>
        <v>2500</v>
      </c>
      <c r="I108" s="1"/>
      <c r="J108" s="5">
        <f t="shared" si="54"/>
        <v>2.3277467411545625E-3</v>
      </c>
      <c r="K108" s="1"/>
      <c r="L108" s="1">
        <f t="shared" si="55"/>
        <v>-2279.7199999999998</v>
      </c>
      <c r="M108" s="1"/>
      <c r="N108" s="5">
        <f t="shared" si="56"/>
        <v>-0.91188799999999992</v>
      </c>
      <c r="O108" s="13"/>
      <c r="P108" s="1">
        <f>SUM(OSRRefP22_11x_0)</f>
        <v>9643.3300000000017</v>
      </c>
      <c r="Q108" s="1"/>
      <c r="R108" s="5">
        <f t="shared" si="57"/>
        <v>3.0807512374768625E-3</v>
      </c>
      <c r="S108" s="1"/>
      <c r="T108" s="1">
        <f>SUM(OSRRefT22_11x_0)</f>
        <v>13250</v>
      </c>
      <c r="U108" s="1"/>
      <c r="V108" s="5">
        <f t="shared" si="58"/>
        <v>4.1445415918042548E-3</v>
      </c>
      <c r="W108" s="1"/>
      <c r="X108" s="1">
        <f t="shared" si="59"/>
        <v>-3606.6699999999983</v>
      </c>
      <c r="Y108" s="1"/>
      <c r="Z108" s="5">
        <f t="shared" si="60"/>
        <v>-0.27220150943396215</v>
      </c>
    </row>
    <row r="109" spans="1:26" s="24" customFormat="1" hidden="1" outlineLevel="2" x14ac:dyDescent="0.25">
      <c r="A109" s="25"/>
      <c r="B109" s="11" t="str">
        <f>CONCATENATE("          ", "6241", " - ", "OFFICE EXPENSE")</f>
        <v xml:space="preserve">          6241 - OFFICE EXPENSE</v>
      </c>
      <c r="C109" s="11"/>
      <c r="D109" s="7">
        <v>220.28</v>
      </c>
      <c r="E109" s="2"/>
      <c r="F109" s="6">
        <f t="shared" si="53"/>
        <v>2.0155399152252637E-4</v>
      </c>
      <c r="G109" s="2"/>
      <c r="H109" s="7">
        <v>800</v>
      </c>
      <c r="I109" s="2"/>
      <c r="J109" s="6">
        <f t="shared" si="54"/>
        <v>7.4487895716945994E-4</v>
      </c>
      <c r="K109" s="2"/>
      <c r="L109" s="7">
        <f t="shared" si="55"/>
        <v>-579.72</v>
      </c>
      <c r="M109" s="2"/>
      <c r="N109" s="6">
        <f t="shared" si="56"/>
        <v>-0.72465000000000002</v>
      </c>
      <c r="O109" s="11"/>
      <c r="P109" s="7">
        <v>3804.21</v>
      </c>
      <c r="Q109" s="2"/>
      <c r="R109" s="6">
        <f t="shared" si="57"/>
        <v>1.2153296283671567E-3</v>
      </c>
      <c r="S109" s="2"/>
      <c r="T109" s="7">
        <v>4950</v>
      </c>
      <c r="U109" s="2"/>
      <c r="V109" s="6">
        <f t="shared" si="58"/>
        <v>1.5483381795797029E-3</v>
      </c>
      <c r="W109" s="2"/>
      <c r="X109" s="7">
        <f t="shared" si="59"/>
        <v>-1145.79</v>
      </c>
      <c r="Y109" s="2"/>
      <c r="Z109" s="6">
        <f t="shared" si="60"/>
        <v>-0.23147272727272727</v>
      </c>
    </row>
    <row r="110" spans="1:26" s="24" customFormat="1" hidden="1" outlineLevel="2" x14ac:dyDescent="0.25">
      <c r="A110" s="25"/>
      <c r="B110" s="11" t="str">
        <f>CONCATENATE("          ", "6245", " - ", "PRINTING")</f>
        <v xml:space="preserve">          6245 - PRINTING</v>
      </c>
      <c r="C110" s="11"/>
      <c r="D110" s="7"/>
      <c r="E110" s="2"/>
      <c r="F110" s="6">
        <f t="shared" si="53"/>
        <v>0</v>
      </c>
      <c r="G110" s="2"/>
      <c r="H110" s="7">
        <v>500</v>
      </c>
      <c r="I110" s="2"/>
      <c r="J110" s="6">
        <f t="shared" si="54"/>
        <v>4.6554934823091247E-4</v>
      </c>
      <c r="K110" s="2"/>
      <c r="L110" s="7">
        <f t="shared" si="55"/>
        <v>-500</v>
      </c>
      <c r="M110" s="2"/>
      <c r="N110" s="6">
        <f t="shared" si="56"/>
        <v>-1</v>
      </c>
      <c r="O110" s="11"/>
      <c r="P110" s="7">
        <v>4978.08</v>
      </c>
      <c r="Q110" s="2"/>
      <c r="R110" s="6">
        <f t="shared" si="57"/>
        <v>1.5903454636789175E-3</v>
      </c>
      <c r="S110" s="2"/>
      <c r="T110" s="7">
        <v>1900</v>
      </c>
      <c r="U110" s="2"/>
      <c r="V110" s="6">
        <f t="shared" si="58"/>
        <v>5.9431162448513844E-4</v>
      </c>
      <c r="W110" s="2"/>
      <c r="X110" s="7">
        <f t="shared" si="59"/>
        <v>3078.08</v>
      </c>
      <c r="Y110" s="2"/>
      <c r="Z110" s="6">
        <f t="shared" si="60"/>
        <v>1.6200421052631579</v>
      </c>
    </row>
    <row r="111" spans="1:26" s="24" customFormat="1" hidden="1" outlineLevel="2" x14ac:dyDescent="0.25">
      <c r="A111" s="25"/>
      <c r="B111" s="11" t="str">
        <f>CONCATENATE("          ", "6247", " - ", "STORE SUPPLIES")</f>
        <v xml:space="preserve">          6247 - STORE SUPPLIES</v>
      </c>
      <c r="C111" s="11"/>
      <c r="D111" s="7"/>
      <c r="E111" s="2"/>
      <c r="F111" s="6">
        <f t="shared" si="53"/>
        <v>0</v>
      </c>
      <c r="G111" s="2"/>
      <c r="H111" s="7">
        <v>1200</v>
      </c>
      <c r="I111" s="2"/>
      <c r="J111" s="6">
        <f t="shared" si="54"/>
        <v>1.1173184357541898E-3</v>
      </c>
      <c r="K111" s="2"/>
      <c r="L111" s="7">
        <f t="shared" si="55"/>
        <v>-1200</v>
      </c>
      <c r="M111" s="2"/>
      <c r="N111" s="6">
        <f t="shared" si="56"/>
        <v>-1</v>
      </c>
      <c r="O111" s="11"/>
      <c r="P111" s="7">
        <v>861.04</v>
      </c>
      <c r="Q111" s="2"/>
      <c r="R111" s="6">
        <f t="shared" si="57"/>
        <v>2.750761454307876E-4</v>
      </c>
      <c r="S111" s="2"/>
      <c r="T111" s="7">
        <v>6400</v>
      </c>
      <c r="U111" s="2"/>
      <c r="V111" s="6">
        <f t="shared" si="58"/>
        <v>2.0018917877394136E-3</v>
      </c>
      <c r="W111" s="2"/>
      <c r="X111" s="7">
        <f t="shared" si="59"/>
        <v>-5538.96</v>
      </c>
      <c r="Y111" s="2"/>
      <c r="Z111" s="6">
        <f t="shared" si="60"/>
        <v>-0.86546250000000002</v>
      </c>
    </row>
    <row r="112" spans="1:26" s="27" customFormat="1" outlineLevel="1" collapsed="1" x14ac:dyDescent="0.25">
      <c r="A112" s="26"/>
      <c r="B112" s="13" t="str">
        <f>CONCATENATE("     ","Telephone/Data Lines                              ")</f>
        <v xml:space="preserve">     Telephone/Data Lines                              </v>
      </c>
      <c r="C112" s="13"/>
      <c r="D112" s="1">
        <f>SUM(OSRRefD22_12x_0)</f>
        <v>976.35</v>
      </c>
      <c r="E112" s="1"/>
      <c r="F112" s="5">
        <f t="shared" ref="F112:F114" si="61">IF(D$12=0,0,D112/D$12)</f>
        <v>8.933504613356574E-4</v>
      </c>
      <c r="G112" s="1"/>
      <c r="H112" s="1">
        <f>SUM(OSRRefH22_12x_0)</f>
        <v>1100</v>
      </c>
      <c r="I112" s="1"/>
      <c r="J112" s="5">
        <f t="shared" ref="J112:J114" si="62">IF(H$12=0,0,H112/H$12)</f>
        <v>1.0242085661080075E-3</v>
      </c>
      <c r="K112" s="1"/>
      <c r="L112" s="1">
        <f t="shared" ref="L112:L114" si="63">+D112-H112</f>
        <v>-123.64999999999998</v>
      </c>
      <c r="M112" s="1"/>
      <c r="N112" s="5">
        <f t="shared" ref="N112:N114" si="64">IF(H112=0,0,L112/H112)</f>
        <v>-0.11240909090909089</v>
      </c>
      <c r="O112" s="13"/>
      <c r="P112" s="1">
        <f>SUM(OSRRefP22_12x_0)</f>
        <v>5910.3899999999994</v>
      </c>
      <c r="Q112" s="1"/>
      <c r="R112" s="5">
        <f t="shared" ref="R112:R114" si="65">IF(P$12=0,0,P112/P$12)</f>
        <v>1.8881902108992296E-3</v>
      </c>
      <c r="S112" s="1"/>
      <c r="T112" s="1">
        <f>SUM(OSRRefT22_12x_0)</f>
        <v>6500</v>
      </c>
      <c r="U112" s="1"/>
      <c r="V112" s="5">
        <f t="shared" ref="V112:V114" si="66">IF(T$12=0,0,T112/T$12)</f>
        <v>2.0331713469228423E-3</v>
      </c>
      <c r="W112" s="1"/>
      <c r="X112" s="1">
        <f t="shared" ref="X112:X114" si="67">+P112-T112</f>
        <v>-589.61000000000058</v>
      </c>
      <c r="Y112" s="1"/>
      <c r="Z112" s="5">
        <f t="shared" ref="Z112:Z114" si="68">IF(T112=0,0,X112/T112)</f>
        <v>-9.0709230769230861E-2</v>
      </c>
    </row>
    <row r="113" spans="1:26" s="24" customFormat="1" hidden="1" outlineLevel="2" x14ac:dyDescent="0.25">
      <c r="A113" s="25"/>
      <c r="B113" s="11" t="str">
        <f>CONCATENATE("          ", "6303", " - ", "DATA PHONE LINES")</f>
        <v xml:space="preserve">          6303 - DATA PHONE LINES</v>
      </c>
      <c r="C113" s="11"/>
      <c r="D113" s="7">
        <v>295</v>
      </c>
      <c r="E113" s="2"/>
      <c r="F113" s="6">
        <f t="shared" si="61"/>
        <v>2.6992204239670092E-4</v>
      </c>
      <c r="G113" s="2"/>
      <c r="H113" s="7">
        <v>300</v>
      </c>
      <c r="I113" s="2"/>
      <c r="J113" s="6">
        <f t="shared" si="62"/>
        <v>2.7932960893854746E-4</v>
      </c>
      <c r="K113" s="2"/>
      <c r="L113" s="7">
        <f t="shared" si="63"/>
        <v>-5</v>
      </c>
      <c r="M113" s="2"/>
      <c r="N113" s="6">
        <f t="shared" si="64"/>
        <v>-1.6666666666666666E-2</v>
      </c>
      <c r="O113" s="11"/>
      <c r="P113" s="7">
        <v>2065</v>
      </c>
      <c r="Q113" s="2"/>
      <c r="R113" s="6">
        <f t="shared" si="65"/>
        <v>6.5970482244097415E-4</v>
      </c>
      <c r="S113" s="2"/>
      <c r="T113" s="7">
        <v>2100</v>
      </c>
      <c r="U113" s="2"/>
      <c r="V113" s="6">
        <f t="shared" si="66"/>
        <v>6.5687074285199513E-4</v>
      </c>
      <c r="W113" s="2"/>
      <c r="X113" s="7">
        <f t="shared" si="67"/>
        <v>-35</v>
      </c>
      <c r="Y113" s="2"/>
      <c r="Z113" s="6">
        <f t="shared" si="68"/>
        <v>-1.6666666666666666E-2</v>
      </c>
    </row>
    <row r="114" spans="1:26" s="24" customFormat="1" hidden="1" outlineLevel="2" x14ac:dyDescent="0.25">
      <c r="A114" s="25"/>
      <c r="B114" s="11" t="str">
        <f>CONCATENATE("          ", "6309", " - ", "TELEPHONE")</f>
        <v xml:space="preserve">          6309 - TELEPHONE</v>
      </c>
      <c r="C114" s="11"/>
      <c r="D114" s="7">
        <v>681.35</v>
      </c>
      <c r="E114" s="2"/>
      <c r="F114" s="6">
        <f t="shared" si="61"/>
        <v>6.2342841893895653E-4</v>
      </c>
      <c r="G114" s="2"/>
      <c r="H114" s="7">
        <v>800</v>
      </c>
      <c r="I114" s="2"/>
      <c r="J114" s="6">
        <f t="shared" si="62"/>
        <v>7.4487895716945994E-4</v>
      </c>
      <c r="K114" s="2"/>
      <c r="L114" s="7">
        <f t="shared" si="63"/>
        <v>-118.64999999999998</v>
      </c>
      <c r="M114" s="2"/>
      <c r="N114" s="6">
        <f t="shared" si="64"/>
        <v>-0.14831249999999996</v>
      </c>
      <c r="O114" s="11"/>
      <c r="P114" s="7">
        <v>3845.39</v>
      </c>
      <c r="Q114" s="2"/>
      <c r="R114" s="6">
        <f t="shared" si="65"/>
        <v>1.2284853884582554E-3</v>
      </c>
      <c r="S114" s="2"/>
      <c r="T114" s="7">
        <v>4400</v>
      </c>
      <c r="U114" s="2"/>
      <c r="V114" s="6">
        <f t="shared" si="66"/>
        <v>1.376300604070847E-3</v>
      </c>
      <c r="W114" s="2"/>
      <c r="X114" s="7">
        <f t="shared" si="67"/>
        <v>-554.61000000000013</v>
      </c>
      <c r="Y114" s="2"/>
      <c r="Z114" s="6">
        <f t="shared" si="68"/>
        <v>-0.12604772727272731</v>
      </c>
    </row>
    <row r="115" spans="1:26" s="27" customFormat="1" outlineLevel="1" collapsed="1" x14ac:dyDescent="0.25">
      <c r="A115" s="26"/>
      <c r="B115" s="13" t="str">
        <f>CONCATENATE("     ","Training                                          ")</f>
        <v xml:space="preserve">     Training                                          </v>
      </c>
      <c r="C115" s="13"/>
      <c r="D115" s="1">
        <f>SUM(OSRRefD22_13x_0)</f>
        <v>844</v>
      </c>
      <c r="E115" s="1"/>
      <c r="F115" s="5">
        <f t="shared" ref="F115:F119" si="69">IF(D$12=0,0,D115/D$12)</f>
        <v>7.7225153824683247E-4</v>
      </c>
      <c r="G115" s="1"/>
      <c r="H115" s="1">
        <f>SUM(OSRRefH22_13x_0)</f>
        <v>800</v>
      </c>
      <c r="I115" s="1"/>
      <c r="J115" s="5">
        <f t="shared" ref="J115:J119" si="70">IF(H$12=0,0,H115/H$12)</f>
        <v>7.4487895716945994E-4</v>
      </c>
      <c r="K115" s="1"/>
      <c r="L115" s="1">
        <f t="shared" ref="L115:L119" si="71">+D115-H115</f>
        <v>44</v>
      </c>
      <c r="M115" s="1"/>
      <c r="N115" s="5">
        <f t="shared" ref="N115:N119" si="72">IF(H115=0,0,L115/H115)</f>
        <v>5.5E-2</v>
      </c>
      <c r="O115" s="13"/>
      <c r="P115" s="1">
        <f>SUM(OSRRefP22_13x_0)</f>
        <v>1391.47</v>
      </c>
      <c r="Q115" s="1"/>
      <c r="R115" s="5">
        <f t="shared" ref="R115:R119" si="73">IF(P$12=0,0,P115/P$12)</f>
        <v>4.445324306450084E-4</v>
      </c>
      <c r="S115" s="1"/>
      <c r="T115" s="1">
        <f>SUM(OSRRefT22_13x_0)</f>
        <v>2600</v>
      </c>
      <c r="U115" s="1"/>
      <c r="V115" s="5">
        <f t="shared" ref="V115:V119" si="74">IF(T$12=0,0,T115/T$12)</f>
        <v>8.1326853876913685E-4</v>
      </c>
      <c r="W115" s="1"/>
      <c r="X115" s="1">
        <f t="shared" ref="X115:X119" si="75">+P115-T115</f>
        <v>-1208.53</v>
      </c>
      <c r="Y115" s="1"/>
      <c r="Z115" s="5">
        <f t="shared" ref="Z115:Z119" si="76">IF(T115=0,0,X115/T115)</f>
        <v>-0.46481923076923076</v>
      </c>
    </row>
    <row r="116" spans="1:26" s="24" customFormat="1" hidden="1" outlineLevel="2" x14ac:dyDescent="0.25">
      <c r="A116" s="25"/>
      <c r="B116" s="11" t="str">
        <f>CONCATENATE("          ", "6376", " - ", "TRAINING")</f>
        <v xml:space="preserve">          6376 - TRAINING</v>
      </c>
      <c r="C116" s="11"/>
      <c r="D116" s="7">
        <v>844</v>
      </c>
      <c r="E116" s="2"/>
      <c r="F116" s="6">
        <f t="shared" si="69"/>
        <v>7.7225153824683247E-4</v>
      </c>
      <c r="G116" s="2"/>
      <c r="H116" s="7">
        <v>800</v>
      </c>
      <c r="I116" s="2"/>
      <c r="J116" s="6">
        <f t="shared" si="70"/>
        <v>7.4487895716945994E-4</v>
      </c>
      <c r="K116" s="2"/>
      <c r="L116" s="7">
        <f t="shared" si="71"/>
        <v>44</v>
      </c>
      <c r="M116" s="2"/>
      <c r="N116" s="6">
        <f t="shared" si="72"/>
        <v>5.5E-2</v>
      </c>
      <c r="O116" s="11"/>
      <c r="P116" s="7">
        <v>1391.47</v>
      </c>
      <c r="Q116" s="2"/>
      <c r="R116" s="6">
        <f t="shared" si="73"/>
        <v>4.445324306450084E-4</v>
      </c>
      <c r="S116" s="2"/>
      <c r="T116" s="7">
        <v>2600</v>
      </c>
      <c r="U116" s="2"/>
      <c r="V116" s="6">
        <f t="shared" si="74"/>
        <v>8.1326853876913685E-4</v>
      </c>
      <c r="W116" s="2"/>
      <c r="X116" s="7">
        <f t="shared" si="75"/>
        <v>-1208.53</v>
      </c>
      <c r="Y116" s="2"/>
      <c r="Z116" s="6">
        <f t="shared" si="76"/>
        <v>-0.46481923076923076</v>
      </c>
    </row>
    <row r="117" spans="1:26" s="27" customFormat="1" outlineLevel="1" collapsed="1" x14ac:dyDescent="0.25">
      <c r="A117" s="26"/>
      <c r="B117" s="13" t="str">
        <f>CONCATENATE("     ","Travel                                            ")</f>
        <v xml:space="preserve">     Travel                                            </v>
      </c>
      <c r="C117" s="13"/>
      <c r="D117" s="1">
        <f>SUM(OSRRefD22_14x_0)</f>
        <v>0</v>
      </c>
      <c r="E117" s="1"/>
      <c r="F117" s="5">
        <f t="shared" si="69"/>
        <v>0</v>
      </c>
      <c r="G117" s="1"/>
      <c r="H117" s="1">
        <f>SUM(OSRRefH22_14x_0)</f>
        <v>0</v>
      </c>
      <c r="I117" s="1"/>
      <c r="J117" s="5">
        <f t="shared" si="70"/>
        <v>0</v>
      </c>
      <c r="K117" s="1"/>
      <c r="L117" s="1">
        <f t="shared" si="71"/>
        <v>0</v>
      </c>
      <c r="M117" s="1"/>
      <c r="N117" s="5">
        <f t="shared" si="72"/>
        <v>0</v>
      </c>
      <c r="O117" s="13"/>
      <c r="P117" s="1">
        <f>SUM(OSRRefP22_14x_0)</f>
        <v>83.93</v>
      </c>
      <c r="Q117" s="1"/>
      <c r="R117" s="5">
        <f t="shared" si="73"/>
        <v>2.6813087529041631E-5</v>
      </c>
      <c r="S117" s="1"/>
      <c r="T117" s="1">
        <f>SUM(OSRRefT22_14x_0)</f>
        <v>450</v>
      </c>
      <c r="U117" s="1"/>
      <c r="V117" s="5">
        <f t="shared" si="74"/>
        <v>1.4075801632542752E-4</v>
      </c>
      <c r="W117" s="1"/>
      <c r="X117" s="1">
        <f t="shared" si="75"/>
        <v>-366.07</v>
      </c>
      <c r="Y117" s="1"/>
      <c r="Z117" s="5">
        <f t="shared" si="76"/>
        <v>-0.81348888888888893</v>
      </c>
    </row>
    <row r="118" spans="1:26" s="24" customFormat="1" hidden="1" outlineLevel="2" x14ac:dyDescent="0.25">
      <c r="A118" s="25"/>
      <c r="B118" s="11" t="str">
        <f>CONCATENATE("          ", "6292", " - ", "TRAVEL/CONFERENCE")</f>
        <v xml:space="preserve">          6292 - TRAVEL/CONFERENCE</v>
      </c>
      <c r="C118" s="11"/>
      <c r="D118" s="7"/>
      <c r="E118" s="2"/>
      <c r="F118" s="6">
        <f t="shared" si="69"/>
        <v>0</v>
      </c>
      <c r="G118" s="2"/>
      <c r="H118" s="7"/>
      <c r="I118" s="2"/>
      <c r="J118" s="6">
        <f t="shared" si="70"/>
        <v>0</v>
      </c>
      <c r="K118" s="2"/>
      <c r="L118" s="7">
        <f t="shared" si="71"/>
        <v>0</v>
      </c>
      <c r="M118" s="2"/>
      <c r="N118" s="6">
        <f t="shared" si="72"/>
        <v>0</v>
      </c>
      <c r="O118" s="11"/>
      <c r="P118" s="7">
        <v>83.93</v>
      </c>
      <c r="Q118" s="2"/>
      <c r="R118" s="6">
        <f t="shared" si="73"/>
        <v>2.6813087529041631E-5</v>
      </c>
      <c r="S118" s="2"/>
      <c r="T118" s="7"/>
      <c r="U118" s="2"/>
      <c r="V118" s="6">
        <f t="shared" si="74"/>
        <v>0</v>
      </c>
      <c r="W118" s="2"/>
      <c r="X118" s="7">
        <f t="shared" si="75"/>
        <v>83.93</v>
      </c>
      <c r="Y118" s="2"/>
      <c r="Z118" s="6">
        <f t="shared" si="76"/>
        <v>0</v>
      </c>
    </row>
    <row r="119" spans="1:26" s="24" customFormat="1" hidden="1" outlineLevel="2" x14ac:dyDescent="0.25">
      <c r="A119" s="25"/>
      <c r="B119" s="11" t="str">
        <f>CONCATENATE("          ", "6298", " - ", "VEHICLE MILEAGE")</f>
        <v xml:space="preserve">          6298 - VEHICLE MILEAGE</v>
      </c>
      <c r="C119" s="11"/>
      <c r="D119" s="7"/>
      <c r="E119" s="2"/>
      <c r="F119" s="6">
        <f t="shared" si="69"/>
        <v>0</v>
      </c>
      <c r="G119" s="2"/>
      <c r="H119" s="7"/>
      <c r="I119" s="2"/>
      <c r="J119" s="6">
        <f t="shared" si="70"/>
        <v>0</v>
      </c>
      <c r="K119" s="2"/>
      <c r="L119" s="7">
        <f t="shared" si="71"/>
        <v>0</v>
      </c>
      <c r="M119" s="2"/>
      <c r="N119" s="6">
        <f t="shared" si="72"/>
        <v>0</v>
      </c>
      <c r="O119" s="11"/>
      <c r="P119" s="7"/>
      <c r="Q119" s="2"/>
      <c r="R119" s="6">
        <f t="shared" si="73"/>
        <v>0</v>
      </c>
      <c r="S119" s="2"/>
      <c r="T119" s="7">
        <v>450</v>
      </c>
      <c r="U119" s="2"/>
      <c r="V119" s="6">
        <f t="shared" si="74"/>
        <v>1.4075801632542752E-4</v>
      </c>
      <c r="W119" s="2"/>
      <c r="X119" s="7">
        <f t="shared" si="75"/>
        <v>-450</v>
      </c>
      <c r="Y119" s="2"/>
      <c r="Z119" s="6">
        <f t="shared" si="76"/>
        <v>-1</v>
      </c>
    </row>
    <row r="120" spans="1:26" s="53" customFormat="1" x14ac:dyDescent="0.25">
      <c r="A120" s="36"/>
      <c r="B120" s="36"/>
      <c r="C120" s="36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6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25">
      <c r="A121" s="10"/>
      <c r="B121" s="28" t="s">
        <v>0</v>
      </c>
      <c r="C121" s="10"/>
      <c r="D121" s="4">
        <f>SUM(OSRRefD25x_0)</f>
        <v>-37238.14</v>
      </c>
      <c r="E121" s="4"/>
      <c r="F121" s="12">
        <f t="shared" ref="F121:F125" si="77">IF(D$12=0,0,D121/D$12)</f>
        <v>-3.4072524758828084E-2</v>
      </c>
      <c r="G121" s="4"/>
      <c r="H121" s="4">
        <f>SUM(OSRRefH25x_0)</f>
        <v>6000</v>
      </c>
      <c r="I121" s="4"/>
      <c r="J121" s="12">
        <f t="shared" ref="J121:J125" si="78">IF(H$12=0,0,H121/H$12)</f>
        <v>5.5865921787709499E-3</v>
      </c>
      <c r="K121" s="4"/>
      <c r="L121" s="4">
        <f t="shared" ref="L121:L125" si="79">+D121-H121</f>
        <v>-43238.14</v>
      </c>
      <c r="M121" s="4"/>
      <c r="N121" s="12">
        <f t="shared" ref="N121:N125" si="80">IF(H121=0,0,L121/H121)</f>
        <v>-7.2063566666666663</v>
      </c>
      <c r="O121" s="10"/>
      <c r="P121" s="4">
        <f>SUM(OSRRefP25x_0)</f>
        <v>108810.67</v>
      </c>
      <c r="Q121" s="4"/>
      <c r="R121" s="12">
        <f t="shared" ref="R121:R125" si="81">IF(P$12=0,0,P121/P$12)</f>
        <v>3.4761706407764374E-2</v>
      </c>
      <c r="S121" s="4"/>
      <c r="T121" s="4">
        <f>SUM(OSRRefT25x_0)</f>
        <v>98150</v>
      </c>
      <c r="U121" s="4"/>
      <c r="V121" s="12">
        <f t="shared" ref="V121:V125" si="82">IF(T$12=0,0,T121/T$12)</f>
        <v>3.0700887338534915E-2</v>
      </c>
      <c r="W121" s="4"/>
      <c r="X121" s="4">
        <f t="shared" ref="X121:X125" si="83">+P121-T121</f>
        <v>10660.669999999998</v>
      </c>
      <c r="Y121" s="4"/>
      <c r="Z121" s="12">
        <f t="shared" ref="Z121:Z125" si="84">IF(T121=0,0,X121/T121)</f>
        <v>0.10861609780947527</v>
      </c>
    </row>
    <row r="122" spans="1:26" s="24" customFormat="1" hidden="1" outlineLevel="1" x14ac:dyDescent="0.25">
      <c r="A122" s="44"/>
      <c r="B122" s="11" t="str">
        <f>CONCATENATE("          ", "9150", " - ", "MISC. INCOME")</f>
        <v xml:space="preserve">          9150 - MISC. INCOME</v>
      </c>
      <c r="C122" s="11"/>
      <c r="D122" s="2">
        <f>-37707.24</f>
        <v>-37707.24</v>
      </c>
      <c r="E122" s="2"/>
      <c r="F122" s="19">
        <f t="shared" si="77"/>
        <v>-3.4501746555737546E-2</v>
      </c>
      <c r="G122" s="2"/>
      <c r="H122" s="2"/>
      <c r="I122" s="2"/>
      <c r="J122" s="19">
        <f t="shared" si="78"/>
        <v>0</v>
      </c>
      <c r="K122" s="2"/>
      <c r="L122" s="2">
        <f t="shared" si="79"/>
        <v>-37707.24</v>
      </c>
      <c r="M122" s="2"/>
      <c r="N122" s="19">
        <f t="shared" si="80"/>
        <v>0</v>
      </c>
      <c r="O122" s="11"/>
      <c r="P122" s="2">
        <f>--16434.61</f>
        <v>16434.61</v>
      </c>
      <c r="Q122" s="2"/>
      <c r="R122" s="19">
        <f t="shared" si="81"/>
        <v>5.2503590663131525E-3</v>
      </c>
      <c r="S122" s="2"/>
      <c r="T122" s="2"/>
      <c r="U122" s="2"/>
      <c r="V122" s="19">
        <f t="shared" si="82"/>
        <v>0</v>
      </c>
      <c r="W122" s="2"/>
      <c r="X122" s="2">
        <f t="shared" si="83"/>
        <v>16434.61</v>
      </c>
      <c r="Y122" s="2"/>
      <c r="Z122" s="19">
        <f t="shared" si="84"/>
        <v>0</v>
      </c>
    </row>
    <row r="123" spans="1:26" s="24" customFormat="1" hidden="1" outlineLevel="1" x14ac:dyDescent="0.25">
      <c r="A123" s="44"/>
      <c r="B123" s="11" t="str">
        <f>CONCATENATE("          ", "9151", " - ", "MISC. INCOME")</f>
        <v xml:space="preserve">          9151 - MISC. INCOME</v>
      </c>
      <c r="C123" s="11"/>
      <c r="D123" s="2">
        <f>0</f>
        <v>0</v>
      </c>
      <c r="E123" s="2"/>
      <c r="F123" s="19">
        <f t="shared" si="77"/>
        <v>0</v>
      </c>
      <c r="G123" s="2"/>
      <c r="H123" s="2"/>
      <c r="I123" s="2"/>
      <c r="J123" s="19">
        <f t="shared" si="78"/>
        <v>0</v>
      </c>
      <c r="K123" s="2"/>
      <c r="L123" s="2">
        <f t="shared" si="79"/>
        <v>0</v>
      </c>
      <c r="M123" s="2"/>
      <c r="N123" s="19">
        <f t="shared" si="80"/>
        <v>0</v>
      </c>
      <c r="O123" s="11"/>
      <c r="P123" s="2">
        <f>--87676.2</f>
        <v>87676.2</v>
      </c>
      <c r="Q123" s="2"/>
      <c r="R123" s="19">
        <f t="shared" si="81"/>
        <v>2.8009884723147381E-2</v>
      </c>
      <c r="S123" s="2"/>
      <c r="T123" s="2"/>
      <c r="U123" s="2"/>
      <c r="V123" s="19">
        <f t="shared" si="82"/>
        <v>0</v>
      </c>
      <c r="W123" s="2"/>
      <c r="X123" s="2">
        <f t="shared" si="83"/>
        <v>87676.2</v>
      </c>
      <c r="Y123" s="2"/>
      <c r="Z123" s="19">
        <f t="shared" si="84"/>
        <v>0</v>
      </c>
    </row>
    <row r="124" spans="1:26" s="24" customFormat="1" hidden="1" outlineLevel="1" x14ac:dyDescent="0.25">
      <c r="A124" s="44"/>
      <c r="B124" s="11" t="str">
        <f>CONCATENATE("          ", "9152", " - ", "MISC. INCOME")</f>
        <v xml:space="preserve">          9152 - MISC. INCOME</v>
      </c>
      <c r="C124" s="11"/>
      <c r="D124" s="2">
        <f>--469.1</f>
        <v>469.1</v>
      </c>
      <c r="E124" s="2"/>
      <c r="F124" s="19">
        <f t="shared" si="77"/>
        <v>4.292217969094658E-4</v>
      </c>
      <c r="G124" s="2"/>
      <c r="H124" s="2"/>
      <c r="I124" s="2"/>
      <c r="J124" s="19">
        <f t="shared" si="78"/>
        <v>0</v>
      </c>
      <c r="K124" s="2"/>
      <c r="L124" s="2">
        <f t="shared" si="79"/>
        <v>469.1</v>
      </c>
      <c r="M124" s="2"/>
      <c r="N124" s="19">
        <f t="shared" si="80"/>
        <v>0</v>
      </c>
      <c r="O124" s="11"/>
      <c r="P124" s="2">
        <f>--4699.86</f>
        <v>4699.8599999999997</v>
      </c>
      <c r="Q124" s="2"/>
      <c r="R124" s="19">
        <f t="shared" si="81"/>
        <v>1.5014626183038435E-3</v>
      </c>
      <c r="S124" s="2"/>
      <c r="T124" s="2"/>
      <c r="U124" s="2"/>
      <c r="V124" s="19">
        <f t="shared" si="82"/>
        <v>0</v>
      </c>
      <c r="W124" s="2"/>
      <c r="X124" s="2">
        <f t="shared" si="83"/>
        <v>4699.8599999999997</v>
      </c>
      <c r="Y124" s="2"/>
      <c r="Z124" s="19">
        <f t="shared" si="84"/>
        <v>0</v>
      </c>
    </row>
    <row r="125" spans="1:26" s="24" customFormat="1" hidden="1" outlineLevel="1" x14ac:dyDescent="0.25">
      <c r="A125" s="44"/>
      <c r="B125" s="11" t="str">
        <f>CONCATENATE("          ", "9160", " - ", "MISC. INCOME")</f>
        <v xml:space="preserve">          9160 - MISC. INCOME</v>
      </c>
      <c r="C125" s="11"/>
      <c r="D125" s="2">
        <f>0</f>
        <v>0</v>
      </c>
      <c r="E125" s="2"/>
      <c r="F125" s="19">
        <f t="shared" si="77"/>
        <v>0</v>
      </c>
      <c r="G125" s="2"/>
      <c r="H125" s="2">
        <v>6000</v>
      </c>
      <c r="I125" s="2"/>
      <c r="J125" s="19">
        <f t="shared" si="78"/>
        <v>5.5865921787709499E-3</v>
      </c>
      <c r="K125" s="2"/>
      <c r="L125" s="2">
        <f t="shared" si="79"/>
        <v>-6000</v>
      </c>
      <c r="M125" s="2"/>
      <c r="N125" s="19">
        <f t="shared" si="80"/>
        <v>-1</v>
      </c>
      <c r="O125" s="11"/>
      <c r="P125" s="2">
        <f>0</f>
        <v>0</v>
      </c>
      <c r="Q125" s="2"/>
      <c r="R125" s="19">
        <f t="shared" si="81"/>
        <v>0</v>
      </c>
      <c r="S125" s="2"/>
      <c r="T125" s="2">
        <v>98150</v>
      </c>
      <c r="U125" s="2"/>
      <c r="V125" s="19">
        <f t="shared" si="82"/>
        <v>3.0700887338534915E-2</v>
      </c>
      <c r="W125" s="2"/>
      <c r="X125" s="2">
        <f t="shared" si="83"/>
        <v>-98150</v>
      </c>
      <c r="Y125" s="2"/>
      <c r="Z125" s="19">
        <f t="shared" si="84"/>
        <v>-1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9" t="s">
        <v>3</v>
      </c>
      <c r="C127" s="29"/>
      <c r="D127" s="21">
        <f>+D61-D63+D121</f>
        <v>433135.55999999994</v>
      </c>
      <c r="E127" s="14"/>
      <c r="F127" s="20">
        <f>IF(D$12=0,0,D127/D$12)</f>
        <v>0.39631469488080939</v>
      </c>
      <c r="G127" s="14"/>
      <c r="H127" s="21">
        <f>+H61-H63+H121</f>
        <v>238058.57460690776</v>
      </c>
      <c r="I127" s="14"/>
      <c r="J127" s="20">
        <f>IF(H$12=0,0,H127/H$12)</f>
        <v>0.22165602849805191</v>
      </c>
      <c r="K127" s="16"/>
      <c r="L127" s="21">
        <f>+D127-H127</f>
        <v>195076.98539309218</v>
      </c>
      <c r="M127" s="16"/>
      <c r="N127" s="20">
        <f>IF(H127=0,0,L127/H127)</f>
        <v>0.81944952293867768</v>
      </c>
      <c r="O127" s="28"/>
      <c r="P127" s="21">
        <f>+P61-P63+P121</f>
        <v>875472.86</v>
      </c>
      <c r="Q127" s="14"/>
      <c r="R127" s="20">
        <f>IF(P$12=0,0,P127/P$12)</f>
        <v>0.27968700612987502</v>
      </c>
      <c r="S127" s="14"/>
      <c r="T127" s="21">
        <f>+T61-T63+T121</f>
        <v>590610.74678797182</v>
      </c>
      <c r="U127" s="14"/>
      <c r="V127" s="20">
        <f>IF(T$12=0,0,T127/T$12)</f>
        <v>0.18474043808523175</v>
      </c>
      <c r="W127" s="16"/>
      <c r="X127" s="21">
        <f>+P127-T127</f>
        <v>284862.11321202817</v>
      </c>
      <c r="Y127" s="16"/>
      <c r="Z127" s="20">
        <f>IF(T127=0,0,X127/T127)</f>
        <v>0.48231786292621109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2"/>
      <c r="B129" s="10" t="s">
        <v>14</v>
      </c>
      <c r="C129" s="10"/>
      <c r="D129" s="4">
        <v>106392.36</v>
      </c>
      <c r="E129" s="4"/>
      <c r="F129" s="12">
        <f>IF(D$12=0,0,D129/D$12)</f>
        <v>9.734794273425447E-2</v>
      </c>
      <c r="G129" s="4"/>
      <c r="H129" s="4">
        <v>120153.99999999999</v>
      </c>
      <c r="I129" s="4"/>
      <c r="J129" s="12">
        <f>IF(H$12=0,0,H129/H$12)</f>
        <v>0.11187523277467411</v>
      </c>
      <c r="K129" s="4"/>
      <c r="L129" s="4">
        <f>+D129-H129</f>
        <v>-13761.639999999985</v>
      </c>
      <c r="M129" s="4"/>
      <c r="N129" s="12">
        <f>IF(H129=0,0,L129/H129)</f>
        <v>-0.1145333488689514</v>
      </c>
      <c r="O129" s="10"/>
      <c r="P129" s="4">
        <v>326434.25</v>
      </c>
      <c r="Q129" s="4"/>
      <c r="R129" s="12">
        <f>IF(P$12=0,0,P129/P$12)</f>
        <v>0.10428583483530392</v>
      </c>
      <c r="S129" s="4"/>
      <c r="T129" s="4">
        <v>393625</v>
      </c>
      <c r="U129" s="4"/>
      <c r="V129" s="12">
        <f>IF(T$12=0,0,T129/T$12)</f>
        <v>0.12312416483576981</v>
      </c>
      <c r="W129" s="4"/>
      <c r="X129" s="4">
        <f>+P129-T129</f>
        <v>-67190.75</v>
      </c>
      <c r="Y129" s="4"/>
      <c r="Z129" s="12">
        <f>IF(T129=0,0,X129/T129)</f>
        <v>-0.17069736424261669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9" t="s">
        <v>4</v>
      </c>
      <c r="C131" s="29"/>
      <c r="D131" s="34">
        <f>+D127-D129</f>
        <v>326743.19999999995</v>
      </c>
      <c r="E131" s="14"/>
      <c r="F131" s="32">
        <f>IF(D$12=0,0,D131/D$12)</f>
        <v>0.29896675214655494</v>
      </c>
      <c r="G131" s="14"/>
      <c r="H131" s="34">
        <f>+H127-H129</f>
        <v>117904.57460690777</v>
      </c>
      <c r="I131" s="14"/>
      <c r="J131" s="32">
        <f>IF(H$12=0,0,H131/H$12)</f>
        <v>0.10978079572337782</v>
      </c>
      <c r="K131" s="16"/>
      <c r="L131" s="34">
        <f>D131-H131</f>
        <v>208838.62539309217</v>
      </c>
      <c r="M131" s="16"/>
      <c r="N131" s="32">
        <f>IF(H131=0,0,L131/H131)</f>
        <v>1.7712512520345989</v>
      </c>
      <c r="O131" s="28"/>
      <c r="P131" s="34">
        <f>+P127-P129</f>
        <v>549038.61</v>
      </c>
      <c r="Q131" s="14"/>
      <c r="R131" s="32">
        <f>IF(P$12=0,0,P131/P$12)</f>
        <v>0.17540117129457108</v>
      </c>
      <c r="S131" s="14"/>
      <c r="T131" s="34">
        <f>+T127-T129</f>
        <v>196985.74678797182</v>
      </c>
      <c r="U131" s="14"/>
      <c r="V131" s="32">
        <f>IF(T$12=0,0,T131/T$12)</f>
        <v>6.1616273249461936E-2</v>
      </c>
      <c r="W131" s="16"/>
      <c r="X131" s="34">
        <f>P131-T131</f>
        <v>352052.86321202817</v>
      </c>
      <c r="Y131" s="16"/>
      <c r="Z131" s="32">
        <f>IF(T131=0,0,X131/T131)</f>
        <v>1.787199677908498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9" t="s">
        <v>5</v>
      </c>
      <c r="C134" s="29"/>
      <c r="D134" s="31">
        <f>SUM(D131:D133)</f>
        <v>326743.19999999995</v>
      </c>
      <c r="E134" s="14"/>
      <c r="F134" s="30">
        <f>IF(D$12=0,0,D134/D$12)</f>
        <v>0.29896675214655494</v>
      </c>
      <c r="G134" s="14"/>
      <c r="H134" s="31">
        <f>SUM(H131:H133)</f>
        <v>117904.57460690777</v>
      </c>
      <c r="I134" s="14"/>
      <c r="J134" s="30">
        <f>IF(H$12=0,0,H134/H$12)</f>
        <v>0.10978079572337782</v>
      </c>
      <c r="K134" s="16"/>
      <c r="L134" s="31">
        <f>+D134-H134</f>
        <v>208838.62539309217</v>
      </c>
      <c r="M134" s="16"/>
      <c r="N134" s="30">
        <f>IF(H134=0,0,L134/H134)</f>
        <v>1.7712512520345989</v>
      </c>
      <c r="O134" s="28"/>
      <c r="P134" s="31">
        <f>SUM(P131:P133)</f>
        <v>549038.61</v>
      </c>
      <c r="Q134" s="14"/>
      <c r="R134" s="30">
        <f>IF(P$12=0,0,P134/P$12)</f>
        <v>0.17540117129457108</v>
      </c>
      <c r="S134" s="14"/>
      <c r="T134" s="31">
        <f>SUM(T131:T133)</f>
        <v>196985.74678797182</v>
      </c>
      <c r="U134" s="14"/>
      <c r="V134" s="30">
        <f>IF(T$12=0,0,T134/T$12)</f>
        <v>6.1616273249461936E-2</v>
      </c>
      <c r="W134" s="16"/>
      <c r="X134" s="31">
        <f>+P134-T134</f>
        <v>352052.86321202817</v>
      </c>
      <c r="Y134" s="16"/>
      <c r="Z134" s="30">
        <f>IF(T134=0,0,X134/T134)</f>
        <v>1.787199677908498</v>
      </c>
    </row>
    <row r="135" spans="1:26" ht="15.75" thickTop="1" x14ac:dyDescent="0.25">
      <c r="A135" s="9"/>
      <c r="C135" s="9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A136" s="9"/>
      <c r="B136" s="63">
        <v>43879.546174189818</v>
      </c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A137" s="9"/>
      <c r="B137" s="57" t="s">
        <v>314</v>
      </c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A138" s="9"/>
      <c r="B138" s="60"/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25"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","324", " - ", "Textbook Rental")</f>
        <v>Department 324 - Textbook Rental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580159.63</v>
      </c>
      <c r="E12" s="4"/>
      <c r="F12" s="12"/>
      <c r="G12" s="4"/>
      <c r="H12" s="4">
        <f>SUM(OSRRefH13x_0)</f>
        <v>879000</v>
      </c>
      <c r="I12" s="4"/>
      <c r="J12" s="12"/>
      <c r="K12" s="4"/>
      <c r="L12" s="4">
        <f t="shared" ref="L12:L15" si="0">+D12-H12</f>
        <v>-298840.37</v>
      </c>
      <c r="M12" s="4"/>
      <c r="N12" s="12">
        <f t="shared" ref="N12:N15" si="1">IF(H12=0,0,L12/H12)</f>
        <v>-0.33997766780432309</v>
      </c>
      <c r="O12" s="10"/>
      <c r="P12" s="4">
        <f>SUM(OSRRefP13x_0)</f>
        <v>1483133.88</v>
      </c>
      <c r="Q12" s="4"/>
      <c r="R12" s="12"/>
      <c r="S12" s="4"/>
      <c r="T12" s="4">
        <f>SUM(OSRRefT13x_0)</f>
        <v>1936469.9999999998</v>
      </c>
      <c r="U12" s="4"/>
      <c r="V12" s="12"/>
      <c r="W12" s="4"/>
      <c r="X12" s="4">
        <f t="shared" ref="X12:X15" si="2">+P12-T12</f>
        <v>-453336.11999999988</v>
      </c>
      <c r="Y12" s="4"/>
      <c r="Z12" s="12">
        <f t="shared" ref="Z12:Z15" si="3">IF(T12=0,0,X12/T12)</f>
        <v>-0.234104385815427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--131223.23</f>
        <v>131223.23000000001</v>
      </c>
      <c r="E13" s="2"/>
      <c r="F13" s="19"/>
      <c r="G13" s="2"/>
      <c r="H13" s="2"/>
      <c r="I13" s="2"/>
      <c r="J13" s="19"/>
      <c r="K13" s="2"/>
      <c r="L13" s="2">
        <f t="shared" si="0"/>
        <v>131223.23000000001</v>
      </c>
      <c r="M13" s="2"/>
      <c r="N13" s="19">
        <f t="shared" si="1"/>
        <v>0</v>
      </c>
      <c r="O13" s="11"/>
      <c r="P13" s="2">
        <f>--387706.84</f>
        <v>387706.84</v>
      </c>
      <c r="Q13" s="2"/>
      <c r="R13" s="19"/>
      <c r="S13" s="2"/>
      <c r="T13" s="2"/>
      <c r="U13" s="2"/>
      <c r="V13" s="19"/>
      <c r="W13" s="2"/>
      <c r="X13" s="2">
        <f t="shared" si="2"/>
        <v>387706.84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--234644.79</f>
        <v>234644.79</v>
      </c>
      <c r="E14" s="2"/>
      <c r="F14" s="19"/>
      <c r="G14" s="2"/>
      <c r="H14" s="2"/>
      <c r="I14" s="2"/>
      <c r="J14" s="19"/>
      <c r="K14" s="2"/>
      <c r="L14" s="2">
        <f t="shared" si="0"/>
        <v>234644.79</v>
      </c>
      <c r="M14" s="2"/>
      <c r="N14" s="19">
        <f t="shared" si="1"/>
        <v>0</v>
      </c>
      <c r="O14" s="11"/>
      <c r="P14" s="2">
        <f>--545206.88</f>
        <v>545206.88</v>
      </c>
      <c r="Q14" s="2"/>
      <c r="R14" s="19"/>
      <c r="S14" s="2"/>
      <c r="T14" s="2"/>
      <c r="U14" s="2"/>
      <c r="V14" s="19"/>
      <c r="W14" s="2"/>
      <c r="X14" s="2">
        <f t="shared" si="2"/>
        <v>545206.88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--214291.61</f>
        <v>214291.61</v>
      </c>
      <c r="E15" s="2"/>
      <c r="F15" s="19"/>
      <c r="G15" s="2"/>
      <c r="H15" s="2">
        <v>879000</v>
      </c>
      <c r="I15" s="2"/>
      <c r="J15" s="19"/>
      <c r="K15" s="2"/>
      <c r="L15" s="2">
        <f t="shared" si="0"/>
        <v>-664708.39</v>
      </c>
      <c r="M15" s="2"/>
      <c r="N15" s="19">
        <f t="shared" si="1"/>
        <v>-0.75620977246871446</v>
      </c>
      <c r="O15" s="11"/>
      <c r="P15" s="2">
        <f>--550220.16</f>
        <v>550220.16</v>
      </c>
      <c r="Q15" s="2"/>
      <c r="R15" s="19"/>
      <c r="S15" s="2"/>
      <c r="T15" s="2">
        <v>1936469.9999999998</v>
      </c>
      <c r="U15" s="2"/>
      <c r="V15" s="19"/>
      <c r="W15" s="2"/>
      <c r="X15" s="2">
        <f t="shared" si="2"/>
        <v>-1386249.8399999999</v>
      </c>
      <c r="Y15" s="2"/>
      <c r="Z15" s="19">
        <f t="shared" si="3"/>
        <v>-0.71586435111310787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432607.21</v>
      </c>
      <c r="E17" s="4"/>
      <c r="F17" s="12">
        <f t="shared" ref="F17:F20" si="4">IF(D$12=0,0,D17/D$12)</f>
        <v>0.74566927381693215</v>
      </c>
      <c r="G17" s="4"/>
      <c r="H17" s="4">
        <f>SUM(OSRRefH16x_0)</f>
        <v>640912.29999999993</v>
      </c>
      <c r="I17" s="4"/>
      <c r="J17" s="12">
        <f t="shared" ref="J17:J20" si="5">IF(H$12=0,0,H17/H$12)</f>
        <v>0.72913799772468701</v>
      </c>
      <c r="K17" s="4"/>
      <c r="L17" s="4">
        <f t="shared" ref="L17:L20" si="6">+D17-H17</f>
        <v>-208305.08999999991</v>
      </c>
      <c r="M17" s="4"/>
      <c r="N17" s="12">
        <f t="shared" ref="N17:N20" si="7">IF(H17=0,0,L17/H17)</f>
        <v>-0.32501340667046014</v>
      </c>
      <c r="O17" s="10"/>
      <c r="P17" s="4">
        <f>SUM(OSRRefP16x_0)</f>
        <v>1101718.8700000001</v>
      </c>
      <c r="Q17" s="4"/>
      <c r="R17" s="12">
        <f t="shared" ref="R17:R20" si="8">IF(P$12=0,0,P17/P$12)</f>
        <v>0.74283170579314139</v>
      </c>
      <c r="S17" s="4"/>
      <c r="T17" s="4">
        <f>SUM(OSRRefT16x_0)</f>
        <v>1404332</v>
      </c>
      <c r="U17" s="4"/>
      <c r="V17" s="12">
        <f t="shared" ref="V17:V20" si="9">IF(T$12=0,0,T17/T$12)</f>
        <v>0.72520204289247969</v>
      </c>
      <c r="W17" s="4"/>
      <c r="X17" s="4">
        <f t="shared" ref="X17:X20" si="10">+P17-T17</f>
        <v>-302613.12999999989</v>
      </c>
      <c r="Y17" s="4"/>
      <c r="Z17" s="12">
        <f t="shared" ref="Z17:Z20" si="11">IF(T17=0,0,X17/T17)</f>
        <v>-0.21548546212718922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640912.29999999993</v>
      </c>
      <c r="I18" s="2"/>
      <c r="J18" s="19">
        <f t="shared" si="5"/>
        <v>0.72913799772468701</v>
      </c>
      <c r="K18" s="2"/>
      <c r="L18" s="2">
        <f t="shared" si="6"/>
        <v>-640912.29999999993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1404332</v>
      </c>
      <c r="U18" s="2"/>
      <c r="V18" s="19">
        <f t="shared" si="9"/>
        <v>0.72520204289247969</v>
      </c>
      <c r="W18" s="2"/>
      <c r="X18" s="2">
        <f t="shared" si="10"/>
        <v>-1404332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"5001", " - ", "PURCHASES @ COST-NEW TEXT")</f>
        <v xml:space="preserve">          5001 - PURCHASES @ COST-NEW TEXT</v>
      </c>
      <c r="C19" s="11"/>
      <c r="D19" s="2">
        <v>150879.89000000001</v>
      </c>
      <c r="E19" s="2"/>
      <c r="F19" s="19">
        <f t="shared" si="4"/>
        <v>0.26006616489327261</v>
      </c>
      <c r="G19" s="2"/>
      <c r="H19" s="2"/>
      <c r="I19" s="2"/>
      <c r="J19" s="19">
        <f t="shared" si="5"/>
        <v>0</v>
      </c>
      <c r="K19" s="2"/>
      <c r="L19" s="2">
        <f t="shared" si="6"/>
        <v>150879.89000000001</v>
      </c>
      <c r="M19" s="2"/>
      <c r="N19" s="19">
        <f t="shared" si="7"/>
        <v>0</v>
      </c>
      <c r="O19" s="11"/>
      <c r="P19" s="2">
        <v>452960.35000000003</v>
      </c>
      <c r="Q19" s="2"/>
      <c r="R19" s="19">
        <f t="shared" si="8"/>
        <v>0.30540759408719059</v>
      </c>
      <c r="S19" s="2"/>
      <c r="T19" s="2"/>
      <c r="U19" s="2"/>
      <c r="V19" s="19">
        <f t="shared" si="9"/>
        <v>0</v>
      </c>
      <c r="W19" s="2"/>
      <c r="X19" s="2">
        <f t="shared" si="10"/>
        <v>452960.35000000003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"5002", " - ", "PURCHASES @ COST-USED TEXT")</f>
        <v xml:space="preserve">          5002 - PURCHASES @ COST-USED TEXT</v>
      </c>
      <c r="C20" s="11"/>
      <c r="D20" s="2">
        <v>281727.32</v>
      </c>
      <c r="E20" s="2"/>
      <c r="F20" s="19">
        <f t="shared" si="4"/>
        <v>0.48560310892365954</v>
      </c>
      <c r="G20" s="2"/>
      <c r="H20" s="2"/>
      <c r="I20" s="2"/>
      <c r="J20" s="19">
        <f t="shared" si="5"/>
        <v>0</v>
      </c>
      <c r="K20" s="2"/>
      <c r="L20" s="2">
        <f t="shared" si="6"/>
        <v>281727.32</v>
      </c>
      <c r="M20" s="2"/>
      <c r="N20" s="19">
        <f t="shared" si="7"/>
        <v>0</v>
      </c>
      <c r="O20" s="11"/>
      <c r="P20" s="2">
        <v>648758.52</v>
      </c>
      <c r="Q20" s="2"/>
      <c r="R20" s="19">
        <f t="shared" si="8"/>
        <v>0.43742411170595069</v>
      </c>
      <c r="S20" s="2"/>
      <c r="T20" s="2"/>
      <c r="U20" s="2"/>
      <c r="V20" s="19">
        <f t="shared" si="9"/>
        <v>0</v>
      </c>
      <c r="W20" s="2"/>
      <c r="X20" s="2">
        <f t="shared" si="10"/>
        <v>648758.52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1">
        <f>D12-D17</f>
        <v>147552.41999999998</v>
      </c>
      <c r="E22" s="14"/>
      <c r="F22" s="20">
        <f>IF(D$12=0,0,D22/D$12)</f>
        <v>0.2543307261830679</v>
      </c>
      <c r="G22" s="14"/>
      <c r="H22" s="21">
        <f>H12-H17</f>
        <v>238087.70000000007</v>
      </c>
      <c r="I22" s="14"/>
      <c r="J22" s="20">
        <f>IF(H$12=0,0,H22/H$12)</f>
        <v>0.27086200227531293</v>
      </c>
      <c r="K22" s="16"/>
      <c r="L22" s="21">
        <f>+D22-H22</f>
        <v>-90535.280000000086</v>
      </c>
      <c r="M22" s="16"/>
      <c r="N22" s="20">
        <f>IF(H22=0,0,L22/H22)</f>
        <v>-0.38026021503840834</v>
      </c>
      <c r="O22" s="28"/>
      <c r="P22" s="21">
        <f>P12-P17</f>
        <v>381415.00999999978</v>
      </c>
      <c r="Q22" s="14"/>
      <c r="R22" s="20">
        <f>IF(P$12=0,0,P22/P$12)</f>
        <v>0.25716829420685866</v>
      </c>
      <c r="S22" s="14"/>
      <c r="T22" s="21">
        <f>T12-T17</f>
        <v>532137.99999999977</v>
      </c>
      <c r="U22" s="14"/>
      <c r="V22" s="20">
        <f>IF(T$12=0,0,T22/T$12)</f>
        <v>0.27479795710752031</v>
      </c>
      <c r="W22" s="16"/>
      <c r="X22" s="21">
        <f>+P22-T22</f>
        <v>-150722.99</v>
      </c>
      <c r="Y22" s="16"/>
      <c r="Z22" s="20">
        <f>IF(T22=0,0,X22/T22)</f>
        <v>-0.28324041883872242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2">
        <f>SUM(0)</f>
        <v>0</v>
      </c>
      <c r="E24" s="22"/>
      <c r="F24" s="35">
        <f>IF(D$12=0,0,D24/D$12)</f>
        <v>0</v>
      </c>
      <c r="G24" s="22"/>
      <c r="H24" s="22">
        <f>SUM(0)</f>
        <v>0</v>
      </c>
      <c r="I24" s="22"/>
      <c r="J24" s="35">
        <f>IF(H$12=0,0,H24/H$12)</f>
        <v>0</v>
      </c>
      <c r="K24" s="4"/>
      <c r="L24" s="22">
        <f>+D24-H24</f>
        <v>0</v>
      </c>
      <c r="M24" s="4"/>
      <c r="N24" s="35">
        <f>IF(H24=0,0,L24/H24)</f>
        <v>0</v>
      </c>
      <c r="O24" s="10"/>
      <c r="P24" s="22">
        <f>SUM(0)</f>
        <v>0</v>
      </c>
      <c r="Q24" s="22"/>
      <c r="R24" s="35">
        <f>IF(P$12=0,0,P24/P$12)</f>
        <v>0</v>
      </c>
      <c r="S24" s="22"/>
      <c r="T24" s="22">
        <f>SUM(0)</f>
        <v>0</v>
      </c>
      <c r="U24" s="22"/>
      <c r="V24" s="35">
        <f>IF(T$12=0,0,T24/T$12)</f>
        <v>0</v>
      </c>
      <c r="W24" s="4"/>
      <c r="X24" s="22">
        <f>+P24-T24</f>
        <v>0</v>
      </c>
      <c r="Y24" s="4"/>
      <c r="Z24" s="35">
        <f>IF(T24=0,0,X24/T24)</f>
        <v>0</v>
      </c>
    </row>
    <row r="25" spans="1:26" s="53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3</v>
      </c>
      <c r="C28" s="29"/>
      <c r="D28" s="21">
        <f>+D22-D24+D26</f>
        <v>147552.41999999998</v>
      </c>
      <c r="E28" s="14"/>
      <c r="F28" s="20">
        <f>IF(D$12=0,0,D28/D$12)</f>
        <v>0.2543307261830679</v>
      </c>
      <c r="G28" s="14"/>
      <c r="H28" s="21">
        <f>+H22-H24+H26</f>
        <v>238087.70000000007</v>
      </c>
      <c r="I28" s="14"/>
      <c r="J28" s="20">
        <f>IF(H$12=0,0,H28/H$12)</f>
        <v>0.27086200227531293</v>
      </c>
      <c r="K28" s="16"/>
      <c r="L28" s="21">
        <f>+D28-H28</f>
        <v>-90535.280000000086</v>
      </c>
      <c r="M28" s="16"/>
      <c r="N28" s="20">
        <f>IF(H28=0,0,L28/H28)</f>
        <v>-0.38026021503840834</v>
      </c>
      <c r="O28" s="28"/>
      <c r="P28" s="21">
        <f>+P22-P24+P26</f>
        <v>381415.00999999978</v>
      </c>
      <c r="Q28" s="14"/>
      <c r="R28" s="20">
        <f>IF(P$12=0,0,P28/P$12)</f>
        <v>0.25716829420685866</v>
      </c>
      <c r="S28" s="14"/>
      <c r="T28" s="21">
        <f>+T22-T24+T26</f>
        <v>532137.99999999977</v>
      </c>
      <c r="U28" s="14"/>
      <c r="V28" s="20">
        <f>IF(T$12=0,0,T28/T$12)</f>
        <v>0.27479795710752031</v>
      </c>
      <c r="W28" s="16"/>
      <c r="X28" s="21">
        <f>+P28-T28</f>
        <v>-150722.99</v>
      </c>
      <c r="Y28" s="16"/>
      <c r="Z28" s="20">
        <f>IF(T28=0,0,X28/T28)</f>
        <v>-0.28324041883872242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57141.689999999995</v>
      </c>
      <c r="E30" s="4"/>
      <c r="F30" s="12">
        <f>IF(D$12=0,0,D30/D$12)</f>
        <v>9.8493047508321108E-2</v>
      </c>
      <c r="G30" s="4"/>
      <c r="H30" s="4">
        <v>102208</v>
      </c>
      <c r="I30" s="4"/>
      <c r="J30" s="12">
        <f>IF(H$12=0,0,H30/H$12)</f>
        <v>0.11627758816837315</v>
      </c>
      <c r="K30" s="4"/>
      <c r="L30" s="4">
        <f>+D30-H30</f>
        <v>-45066.310000000005</v>
      </c>
      <c r="M30" s="4"/>
      <c r="N30" s="12">
        <f>IF(H30=0,0,L30/H30)</f>
        <v>-0.44092742251095812</v>
      </c>
      <c r="O30" s="10"/>
      <c r="P30" s="4">
        <v>154669.86000000002</v>
      </c>
      <c r="Q30" s="4"/>
      <c r="R30" s="12">
        <f>IF(P$12=0,0,P30/P$12)</f>
        <v>0.10428583830881136</v>
      </c>
      <c r="S30" s="4"/>
      <c r="T30" s="4">
        <v>238425</v>
      </c>
      <c r="U30" s="4"/>
      <c r="V30" s="12">
        <f>IF(T$12=0,0,T30/T$12)</f>
        <v>0.12312351856728998</v>
      </c>
      <c r="W30" s="4"/>
      <c r="X30" s="4">
        <f>+P30-T30</f>
        <v>-83755.139999999985</v>
      </c>
      <c r="Y30" s="4"/>
      <c r="Z30" s="12">
        <f>IF(T30=0,0,X30/T30)</f>
        <v>-0.3512850581944007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9" t="s">
        <v>4</v>
      </c>
      <c r="C32" s="29"/>
      <c r="D32" s="34">
        <f>+D28-D30</f>
        <v>90410.729999999981</v>
      </c>
      <c r="E32" s="14"/>
      <c r="F32" s="32">
        <f>IF(D$12=0,0,D32/D$12)</f>
        <v>0.15583767867474677</v>
      </c>
      <c r="G32" s="14"/>
      <c r="H32" s="34">
        <f>+H28-H30</f>
        <v>135879.70000000007</v>
      </c>
      <c r="I32" s="14"/>
      <c r="J32" s="32">
        <f>IF(H$12=0,0,H32/H$12)</f>
        <v>0.15458441410693979</v>
      </c>
      <c r="K32" s="16"/>
      <c r="L32" s="34">
        <f>D32-H32</f>
        <v>-45468.970000000088</v>
      </c>
      <c r="M32" s="16"/>
      <c r="N32" s="32">
        <f>IF(H32=0,0,L32/H32)</f>
        <v>-0.33462665872827263</v>
      </c>
      <c r="O32" s="28"/>
      <c r="P32" s="34">
        <f>+P28-P30</f>
        <v>226745.14999999976</v>
      </c>
      <c r="Q32" s="14"/>
      <c r="R32" s="32">
        <f>IF(P$12=0,0,P32/P$12)</f>
        <v>0.1528824558980473</v>
      </c>
      <c r="S32" s="14"/>
      <c r="T32" s="34">
        <f>+T28-T30</f>
        <v>293712.99999999977</v>
      </c>
      <c r="U32" s="14"/>
      <c r="V32" s="32">
        <f>IF(T$12=0,0,T32/T$12)</f>
        <v>0.15167443854023033</v>
      </c>
      <c r="W32" s="16"/>
      <c r="X32" s="34">
        <f>P32-T32</f>
        <v>-66967.850000000006</v>
      </c>
      <c r="Y32" s="16"/>
      <c r="Z32" s="32">
        <f>IF(T32=0,0,X32/T32)</f>
        <v>-0.22800437842383572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9" t="s">
        <v>5</v>
      </c>
      <c r="C35" s="29"/>
      <c r="D35" s="31">
        <f>SUM(D32:D34)</f>
        <v>90410.729999999981</v>
      </c>
      <c r="E35" s="14"/>
      <c r="F35" s="30">
        <f>IF(D$12=0,0,D35/D$12)</f>
        <v>0.15583767867474677</v>
      </c>
      <c r="G35" s="14"/>
      <c r="H35" s="31">
        <f>SUM(H32:H34)</f>
        <v>135879.70000000007</v>
      </c>
      <c r="I35" s="14"/>
      <c r="J35" s="30">
        <f>IF(H$12=0,0,H35/H$12)</f>
        <v>0.15458441410693979</v>
      </c>
      <c r="K35" s="16"/>
      <c r="L35" s="31">
        <f>+D35-H35</f>
        <v>-45468.970000000088</v>
      </c>
      <c r="M35" s="16"/>
      <c r="N35" s="30">
        <f>IF(H35=0,0,L35/H35)</f>
        <v>-0.33462665872827263</v>
      </c>
      <c r="O35" s="28"/>
      <c r="P35" s="31">
        <f>SUM(P32:P34)</f>
        <v>226745.14999999976</v>
      </c>
      <c r="Q35" s="14"/>
      <c r="R35" s="30">
        <f>IF(P$12=0,0,P35/P$12)</f>
        <v>0.1528824558980473</v>
      </c>
      <c r="S35" s="14"/>
      <c r="T35" s="31">
        <f>SUM(T32:T34)</f>
        <v>293712.99999999977</v>
      </c>
      <c r="U35" s="14"/>
      <c r="V35" s="30">
        <f>IF(T$12=0,0,T35/T$12)</f>
        <v>0.15167443854023033</v>
      </c>
      <c r="W35" s="16"/>
      <c r="X35" s="31">
        <f>+P35-T35</f>
        <v>-66967.850000000006</v>
      </c>
      <c r="Y35" s="16"/>
      <c r="Z35" s="30">
        <f>IF(T35=0,0,X35/T35)</f>
        <v>-0.22800437842383572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63">
        <v>43879.546363344911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7" t="s">
        <v>314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299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","312", " - ", "General Books")</f>
        <v>Department 312 - General Books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SUM(0)</f>
        <v>0</v>
      </c>
      <c r="E18" s="22"/>
      <c r="F18" s="35">
        <f>IF(D$12=0,0,D18/D$12)</f>
        <v>0</v>
      </c>
      <c r="G18" s="22"/>
      <c r="H18" s="22">
        <f>SUM(0)</f>
        <v>0</v>
      </c>
      <c r="I18" s="22"/>
      <c r="J18" s="35">
        <f>IF(H$12=0,0,H18/H$12)</f>
        <v>0</v>
      </c>
      <c r="K18" s="4"/>
      <c r="L18" s="22">
        <f>+D18-H18</f>
        <v>0</v>
      </c>
      <c r="M18" s="4"/>
      <c r="N18" s="35">
        <f>IF(H18=0,0,L18/H18)</f>
        <v>0</v>
      </c>
      <c r="O18" s="10"/>
      <c r="P18" s="22">
        <f>SUM(0)</f>
        <v>0</v>
      </c>
      <c r="Q18" s="22"/>
      <c r="R18" s="35">
        <f>IF(P$12=0,0,P18/P$12)</f>
        <v>0</v>
      </c>
      <c r="S18" s="22"/>
      <c r="T18" s="22">
        <f>SUM(0)</f>
        <v>0</v>
      </c>
      <c r="U18" s="22"/>
      <c r="V18" s="35">
        <f>IF(T$12=0,0,T18/T$12)</f>
        <v>0</v>
      </c>
      <c r="W18" s="4"/>
      <c r="X18" s="22">
        <f>+P18-T18</f>
        <v>0</v>
      </c>
      <c r="Y18" s="4"/>
      <c r="Z18" s="35">
        <f>IF(T18=0,0,X18/T18)</f>
        <v>0</v>
      </c>
    </row>
    <row r="19" spans="1:26" s="5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1">
        <f>+D16-D18+D20</f>
        <v>0</v>
      </c>
      <c r="E22" s="14"/>
      <c r="F22" s="20">
        <f>IF(D$12=0,0,D22/D$12)</f>
        <v>0</v>
      </c>
      <c r="G22" s="14"/>
      <c r="H22" s="21">
        <f>+H16-H18+H20</f>
        <v>0</v>
      </c>
      <c r="I22" s="14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8"/>
      <c r="P22" s="21">
        <f>+P16-P18+P20</f>
        <v>0</v>
      </c>
      <c r="Q22" s="14"/>
      <c r="R22" s="20">
        <f>IF(P$12=0,0,P22/P$12)</f>
        <v>0</v>
      </c>
      <c r="S22" s="14"/>
      <c r="T22" s="21">
        <f>+T16-T18+T20</f>
        <v>0</v>
      </c>
      <c r="U22" s="14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4">
        <f>+D22-D24</f>
        <v>0</v>
      </c>
      <c r="E26" s="14"/>
      <c r="F26" s="32">
        <f>IF(D$12=0,0,D26/D$12)</f>
        <v>0</v>
      </c>
      <c r="G26" s="14"/>
      <c r="H26" s="34">
        <f>+H22-H24</f>
        <v>0</v>
      </c>
      <c r="I26" s="14"/>
      <c r="J26" s="32">
        <f>IF(H$12=0,0,H26/H$12)</f>
        <v>0</v>
      </c>
      <c r="K26" s="16"/>
      <c r="L26" s="34">
        <f>D26-H26</f>
        <v>0</v>
      </c>
      <c r="M26" s="16"/>
      <c r="N26" s="32">
        <f>IF(H26=0,0,L26/H26)</f>
        <v>0</v>
      </c>
      <c r="O26" s="28"/>
      <c r="P26" s="34">
        <f>+P22-P24</f>
        <v>0</v>
      </c>
      <c r="Q26" s="14"/>
      <c r="R26" s="32">
        <f>IF(P$12=0,0,P26/P$12)</f>
        <v>0</v>
      </c>
      <c r="S26" s="14"/>
      <c r="T26" s="34">
        <f>+T22-T24</f>
        <v>0</v>
      </c>
      <c r="U26" s="14"/>
      <c r="V26" s="32">
        <f>IF(T$12=0,0,T26/T$12)</f>
        <v>0</v>
      </c>
      <c r="W26" s="16"/>
      <c r="X26" s="34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9" t="s">
        <v>5</v>
      </c>
      <c r="C29" s="29"/>
      <c r="D29" s="31">
        <f>SUM(D26:D28)</f>
        <v>0</v>
      </c>
      <c r="E29" s="14"/>
      <c r="F29" s="30">
        <f>IF(D$12=0,0,D29/D$12)</f>
        <v>0</v>
      </c>
      <c r="G29" s="14"/>
      <c r="H29" s="31">
        <f>SUM(H26:H28)</f>
        <v>0</v>
      </c>
      <c r="I29" s="14"/>
      <c r="J29" s="30">
        <f>IF(H$12=0,0,H29/H$12)</f>
        <v>0</v>
      </c>
      <c r="K29" s="16"/>
      <c r="L29" s="31">
        <f>+D29-H29</f>
        <v>0</v>
      </c>
      <c r="M29" s="16"/>
      <c r="N29" s="30">
        <f>IF(H29=0,0,L29/H29)</f>
        <v>0</v>
      </c>
      <c r="O29" s="28"/>
      <c r="P29" s="31">
        <f>SUM(P26:P28)</f>
        <v>0</v>
      </c>
      <c r="Q29" s="14"/>
      <c r="R29" s="30">
        <f>IF(P$12=0,0,P29/P$12)</f>
        <v>0</v>
      </c>
      <c r="S29" s="14"/>
      <c r="T29" s="31">
        <f>SUM(T26:T28)</f>
        <v>0</v>
      </c>
      <c r="U29" s="14"/>
      <c r="V29" s="30">
        <f>IF(T$12=0,0,T29/T$12)</f>
        <v>0</v>
      </c>
      <c r="W29" s="16"/>
      <c r="X29" s="31">
        <f>+P29-T29</f>
        <v>0</v>
      </c>
      <c r="Y29" s="16"/>
      <c r="Z29" s="30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3"/>
      <c r="K30" s="18"/>
      <c r="L30" s="18"/>
      <c r="M30" s="18"/>
      <c r="P30" s="18"/>
      <c r="Q30" s="18"/>
      <c r="R30" s="43"/>
      <c r="S30" s="18"/>
      <c r="T30" s="18"/>
      <c r="U30" s="18"/>
      <c r="V30" s="43"/>
      <c r="W30" s="18"/>
      <c r="X30" s="18"/>
    </row>
    <row r="31" spans="1:26" x14ac:dyDescent="0.25">
      <c r="A31" s="9"/>
      <c r="B31" s="63">
        <v>43879.546192013891</v>
      </c>
      <c r="D31" s="18"/>
      <c r="E31" s="18"/>
      <c r="G31" s="18"/>
      <c r="H31" s="18"/>
      <c r="I31" s="18"/>
      <c r="J31" s="43"/>
      <c r="K31" s="18"/>
      <c r="L31" s="18"/>
      <c r="M31" s="18"/>
      <c r="P31" s="18"/>
      <c r="Q31" s="18"/>
      <c r="R31" s="43"/>
      <c r="S31" s="18"/>
      <c r="T31" s="18"/>
      <c r="U31" s="18"/>
      <c r="V31" s="43"/>
      <c r="W31" s="18"/>
      <c r="X31" s="18"/>
    </row>
    <row r="32" spans="1:26" x14ac:dyDescent="0.25">
      <c r="A32" s="9"/>
      <c r="B32" s="57" t="s">
        <v>314</v>
      </c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0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304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269949.76</v>
      </c>
      <c r="E12" s="4"/>
      <c r="F12" s="12"/>
      <c r="G12" s="4"/>
      <c r="H12" s="4">
        <f>SUM(OSRRefH13x_0)</f>
        <v>251355.40495</v>
      </c>
      <c r="I12" s="4"/>
      <c r="J12" s="12"/>
      <c r="K12" s="4"/>
      <c r="L12" s="4">
        <f t="shared" ref="L12:L41" si="0">+D12-H12</f>
        <v>18594.355050000013</v>
      </c>
      <c r="M12" s="4"/>
      <c r="N12" s="12">
        <f t="shared" ref="N12:N41" si="1">IF(H12=0,0,L12/H12)</f>
        <v>7.3976348563894345E-2</v>
      </c>
      <c r="O12" s="10"/>
      <c r="P12" s="4">
        <f>SUM(OSRRefP13x_0)</f>
        <v>2021258.2399999998</v>
      </c>
      <c r="Q12" s="4"/>
      <c r="R12" s="12"/>
      <c r="S12" s="4"/>
      <c r="T12" s="4">
        <f>SUM(OSRRefT13x_0)</f>
        <v>1989127.87423</v>
      </c>
      <c r="U12" s="4"/>
      <c r="V12" s="12"/>
      <c r="W12" s="4"/>
      <c r="X12" s="4">
        <f t="shared" ref="X12:X41" si="2">+P12-T12</f>
        <v>32130.3657699998</v>
      </c>
      <c r="Y12" s="4"/>
      <c r="Z12" s="12">
        <f t="shared" ref="Z12:Z41" si="3">IF(T12=0,0,X12/T12)</f>
        <v>1.6152991562916792E-2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251355.40495</v>
      </c>
      <c r="I13" s="2"/>
      <c r="J13" s="19"/>
      <c r="K13" s="2"/>
      <c r="L13" s="2">
        <f t="shared" si="0"/>
        <v>-251355.40495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1989127.87423</v>
      </c>
      <c r="U13" s="2"/>
      <c r="V13" s="19"/>
      <c r="W13" s="2"/>
      <c r="X13" s="2">
        <f t="shared" si="2"/>
        <v>-1989127.87423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>--13.62</f>
        <v>13.62</v>
      </c>
      <c r="E14" s="2"/>
      <c r="F14" s="19"/>
      <c r="G14" s="2"/>
      <c r="H14" s="2"/>
      <c r="I14" s="2"/>
      <c r="J14" s="19"/>
      <c r="K14" s="2"/>
      <c r="L14" s="2">
        <f t="shared" si="0"/>
        <v>13.62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/>
      <c r="U14" s="2"/>
      <c r="V14" s="19"/>
      <c r="W14" s="2"/>
      <c r="X14" s="2">
        <f t="shared" si="2"/>
        <v>13.62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--24.98</f>
        <v>24.98</v>
      </c>
      <c r="E15" s="2"/>
      <c r="F15" s="19"/>
      <c r="G15" s="2"/>
      <c r="H15" s="2"/>
      <c r="I15" s="2"/>
      <c r="J15" s="19"/>
      <c r="K15" s="2"/>
      <c r="L15" s="2">
        <f t="shared" si="0"/>
        <v>24.98</v>
      </c>
      <c r="M15" s="2"/>
      <c r="N15" s="19">
        <f t="shared" si="1"/>
        <v>0</v>
      </c>
      <c r="O15" s="11"/>
      <c r="P15" s="2">
        <f>--174.63</f>
        <v>174.63</v>
      </c>
      <c r="Q15" s="2"/>
      <c r="R15" s="19"/>
      <c r="S15" s="2"/>
      <c r="T15" s="2"/>
      <c r="U15" s="2"/>
      <c r="V15" s="19"/>
      <c r="W15" s="2"/>
      <c r="X15" s="2">
        <f t="shared" si="2"/>
        <v>174.63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--91.73</f>
        <v>91.73</v>
      </c>
      <c r="E16" s="2"/>
      <c r="F16" s="19"/>
      <c r="G16" s="2"/>
      <c r="H16" s="2"/>
      <c r="I16" s="2"/>
      <c r="J16" s="19"/>
      <c r="K16" s="2"/>
      <c r="L16" s="2">
        <f t="shared" si="0"/>
        <v>91.73</v>
      </c>
      <c r="M16" s="2"/>
      <c r="N16" s="19">
        <f t="shared" si="1"/>
        <v>0</v>
      </c>
      <c r="O16" s="11"/>
      <c r="P16" s="2">
        <f>--139.64</f>
        <v>139.63999999999999</v>
      </c>
      <c r="Q16" s="2"/>
      <c r="R16" s="19"/>
      <c r="S16" s="2"/>
      <c r="T16" s="2"/>
      <c r="U16" s="2"/>
      <c r="V16" s="19"/>
      <c r="W16" s="2"/>
      <c r="X16" s="2">
        <f t="shared" si="2"/>
        <v>139.63999999999999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--192827.81</f>
        <v>192827.81</v>
      </c>
      <c r="E17" s="2"/>
      <c r="F17" s="19"/>
      <c r="G17" s="2"/>
      <c r="H17" s="2"/>
      <c r="I17" s="2"/>
      <c r="J17" s="19"/>
      <c r="K17" s="2"/>
      <c r="L17" s="2">
        <f t="shared" si="0"/>
        <v>192827.81</v>
      </c>
      <c r="M17" s="2"/>
      <c r="N17" s="19">
        <f t="shared" si="1"/>
        <v>0</v>
      </c>
      <c r="O17" s="11"/>
      <c r="P17" s="2">
        <f>--1484618.99</f>
        <v>1484618.99</v>
      </c>
      <c r="Q17" s="2"/>
      <c r="R17" s="19"/>
      <c r="S17" s="2"/>
      <c r="T17" s="2"/>
      <c r="U17" s="2"/>
      <c r="V17" s="19"/>
      <c r="W17" s="2"/>
      <c r="X17" s="2">
        <f t="shared" si="2"/>
        <v>1484618.99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--36784.02</f>
        <v>36784.019999999997</v>
      </c>
      <c r="E18" s="2"/>
      <c r="F18" s="19"/>
      <c r="G18" s="2"/>
      <c r="H18" s="2"/>
      <c r="I18" s="2"/>
      <c r="J18" s="19"/>
      <c r="K18" s="2"/>
      <c r="L18" s="2">
        <f t="shared" si="0"/>
        <v>36784.019999999997</v>
      </c>
      <c r="M18" s="2"/>
      <c r="N18" s="19">
        <f t="shared" si="1"/>
        <v>0</v>
      </c>
      <c r="O18" s="11"/>
      <c r="P18" s="2">
        <f>--235845.95</f>
        <v>235845.95</v>
      </c>
      <c r="Q18" s="2"/>
      <c r="R18" s="19"/>
      <c r="S18" s="2"/>
      <c r="T18" s="2"/>
      <c r="U18" s="2"/>
      <c r="V18" s="19"/>
      <c r="W18" s="2"/>
      <c r="X18" s="2">
        <f t="shared" si="2"/>
        <v>235845.95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--27223.6</f>
        <v>27223.599999999999</v>
      </c>
      <c r="E19" s="2"/>
      <c r="F19" s="19"/>
      <c r="G19" s="2"/>
      <c r="H19" s="2"/>
      <c r="I19" s="2"/>
      <c r="J19" s="19"/>
      <c r="K19" s="2"/>
      <c r="L19" s="2">
        <f t="shared" si="0"/>
        <v>27223.599999999999</v>
      </c>
      <c r="M19" s="2"/>
      <c r="N19" s="19">
        <f t="shared" si="1"/>
        <v>0</v>
      </c>
      <c r="O19" s="11"/>
      <c r="P19" s="2">
        <f>--179068.76</f>
        <v>179068.76</v>
      </c>
      <c r="Q19" s="2"/>
      <c r="R19" s="19"/>
      <c r="S19" s="2"/>
      <c r="T19" s="2"/>
      <c r="U19" s="2"/>
      <c r="V19" s="19"/>
      <c r="W19" s="2"/>
      <c r="X19" s="2">
        <f t="shared" si="2"/>
        <v>179068.76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--8225.25</f>
        <v>8225.25</v>
      </c>
      <c r="E20" s="2"/>
      <c r="F20" s="19"/>
      <c r="G20" s="2"/>
      <c r="H20" s="2"/>
      <c r="I20" s="2"/>
      <c r="J20" s="19"/>
      <c r="K20" s="2"/>
      <c r="L20" s="2">
        <f t="shared" si="0"/>
        <v>8225.25</v>
      </c>
      <c r="M20" s="2"/>
      <c r="N20" s="19">
        <f t="shared" si="1"/>
        <v>0</v>
      </c>
      <c r="O20" s="11"/>
      <c r="P20" s="2">
        <f>--22441.65</f>
        <v>22441.65</v>
      </c>
      <c r="Q20" s="2"/>
      <c r="R20" s="19"/>
      <c r="S20" s="2"/>
      <c r="T20" s="2"/>
      <c r="U20" s="2"/>
      <c r="V20" s="19"/>
      <c r="W20" s="2"/>
      <c r="X20" s="2">
        <f t="shared" si="2"/>
        <v>22441.65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--6349.96</f>
        <v>6349.96</v>
      </c>
      <c r="E21" s="2"/>
      <c r="F21" s="19"/>
      <c r="G21" s="2"/>
      <c r="H21" s="2"/>
      <c r="I21" s="2"/>
      <c r="J21" s="19"/>
      <c r="K21" s="2"/>
      <c r="L21" s="2">
        <f t="shared" si="0"/>
        <v>6349.96</v>
      </c>
      <c r="M21" s="2"/>
      <c r="N21" s="19">
        <f t="shared" si="1"/>
        <v>0</v>
      </c>
      <c r="O21" s="11"/>
      <c r="P21" s="2">
        <f>--53086.16</f>
        <v>53086.16</v>
      </c>
      <c r="Q21" s="2"/>
      <c r="R21" s="19"/>
      <c r="S21" s="2"/>
      <c r="T21" s="2"/>
      <c r="U21" s="2"/>
      <c r="V21" s="19"/>
      <c r="W21" s="2"/>
      <c r="X21" s="2">
        <f t="shared" si="2"/>
        <v>53086.16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>--8732.21</f>
        <v>8732.2099999999991</v>
      </c>
      <c r="E22" s="2"/>
      <c r="F22" s="19"/>
      <c r="G22" s="2"/>
      <c r="H22" s="2"/>
      <c r="I22" s="2"/>
      <c r="J22" s="19"/>
      <c r="K22" s="2"/>
      <c r="L22" s="2">
        <f t="shared" si="0"/>
        <v>8732.2099999999991</v>
      </c>
      <c r="M22" s="2"/>
      <c r="N22" s="19">
        <f t="shared" si="1"/>
        <v>0</v>
      </c>
      <c r="O22" s="11"/>
      <c r="P22" s="2">
        <f>--69738.03</f>
        <v>69738.03</v>
      </c>
      <c r="Q22" s="2"/>
      <c r="R22" s="19"/>
      <c r="S22" s="2"/>
      <c r="T22" s="2"/>
      <c r="U22" s="2"/>
      <c r="V22" s="19"/>
      <c r="W22" s="2"/>
      <c r="X22" s="2">
        <f t="shared" si="2"/>
        <v>69738.03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/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>--0.99</f>
        <v>0.99</v>
      </c>
      <c r="E24" s="2"/>
      <c r="F24" s="19"/>
      <c r="G24" s="2"/>
      <c r="H24" s="2"/>
      <c r="I24" s="2"/>
      <c r="J24" s="19"/>
      <c r="K24" s="2"/>
      <c r="L24" s="2">
        <f t="shared" si="0"/>
        <v>0.99</v>
      </c>
      <c r="M24" s="2"/>
      <c r="N24" s="19">
        <f t="shared" si="1"/>
        <v>0</v>
      </c>
      <c r="O24" s="11"/>
      <c r="P24" s="2">
        <f>--29.7</f>
        <v>29.7</v>
      </c>
      <c r="Q24" s="2"/>
      <c r="R24" s="19"/>
      <c r="S24" s="2"/>
      <c r="T24" s="2"/>
      <c r="U24" s="2"/>
      <c r="V24" s="19"/>
      <c r="W24" s="2"/>
      <c r="X24" s="2">
        <f t="shared" si="2"/>
        <v>29.7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--10.5</f>
        <v>10.5</v>
      </c>
      <c r="E25" s="2"/>
      <c r="F25" s="19"/>
      <c r="G25" s="2"/>
      <c r="H25" s="2"/>
      <c r="I25" s="2"/>
      <c r="J25" s="19"/>
      <c r="K25" s="2"/>
      <c r="L25" s="2">
        <f t="shared" si="0"/>
        <v>10.5</v>
      </c>
      <c r="M25" s="2"/>
      <c r="N25" s="19">
        <f t="shared" si="1"/>
        <v>0</v>
      </c>
      <c r="O25" s="11"/>
      <c r="P25" s="2">
        <f>--103.5</f>
        <v>103.5</v>
      </c>
      <c r="Q25" s="2"/>
      <c r="R25" s="19"/>
      <c r="S25" s="2"/>
      <c r="T25" s="2"/>
      <c r="U25" s="2"/>
      <c r="V25" s="19"/>
      <c r="W25" s="2"/>
      <c r="X25" s="2">
        <f t="shared" si="2"/>
        <v>103.5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"4140", " - ", "NON-TAXABLE SALES-LOGO CLOTHIN")</f>
        <v xml:space="preserve">          4140 - NON-TAXABLE SALES-LOGO CLOTHIN</v>
      </c>
      <c r="C26" s="11"/>
      <c r="D26" s="2">
        <f>--3758.83</f>
        <v>3758.83</v>
      </c>
      <c r="E26" s="2"/>
      <c r="F26" s="19"/>
      <c r="G26" s="2"/>
      <c r="H26" s="2"/>
      <c r="I26" s="2"/>
      <c r="J26" s="19"/>
      <c r="K26" s="2"/>
      <c r="L26" s="2">
        <f t="shared" si="0"/>
        <v>3758.83</v>
      </c>
      <c r="M26" s="2"/>
      <c r="N26" s="19">
        <f t="shared" si="1"/>
        <v>0</v>
      </c>
      <c r="O26" s="11"/>
      <c r="P26" s="2">
        <f>--42582.67</f>
        <v>42582.67</v>
      </c>
      <c r="Q26" s="2"/>
      <c r="R26" s="19"/>
      <c r="S26" s="2"/>
      <c r="T26" s="2"/>
      <c r="U26" s="2"/>
      <c r="V26" s="19"/>
      <c r="W26" s="2"/>
      <c r="X26" s="2">
        <f t="shared" si="2"/>
        <v>42582.67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"4141", " - ", "NON-TAXABLE SALES-LOGO GIFTS")</f>
        <v xml:space="preserve">          4141 - NON-TAXABLE SALES-LOGO GIFTS</v>
      </c>
      <c r="C27" s="11"/>
      <c r="D27" s="2">
        <f>--1020.72</f>
        <v>1020.72</v>
      </c>
      <c r="E27" s="2"/>
      <c r="F27" s="19"/>
      <c r="G27" s="2"/>
      <c r="H27" s="2"/>
      <c r="I27" s="2"/>
      <c r="J27" s="19"/>
      <c r="K27" s="2"/>
      <c r="L27" s="2">
        <f t="shared" si="0"/>
        <v>1020.72</v>
      </c>
      <c r="M27" s="2"/>
      <c r="N27" s="19">
        <f t="shared" si="1"/>
        <v>0</v>
      </c>
      <c r="O27" s="11"/>
      <c r="P27" s="2">
        <f>--3397.85</f>
        <v>3397.85</v>
      </c>
      <c r="Q27" s="2"/>
      <c r="R27" s="19"/>
      <c r="S27" s="2"/>
      <c r="T27" s="2"/>
      <c r="U27" s="2"/>
      <c r="V27" s="19"/>
      <c r="W27" s="2"/>
      <c r="X27" s="2">
        <f t="shared" si="2"/>
        <v>3397.85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"4142", " - ", "NON-TAXABLE SALES-EVERYDAY GIF")</f>
        <v xml:space="preserve">          4142 - NON-TAXABLE SALES-EVERYDAY GIF</v>
      </c>
      <c r="C28" s="11"/>
      <c r="D28" s="2">
        <f>--545.58</f>
        <v>545.58000000000004</v>
      </c>
      <c r="E28" s="2"/>
      <c r="F28" s="19"/>
      <c r="G28" s="2"/>
      <c r="H28" s="2"/>
      <c r="I28" s="2"/>
      <c r="J28" s="19"/>
      <c r="K28" s="2"/>
      <c r="L28" s="2">
        <f t="shared" si="0"/>
        <v>545.58000000000004</v>
      </c>
      <c r="M28" s="2"/>
      <c r="N28" s="19">
        <f t="shared" si="1"/>
        <v>0</v>
      </c>
      <c r="O28" s="11"/>
      <c r="P28" s="2">
        <f>--4276.07</f>
        <v>4276.07</v>
      </c>
      <c r="Q28" s="2"/>
      <c r="R28" s="19"/>
      <c r="S28" s="2"/>
      <c r="T28" s="2"/>
      <c r="U28" s="2"/>
      <c r="V28" s="19"/>
      <c r="W28" s="2"/>
      <c r="X28" s="2">
        <f t="shared" si="2"/>
        <v>4276.07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"4144", " - ", "NON-TAXABLE SALES-ACCESSORIES")</f>
        <v xml:space="preserve">          4144 - NON-TAXABLE SALES-ACCESSORIES</v>
      </c>
      <c r="C29" s="11"/>
      <c r="D29" s="2">
        <f>--374.48</f>
        <v>374.48</v>
      </c>
      <c r="E29" s="2"/>
      <c r="F29" s="19"/>
      <c r="G29" s="2"/>
      <c r="H29" s="2"/>
      <c r="I29" s="2"/>
      <c r="J29" s="19"/>
      <c r="K29" s="2"/>
      <c r="L29" s="2">
        <f t="shared" si="0"/>
        <v>374.48</v>
      </c>
      <c r="M29" s="2"/>
      <c r="N29" s="19">
        <f t="shared" si="1"/>
        <v>0</v>
      </c>
      <c r="O29" s="11"/>
      <c r="P29" s="2">
        <f>--967.33</f>
        <v>967.33</v>
      </c>
      <c r="Q29" s="2"/>
      <c r="R29" s="19"/>
      <c r="S29" s="2"/>
      <c r="T29" s="2"/>
      <c r="U29" s="2"/>
      <c r="V29" s="19"/>
      <c r="W29" s="2"/>
      <c r="X29" s="2">
        <f t="shared" si="2"/>
        <v>967.33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"4145", " - ", "NON-TAXABLE SALES-SPECIAL ORDE")</f>
        <v xml:space="preserve">          4145 - NON-TAXABLE SALES-SPECIAL ORDE</v>
      </c>
      <c r="C30" s="11"/>
      <c r="D30" s="2">
        <f t="shared" ref="D30:D31" si="4"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--140</f>
        <v>140</v>
      </c>
      <c r="Q30" s="2"/>
      <c r="R30" s="19"/>
      <c r="S30" s="2"/>
      <c r="T30" s="2"/>
      <c r="U30" s="2"/>
      <c r="V30" s="19"/>
      <c r="W30" s="2"/>
      <c r="X30" s="2">
        <f t="shared" si="2"/>
        <v>140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"4226", " - ", "SALES RETURN TAXABLE-WRITING I")</f>
        <v xml:space="preserve">          4226 - SALES RETURN TAXABLE-WRITING I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-134.8</f>
        <v>-134.80000000000001</v>
      </c>
      <c r="Q31" s="2"/>
      <c r="R31" s="19"/>
      <c r="S31" s="2"/>
      <c r="T31" s="2"/>
      <c r="U31" s="2"/>
      <c r="V31" s="19"/>
      <c r="W31" s="2"/>
      <c r="X31" s="2">
        <f t="shared" si="2"/>
        <v>-134.80000000000001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"4240", " - ", "SALES RETURN TAXABLE-LOGO CLOT")</f>
        <v xml:space="preserve">          4240 - SALES RETURN TAXABLE-LOGO CLOT</v>
      </c>
      <c r="C32" s="11"/>
      <c r="D32" s="2">
        <f>-12286.81</f>
        <v>-12286.81</v>
      </c>
      <c r="E32" s="2"/>
      <c r="F32" s="19"/>
      <c r="G32" s="2"/>
      <c r="H32" s="2"/>
      <c r="I32" s="2"/>
      <c r="J32" s="19"/>
      <c r="K32" s="2"/>
      <c r="L32" s="2">
        <f t="shared" si="0"/>
        <v>-12286.81</v>
      </c>
      <c r="M32" s="2"/>
      <c r="N32" s="19">
        <f t="shared" si="1"/>
        <v>0</v>
      </c>
      <c r="O32" s="11"/>
      <c r="P32" s="2">
        <f>-61608.75</f>
        <v>-61608.75</v>
      </c>
      <c r="Q32" s="2"/>
      <c r="R32" s="19"/>
      <c r="S32" s="2"/>
      <c r="T32" s="2"/>
      <c r="U32" s="2"/>
      <c r="V32" s="19"/>
      <c r="W32" s="2"/>
      <c r="X32" s="2">
        <f t="shared" si="2"/>
        <v>-61608.75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"4241", " - ", "SALES RETURN TAXABLE-LOGO GIFT")</f>
        <v xml:space="preserve">          4241 - SALES RETURN TAXABLE-LOGO GIFT</v>
      </c>
      <c r="C33" s="11"/>
      <c r="D33" s="2">
        <f>-481.99</f>
        <v>-481.99</v>
      </c>
      <c r="E33" s="2"/>
      <c r="F33" s="19"/>
      <c r="G33" s="2"/>
      <c r="H33" s="2"/>
      <c r="I33" s="2"/>
      <c r="J33" s="19"/>
      <c r="K33" s="2"/>
      <c r="L33" s="2">
        <f t="shared" si="0"/>
        <v>-481.99</v>
      </c>
      <c r="M33" s="2"/>
      <c r="N33" s="19">
        <f t="shared" si="1"/>
        <v>0</v>
      </c>
      <c r="O33" s="11"/>
      <c r="P33" s="2">
        <f>-3996.11</f>
        <v>-3996.11</v>
      </c>
      <c r="Q33" s="2"/>
      <c r="R33" s="19"/>
      <c r="S33" s="2"/>
      <c r="T33" s="2"/>
      <c r="U33" s="2"/>
      <c r="V33" s="19"/>
      <c r="W33" s="2"/>
      <c r="X33" s="2">
        <f t="shared" si="2"/>
        <v>-3996.11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"4242", " - ", "SALES RETURN TAXABLE-EVERYDAY")</f>
        <v xml:space="preserve">          4242 - SALES RETURN TAXABLE-EVERYDAY</v>
      </c>
      <c r="C34" s="11"/>
      <c r="D34" s="2">
        <f>-700.91</f>
        <v>-700.91</v>
      </c>
      <c r="E34" s="2"/>
      <c r="F34" s="19"/>
      <c r="G34" s="2"/>
      <c r="H34" s="2"/>
      <c r="I34" s="2"/>
      <c r="J34" s="19"/>
      <c r="K34" s="2"/>
      <c r="L34" s="2">
        <f t="shared" si="0"/>
        <v>-700.91</v>
      </c>
      <c r="M34" s="2"/>
      <c r="N34" s="19">
        <f t="shared" si="1"/>
        <v>0</v>
      </c>
      <c r="O34" s="11"/>
      <c r="P34" s="2">
        <f>-3474.13</f>
        <v>-3474.13</v>
      </c>
      <c r="Q34" s="2"/>
      <c r="R34" s="19"/>
      <c r="S34" s="2"/>
      <c r="T34" s="2"/>
      <c r="U34" s="2"/>
      <c r="V34" s="19"/>
      <c r="W34" s="2"/>
      <c r="X34" s="2">
        <f t="shared" si="2"/>
        <v>-3474.13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"4243", " - ", "SALES RETURN TAXABLE-CARDS")</f>
        <v xml:space="preserve">          4243 - SALES RETURN TAXABLE-CARDS</v>
      </c>
      <c r="C35" s="11"/>
      <c r="D35" s="2">
        <f>-344.74</f>
        <v>-344.74</v>
      </c>
      <c r="E35" s="2"/>
      <c r="F35" s="19"/>
      <c r="G35" s="2"/>
      <c r="H35" s="2"/>
      <c r="I35" s="2"/>
      <c r="J35" s="19"/>
      <c r="K35" s="2"/>
      <c r="L35" s="2">
        <f t="shared" si="0"/>
        <v>-344.74</v>
      </c>
      <c r="M35" s="2"/>
      <c r="N35" s="19">
        <f t="shared" si="1"/>
        <v>0</v>
      </c>
      <c r="O35" s="11"/>
      <c r="P35" s="2">
        <f>-1224.21</f>
        <v>-1224.21</v>
      </c>
      <c r="Q35" s="2"/>
      <c r="R35" s="19"/>
      <c r="S35" s="2"/>
      <c r="T35" s="2"/>
      <c r="U35" s="2"/>
      <c r="V35" s="19"/>
      <c r="W35" s="2"/>
      <c r="X35" s="2">
        <f t="shared" si="2"/>
        <v>-1224.21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"4244", " - ", "SALES RETURN TAXABLE-ACCESSORI")</f>
        <v xml:space="preserve">          4244 - SALES RETURN TAXABLE-ACCESSORI</v>
      </c>
      <c r="C36" s="11"/>
      <c r="D36" s="2">
        <f>-370.28</f>
        <v>-370.28</v>
      </c>
      <c r="E36" s="2"/>
      <c r="F36" s="19"/>
      <c r="G36" s="2"/>
      <c r="H36" s="2"/>
      <c r="I36" s="2"/>
      <c r="J36" s="19"/>
      <c r="K36" s="2"/>
      <c r="L36" s="2">
        <f t="shared" si="0"/>
        <v>-370.28</v>
      </c>
      <c r="M36" s="2"/>
      <c r="N36" s="19">
        <f t="shared" si="1"/>
        <v>0</v>
      </c>
      <c r="O36" s="11"/>
      <c r="P36" s="2">
        <f>-2102.05</f>
        <v>-2102.0500000000002</v>
      </c>
      <c r="Q36" s="2"/>
      <c r="R36" s="19"/>
      <c r="S36" s="2"/>
      <c r="T36" s="2"/>
      <c r="U36" s="2"/>
      <c r="V36" s="19"/>
      <c r="W36" s="2"/>
      <c r="X36" s="2">
        <f t="shared" si="2"/>
        <v>-2102.0500000000002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"4245", " - ", "SALES RETURN TAXABLE-SPECIAL O")</f>
        <v xml:space="preserve">          4245 - SALES RETURN TAXABLE-SPECIAL O</v>
      </c>
      <c r="C37" s="11"/>
      <c r="D37" s="2">
        <f>-1623.09</f>
        <v>-1623.09</v>
      </c>
      <c r="E37" s="2"/>
      <c r="F37" s="19"/>
      <c r="G37" s="2"/>
      <c r="H37" s="2"/>
      <c r="I37" s="2"/>
      <c r="J37" s="19"/>
      <c r="K37" s="2"/>
      <c r="L37" s="2">
        <f t="shared" si="0"/>
        <v>-1623.09</v>
      </c>
      <c r="M37" s="2"/>
      <c r="N37" s="19">
        <f t="shared" si="1"/>
        <v>0</v>
      </c>
      <c r="O37" s="11"/>
      <c r="P37" s="2">
        <f>-1715.05</f>
        <v>-1715.05</v>
      </c>
      <c r="Q37" s="2"/>
      <c r="R37" s="19"/>
      <c r="S37" s="2"/>
      <c r="T37" s="2"/>
      <c r="U37" s="2"/>
      <c r="V37" s="19"/>
      <c r="W37" s="2"/>
      <c r="X37" s="2">
        <f t="shared" si="2"/>
        <v>-1715.05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"4295", " - ", "SALES RETURN TAXABLE-CUSTOMER")</f>
        <v xml:space="preserve">          4295 - SALES RETURN TAXABLE-CUSTOMER</v>
      </c>
      <c r="C38" s="11"/>
      <c r="D38" s="2">
        <f>0</f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--0.99</f>
        <v>0.99</v>
      </c>
      <c r="Q38" s="2"/>
      <c r="R38" s="19"/>
      <c r="S38" s="2"/>
      <c r="T38" s="2"/>
      <c r="U38" s="2"/>
      <c r="V38" s="19"/>
      <c r="W38" s="2"/>
      <c r="X38" s="2">
        <f t="shared" si="2"/>
        <v>0.99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"4340", " - ", "SALES RETURN NON TAXABLE-LOGO")</f>
        <v xml:space="preserve">          4340 - SALES RETURN NON TAXABLE-LOGO</v>
      </c>
      <c r="C39" s="11"/>
      <c r="D39" s="2">
        <f>-216.75</f>
        <v>-216.75</v>
      </c>
      <c r="E39" s="2"/>
      <c r="F39" s="19"/>
      <c r="G39" s="2"/>
      <c r="H39" s="2"/>
      <c r="I39" s="2"/>
      <c r="J39" s="19"/>
      <c r="K39" s="2"/>
      <c r="L39" s="2">
        <f t="shared" si="0"/>
        <v>-216.75</v>
      </c>
      <c r="M39" s="2"/>
      <c r="N39" s="19">
        <f t="shared" si="1"/>
        <v>0</v>
      </c>
      <c r="O39" s="11"/>
      <c r="P39" s="2">
        <f>-931.65</f>
        <v>-931.65</v>
      </c>
      <c r="Q39" s="2"/>
      <c r="R39" s="19"/>
      <c r="S39" s="2"/>
      <c r="T39" s="2"/>
      <c r="U39" s="2"/>
      <c r="V39" s="19"/>
      <c r="W39" s="2"/>
      <c r="X39" s="2">
        <f t="shared" si="2"/>
        <v>-931.65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"4341", " - ", "SALES RETURN NON TAXABLE-LOGO")</f>
        <v xml:space="preserve">          4341 - SALES RETURN NON TAXABLE-LOGO</v>
      </c>
      <c r="C40" s="11"/>
      <c r="D40" s="2">
        <f>-9.95</f>
        <v>-9.9499999999999993</v>
      </c>
      <c r="E40" s="2"/>
      <c r="F40" s="19"/>
      <c r="G40" s="2"/>
      <c r="H40" s="2"/>
      <c r="I40" s="2"/>
      <c r="J40" s="19"/>
      <c r="K40" s="2"/>
      <c r="L40" s="2">
        <f t="shared" si="0"/>
        <v>-9.9499999999999993</v>
      </c>
      <c r="M40" s="2"/>
      <c r="N40" s="19">
        <f t="shared" si="1"/>
        <v>0</v>
      </c>
      <c r="O40" s="11"/>
      <c r="P40" s="2">
        <f>-30.8</f>
        <v>-30.8</v>
      </c>
      <c r="Q40" s="2"/>
      <c r="R40" s="19"/>
      <c r="S40" s="2"/>
      <c r="T40" s="2"/>
      <c r="U40" s="2"/>
      <c r="V40" s="19"/>
      <c r="W40" s="2"/>
      <c r="X40" s="2">
        <f t="shared" si="2"/>
        <v>-30.8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"4342", " - ", "SALES RETURN NON TAXABLE-EVERY")</f>
        <v xml:space="preserve">          4342 - SALES RETURN NON TAXABLE-EVERY</v>
      </c>
      <c r="C41" s="11"/>
      <c r="D41" s="2">
        <f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-109.8</f>
        <v>-109.8</v>
      </c>
      <c r="Q41" s="2"/>
      <c r="R41" s="19"/>
      <c r="S41" s="2"/>
      <c r="T41" s="2"/>
      <c r="U41" s="2"/>
      <c r="V41" s="19"/>
      <c r="W41" s="2"/>
      <c r="X41" s="2">
        <f t="shared" si="2"/>
        <v>-109.8</v>
      </c>
      <c r="Y41" s="2"/>
      <c r="Z41" s="19">
        <f t="shared" si="3"/>
        <v>0</v>
      </c>
    </row>
    <row r="42" spans="1:26" x14ac:dyDescent="0.25">
      <c r="A42" s="9"/>
      <c r="B42" s="10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collapsed="1" x14ac:dyDescent="0.25">
      <c r="A43" s="10"/>
      <c r="B43" s="28" t="s">
        <v>8</v>
      </c>
      <c r="C43" s="10"/>
      <c r="D43" s="4">
        <f>SUM(OSRRefD16x_0)</f>
        <v>115210.65999999999</v>
      </c>
      <c r="E43" s="4"/>
      <c r="F43" s="12">
        <f t="shared" ref="F43:F66" si="5">IF(D$12=0,0,D43/D$12)</f>
        <v>0.42678556187640243</v>
      </c>
      <c r="G43" s="4"/>
      <c r="H43" s="4">
        <f>SUM(OSRRefH16x_0)</f>
        <v>112662.27559</v>
      </c>
      <c r="I43" s="4"/>
      <c r="J43" s="12">
        <f t="shared" ref="J43:J66" si="6">IF(H$12=0,0,H43/H$12)</f>
        <v>0.44821902919657114</v>
      </c>
      <c r="K43" s="4"/>
      <c r="L43" s="4">
        <f t="shared" ref="L43:L66" si="7">+D43-H43</f>
        <v>2548.3844099999842</v>
      </c>
      <c r="M43" s="4"/>
      <c r="N43" s="12">
        <f t="shared" ref="N43:N66" si="8">IF(H43=0,0,L43/H43)</f>
        <v>2.2619678119001004E-2</v>
      </c>
      <c r="O43" s="10"/>
      <c r="P43" s="4">
        <f>SUM(OSRRefP16x_0)</f>
        <v>920725.93999999983</v>
      </c>
      <c r="Q43" s="4"/>
      <c r="R43" s="12">
        <f t="shared" ref="R43:R66" si="9">IF(P$12=0,0,P43/P$12)</f>
        <v>0.45552118070771597</v>
      </c>
      <c r="S43" s="4"/>
      <c r="T43" s="4">
        <f>SUM(OSRRefT16x_0)</f>
        <v>896321.88344999996</v>
      </c>
      <c r="U43" s="4"/>
      <c r="V43" s="12">
        <f t="shared" ref="V43:V66" si="10">IF(T$12=0,0,T43/T$12)</f>
        <v>0.45061048867809472</v>
      </c>
      <c r="W43" s="4"/>
      <c r="X43" s="4">
        <f t="shared" ref="X43:X66" si="11">+P43-T43</f>
        <v>24404.056549999863</v>
      </c>
      <c r="Y43" s="4"/>
      <c r="Z43" s="12">
        <f t="shared" ref="Z43:Z66" si="12">IF(T43=0,0,X43/T43)</f>
        <v>2.7226889135036063E-2</v>
      </c>
    </row>
    <row r="44" spans="1:26" s="24" customFormat="1" hidden="1" outlineLevel="1" x14ac:dyDescent="0.25">
      <c r="A44" s="44"/>
      <c r="B44" s="11" t="str">
        <f>CONCATENATE("          ", "5000", " - ", "PURCHASES @ COST")</f>
        <v xml:space="preserve">          5000 - PURCHASES @ COST</v>
      </c>
      <c r="C44" s="11"/>
      <c r="D44" s="2"/>
      <c r="E44" s="2"/>
      <c r="F44" s="19">
        <f t="shared" si="5"/>
        <v>0</v>
      </c>
      <c r="G44" s="2"/>
      <c r="H44" s="2">
        <v>112662.27559</v>
      </c>
      <c r="I44" s="2"/>
      <c r="J44" s="19">
        <f t="shared" si="6"/>
        <v>0.44821902919657114</v>
      </c>
      <c r="K44" s="2"/>
      <c r="L44" s="2">
        <f t="shared" si="7"/>
        <v>-112662.27559</v>
      </c>
      <c r="M44" s="2"/>
      <c r="N44" s="19">
        <f t="shared" si="8"/>
        <v>-1</v>
      </c>
      <c r="O44" s="11"/>
      <c r="P44" s="2"/>
      <c r="Q44" s="2"/>
      <c r="R44" s="19">
        <f t="shared" si="9"/>
        <v>0</v>
      </c>
      <c r="S44" s="2"/>
      <c r="T44" s="2">
        <v>896321.88344999996</v>
      </c>
      <c r="U44" s="2"/>
      <c r="V44" s="19">
        <f t="shared" si="10"/>
        <v>0.45061048867809472</v>
      </c>
      <c r="W44" s="2"/>
      <c r="X44" s="2">
        <f t="shared" si="11"/>
        <v>-896321.88344999996</v>
      </c>
      <c r="Y44" s="2"/>
      <c r="Z44" s="19">
        <f t="shared" si="12"/>
        <v>-1</v>
      </c>
    </row>
    <row r="45" spans="1:26" s="24" customFormat="1" hidden="1" outlineLevel="1" x14ac:dyDescent="0.25">
      <c r="A45" s="44"/>
      <c r="B45" s="11" t="str">
        <f>CONCATENATE("          ", "5025", " - ", "PURCHASES @ COST-TEST FORMS")</f>
        <v xml:space="preserve">          5025 - PURCHASES @ COST-TEST FORMS</v>
      </c>
      <c r="C45" s="11"/>
      <c r="D45" s="2">
        <v>6.06</v>
      </c>
      <c r="E45" s="2"/>
      <c r="F45" s="19">
        <f t="shared" si="5"/>
        <v>2.2448621550913767E-5</v>
      </c>
      <c r="G45" s="2"/>
      <c r="H45" s="2"/>
      <c r="I45" s="2"/>
      <c r="J45" s="19">
        <f t="shared" si="6"/>
        <v>0</v>
      </c>
      <c r="K45" s="2"/>
      <c r="L45" s="2">
        <f t="shared" si="7"/>
        <v>6.06</v>
      </c>
      <c r="M45" s="2"/>
      <c r="N45" s="19">
        <f t="shared" si="8"/>
        <v>0</v>
      </c>
      <c r="O45" s="11"/>
      <c r="P45" s="2">
        <v>6.06</v>
      </c>
      <c r="Q45" s="2"/>
      <c r="R45" s="19">
        <f t="shared" si="9"/>
        <v>2.9981324899880188E-6</v>
      </c>
      <c r="S45" s="2"/>
      <c r="T45" s="2"/>
      <c r="U45" s="2"/>
      <c r="V45" s="19">
        <f t="shared" si="10"/>
        <v>0</v>
      </c>
      <c r="W45" s="2"/>
      <c r="X45" s="2">
        <f t="shared" si="11"/>
        <v>6.06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"5026", " - ", "PURCHASES @ COST-WRITING INSTR")</f>
        <v xml:space="preserve">          5026 - PURCHASES @ COST-WRITING INSTR</v>
      </c>
      <c r="C46" s="11"/>
      <c r="D46" s="2">
        <v>1296.3800000000001</v>
      </c>
      <c r="E46" s="2"/>
      <c r="F46" s="19">
        <f t="shared" si="5"/>
        <v>4.8023009911177545E-3</v>
      </c>
      <c r="G46" s="2"/>
      <c r="H46" s="2"/>
      <c r="I46" s="2"/>
      <c r="J46" s="19">
        <f t="shared" si="6"/>
        <v>0</v>
      </c>
      <c r="K46" s="2"/>
      <c r="L46" s="2">
        <f t="shared" si="7"/>
        <v>1296.3800000000001</v>
      </c>
      <c r="M46" s="2"/>
      <c r="N46" s="19">
        <f t="shared" si="8"/>
        <v>0</v>
      </c>
      <c r="O46" s="11"/>
      <c r="P46" s="2">
        <v>1275.1400000000001</v>
      </c>
      <c r="Q46" s="2"/>
      <c r="R46" s="19">
        <f t="shared" si="9"/>
        <v>6.308644658883371E-4</v>
      </c>
      <c r="S46" s="2"/>
      <c r="T46" s="2"/>
      <c r="U46" s="2"/>
      <c r="V46" s="19">
        <f t="shared" si="10"/>
        <v>0</v>
      </c>
      <c r="W46" s="2"/>
      <c r="X46" s="2">
        <f t="shared" si="11"/>
        <v>1275.1400000000001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"5027", " - ", "PURCHASES @ COST-SCHOOL SUPPLI")</f>
        <v xml:space="preserve">          5027 - PURCHASES @ COST-SCHOOL SUPPLI</v>
      </c>
      <c r="C47" s="11"/>
      <c r="D47" s="2">
        <v>255.26</v>
      </c>
      <c r="E47" s="2"/>
      <c r="F47" s="19">
        <f t="shared" si="5"/>
        <v>9.4558335595482654E-4</v>
      </c>
      <c r="G47" s="2"/>
      <c r="H47" s="2"/>
      <c r="I47" s="2"/>
      <c r="J47" s="19">
        <f t="shared" si="6"/>
        <v>0</v>
      </c>
      <c r="K47" s="2"/>
      <c r="L47" s="2">
        <f t="shared" si="7"/>
        <v>255.26</v>
      </c>
      <c r="M47" s="2"/>
      <c r="N47" s="19">
        <f t="shared" si="8"/>
        <v>0</v>
      </c>
      <c r="O47" s="11"/>
      <c r="P47" s="2">
        <v>306.55</v>
      </c>
      <c r="Q47" s="2"/>
      <c r="R47" s="19">
        <f t="shared" si="9"/>
        <v>1.5166295623858536E-4</v>
      </c>
      <c r="S47" s="2"/>
      <c r="T47" s="2"/>
      <c r="U47" s="2"/>
      <c r="V47" s="19">
        <f t="shared" si="10"/>
        <v>0</v>
      </c>
      <c r="W47" s="2"/>
      <c r="X47" s="2">
        <f t="shared" si="11"/>
        <v>306.55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"5037", " - ", "PURCHASES @ COST-WATER")</f>
        <v xml:space="preserve">          5037 - PURCHASES @ COST-WATER</v>
      </c>
      <c r="C48" s="11"/>
      <c r="D48" s="2"/>
      <c r="E48" s="2"/>
      <c r="F48" s="19">
        <f t="shared" si="5"/>
        <v>0</v>
      </c>
      <c r="G48" s="2"/>
      <c r="H48" s="2"/>
      <c r="I48" s="2"/>
      <c r="J48" s="19">
        <f t="shared" si="6"/>
        <v>0</v>
      </c>
      <c r="K48" s="2"/>
      <c r="L48" s="2">
        <f t="shared" si="7"/>
        <v>0</v>
      </c>
      <c r="M48" s="2"/>
      <c r="N48" s="19">
        <f t="shared" si="8"/>
        <v>0</v>
      </c>
      <c r="O48" s="11"/>
      <c r="P48" s="2">
        <v>29.76</v>
      </c>
      <c r="Q48" s="2"/>
      <c r="R48" s="19">
        <f t="shared" si="9"/>
        <v>1.4723502129050073E-5</v>
      </c>
      <c r="S48" s="2"/>
      <c r="T48" s="2"/>
      <c r="U48" s="2"/>
      <c r="V48" s="19">
        <f t="shared" si="10"/>
        <v>0</v>
      </c>
      <c r="W48" s="2"/>
      <c r="X48" s="2">
        <f t="shared" si="11"/>
        <v>29.76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"5040", " - ", "PURCHASES @ COST-LOGO CLOTHING")</f>
        <v xml:space="preserve">          5040 - PURCHASES @ COST-LOGO CLOTHING</v>
      </c>
      <c r="C49" s="11"/>
      <c r="D49" s="2">
        <v>94500.17</v>
      </c>
      <c r="E49" s="2"/>
      <c r="F49" s="19">
        <f t="shared" si="5"/>
        <v>0.35006576779323678</v>
      </c>
      <c r="G49" s="2"/>
      <c r="H49" s="2"/>
      <c r="I49" s="2"/>
      <c r="J49" s="19">
        <f t="shared" si="6"/>
        <v>0</v>
      </c>
      <c r="K49" s="2"/>
      <c r="L49" s="2">
        <f t="shared" si="7"/>
        <v>94500.17</v>
      </c>
      <c r="M49" s="2"/>
      <c r="N49" s="19">
        <f t="shared" si="8"/>
        <v>0</v>
      </c>
      <c r="O49" s="11"/>
      <c r="P49" s="2">
        <v>810739.01</v>
      </c>
      <c r="Q49" s="2"/>
      <c r="R49" s="19">
        <f t="shared" si="9"/>
        <v>0.40110610012899695</v>
      </c>
      <c r="S49" s="2"/>
      <c r="T49" s="2"/>
      <c r="U49" s="2"/>
      <c r="V49" s="19">
        <f t="shared" si="10"/>
        <v>0</v>
      </c>
      <c r="W49" s="2"/>
      <c r="X49" s="2">
        <f t="shared" si="11"/>
        <v>810739.01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"5041", " - ", "PURCHASES @ COST-LOGO GIFTS")</f>
        <v xml:space="preserve">          5041 - PURCHASES @ COST-LOGO GIFTS</v>
      </c>
      <c r="C50" s="11"/>
      <c r="D50" s="2">
        <v>14612.2</v>
      </c>
      <c r="E50" s="2"/>
      <c r="F50" s="19">
        <f t="shared" si="5"/>
        <v>5.4129331324465707E-2</v>
      </c>
      <c r="G50" s="2"/>
      <c r="H50" s="2"/>
      <c r="I50" s="2"/>
      <c r="J50" s="19">
        <f t="shared" si="6"/>
        <v>0</v>
      </c>
      <c r="K50" s="2"/>
      <c r="L50" s="2">
        <f t="shared" si="7"/>
        <v>14612.2</v>
      </c>
      <c r="M50" s="2"/>
      <c r="N50" s="19">
        <f t="shared" si="8"/>
        <v>0</v>
      </c>
      <c r="O50" s="11"/>
      <c r="P50" s="2">
        <v>124015.87000000001</v>
      </c>
      <c r="Q50" s="2"/>
      <c r="R50" s="19">
        <f t="shared" si="9"/>
        <v>6.1355777082694803E-2</v>
      </c>
      <c r="S50" s="2"/>
      <c r="T50" s="2"/>
      <c r="U50" s="2"/>
      <c r="V50" s="19">
        <f t="shared" si="10"/>
        <v>0</v>
      </c>
      <c r="W50" s="2"/>
      <c r="X50" s="2">
        <f t="shared" si="11"/>
        <v>124015.87000000001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"5042", " - ", "PURCHASES @ COST-EVERYDAY GIFT")</f>
        <v xml:space="preserve">          5042 - PURCHASES @ COST-EVERYDAY GIFT</v>
      </c>
      <c r="C51" s="11"/>
      <c r="D51" s="2">
        <v>2972.86</v>
      </c>
      <c r="E51" s="2"/>
      <c r="F51" s="19">
        <f t="shared" si="5"/>
        <v>1.101264175971114E-2</v>
      </c>
      <c r="G51" s="2"/>
      <c r="H51" s="2"/>
      <c r="I51" s="2"/>
      <c r="J51" s="19">
        <f t="shared" si="6"/>
        <v>0</v>
      </c>
      <c r="K51" s="2"/>
      <c r="L51" s="2">
        <f t="shared" si="7"/>
        <v>2972.86</v>
      </c>
      <c r="M51" s="2"/>
      <c r="N51" s="19">
        <f t="shared" si="8"/>
        <v>0</v>
      </c>
      <c r="O51" s="11"/>
      <c r="P51" s="2">
        <v>91360.97</v>
      </c>
      <c r="Q51" s="2"/>
      <c r="R51" s="19">
        <f t="shared" si="9"/>
        <v>4.5200048263006713E-2</v>
      </c>
      <c r="S51" s="2"/>
      <c r="T51" s="2"/>
      <c r="U51" s="2"/>
      <c r="V51" s="19">
        <f t="shared" si="10"/>
        <v>0</v>
      </c>
      <c r="W51" s="2"/>
      <c r="X51" s="2">
        <f t="shared" si="11"/>
        <v>91360.97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"5043", " - ", "PURCHASES @ COST-CARDS")</f>
        <v xml:space="preserve">          5043 - PURCHASES @ COST-CARDS</v>
      </c>
      <c r="C52" s="11"/>
      <c r="D52" s="2">
        <v>3909.52</v>
      </c>
      <c r="E52" s="2"/>
      <c r="F52" s="19">
        <f t="shared" si="5"/>
        <v>1.4482398502595445E-2</v>
      </c>
      <c r="G52" s="2"/>
      <c r="H52" s="2"/>
      <c r="I52" s="2"/>
      <c r="J52" s="19">
        <f t="shared" si="6"/>
        <v>0</v>
      </c>
      <c r="K52" s="2"/>
      <c r="L52" s="2">
        <f t="shared" si="7"/>
        <v>3909.52</v>
      </c>
      <c r="M52" s="2"/>
      <c r="N52" s="19">
        <f t="shared" si="8"/>
        <v>0</v>
      </c>
      <c r="O52" s="11"/>
      <c r="P52" s="2">
        <v>10694.41</v>
      </c>
      <c r="Q52" s="2"/>
      <c r="R52" s="19">
        <f t="shared" si="9"/>
        <v>5.2909666802397311E-3</v>
      </c>
      <c r="S52" s="2"/>
      <c r="T52" s="2"/>
      <c r="U52" s="2"/>
      <c r="V52" s="19">
        <f t="shared" si="10"/>
        <v>0</v>
      </c>
      <c r="W52" s="2"/>
      <c r="X52" s="2">
        <f t="shared" si="11"/>
        <v>10694.41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"5044", " - ", "PURCHASES @ COST-ACCESSORIES")</f>
        <v xml:space="preserve">          5044 - PURCHASES @ COST-ACCESSORIES</v>
      </c>
      <c r="C53" s="11"/>
      <c r="D53" s="2">
        <v>3179.63</v>
      </c>
      <c r="E53" s="2"/>
      <c r="F53" s="19">
        <f t="shared" si="5"/>
        <v>1.1778599099328704E-2</v>
      </c>
      <c r="G53" s="2"/>
      <c r="H53" s="2"/>
      <c r="I53" s="2"/>
      <c r="J53" s="19">
        <f t="shared" si="6"/>
        <v>0</v>
      </c>
      <c r="K53" s="2"/>
      <c r="L53" s="2">
        <f t="shared" si="7"/>
        <v>3179.63</v>
      </c>
      <c r="M53" s="2"/>
      <c r="N53" s="19">
        <f t="shared" si="8"/>
        <v>0</v>
      </c>
      <c r="O53" s="11"/>
      <c r="P53" s="2">
        <v>20867.21</v>
      </c>
      <c r="Q53" s="2"/>
      <c r="R53" s="19">
        <f t="shared" si="9"/>
        <v>1.0323871332739751E-2</v>
      </c>
      <c r="S53" s="2"/>
      <c r="T53" s="2"/>
      <c r="U53" s="2"/>
      <c r="V53" s="19">
        <f t="shared" si="10"/>
        <v>0</v>
      </c>
      <c r="W53" s="2"/>
      <c r="X53" s="2">
        <f t="shared" si="11"/>
        <v>20867.21</v>
      </c>
      <c r="Y53" s="2"/>
      <c r="Z53" s="19">
        <f t="shared" si="12"/>
        <v>0</v>
      </c>
    </row>
    <row r="54" spans="1:26" s="24" customFormat="1" hidden="1" outlineLevel="1" x14ac:dyDescent="0.25">
      <c r="A54" s="44"/>
      <c r="B54" s="11" t="str">
        <f>CONCATENATE("          ", "5045", " - ", "PURCHASES @ COST-SPECIAL ORDER")</f>
        <v xml:space="preserve">          5045 - PURCHASES @ COST-SPECIAL ORDER</v>
      </c>
      <c r="C54" s="11"/>
      <c r="D54" s="2">
        <v>6835.65</v>
      </c>
      <c r="E54" s="2"/>
      <c r="F54" s="19">
        <f t="shared" si="5"/>
        <v>2.5321933977640876E-2</v>
      </c>
      <c r="G54" s="2"/>
      <c r="H54" s="2"/>
      <c r="I54" s="2"/>
      <c r="J54" s="19">
        <f t="shared" si="6"/>
        <v>0</v>
      </c>
      <c r="K54" s="2"/>
      <c r="L54" s="2">
        <f t="shared" si="7"/>
        <v>6835.65</v>
      </c>
      <c r="M54" s="2"/>
      <c r="N54" s="19">
        <f t="shared" si="8"/>
        <v>0</v>
      </c>
      <c r="O54" s="11"/>
      <c r="P54" s="2">
        <v>48016.23</v>
      </c>
      <c r="Q54" s="2"/>
      <c r="R54" s="19">
        <f t="shared" si="9"/>
        <v>2.3755613730979772E-2</v>
      </c>
      <c r="S54" s="2"/>
      <c r="T54" s="2"/>
      <c r="U54" s="2"/>
      <c r="V54" s="19">
        <f t="shared" si="10"/>
        <v>0</v>
      </c>
      <c r="W54" s="2"/>
      <c r="X54" s="2">
        <f t="shared" si="11"/>
        <v>48016.23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"5083", " - ", "PURCHASES @ COST-COMPUTER EQUI")</f>
        <v xml:space="preserve">          5083 - PURCHASES @ COST-COMPUTER EQUI</v>
      </c>
      <c r="C55" s="11"/>
      <c r="D55" s="2">
        <v>50.4</v>
      </c>
      <c r="E55" s="2"/>
      <c r="F55" s="19">
        <f t="shared" si="5"/>
        <v>1.8670140695809472E-4</v>
      </c>
      <c r="G55" s="2"/>
      <c r="H55" s="2"/>
      <c r="I55" s="2"/>
      <c r="J55" s="19">
        <f t="shared" si="6"/>
        <v>0</v>
      </c>
      <c r="K55" s="2"/>
      <c r="L55" s="2">
        <f t="shared" si="7"/>
        <v>50.4</v>
      </c>
      <c r="M55" s="2"/>
      <c r="N55" s="19">
        <f t="shared" si="8"/>
        <v>0</v>
      </c>
      <c r="O55" s="11"/>
      <c r="P55" s="2">
        <v>90.35</v>
      </c>
      <c r="Q55" s="2"/>
      <c r="R55" s="19">
        <f t="shared" si="9"/>
        <v>4.4699879615580447E-5</v>
      </c>
      <c r="S55" s="2"/>
      <c r="T55" s="2"/>
      <c r="U55" s="2"/>
      <c r="V55" s="19">
        <f t="shared" si="10"/>
        <v>0</v>
      </c>
      <c r="W55" s="2"/>
      <c r="X55" s="2">
        <f t="shared" si="11"/>
        <v>90.35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"5092", " - ", "PURCHASES @ COST-GRAD MERCH")</f>
        <v xml:space="preserve">          5092 - PURCHASES @ COST-GRAD MERCH</v>
      </c>
      <c r="C56" s="11"/>
      <c r="D56" s="2"/>
      <c r="E56" s="2"/>
      <c r="F56" s="19">
        <f t="shared" si="5"/>
        <v>0</v>
      </c>
      <c r="G56" s="2"/>
      <c r="H56" s="2"/>
      <c r="I56" s="2"/>
      <c r="J56" s="19">
        <f t="shared" si="6"/>
        <v>0</v>
      </c>
      <c r="K56" s="2"/>
      <c r="L56" s="2">
        <f t="shared" si="7"/>
        <v>0</v>
      </c>
      <c r="M56" s="2"/>
      <c r="N56" s="19">
        <f t="shared" si="8"/>
        <v>0</v>
      </c>
      <c r="O56" s="11"/>
      <c r="P56" s="2">
        <v>-60.35</v>
      </c>
      <c r="Q56" s="2"/>
      <c r="R56" s="19">
        <f t="shared" si="9"/>
        <v>-2.9857639566134809E-5</v>
      </c>
      <c r="S56" s="2"/>
      <c r="T56" s="2"/>
      <c r="U56" s="2"/>
      <c r="V56" s="19">
        <f t="shared" si="10"/>
        <v>0</v>
      </c>
      <c r="W56" s="2"/>
      <c r="X56" s="2">
        <f t="shared" si="11"/>
        <v>-60.35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"5095", " - ", "PURCHASES @ COST-CUSTOMER SERV")</f>
        <v xml:space="preserve">          5095 - PURCHASES @ COST-CUSTOMER SERV</v>
      </c>
      <c r="C57" s="11"/>
      <c r="D57" s="2"/>
      <c r="E57" s="2"/>
      <c r="F57" s="19">
        <f t="shared" si="5"/>
        <v>0</v>
      </c>
      <c r="G57" s="2"/>
      <c r="H57" s="2"/>
      <c r="I57" s="2"/>
      <c r="J57" s="19">
        <f t="shared" si="6"/>
        <v>0</v>
      </c>
      <c r="K57" s="2"/>
      <c r="L57" s="2">
        <f t="shared" si="7"/>
        <v>0</v>
      </c>
      <c r="M57" s="2"/>
      <c r="N57" s="19">
        <f t="shared" si="8"/>
        <v>0</v>
      </c>
      <c r="O57" s="11"/>
      <c r="P57" s="2">
        <v>-11.85</v>
      </c>
      <c r="Q57" s="2"/>
      <c r="R57" s="19">
        <f t="shared" si="9"/>
        <v>-5.8626848195310269E-6</v>
      </c>
      <c r="S57" s="2"/>
      <c r="T57" s="2"/>
      <c r="U57" s="2"/>
      <c r="V57" s="19">
        <f t="shared" si="10"/>
        <v>0</v>
      </c>
      <c r="W57" s="2"/>
      <c r="X57" s="2">
        <f t="shared" si="11"/>
        <v>-11.85</v>
      </c>
      <c r="Y57" s="2"/>
      <c r="Z57" s="19">
        <f t="shared" si="12"/>
        <v>0</v>
      </c>
    </row>
    <row r="58" spans="1:26" s="24" customFormat="1" hidden="1" outlineLevel="1" x14ac:dyDescent="0.25">
      <c r="A58" s="44"/>
      <c r="B58" s="11" t="str">
        <f>CONCATENATE("          ", "5200", " - ", "PURCHASES OFFSET")</f>
        <v xml:space="preserve">          5200 - PURCHASES OFFSET</v>
      </c>
      <c r="C58" s="11"/>
      <c r="D58" s="2">
        <v>-104949</v>
      </c>
      <c r="E58" s="2"/>
      <c r="F58" s="19">
        <f t="shared" si="5"/>
        <v>-0.38877234045327547</v>
      </c>
      <c r="G58" s="2"/>
      <c r="H58" s="2"/>
      <c r="I58" s="2"/>
      <c r="J58" s="19">
        <f t="shared" si="6"/>
        <v>0</v>
      </c>
      <c r="K58" s="2"/>
      <c r="L58" s="2">
        <f t="shared" si="7"/>
        <v>-104949</v>
      </c>
      <c r="M58" s="2"/>
      <c r="N58" s="19">
        <f t="shared" si="8"/>
        <v>0</v>
      </c>
      <c r="O58" s="11"/>
      <c r="P58" s="2">
        <v>-1077483</v>
      </c>
      <c r="Q58" s="2"/>
      <c r="R58" s="19">
        <f t="shared" si="9"/>
        <v>-0.53307537783989445</v>
      </c>
      <c r="S58" s="2"/>
      <c r="T58" s="2"/>
      <c r="U58" s="2"/>
      <c r="V58" s="19">
        <f t="shared" si="10"/>
        <v>0</v>
      </c>
      <c r="W58" s="2"/>
      <c r="X58" s="2">
        <f t="shared" si="11"/>
        <v>-1077483</v>
      </c>
      <c r="Y58" s="2"/>
      <c r="Z58" s="19">
        <f t="shared" si="12"/>
        <v>0</v>
      </c>
    </row>
    <row r="59" spans="1:26" s="24" customFormat="1" hidden="1" outlineLevel="1" x14ac:dyDescent="0.25">
      <c r="A59" s="44"/>
      <c r="B59" s="11" t="str">
        <f>CONCATENATE("          ", "5300", " - ", "COG$ OFFSET")</f>
        <v xml:space="preserve">          5300 - COG$ OFFSET</v>
      </c>
      <c r="C59" s="11"/>
      <c r="D59" s="2">
        <v>91102</v>
      </c>
      <c r="E59" s="2"/>
      <c r="F59" s="19">
        <f t="shared" si="5"/>
        <v>0.33747761064873699</v>
      </c>
      <c r="G59" s="2"/>
      <c r="H59" s="2"/>
      <c r="I59" s="2"/>
      <c r="J59" s="19">
        <f t="shared" si="6"/>
        <v>0</v>
      </c>
      <c r="K59" s="2"/>
      <c r="L59" s="2">
        <f t="shared" si="7"/>
        <v>91102</v>
      </c>
      <c r="M59" s="2"/>
      <c r="N59" s="19">
        <f t="shared" si="8"/>
        <v>0</v>
      </c>
      <c r="O59" s="11"/>
      <c r="P59" s="2">
        <v>858471</v>
      </c>
      <c r="Q59" s="2"/>
      <c r="R59" s="19">
        <f t="shared" si="9"/>
        <v>0.42472108858292157</v>
      </c>
      <c r="S59" s="2"/>
      <c r="T59" s="2"/>
      <c r="U59" s="2"/>
      <c r="V59" s="19">
        <f t="shared" si="10"/>
        <v>0</v>
      </c>
      <c r="W59" s="2"/>
      <c r="X59" s="2">
        <f t="shared" si="11"/>
        <v>858471</v>
      </c>
      <c r="Y59" s="2"/>
      <c r="Z59" s="19">
        <f t="shared" si="12"/>
        <v>0</v>
      </c>
    </row>
    <row r="60" spans="1:26" s="24" customFormat="1" hidden="1" outlineLevel="1" x14ac:dyDescent="0.25">
      <c r="A60" s="44"/>
      <c r="B60" s="11" t="str">
        <f>CONCATENATE("          ", "5500", " - ", "FREIGHT-IN")</f>
        <v xml:space="preserve">          5500 - FREIGHT-IN</v>
      </c>
      <c r="C60" s="11"/>
      <c r="D60" s="2"/>
      <c r="E60" s="2"/>
      <c r="F60" s="19">
        <f t="shared" si="5"/>
        <v>0</v>
      </c>
      <c r="G60" s="2"/>
      <c r="H60" s="2"/>
      <c r="I60" s="2"/>
      <c r="J60" s="19">
        <f t="shared" si="6"/>
        <v>0</v>
      </c>
      <c r="K60" s="2"/>
      <c r="L60" s="2">
        <f t="shared" si="7"/>
        <v>0</v>
      </c>
      <c r="M60" s="2"/>
      <c r="N60" s="19">
        <f t="shared" si="8"/>
        <v>0</v>
      </c>
      <c r="O60" s="11"/>
      <c r="P60" s="2">
        <v>29.23</v>
      </c>
      <c r="Q60" s="2"/>
      <c r="R60" s="19">
        <f t="shared" si="9"/>
        <v>1.4461289221509868E-5</v>
      </c>
      <c r="S60" s="2"/>
      <c r="T60" s="2"/>
      <c r="U60" s="2"/>
      <c r="V60" s="19">
        <f t="shared" si="10"/>
        <v>0</v>
      </c>
      <c r="W60" s="2"/>
      <c r="X60" s="2">
        <f t="shared" si="11"/>
        <v>29.23</v>
      </c>
      <c r="Y60" s="2"/>
      <c r="Z60" s="19">
        <f t="shared" si="12"/>
        <v>0</v>
      </c>
    </row>
    <row r="61" spans="1:26" s="24" customFormat="1" hidden="1" outlineLevel="1" x14ac:dyDescent="0.25">
      <c r="A61" s="44"/>
      <c r="B61" s="11" t="str">
        <f>CONCATENATE("          ", "5540", " - ", "FREIGHT-IN-LOGO CLOTHING")</f>
        <v xml:space="preserve">          5540 - FREIGHT-IN-LOGO CLOTHING</v>
      </c>
      <c r="C61" s="11"/>
      <c r="D61" s="2">
        <v>1400.5</v>
      </c>
      <c r="E61" s="2"/>
      <c r="F61" s="19">
        <f t="shared" si="5"/>
        <v>5.1880023897780091E-3</v>
      </c>
      <c r="G61" s="2"/>
      <c r="H61" s="2"/>
      <c r="I61" s="2"/>
      <c r="J61" s="19">
        <f t="shared" si="6"/>
        <v>0</v>
      </c>
      <c r="K61" s="2"/>
      <c r="L61" s="2">
        <f t="shared" si="7"/>
        <v>1400.5</v>
      </c>
      <c r="M61" s="2"/>
      <c r="N61" s="19">
        <f t="shared" si="8"/>
        <v>0</v>
      </c>
      <c r="O61" s="11"/>
      <c r="P61" s="2">
        <v>25677.89</v>
      </c>
      <c r="Q61" s="2"/>
      <c r="R61" s="19">
        <f t="shared" si="9"/>
        <v>1.2703913578108655E-2</v>
      </c>
      <c r="S61" s="2"/>
      <c r="T61" s="2"/>
      <c r="U61" s="2"/>
      <c r="V61" s="19">
        <f t="shared" si="10"/>
        <v>0</v>
      </c>
      <c r="W61" s="2"/>
      <c r="X61" s="2">
        <f t="shared" si="11"/>
        <v>25677.89</v>
      </c>
      <c r="Y61" s="2"/>
      <c r="Z61" s="19">
        <f t="shared" si="12"/>
        <v>0</v>
      </c>
    </row>
    <row r="62" spans="1:26" s="24" customFormat="1" hidden="1" outlineLevel="1" x14ac:dyDescent="0.25">
      <c r="A62" s="44"/>
      <c r="B62" s="11" t="str">
        <f>CONCATENATE("          ", "5541", " - ", "FREIGHT-IN-LOGO GIFTS")</f>
        <v xml:space="preserve">          5541 - FREIGHT-IN-LOGO GIFTS</v>
      </c>
      <c r="C62" s="11"/>
      <c r="D62" s="2">
        <v>24.8</v>
      </c>
      <c r="E62" s="2"/>
      <c r="F62" s="19">
        <f t="shared" si="5"/>
        <v>9.1868946280967249E-5</v>
      </c>
      <c r="G62" s="2"/>
      <c r="H62" s="2"/>
      <c r="I62" s="2"/>
      <c r="J62" s="19">
        <f t="shared" si="6"/>
        <v>0</v>
      </c>
      <c r="K62" s="2"/>
      <c r="L62" s="2">
        <f t="shared" si="7"/>
        <v>24.8</v>
      </c>
      <c r="M62" s="2"/>
      <c r="N62" s="19">
        <f t="shared" si="8"/>
        <v>0</v>
      </c>
      <c r="O62" s="11"/>
      <c r="P62" s="2">
        <v>3587.57</v>
      </c>
      <c r="Q62" s="2"/>
      <c r="R62" s="19">
        <f t="shared" si="9"/>
        <v>1.7749191711396563E-3</v>
      </c>
      <c r="S62" s="2"/>
      <c r="T62" s="2"/>
      <c r="U62" s="2"/>
      <c r="V62" s="19">
        <f t="shared" si="10"/>
        <v>0</v>
      </c>
      <c r="W62" s="2"/>
      <c r="X62" s="2">
        <f t="shared" si="11"/>
        <v>3587.57</v>
      </c>
      <c r="Y62" s="2"/>
      <c r="Z62" s="19">
        <f t="shared" si="12"/>
        <v>0</v>
      </c>
    </row>
    <row r="63" spans="1:26" s="24" customFormat="1" hidden="1" outlineLevel="1" x14ac:dyDescent="0.25">
      <c r="A63" s="44"/>
      <c r="B63" s="11" t="str">
        <f>CONCATENATE("          ", "5542", " - ", "FREIGHT-IN-EVERYDAY GIFTS")</f>
        <v xml:space="preserve">          5542 - FREIGHT-IN-EVERYDAY GIFTS</v>
      </c>
      <c r="C63" s="11"/>
      <c r="D63" s="2"/>
      <c r="E63" s="2"/>
      <c r="F63" s="19">
        <f t="shared" si="5"/>
        <v>0</v>
      </c>
      <c r="G63" s="2"/>
      <c r="H63" s="2"/>
      <c r="I63" s="2"/>
      <c r="J63" s="19">
        <f t="shared" si="6"/>
        <v>0</v>
      </c>
      <c r="K63" s="2"/>
      <c r="L63" s="2">
        <f t="shared" si="7"/>
        <v>0</v>
      </c>
      <c r="M63" s="2"/>
      <c r="N63" s="19">
        <f t="shared" si="8"/>
        <v>0</v>
      </c>
      <c r="O63" s="11"/>
      <c r="P63" s="2">
        <v>1708.33</v>
      </c>
      <c r="Q63" s="2"/>
      <c r="R63" s="19">
        <f t="shared" si="9"/>
        <v>8.4518146478898223E-4</v>
      </c>
      <c r="S63" s="2"/>
      <c r="T63" s="2"/>
      <c r="U63" s="2"/>
      <c r="V63" s="19">
        <f t="shared" si="10"/>
        <v>0</v>
      </c>
      <c r="W63" s="2"/>
      <c r="X63" s="2">
        <f t="shared" si="11"/>
        <v>1708.33</v>
      </c>
      <c r="Y63" s="2"/>
      <c r="Z63" s="19">
        <f t="shared" si="12"/>
        <v>0</v>
      </c>
    </row>
    <row r="64" spans="1:26" s="24" customFormat="1" hidden="1" outlineLevel="1" x14ac:dyDescent="0.25">
      <c r="A64" s="44"/>
      <c r="B64" s="11" t="str">
        <f>CONCATENATE("          ", "5543", " - ", "FREIGHT-IN-CARDS")</f>
        <v xml:space="preserve">          5543 - FREIGHT-IN-CARDS</v>
      </c>
      <c r="C64" s="11"/>
      <c r="D64" s="2"/>
      <c r="E64" s="2"/>
      <c r="F64" s="19">
        <f t="shared" si="5"/>
        <v>0</v>
      </c>
      <c r="G64" s="2"/>
      <c r="H64" s="2"/>
      <c r="I64" s="2"/>
      <c r="J64" s="19">
        <f t="shared" si="6"/>
        <v>0</v>
      </c>
      <c r="K64" s="2"/>
      <c r="L64" s="2">
        <f t="shared" si="7"/>
        <v>0</v>
      </c>
      <c r="M64" s="2"/>
      <c r="N64" s="19">
        <f t="shared" si="8"/>
        <v>0</v>
      </c>
      <c r="O64" s="11"/>
      <c r="P64" s="2">
        <v>121.35</v>
      </c>
      <c r="Q64" s="2"/>
      <c r="R64" s="19">
        <f t="shared" si="9"/>
        <v>6.0036861000007604E-5</v>
      </c>
      <c r="S64" s="2"/>
      <c r="T64" s="2"/>
      <c r="U64" s="2"/>
      <c r="V64" s="19">
        <f t="shared" si="10"/>
        <v>0</v>
      </c>
      <c r="W64" s="2"/>
      <c r="X64" s="2">
        <f t="shared" si="11"/>
        <v>121.35</v>
      </c>
      <c r="Y64" s="2"/>
      <c r="Z64" s="19">
        <f t="shared" si="12"/>
        <v>0</v>
      </c>
    </row>
    <row r="65" spans="1:26" s="24" customFormat="1" hidden="1" outlineLevel="1" x14ac:dyDescent="0.25">
      <c r="A65" s="44"/>
      <c r="B65" s="11" t="str">
        <f>CONCATENATE("          ", "5544", " - ", "FREIGHT-IN-ACCESSORIES")</f>
        <v xml:space="preserve">          5544 - FREIGHT-IN-ACCESSORIES</v>
      </c>
      <c r="C65" s="11"/>
      <c r="D65" s="2"/>
      <c r="E65" s="2"/>
      <c r="F65" s="19">
        <f t="shared" si="5"/>
        <v>0</v>
      </c>
      <c r="G65" s="2"/>
      <c r="H65" s="2"/>
      <c r="I65" s="2"/>
      <c r="J65" s="19">
        <f t="shared" si="6"/>
        <v>0</v>
      </c>
      <c r="K65" s="2"/>
      <c r="L65" s="2">
        <f t="shared" si="7"/>
        <v>0</v>
      </c>
      <c r="M65" s="2"/>
      <c r="N65" s="19">
        <f t="shared" si="8"/>
        <v>0</v>
      </c>
      <c r="O65" s="11"/>
      <c r="P65" s="2">
        <v>442.31</v>
      </c>
      <c r="Q65" s="2"/>
      <c r="R65" s="19">
        <f t="shared" si="9"/>
        <v>2.1882903987567668E-4</v>
      </c>
      <c r="S65" s="2"/>
      <c r="T65" s="2"/>
      <c r="U65" s="2"/>
      <c r="V65" s="19">
        <f t="shared" si="10"/>
        <v>0</v>
      </c>
      <c r="W65" s="2"/>
      <c r="X65" s="2">
        <f t="shared" si="11"/>
        <v>442.31</v>
      </c>
      <c r="Y65" s="2"/>
      <c r="Z65" s="19">
        <f t="shared" si="12"/>
        <v>0</v>
      </c>
    </row>
    <row r="66" spans="1:26" s="24" customFormat="1" hidden="1" outlineLevel="1" x14ac:dyDescent="0.25">
      <c r="A66" s="44"/>
      <c r="B66" s="11" t="str">
        <f>CONCATENATE("          ", "5545", " - ", "FREIGHT-IN-SPECIAL ORDERS")</f>
        <v xml:space="preserve">          5545 - FREIGHT-IN-SPECIAL ORDERS</v>
      </c>
      <c r="C66" s="11"/>
      <c r="D66" s="2">
        <v>14.23</v>
      </c>
      <c r="E66" s="2"/>
      <c r="F66" s="19">
        <f t="shared" si="5"/>
        <v>5.2713512321700154E-5</v>
      </c>
      <c r="G66" s="2"/>
      <c r="H66" s="2"/>
      <c r="I66" s="2"/>
      <c r="J66" s="19">
        <f t="shared" si="6"/>
        <v>0</v>
      </c>
      <c r="K66" s="2"/>
      <c r="L66" s="2">
        <f t="shared" si="7"/>
        <v>14.23</v>
      </c>
      <c r="M66" s="2"/>
      <c r="N66" s="19">
        <f t="shared" si="8"/>
        <v>0</v>
      </c>
      <c r="O66" s="11"/>
      <c r="P66" s="2">
        <v>841.9</v>
      </c>
      <c r="Q66" s="2"/>
      <c r="R66" s="19">
        <f t="shared" si="9"/>
        <v>4.1652272992094276E-4</v>
      </c>
      <c r="S66" s="2"/>
      <c r="T66" s="2"/>
      <c r="U66" s="2"/>
      <c r="V66" s="19">
        <f t="shared" si="10"/>
        <v>0</v>
      </c>
      <c r="W66" s="2"/>
      <c r="X66" s="2">
        <f t="shared" si="11"/>
        <v>841.9</v>
      </c>
      <c r="Y66" s="2"/>
      <c r="Z66" s="19">
        <f t="shared" si="12"/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9" t="s">
        <v>6</v>
      </c>
      <c r="C68" s="29"/>
      <c r="D68" s="21">
        <f>D12-D43</f>
        <v>154739.10000000003</v>
      </c>
      <c r="E68" s="14"/>
      <c r="F68" s="20">
        <f>IF(D$12=0,0,D68/D$12)</f>
        <v>0.57321443812359762</v>
      </c>
      <c r="G68" s="14"/>
      <c r="H68" s="21">
        <f>H12-H43</f>
        <v>138693.12935999999</v>
      </c>
      <c r="I68" s="14"/>
      <c r="J68" s="20">
        <f>IF(H$12=0,0,H68/H$12)</f>
        <v>0.55178097080342892</v>
      </c>
      <c r="K68" s="16"/>
      <c r="L68" s="21">
        <f>+D68-H68</f>
        <v>16045.970640000043</v>
      </c>
      <c r="M68" s="16"/>
      <c r="N68" s="20">
        <f>IF(H68=0,0,L68/H68)</f>
        <v>0.11569405574770891</v>
      </c>
      <c r="O68" s="28"/>
      <c r="P68" s="21">
        <f>P12-P43</f>
        <v>1100532.2999999998</v>
      </c>
      <c r="Q68" s="14"/>
      <c r="R68" s="20">
        <f>IF(P$12=0,0,P68/P$12)</f>
        <v>0.54447881929228392</v>
      </c>
      <c r="S68" s="14"/>
      <c r="T68" s="21">
        <f>T12-T43</f>
        <v>1092805.9907800001</v>
      </c>
      <c r="U68" s="14"/>
      <c r="V68" s="20">
        <f>IF(T$12=0,0,T68/T$12)</f>
        <v>0.54938951132190539</v>
      </c>
      <c r="W68" s="16"/>
      <c r="X68" s="21">
        <f>+P68-T68</f>
        <v>7726.3092199997045</v>
      </c>
      <c r="Y68" s="16"/>
      <c r="Z68" s="20">
        <f>IF(T68=0,0,X68/T68)</f>
        <v>7.0701563545465026E-3</v>
      </c>
    </row>
    <row r="69" spans="1:26" x14ac:dyDescent="0.25">
      <c r="A69" s="9"/>
      <c r="B69" s="10"/>
      <c r="C69" s="9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8" t="s">
        <v>9</v>
      </c>
      <c r="C70" s="10"/>
      <c r="D70" s="22">
        <f>SUM(OSRRefD22x_0)</f>
        <v>95820.800000000003</v>
      </c>
      <c r="E70" s="22"/>
      <c r="F70" s="35">
        <f t="shared" ref="F70:F80" si="13">IF(D$12=0,0,D70/D$12)</f>
        <v>0.35495790031448815</v>
      </c>
      <c r="G70" s="22"/>
      <c r="H70" s="22">
        <f>SUM(OSRRefH22x_0)</f>
        <v>100952.07722046875</v>
      </c>
      <c r="I70" s="22"/>
      <c r="J70" s="35">
        <f t="shared" ref="J70:J80" si="14">IF(H$12=0,0,H70/H$12)</f>
        <v>0.40163081927977756</v>
      </c>
      <c r="K70" s="4"/>
      <c r="L70" s="22">
        <f t="shared" ref="L70:L80" si="15">+D70-H70</f>
        <v>-5131.2772204687499</v>
      </c>
      <c r="M70" s="4"/>
      <c r="N70" s="35">
        <f t="shared" ref="N70:N80" si="16">IF(H70=0,0,L70/H70)</f>
        <v>-5.0828842375007087E-2</v>
      </c>
      <c r="O70" s="10"/>
      <c r="P70" s="22">
        <f>SUM(OSRRefP22x_0)</f>
        <v>644454.70000000007</v>
      </c>
      <c r="Q70" s="22"/>
      <c r="R70" s="35">
        <f t="shared" ref="R70:R80" si="17">IF(P$12=0,0,P70/P$12)</f>
        <v>0.31883837861311581</v>
      </c>
      <c r="S70" s="22"/>
      <c r="T70" s="22">
        <f>SUM(OSRRefT22x_0)</f>
        <v>622971.07564520626</v>
      </c>
      <c r="U70" s="22"/>
      <c r="V70" s="35">
        <f t="shared" ref="V70:V80" si="18">IF(T$12=0,0,T70/T$12)</f>
        <v>0.31318804774497522</v>
      </c>
      <c r="W70" s="4"/>
      <c r="X70" s="22">
        <f t="shared" ref="X70:X80" si="19">+P70-T70</f>
        <v>21483.624354793807</v>
      </c>
      <c r="Y70" s="4"/>
      <c r="Z70" s="35">
        <f t="shared" ref="Z70:Z80" si="20">IF(T70=0,0,X70/T70)</f>
        <v>3.4485749330405727E-2</v>
      </c>
    </row>
    <row r="71" spans="1:26" s="27" customFormat="1" outlineLevel="1" collapsed="1" x14ac:dyDescent="0.25">
      <c r="A71" s="26"/>
      <c r="B71" s="13" t="str">
        <f>CONCATENATE("     ","*Benefits                                         ")</f>
        <v xml:space="preserve">     *Benefits                                         </v>
      </c>
      <c r="C71" s="13"/>
      <c r="D71" s="1">
        <f>SUM(OSRRefD22_0x_0)</f>
        <v>6824.58</v>
      </c>
      <c r="E71" s="1"/>
      <c r="F71" s="5">
        <f t="shared" si="13"/>
        <v>2.5280926347184009E-2</v>
      </c>
      <c r="G71" s="1"/>
      <c r="H71" s="1">
        <f>SUM(OSRRefH22_0x_0)</f>
        <v>6722.4501892187509</v>
      </c>
      <c r="I71" s="1"/>
      <c r="J71" s="5">
        <f t="shared" si="14"/>
        <v>2.6744800616306585E-2</v>
      </c>
      <c r="K71" s="1"/>
      <c r="L71" s="1">
        <f t="shared" si="15"/>
        <v>102.12981078124903</v>
      </c>
      <c r="M71" s="1"/>
      <c r="N71" s="5">
        <f t="shared" si="16"/>
        <v>1.5192349204021108E-2</v>
      </c>
      <c r="O71" s="13"/>
      <c r="P71" s="1">
        <f>SUM(OSRRefP22_0x_0)</f>
        <v>59778.46</v>
      </c>
      <c r="Q71" s="1"/>
      <c r="R71" s="5">
        <f t="shared" si="17"/>
        <v>2.9574875103539469E-2</v>
      </c>
      <c r="S71" s="1"/>
      <c r="T71" s="1">
        <f>SUM(OSRRefT22_0x_0)</f>
        <v>46382.100051456255</v>
      </c>
      <c r="U71" s="1"/>
      <c r="V71" s="5">
        <f t="shared" si="18"/>
        <v>2.3317807091417373E-2</v>
      </c>
      <c r="W71" s="1"/>
      <c r="X71" s="1">
        <f t="shared" si="19"/>
        <v>13396.359948543744</v>
      </c>
      <c r="Y71" s="1"/>
      <c r="Z71" s="5">
        <f t="shared" si="20"/>
        <v>0.28882607587155035</v>
      </c>
    </row>
    <row r="72" spans="1:26" s="24" customFormat="1" hidden="1" outlineLevel="2" x14ac:dyDescent="0.25">
      <c r="A72" s="25"/>
      <c r="B72" s="11" t="str">
        <f>CONCATENATE("          ", "6111", " - ", "F.I.C.A.")</f>
        <v xml:space="preserve">          6111 - F.I.C.A.</v>
      </c>
      <c r="C72" s="11"/>
      <c r="D72" s="7">
        <v>1097.32</v>
      </c>
      <c r="E72" s="2"/>
      <c r="F72" s="6">
        <f t="shared" si="13"/>
        <v>4.064904521493184E-3</v>
      </c>
      <c r="G72" s="2"/>
      <c r="H72" s="7">
        <v>1227.0846507187498</v>
      </c>
      <c r="I72" s="2"/>
      <c r="J72" s="6">
        <f t="shared" si="14"/>
        <v>4.881870954646244E-3</v>
      </c>
      <c r="K72" s="2"/>
      <c r="L72" s="7">
        <f t="shared" si="15"/>
        <v>-129.76465071874986</v>
      </c>
      <c r="M72" s="2"/>
      <c r="N72" s="6">
        <f t="shared" si="16"/>
        <v>-0.10575036583070435</v>
      </c>
      <c r="O72" s="11"/>
      <c r="P72" s="7">
        <v>12498.51</v>
      </c>
      <c r="Q72" s="2"/>
      <c r="R72" s="6">
        <f t="shared" si="17"/>
        <v>6.1835295226798934E-3</v>
      </c>
      <c r="S72" s="2"/>
      <c r="T72" s="7">
        <v>10326.787011956249</v>
      </c>
      <c r="U72" s="2"/>
      <c r="V72" s="6">
        <f t="shared" si="18"/>
        <v>5.1916154540611386E-3</v>
      </c>
      <c r="W72" s="2"/>
      <c r="X72" s="7">
        <f t="shared" si="19"/>
        <v>2171.7229880437517</v>
      </c>
      <c r="Y72" s="2"/>
      <c r="Z72" s="6">
        <f t="shared" si="20"/>
        <v>0.21029996895736816</v>
      </c>
    </row>
    <row r="73" spans="1:26" s="24" customFormat="1" hidden="1" outlineLevel="2" x14ac:dyDescent="0.25">
      <c r="A73" s="25"/>
      <c r="B73" s="11" t="str">
        <f>CONCATENATE("          ", "6112", " - ", "COMPENSATION INSURANCE")</f>
        <v xml:space="preserve">          6112 - COMPENSATION INSURANCE</v>
      </c>
      <c r="C73" s="11"/>
      <c r="D73" s="7">
        <v>557.4</v>
      </c>
      <c r="E73" s="2"/>
      <c r="F73" s="6">
        <f t="shared" si="13"/>
        <v>2.0648286555246427E-3</v>
      </c>
      <c r="G73" s="2"/>
      <c r="H73" s="7">
        <v>721.15391812500002</v>
      </c>
      <c r="I73" s="2"/>
      <c r="J73" s="6">
        <f t="shared" si="14"/>
        <v>2.8690607161141139E-3</v>
      </c>
      <c r="K73" s="2"/>
      <c r="L73" s="7">
        <f t="shared" si="15"/>
        <v>-163.75391812500004</v>
      </c>
      <c r="M73" s="2"/>
      <c r="N73" s="6">
        <f t="shared" si="16"/>
        <v>-0.22707207713820676</v>
      </c>
      <c r="O73" s="11"/>
      <c r="P73" s="7">
        <v>4207.3599999999997</v>
      </c>
      <c r="Q73" s="2"/>
      <c r="R73" s="6">
        <f t="shared" si="17"/>
        <v>2.0815549031478532E-3</v>
      </c>
      <c r="S73" s="2"/>
      <c r="T73" s="7">
        <v>4286.5937643749994</v>
      </c>
      <c r="U73" s="2"/>
      <c r="V73" s="6">
        <f t="shared" si="18"/>
        <v>2.155011661095121E-3</v>
      </c>
      <c r="W73" s="2"/>
      <c r="X73" s="7">
        <f t="shared" si="19"/>
        <v>-79.233764374999737</v>
      </c>
      <c r="Y73" s="2"/>
      <c r="Z73" s="6">
        <f t="shared" si="20"/>
        <v>-1.8484085203850031E-2</v>
      </c>
    </row>
    <row r="74" spans="1:26" s="24" customFormat="1" hidden="1" outlineLevel="2" x14ac:dyDescent="0.25">
      <c r="A74" s="25"/>
      <c r="B74" s="11" t="str">
        <f>CONCATENATE("          ", "6113", " - ", "GROUP INSURANCE")</f>
        <v xml:space="preserve">          6113 - GROUP INSURANCE</v>
      </c>
      <c r="C74" s="11"/>
      <c r="D74" s="7">
        <v>2416.37</v>
      </c>
      <c r="E74" s="2"/>
      <c r="F74" s="6">
        <f t="shared" si="13"/>
        <v>8.9511841018121291E-3</v>
      </c>
      <c r="G74" s="2"/>
      <c r="H74" s="7">
        <v>2863.75</v>
      </c>
      <c r="I74" s="2"/>
      <c r="J74" s="6">
        <f t="shared" si="14"/>
        <v>1.1393230237359175E-2</v>
      </c>
      <c r="K74" s="2"/>
      <c r="L74" s="7">
        <f t="shared" si="15"/>
        <v>-447.38000000000011</v>
      </c>
      <c r="M74" s="2"/>
      <c r="N74" s="6">
        <f t="shared" si="16"/>
        <v>-0.15622173723264954</v>
      </c>
      <c r="O74" s="11"/>
      <c r="P74" s="7">
        <v>21540.329999999998</v>
      </c>
      <c r="Q74" s="2"/>
      <c r="R74" s="6">
        <f t="shared" si="17"/>
        <v>1.0656891620142512E-2</v>
      </c>
      <c r="S74" s="2"/>
      <c r="T74" s="7">
        <v>20046.25</v>
      </c>
      <c r="U74" s="2"/>
      <c r="V74" s="6">
        <f t="shared" si="18"/>
        <v>1.0077909147877177E-2</v>
      </c>
      <c r="W74" s="2"/>
      <c r="X74" s="7">
        <f t="shared" si="19"/>
        <v>1494.0799999999981</v>
      </c>
      <c r="Y74" s="2"/>
      <c r="Z74" s="6">
        <f t="shared" si="20"/>
        <v>7.4531645569620164E-2</v>
      </c>
    </row>
    <row r="75" spans="1:26" s="24" customFormat="1" hidden="1" outlineLevel="2" x14ac:dyDescent="0.25">
      <c r="A75" s="25"/>
      <c r="B75" s="11" t="str">
        <f>CONCATENATE("          ", "6114", " - ", "STATE UNEMPLOYMENT INSURANCE")</f>
        <v xml:space="preserve">          6114 - STATE UNEMPLOYMENT INSURANCE</v>
      </c>
      <c r="C75" s="11"/>
      <c r="D75" s="7">
        <v>76.27</v>
      </c>
      <c r="E75" s="2"/>
      <c r="F75" s="6">
        <f t="shared" si="13"/>
        <v>2.8253405374392628E-4</v>
      </c>
      <c r="G75" s="2"/>
      <c r="H75" s="7">
        <v>98.684220374999995</v>
      </c>
      <c r="I75" s="2"/>
      <c r="J75" s="6">
        <f t="shared" si="14"/>
        <v>3.9260830852087868E-4</v>
      </c>
      <c r="K75" s="2"/>
      <c r="L75" s="7">
        <f t="shared" si="15"/>
        <v>-22.414220374999999</v>
      </c>
      <c r="M75" s="2"/>
      <c r="N75" s="6">
        <f t="shared" si="16"/>
        <v>-0.22713074379901843</v>
      </c>
      <c r="O75" s="11"/>
      <c r="P75" s="7">
        <v>661.04</v>
      </c>
      <c r="Q75" s="2"/>
      <c r="R75" s="6">
        <f t="shared" si="17"/>
        <v>3.2704381207618479E-4</v>
      </c>
      <c r="S75" s="2"/>
      <c r="T75" s="7">
        <v>586.58651512500001</v>
      </c>
      <c r="U75" s="2"/>
      <c r="V75" s="6">
        <f t="shared" si="18"/>
        <v>2.9489633257091135E-4</v>
      </c>
      <c r="W75" s="2"/>
      <c r="X75" s="7">
        <f t="shared" si="19"/>
        <v>74.453484874999958</v>
      </c>
      <c r="Y75" s="2"/>
      <c r="Z75" s="6">
        <f t="shared" si="20"/>
        <v>0.12692669019016592</v>
      </c>
    </row>
    <row r="76" spans="1:26" s="24" customFormat="1" hidden="1" outlineLevel="2" x14ac:dyDescent="0.25">
      <c r="A76" s="25"/>
      <c r="B76" s="11" t="str">
        <f>CONCATENATE("          ", "6115", " - ", "P.E.R.S.")</f>
        <v xml:space="preserve">          6115 - P.E.R.S.</v>
      </c>
      <c r="C76" s="11"/>
      <c r="D76" s="7">
        <v>1166.51</v>
      </c>
      <c r="E76" s="2"/>
      <c r="F76" s="6">
        <f t="shared" si="13"/>
        <v>4.3212114728310921E-3</v>
      </c>
      <c r="G76" s="2"/>
      <c r="H76" s="7">
        <v>977.54883124999992</v>
      </c>
      <c r="I76" s="2"/>
      <c r="J76" s="6">
        <f t="shared" si="14"/>
        <v>3.8891100489542108E-3</v>
      </c>
      <c r="K76" s="2"/>
      <c r="L76" s="7">
        <f t="shared" si="15"/>
        <v>188.96116875000007</v>
      </c>
      <c r="M76" s="2"/>
      <c r="N76" s="6">
        <f t="shared" si="16"/>
        <v>0.19330100216924595</v>
      </c>
      <c r="O76" s="11"/>
      <c r="P76" s="7">
        <v>7541.4</v>
      </c>
      <c r="Q76" s="2"/>
      <c r="R76" s="6">
        <f t="shared" si="17"/>
        <v>3.7310423036296444E-3</v>
      </c>
      <c r="S76" s="2"/>
      <c r="T76" s="7">
        <v>6060.8027537499993</v>
      </c>
      <c r="U76" s="2"/>
      <c r="V76" s="6">
        <f t="shared" si="18"/>
        <v>3.0469648695140641E-3</v>
      </c>
      <c r="W76" s="2"/>
      <c r="X76" s="7">
        <f t="shared" si="19"/>
        <v>1480.5972462500004</v>
      </c>
      <c r="Y76" s="2"/>
      <c r="Z76" s="6">
        <f t="shared" si="20"/>
        <v>0.24429061733347299</v>
      </c>
    </row>
    <row r="77" spans="1:26" s="24" customFormat="1" hidden="1" outlineLevel="2" x14ac:dyDescent="0.25">
      <c r="A77" s="25"/>
      <c r="B77" s="11" t="str">
        <f>CONCATENATE("          ", "6116", " - ", "EDUCATIONAL BENEFITS")</f>
        <v xml:space="preserve">          6116 - EDUCATIONAL BENEFITS</v>
      </c>
      <c r="C77" s="11"/>
      <c r="D77" s="7"/>
      <c r="E77" s="2"/>
      <c r="F77" s="6">
        <f t="shared" si="13"/>
        <v>0</v>
      </c>
      <c r="G77" s="2"/>
      <c r="H77" s="7">
        <v>0</v>
      </c>
      <c r="I77" s="2"/>
      <c r="J77" s="6">
        <f t="shared" si="14"/>
        <v>0</v>
      </c>
      <c r="K77" s="2"/>
      <c r="L77" s="7">
        <f t="shared" si="15"/>
        <v>0</v>
      </c>
      <c r="M77" s="2"/>
      <c r="N77" s="6">
        <f t="shared" si="16"/>
        <v>0</v>
      </c>
      <c r="O77" s="11"/>
      <c r="P77" s="7"/>
      <c r="Q77" s="2"/>
      <c r="R77" s="6">
        <f t="shared" si="17"/>
        <v>0</v>
      </c>
      <c r="S77" s="2"/>
      <c r="T77" s="7">
        <v>0</v>
      </c>
      <c r="U77" s="2"/>
      <c r="V77" s="6">
        <f t="shared" si="18"/>
        <v>0</v>
      </c>
      <c r="W77" s="2"/>
      <c r="X77" s="7">
        <f t="shared" si="19"/>
        <v>0</v>
      </c>
      <c r="Y77" s="2"/>
      <c r="Z77" s="6">
        <f t="shared" si="20"/>
        <v>0</v>
      </c>
    </row>
    <row r="78" spans="1:26" s="24" customFormat="1" hidden="1" outlineLevel="2" x14ac:dyDescent="0.25">
      <c r="A78" s="25"/>
      <c r="B78" s="11" t="str">
        <f>CONCATENATE("          ", "6118", " - ", "VACATION")</f>
        <v xml:space="preserve">          6118 - VACATION</v>
      </c>
      <c r="C78" s="11"/>
      <c r="D78" s="7">
        <v>711.04</v>
      </c>
      <c r="E78" s="2"/>
      <c r="F78" s="6">
        <f t="shared" si="13"/>
        <v>2.6339715953072156E-3</v>
      </c>
      <c r="G78" s="2"/>
      <c r="H78" s="7">
        <v>341.00540625000019</v>
      </c>
      <c r="I78" s="2"/>
      <c r="J78" s="6">
        <f t="shared" si="14"/>
        <v>1.3566662961468185E-3</v>
      </c>
      <c r="K78" s="2"/>
      <c r="L78" s="7">
        <f t="shared" si="15"/>
        <v>370.03459374999977</v>
      </c>
      <c r="M78" s="2"/>
      <c r="N78" s="6">
        <f t="shared" si="16"/>
        <v>1.0851282324794509</v>
      </c>
      <c r="O78" s="11"/>
      <c r="P78" s="7">
        <v>6532.93</v>
      </c>
      <c r="Q78" s="2"/>
      <c r="R78" s="6">
        <f t="shared" si="17"/>
        <v>3.2321105095408299E-3</v>
      </c>
      <c r="S78" s="2"/>
      <c r="T78" s="7">
        <v>2114.2335187500003</v>
      </c>
      <c r="U78" s="2"/>
      <c r="V78" s="6">
        <f t="shared" si="18"/>
        <v>1.062894721923511E-3</v>
      </c>
      <c r="W78" s="2"/>
      <c r="X78" s="7">
        <f t="shared" si="19"/>
        <v>4418.69648125</v>
      </c>
      <c r="Y78" s="2"/>
      <c r="Z78" s="6">
        <f t="shared" si="20"/>
        <v>2.0899756067922284</v>
      </c>
    </row>
    <row r="79" spans="1:26" s="24" customFormat="1" hidden="1" outlineLevel="2" x14ac:dyDescent="0.25">
      <c r="A79" s="25"/>
      <c r="B79" s="11" t="str">
        <f>CONCATENATE("          ", "6119", " - ", "SICK LEAVE")</f>
        <v xml:space="preserve">          6119 - SICK LEAVE</v>
      </c>
      <c r="C79" s="11"/>
      <c r="D79" s="7">
        <v>472.07</v>
      </c>
      <c r="E79" s="2"/>
      <c r="F79" s="6">
        <f t="shared" si="13"/>
        <v>1.7487328012442019E-3</v>
      </c>
      <c r="G79" s="2"/>
      <c r="H79" s="7">
        <v>493.22316249999994</v>
      </c>
      <c r="I79" s="2"/>
      <c r="J79" s="6">
        <f t="shared" si="14"/>
        <v>1.9622540545651394E-3</v>
      </c>
      <c r="K79" s="2"/>
      <c r="L79" s="7">
        <f t="shared" si="15"/>
        <v>-21.153162499999951</v>
      </c>
      <c r="M79" s="2"/>
      <c r="N79" s="6">
        <f t="shared" si="16"/>
        <v>-4.2887609723722075E-2</v>
      </c>
      <c r="O79" s="11"/>
      <c r="P79" s="7">
        <v>5054.63</v>
      </c>
      <c r="Q79" s="2"/>
      <c r="R79" s="6">
        <f t="shared" si="17"/>
        <v>2.5007343940376468E-3</v>
      </c>
      <c r="S79" s="2"/>
      <c r="T79" s="7">
        <v>2960.8464875</v>
      </c>
      <c r="U79" s="2"/>
      <c r="V79" s="6">
        <f t="shared" si="18"/>
        <v>1.4885149043754448E-3</v>
      </c>
      <c r="W79" s="2"/>
      <c r="X79" s="7">
        <f t="shared" si="19"/>
        <v>2093.7835125000001</v>
      </c>
      <c r="Y79" s="2"/>
      <c r="Z79" s="6">
        <f t="shared" si="20"/>
        <v>0.70715706516344679</v>
      </c>
    </row>
    <row r="80" spans="1:26" s="24" customFormat="1" hidden="1" outlineLevel="2" x14ac:dyDescent="0.25">
      <c r="A80" s="25"/>
      <c r="B80" s="11" t="str">
        <f>CONCATENATE("          ", "6156", " - ", "EMPLOYEE MEALS")</f>
        <v xml:space="preserve">          6156 - EMPLOYEE MEALS</v>
      </c>
      <c r="C80" s="11"/>
      <c r="D80" s="7">
        <v>327.60000000000002</v>
      </c>
      <c r="E80" s="2"/>
      <c r="F80" s="6">
        <f t="shared" si="13"/>
        <v>1.2135591452276156E-3</v>
      </c>
      <c r="G80" s="2"/>
      <c r="H80" s="7"/>
      <c r="I80" s="2"/>
      <c r="J80" s="6">
        <f t="shared" si="14"/>
        <v>0</v>
      </c>
      <c r="K80" s="2"/>
      <c r="L80" s="7">
        <f t="shared" si="15"/>
        <v>327.60000000000002</v>
      </c>
      <c r="M80" s="2"/>
      <c r="N80" s="6">
        <f t="shared" si="16"/>
        <v>0</v>
      </c>
      <c r="O80" s="11"/>
      <c r="P80" s="7">
        <v>1742.26</v>
      </c>
      <c r="Q80" s="2"/>
      <c r="R80" s="6">
        <f t="shared" si="17"/>
        <v>8.6196803828490526E-4</v>
      </c>
      <c r="S80" s="2"/>
      <c r="T80" s="7"/>
      <c r="U80" s="2"/>
      <c r="V80" s="6">
        <f t="shared" si="18"/>
        <v>0</v>
      </c>
      <c r="W80" s="2"/>
      <c r="X80" s="7">
        <f t="shared" si="19"/>
        <v>1742.26</v>
      </c>
      <c r="Y80" s="2"/>
      <c r="Z80" s="6">
        <f t="shared" si="20"/>
        <v>0</v>
      </c>
    </row>
    <row r="81" spans="1:26" s="27" customFormat="1" outlineLevel="1" collapsed="1" x14ac:dyDescent="0.25">
      <c r="A81" s="26"/>
      <c r="B81" s="13" t="str">
        <f>CONCATENATE("     ","*Payroll                                          ")</f>
        <v xml:space="preserve">     *Payroll                                          </v>
      </c>
      <c r="C81" s="13"/>
      <c r="D81" s="1">
        <f>SUM(OSRRefD22_1x_0)</f>
        <v>37309.450000000004</v>
      </c>
      <c r="E81" s="1"/>
      <c r="F81" s="5">
        <f t="shared" ref="F81:F91" si="21">IF(D$12=0,0,D81/D$12)</f>
        <v>0.13820886523477555</v>
      </c>
      <c r="G81" s="1"/>
      <c r="H81" s="1">
        <f>SUM(OSRRefH22_1x_0)</f>
        <v>37387.127031249998</v>
      </c>
      <c r="I81" s="1"/>
      <c r="J81" s="5">
        <f t="shared" ref="J81:J91" si="22">IF(H$12=0,0,H81/H$12)</f>
        <v>0.14874208509137532</v>
      </c>
      <c r="K81" s="1"/>
      <c r="L81" s="1">
        <f t="shared" ref="L81:L91" si="23">+D81-H81</f>
        <v>-77.677031249993888</v>
      </c>
      <c r="M81" s="1"/>
      <c r="N81" s="5">
        <f t="shared" ref="N81:N91" si="24">IF(H81=0,0,L81/H81)</f>
        <v>-2.0776410871332159E-3</v>
      </c>
      <c r="O81" s="13"/>
      <c r="P81" s="1">
        <f>SUM(OSRRefP22_1x_0)</f>
        <v>250285.05999999997</v>
      </c>
      <c r="Q81" s="1"/>
      <c r="R81" s="5">
        <f t="shared" ref="R81:R91" si="25">IF(P$12=0,0,P81/P$12)</f>
        <v>0.12382636471033014</v>
      </c>
      <c r="S81" s="1"/>
      <c r="T81" s="1">
        <f>SUM(OSRRefT22_1x_0)</f>
        <v>222086.47559375002</v>
      </c>
      <c r="U81" s="1"/>
      <c r="V81" s="5">
        <f t="shared" ref="V81:V91" si="26">IF(T$12=0,0,T81/T$12)</f>
        <v>0.1116501751702216</v>
      </c>
      <c r="W81" s="1"/>
      <c r="X81" s="1">
        <f t="shared" ref="X81:X91" si="27">+P81-T81</f>
        <v>28198.584406249953</v>
      </c>
      <c r="Y81" s="1"/>
      <c r="Z81" s="5">
        <f t="shared" ref="Z81:Z91" si="28">IF(T81=0,0,X81/T81)</f>
        <v>0.12697119142829749</v>
      </c>
    </row>
    <row r="82" spans="1:26" s="24" customFormat="1" hidden="1" outlineLevel="2" x14ac:dyDescent="0.25">
      <c r="A82" s="25"/>
      <c r="B82" s="11" t="str">
        <f>CONCATENATE("          ", "6001", " - ", "ADMINISTRATIVE SALARIES")</f>
        <v xml:space="preserve">          6001 - ADMINISTRATIVE SALARIES</v>
      </c>
      <c r="C82" s="11"/>
      <c r="D82" s="7"/>
      <c r="E82" s="2"/>
      <c r="F82" s="6">
        <f t="shared" si="21"/>
        <v>0</v>
      </c>
      <c r="G82" s="2"/>
      <c r="H82" s="7">
        <v>0</v>
      </c>
      <c r="I82" s="2"/>
      <c r="J82" s="6">
        <f t="shared" si="22"/>
        <v>0</v>
      </c>
      <c r="K82" s="2"/>
      <c r="L82" s="7">
        <f t="shared" si="23"/>
        <v>0</v>
      </c>
      <c r="M82" s="2"/>
      <c r="N82" s="6">
        <f t="shared" si="24"/>
        <v>0</v>
      </c>
      <c r="O82" s="11"/>
      <c r="P82" s="7"/>
      <c r="Q82" s="2"/>
      <c r="R82" s="6">
        <f t="shared" si="25"/>
        <v>0</v>
      </c>
      <c r="S82" s="2"/>
      <c r="T82" s="7">
        <v>0</v>
      </c>
      <c r="U82" s="2"/>
      <c r="V82" s="6">
        <f t="shared" si="26"/>
        <v>0</v>
      </c>
      <c r="W82" s="2"/>
      <c r="X82" s="7">
        <f t="shared" si="27"/>
        <v>0</v>
      </c>
      <c r="Y82" s="2"/>
      <c r="Z82" s="6">
        <f t="shared" si="28"/>
        <v>0</v>
      </c>
    </row>
    <row r="83" spans="1:26" s="24" customFormat="1" hidden="1" outlineLevel="2" x14ac:dyDescent="0.25">
      <c r="A83" s="25"/>
      <c r="B83" s="11" t="str">
        <f>CONCATENATE("          ", "6002", " - ", "STAFF SALARIES")</f>
        <v xml:space="preserve">          6002 - STAFF SALARIES</v>
      </c>
      <c r="C83" s="11"/>
      <c r="D83" s="7">
        <v>9004.3700000000008</v>
      </c>
      <c r="E83" s="2"/>
      <c r="F83" s="6">
        <f t="shared" si="21"/>
        <v>3.3355725154191655E-2</v>
      </c>
      <c r="G83" s="2"/>
      <c r="H83" s="7">
        <v>10798.504531250001</v>
      </c>
      <c r="I83" s="2"/>
      <c r="J83" s="6">
        <f t="shared" si="22"/>
        <v>4.2961099377982565E-2</v>
      </c>
      <c r="K83" s="2"/>
      <c r="L83" s="7">
        <f t="shared" si="23"/>
        <v>-1794.1345312499998</v>
      </c>
      <c r="M83" s="2"/>
      <c r="N83" s="6">
        <f t="shared" si="24"/>
        <v>-0.16614657391288945</v>
      </c>
      <c r="O83" s="11"/>
      <c r="P83" s="7">
        <v>70808.509999999995</v>
      </c>
      <c r="Q83" s="2"/>
      <c r="R83" s="6">
        <f t="shared" si="25"/>
        <v>3.5031896765452396E-2</v>
      </c>
      <c r="S83" s="2"/>
      <c r="T83" s="7">
        <v>66950.728093750004</v>
      </c>
      <c r="U83" s="2"/>
      <c r="V83" s="6">
        <f t="shared" si="26"/>
        <v>3.3658332860911175E-2</v>
      </c>
      <c r="W83" s="2"/>
      <c r="X83" s="7">
        <f t="shared" si="27"/>
        <v>3857.7819062499912</v>
      </c>
      <c r="Y83" s="2"/>
      <c r="Z83" s="6">
        <f t="shared" si="28"/>
        <v>5.7621209150227649E-2</v>
      </c>
    </row>
    <row r="84" spans="1:26" s="24" customFormat="1" hidden="1" outlineLevel="2" x14ac:dyDescent="0.25">
      <c r="A84" s="25"/>
      <c r="B84" s="11" t="str">
        <f>CONCATENATE("          ", "6003", " - ", "STAFF HOURLY-9 MONTH")</f>
        <v xml:space="preserve">          6003 - STAFF HOURLY-9 MONTH</v>
      </c>
      <c r="C84" s="11"/>
      <c r="D84" s="7"/>
      <c r="E84" s="2"/>
      <c r="F84" s="6">
        <f t="shared" si="21"/>
        <v>0</v>
      </c>
      <c r="G84" s="2"/>
      <c r="H84" s="7">
        <v>0</v>
      </c>
      <c r="I84" s="2"/>
      <c r="J84" s="6">
        <f t="shared" si="22"/>
        <v>0</v>
      </c>
      <c r="K84" s="2"/>
      <c r="L84" s="7">
        <f t="shared" si="23"/>
        <v>0</v>
      </c>
      <c r="M84" s="2"/>
      <c r="N84" s="6">
        <f t="shared" si="24"/>
        <v>0</v>
      </c>
      <c r="O84" s="11"/>
      <c r="P84" s="7"/>
      <c r="Q84" s="2"/>
      <c r="R84" s="6">
        <f t="shared" si="25"/>
        <v>0</v>
      </c>
      <c r="S84" s="2"/>
      <c r="T84" s="7">
        <v>0</v>
      </c>
      <c r="U84" s="2"/>
      <c r="V84" s="6">
        <f t="shared" si="26"/>
        <v>0</v>
      </c>
      <c r="W84" s="2"/>
      <c r="X84" s="7">
        <f t="shared" si="27"/>
        <v>0</v>
      </c>
      <c r="Y84" s="2"/>
      <c r="Z84" s="6">
        <f t="shared" si="28"/>
        <v>0</v>
      </c>
    </row>
    <row r="85" spans="1:26" s="24" customFormat="1" hidden="1" outlineLevel="2" x14ac:dyDescent="0.25">
      <c r="A85" s="25"/>
      <c r="B85" s="11" t="str">
        <f>CONCATENATE("          ", "6004", " - ", "STAFF HOURLY")</f>
        <v xml:space="preserve">          6004 - STAFF HOURLY</v>
      </c>
      <c r="C85" s="11"/>
      <c r="D85" s="7">
        <v>1557</v>
      </c>
      <c r="E85" s="2"/>
      <c r="F85" s="6">
        <f t="shared" si="21"/>
        <v>5.767739893526855E-3</v>
      </c>
      <c r="G85" s="2"/>
      <c r="H85" s="7">
        <v>4667.1875</v>
      </c>
      <c r="I85" s="2"/>
      <c r="J85" s="6">
        <f t="shared" si="22"/>
        <v>1.8568080924810049E-2</v>
      </c>
      <c r="K85" s="2"/>
      <c r="L85" s="7">
        <f t="shared" si="23"/>
        <v>-3110.1875</v>
      </c>
      <c r="M85" s="2"/>
      <c r="N85" s="6">
        <f t="shared" si="24"/>
        <v>-0.66639437562772008</v>
      </c>
      <c r="O85" s="11"/>
      <c r="P85" s="7">
        <v>644.39</v>
      </c>
      <c r="Q85" s="2"/>
      <c r="R85" s="6">
        <f t="shared" si="25"/>
        <v>3.1880636884874249E-4</v>
      </c>
      <c r="S85" s="2"/>
      <c r="T85" s="7">
        <v>28936.5625</v>
      </c>
      <c r="U85" s="2"/>
      <c r="V85" s="6">
        <f t="shared" si="26"/>
        <v>1.4547361622591242E-2</v>
      </c>
      <c r="W85" s="2"/>
      <c r="X85" s="7">
        <f t="shared" si="27"/>
        <v>-28292.172500000001</v>
      </c>
      <c r="Y85" s="2"/>
      <c r="Z85" s="6">
        <f t="shared" si="28"/>
        <v>-0.97773094160717955</v>
      </c>
    </row>
    <row r="86" spans="1:26" s="24" customFormat="1" hidden="1" outlineLevel="2" x14ac:dyDescent="0.25">
      <c r="A86" s="25"/>
      <c r="B86" s="11" t="str">
        <f>CONCATENATE("          ", "6005", " - ", "TEMPORARY WAGES-HOURLY")</f>
        <v xml:space="preserve">          6005 - TEMPORARY WAGES-HOURLY</v>
      </c>
      <c r="C86" s="11"/>
      <c r="D86" s="7">
        <v>4418.8900000000003</v>
      </c>
      <c r="E86" s="2"/>
      <c r="F86" s="6">
        <f t="shared" si="21"/>
        <v>1.6369305162560618E-2</v>
      </c>
      <c r="G86" s="2"/>
      <c r="H86" s="7">
        <v>0</v>
      </c>
      <c r="I86" s="2"/>
      <c r="J86" s="6">
        <f t="shared" si="22"/>
        <v>0</v>
      </c>
      <c r="K86" s="2"/>
      <c r="L86" s="7">
        <f t="shared" si="23"/>
        <v>4418.8900000000003</v>
      </c>
      <c r="M86" s="2"/>
      <c r="N86" s="6">
        <f t="shared" si="24"/>
        <v>0</v>
      </c>
      <c r="O86" s="11"/>
      <c r="P86" s="7">
        <v>30609.09</v>
      </c>
      <c r="Q86" s="2"/>
      <c r="R86" s="6">
        <f t="shared" si="25"/>
        <v>1.5143582049169532E-2</v>
      </c>
      <c r="S86" s="2"/>
      <c r="T86" s="7">
        <v>0</v>
      </c>
      <c r="U86" s="2"/>
      <c r="V86" s="6">
        <f t="shared" si="26"/>
        <v>0</v>
      </c>
      <c r="W86" s="2"/>
      <c r="X86" s="7">
        <f t="shared" si="27"/>
        <v>30609.09</v>
      </c>
      <c r="Y86" s="2"/>
      <c r="Z86" s="6">
        <f t="shared" si="28"/>
        <v>0</v>
      </c>
    </row>
    <row r="87" spans="1:26" s="24" customFormat="1" hidden="1" outlineLevel="2" x14ac:dyDescent="0.25">
      <c r="A87" s="25"/>
      <c r="B87" s="11" t="str">
        <f>CONCATENATE("          ", "6006", " - ", "TEMPORARY PART TIME")</f>
        <v xml:space="preserve">          6006 - TEMPORARY PART TIME</v>
      </c>
      <c r="C87" s="11"/>
      <c r="D87" s="7"/>
      <c r="E87" s="2"/>
      <c r="F87" s="6">
        <f t="shared" si="21"/>
        <v>0</v>
      </c>
      <c r="G87" s="2"/>
      <c r="H87" s="7">
        <v>0</v>
      </c>
      <c r="I87" s="2"/>
      <c r="J87" s="6">
        <f t="shared" si="22"/>
        <v>0</v>
      </c>
      <c r="K87" s="2"/>
      <c r="L87" s="7">
        <f t="shared" si="23"/>
        <v>0</v>
      </c>
      <c r="M87" s="2"/>
      <c r="N87" s="6">
        <f t="shared" si="24"/>
        <v>0</v>
      </c>
      <c r="O87" s="11"/>
      <c r="P87" s="7">
        <v>66.5</v>
      </c>
      <c r="Q87" s="2"/>
      <c r="R87" s="6">
        <f t="shared" si="25"/>
        <v>3.2900298776271166E-5</v>
      </c>
      <c r="S87" s="2"/>
      <c r="T87" s="7">
        <v>0</v>
      </c>
      <c r="U87" s="2"/>
      <c r="V87" s="6">
        <f t="shared" si="26"/>
        <v>0</v>
      </c>
      <c r="W87" s="2"/>
      <c r="X87" s="7">
        <f t="shared" si="27"/>
        <v>66.5</v>
      </c>
      <c r="Y87" s="2"/>
      <c r="Z87" s="6">
        <f t="shared" si="28"/>
        <v>0</v>
      </c>
    </row>
    <row r="88" spans="1:26" s="24" customFormat="1" hidden="1" outlineLevel="2" x14ac:dyDescent="0.25">
      <c r="A88" s="25"/>
      <c r="B88" s="11" t="str">
        <f>CONCATENATE("          ", "6007", " - ", "STUDENT HOURLY")</f>
        <v xml:space="preserve">          6007 - STUDENT HOURLY</v>
      </c>
      <c r="C88" s="11"/>
      <c r="D88" s="7">
        <v>22329.190000000002</v>
      </c>
      <c r="E88" s="2"/>
      <c r="F88" s="6">
        <f t="shared" si="21"/>
        <v>8.2716095024496422E-2</v>
      </c>
      <c r="G88" s="2"/>
      <c r="H88" s="7">
        <v>0</v>
      </c>
      <c r="I88" s="2"/>
      <c r="J88" s="6">
        <f t="shared" si="22"/>
        <v>0</v>
      </c>
      <c r="K88" s="2"/>
      <c r="L88" s="7">
        <f t="shared" si="23"/>
        <v>22329.190000000002</v>
      </c>
      <c r="M88" s="2"/>
      <c r="N88" s="6">
        <f t="shared" si="24"/>
        <v>0</v>
      </c>
      <c r="O88" s="11"/>
      <c r="P88" s="7">
        <v>147961.56999999998</v>
      </c>
      <c r="Q88" s="2"/>
      <c r="R88" s="6">
        <f t="shared" si="25"/>
        <v>7.3202704667761798E-2</v>
      </c>
      <c r="S88" s="2"/>
      <c r="T88" s="7">
        <v>35526.75</v>
      </c>
      <c r="U88" s="2"/>
      <c r="V88" s="6">
        <f t="shared" si="26"/>
        <v>1.7860465614234357E-2</v>
      </c>
      <c r="W88" s="2"/>
      <c r="X88" s="7">
        <f t="shared" si="27"/>
        <v>112434.81999999998</v>
      </c>
      <c r="Y88" s="2"/>
      <c r="Z88" s="6">
        <f t="shared" si="28"/>
        <v>3.1647932895634971</v>
      </c>
    </row>
    <row r="89" spans="1:26" s="24" customFormat="1" hidden="1" outlineLevel="2" x14ac:dyDescent="0.25">
      <c r="A89" s="25"/>
      <c r="B89" s="11" t="str">
        <f>CONCATENATE("          ", "6008", " - ", "STUDENT HOURLY-FICA EXEMPT")</f>
        <v xml:space="preserve">          6008 - STUDENT HOURLY-FICA EXEMPT</v>
      </c>
      <c r="C89" s="11"/>
      <c r="D89" s="7"/>
      <c r="E89" s="2"/>
      <c r="F89" s="6">
        <f t="shared" si="21"/>
        <v>0</v>
      </c>
      <c r="G89" s="2"/>
      <c r="H89" s="7">
        <v>21921.435000000001</v>
      </c>
      <c r="I89" s="2"/>
      <c r="J89" s="6">
        <f t="shared" si="22"/>
        <v>8.7212904788582707E-2</v>
      </c>
      <c r="K89" s="2"/>
      <c r="L89" s="7">
        <f t="shared" si="23"/>
        <v>-21921.435000000001</v>
      </c>
      <c r="M89" s="2"/>
      <c r="N89" s="6">
        <f t="shared" si="24"/>
        <v>-1</v>
      </c>
      <c r="O89" s="11"/>
      <c r="P89" s="7">
        <v>195</v>
      </c>
      <c r="Q89" s="2"/>
      <c r="R89" s="6">
        <f t="shared" si="25"/>
        <v>9.6474560321396647E-5</v>
      </c>
      <c r="S89" s="2"/>
      <c r="T89" s="7">
        <v>90672.434999999998</v>
      </c>
      <c r="U89" s="2"/>
      <c r="V89" s="6">
        <f t="shared" si="26"/>
        <v>4.5584015072484815E-2</v>
      </c>
      <c r="W89" s="2"/>
      <c r="X89" s="7">
        <f t="shared" si="27"/>
        <v>-90477.434999999998</v>
      </c>
      <c r="Y89" s="2"/>
      <c r="Z89" s="6">
        <f t="shared" si="28"/>
        <v>-0.99784940152980339</v>
      </c>
    </row>
    <row r="90" spans="1:26" s="24" customFormat="1" hidden="1" outlineLevel="2" x14ac:dyDescent="0.25">
      <c r="A90" s="25"/>
      <c r="B90" s="11" t="str">
        <f>CONCATENATE("          ", "6009", " - ", "TEMPORARY-SEASONAL")</f>
        <v xml:space="preserve">          6009 - TEMPORARY-SEASONAL</v>
      </c>
      <c r="C90" s="11"/>
      <c r="D90" s="7"/>
      <c r="E90" s="2"/>
      <c r="F90" s="6">
        <f t="shared" si="21"/>
        <v>0</v>
      </c>
      <c r="G90" s="2"/>
      <c r="H90" s="7">
        <v>0</v>
      </c>
      <c r="I90" s="2"/>
      <c r="J90" s="6">
        <f t="shared" si="22"/>
        <v>0</v>
      </c>
      <c r="K90" s="2"/>
      <c r="L90" s="7">
        <f t="shared" si="23"/>
        <v>0</v>
      </c>
      <c r="M90" s="2"/>
      <c r="N90" s="6">
        <f t="shared" si="24"/>
        <v>0</v>
      </c>
      <c r="O90" s="11"/>
      <c r="P90" s="7"/>
      <c r="Q90" s="2"/>
      <c r="R90" s="6">
        <f t="shared" si="25"/>
        <v>0</v>
      </c>
      <c r="S90" s="2"/>
      <c r="T90" s="7">
        <v>0</v>
      </c>
      <c r="U90" s="2"/>
      <c r="V90" s="6">
        <f t="shared" si="26"/>
        <v>0</v>
      </c>
      <c r="W90" s="2"/>
      <c r="X90" s="7">
        <f t="shared" si="27"/>
        <v>0</v>
      </c>
      <c r="Y90" s="2"/>
      <c r="Z90" s="6">
        <f t="shared" si="28"/>
        <v>0</v>
      </c>
    </row>
    <row r="91" spans="1:26" s="24" customFormat="1" hidden="1" outlineLevel="2" x14ac:dyDescent="0.25">
      <c r="A91" s="25"/>
      <c r="B91" s="11" t="str">
        <f>CONCATENATE("          ", "6010", " - ", "GRATUITY")</f>
        <v xml:space="preserve">          6010 - GRATUITY</v>
      </c>
      <c r="C91" s="11"/>
      <c r="D91" s="7"/>
      <c r="E91" s="2"/>
      <c r="F91" s="6">
        <f t="shared" si="21"/>
        <v>0</v>
      </c>
      <c r="G91" s="2"/>
      <c r="H91" s="7">
        <v>0</v>
      </c>
      <c r="I91" s="2"/>
      <c r="J91" s="6">
        <f t="shared" si="22"/>
        <v>0</v>
      </c>
      <c r="K91" s="2"/>
      <c r="L91" s="7">
        <f t="shared" si="23"/>
        <v>0</v>
      </c>
      <c r="M91" s="2"/>
      <c r="N91" s="6">
        <f t="shared" si="24"/>
        <v>0</v>
      </c>
      <c r="O91" s="11"/>
      <c r="P91" s="7"/>
      <c r="Q91" s="2"/>
      <c r="R91" s="6">
        <f t="shared" si="25"/>
        <v>0</v>
      </c>
      <c r="S91" s="2"/>
      <c r="T91" s="7">
        <v>0</v>
      </c>
      <c r="U91" s="2"/>
      <c r="V91" s="6">
        <f t="shared" si="26"/>
        <v>0</v>
      </c>
      <c r="W91" s="2"/>
      <c r="X91" s="7">
        <f t="shared" si="27"/>
        <v>0</v>
      </c>
      <c r="Y91" s="2"/>
      <c r="Z91" s="6">
        <f t="shared" si="28"/>
        <v>0</v>
      </c>
    </row>
    <row r="92" spans="1:26" s="27" customFormat="1" outlineLevel="1" collapsed="1" x14ac:dyDescent="0.25">
      <c r="A92" s="26"/>
      <c r="B92" s="13" t="str">
        <f>CONCATENATE("     ","Advertising/Promo                                 ")</f>
        <v xml:space="preserve">     Advertising/Promo                                 </v>
      </c>
      <c r="C92" s="13"/>
      <c r="D92" s="1">
        <f>SUM(OSRRefD22_2x_0)</f>
        <v>6142.97</v>
      </c>
      <c r="E92" s="1"/>
      <c r="F92" s="5">
        <f t="shared" ref="F92:F96" si="29">IF(D$12=0,0,D92/D$12)</f>
        <v>2.2755975037725539E-2</v>
      </c>
      <c r="G92" s="1"/>
      <c r="H92" s="1">
        <f>SUM(OSRRefH22_2x_0)</f>
        <v>1750</v>
      </c>
      <c r="I92" s="1"/>
      <c r="J92" s="5">
        <f t="shared" ref="J92:J96" si="30">IF(H$12=0,0,H92/H$12)</f>
        <v>6.962253309604035E-3</v>
      </c>
      <c r="K92" s="1"/>
      <c r="L92" s="1">
        <f t="shared" ref="L92:L96" si="31">+D92-H92</f>
        <v>4392.97</v>
      </c>
      <c r="M92" s="1"/>
      <c r="N92" s="5">
        <f t="shared" ref="N92:N96" si="32">IF(H92=0,0,L92/H92)</f>
        <v>2.5102685714285715</v>
      </c>
      <c r="O92" s="13"/>
      <c r="P92" s="1">
        <f>SUM(OSRRefP22_2x_0)</f>
        <v>19982.990000000002</v>
      </c>
      <c r="Q92" s="1"/>
      <c r="R92" s="5">
        <f t="shared" ref="R92:R96" si="33">IF(P$12=0,0,P92/P$12)</f>
        <v>9.8864111495223905E-3</v>
      </c>
      <c r="S92" s="1"/>
      <c r="T92" s="1">
        <f>SUM(OSRRefT22_2x_0)</f>
        <v>8250</v>
      </c>
      <c r="U92" s="1"/>
      <c r="V92" s="5">
        <f t="shared" ref="V92:V96" si="34">IF(T$12=0,0,T92/T$12)</f>
        <v>4.1475463226282577E-3</v>
      </c>
      <c r="W92" s="1"/>
      <c r="X92" s="1">
        <f t="shared" ref="X92:X96" si="35">+P92-T92</f>
        <v>11732.990000000002</v>
      </c>
      <c r="Y92" s="1"/>
      <c r="Z92" s="5">
        <f t="shared" ref="Z92:Z96" si="36">IF(T92=0,0,X92/T92)</f>
        <v>1.4221806060606061</v>
      </c>
    </row>
    <row r="93" spans="1:26" s="24" customFormat="1" hidden="1" outlineLevel="2" x14ac:dyDescent="0.25">
      <c r="A93" s="25"/>
      <c r="B93" s="11" t="str">
        <f>CONCATENATE("          ", "6362", " - ", "ADVERTISING EXPENSE")</f>
        <v xml:space="preserve">          6362 - ADVERTISING EXPENSE</v>
      </c>
      <c r="C93" s="11"/>
      <c r="D93" s="7">
        <v>6142.97</v>
      </c>
      <c r="E93" s="2"/>
      <c r="F93" s="6">
        <f t="shared" si="29"/>
        <v>2.2755975037725539E-2</v>
      </c>
      <c r="G93" s="2"/>
      <c r="H93" s="7">
        <v>1750</v>
      </c>
      <c r="I93" s="2"/>
      <c r="J93" s="6">
        <f t="shared" si="30"/>
        <v>6.962253309604035E-3</v>
      </c>
      <c r="K93" s="2"/>
      <c r="L93" s="7">
        <f t="shared" si="31"/>
        <v>4392.97</v>
      </c>
      <c r="M93" s="2"/>
      <c r="N93" s="6">
        <f t="shared" si="32"/>
        <v>2.5102685714285715</v>
      </c>
      <c r="O93" s="11"/>
      <c r="P93" s="7">
        <v>19982.990000000002</v>
      </c>
      <c r="Q93" s="2"/>
      <c r="R93" s="6">
        <f t="shared" si="33"/>
        <v>9.8864111495223905E-3</v>
      </c>
      <c r="S93" s="2"/>
      <c r="T93" s="7">
        <v>8250</v>
      </c>
      <c r="U93" s="2"/>
      <c r="V93" s="6">
        <f t="shared" si="34"/>
        <v>4.1475463226282577E-3</v>
      </c>
      <c r="W93" s="2"/>
      <c r="X93" s="7">
        <f t="shared" si="35"/>
        <v>11732.990000000002</v>
      </c>
      <c r="Y93" s="2"/>
      <c r="Z93" s="6">
        <f t="shared" si="36"/>
        <v>1.4221806060606061</v>
      </c>
    </row>
    <row r="94" spans="1:26" s="27" customFormat="1" outlineLevel="1" collapsed="1" x14ac:dyDescent="0.25">
      <c r="A94" s="26"/>
      <c r="B94" s="13" t="str">
        <f>CONCATENATE("     ","Bad Debts/Over/Short                              ")</f>
        <v xml:space="preserve">     Bad Debts/Over/Short                              </v>
      </c>
      <c r="C94" s="13"/>
      <c r="D94" s="1">
        <f>SUM(OSRRefD22_3x_0)</f>
        <v>-0.13</v>
      </c>
      <c r="E94" s="1"/>
      <c r="F94" s="5">
        <f t="shared" si="29"/>
        <v>-4.8157108937603797E-7</v>
      </c>
      <c r="G94" s="1"/>
      <c r="H94" s="1">
        <f>SUM(OSRRefH22_3x_0)</f>
        <v>10</v>
      </c>
      <c r="I94" s="1"/>
      <c r="J94" s="5">
        <f t="shared" si="30"/>
        <v>3.9784304626308774E-5</v>
      </c>
      <c r="K94" s="1"/>
      <c r="L94" s="1">
        <f t="shared" si="31"/>
        <v>-10.130000000000001</v>
      </c>
      <c r="M94" s="1"/>
      <c r="N94" s="5">
        <f t="shared" si="32"/>
        <v>-1.0130000000000001</v>
      </c>
      <c r="O94" s="13"/>
      <c r="P94" s="1">
        <f>SUM(OSRRefP22_3x_0)</f>
        <v>45.81</v>
      </c>
      <c r="Q94" s="1"/>
      <c r="R94" s="5">
        <f t="shared" si="33"/>
        <v>2.2664100555503491E-5</v>
      </c>
      <c r="S94" s="1"/>
      <c r="T94" s="1">
        <f>SUM(OSRRefT22_3x_0)</f>
        <v>70</v>
      </c>
      <c r="U94" s="1"/>
      <c r="V94" s="5">
        <f t="shared" si="34"/>
        <v>3.5191302131391278E-5</v>
      </c>
      <c r="W94" s="1"/>
      <c r="X94" s="1">
        <f t="shared" si="35"/>
        <v>-24.189999999999998</v>
      </c>
      <c r="Y94" s="1"/>
      <c r="Z94" s="5">
        <f t="shared" si="36"/>
        <v>-0.34557142857142853</v>
      </c>
    </row>
    <row r="95" spans="1:26" s="24" customFormat="1" hidden="1" outlineLevel="2" x14ac:dyDescent="0.25">
      <c r="A95" s="25"/>
      <c r="B95" s="11" t="str">
        <f>CONCATENATE("          ", "6272", " - ", "CASH (OVER/SHORT)")</f>
        <v xml:space="preserve">          6272 - CASH (OVER/SHORT)</v>
      </c>
      <c r="C95" s="11"/>
      <c r="D95" s="7">
        <v>-0.13</v>
      </c>
      <c r="E95" s="2"/>
      <c r="F95" s="6">
        <f t="shared" si="29"/>
        <v>-4.8157108937603797E-7</v>
      </c>
      <c r="G95" s="2"/>
      <c r="H95" s="7"/>
      <c r="I95" s="2"/>
      <c r="J95" s="6">
        <f t="shared" si="30"/>
        <v>0</v>
      </c>
      <c r="K95" s="2"/>
      <c r="L95" s="7">
        <f t="shared" si="31"/>
        <v>-0.13</v>
      </c>
      <c r="M95" s="2"/>
      <c r="N95" s="6">
        <f t="shared" si="32"/>
        <v>0</v>
      </c>
      <c r="O95" s="11"/>
      <c r="P95" s="7">
        <v>45.81</v>
      </c>
      <c r="Q95" s="2"/>
      <c r="R95" s="6">
        <f t="shared" si="33"/>
        <v>2.2664100555503491E-5</v>
      </c>
      <c r="S95" s="2"/>
      <c r="T95" s="7"/>
      <c r="U95" s="2"/>
      <c r="V95" s="6">
        <f t="shared" si="34"/>
        <v>0</v>
      </c>
      <c r="W95" s="2"/>
      <c r="X95" s="7">
        <f t="shared" si="35"/>
        <v>45.81</v>
      </c>
      <c r="Y95" s="2"/>
      <c r="Z95" s="6">
        <f t="shared" si="36"/>
        <v>0</v>
      </c>
    </row>
    <row r="96" spans="1:26" s="24" customFormat="1" hidden="1" outlineLevel="2" x14ac:dyDescent="0.25">
      <c r="A96" s="25"/>
      <c r="B96" s="11" t="str">
        <f>CONCATENATE("          ", "6342", " - ", "BAD DEBT")</f>
        <v xml:space="preserve">          6342 - BAD DEBT</v>
      </c>
      <c r="C96" s="11"/>
      <c r="D96" s="7"/>
      <c r="E96" s="2"/>
      <c r="F96" s="6">
        <f t="shared" si="29"/>
        <v>0</v>
      </c>
      <c r="G96" s="2"/>
      <c r="H96" s="7">
        <v>10</v>
      </c>
      <c r="I96" s="2"/>
      <c r="J96" s="6">
        <f t="shared" si="30"/>
        <v>3.9784304626308774E-5</v>
      </c>
      <c r="K96" s="2"/>
      <c r="L96" s="7">
        <f t="shared" si="31"/>
        <v>-10</v>
      </c>
      <c r="M96" s="2"/>
      <c r="N96" s="6">
        <f t="shared" si="32"/>
        <v>-1</v>
      </c>
      <c r="O96" s="11"/>
      <c r="P96" s="7"/>
      <c r="Q96" s="2"/>
      <c r="R96" s="6">
        <f t="shared" si="33"/>
        <v>0</v>
      </c>
      <c r="S96" s="2"/>
      <c r="T96" s="7">
        <v>70</v>
      </c>
      <c r="U96" s="2"/>
      <c r="V96" s="6">
        <f t="shared" si="34"/>
        <v>3.5191302131391278E-5</v>
      </c>
      <c r="W96" s="2"/>
      <c r="X96" s="7">
        <f t="shared" si="35"/>
        <v>-70</v>
      </c>
      <c r="Y96" s="2"/>
      <c r="Z96" s="6">
        <f t="shared" si="36"/>
        <v>-1</v>
      </c>
    </row>
    <row r="97" spans="1:26" s="27" customFormat="1" outlineLevel="1" collapsed="1" x14ac:dyDescent="0.25">
      <c r="A97" s="26"/>
      <c r="B97" s="13" t="str">
        <f>CONCATENATE("     ","Bank/card Fees                                    ")</f>
        <v xml:space="preserve">     Bank/card Fees                                    </v>
      </c>
      <c r="C97" s="13"/>
      <c r="D97" s="1">
        <f>SUM(OSRRefD22_4x_0)</f>
        <v>489.58</v>
      </c>
      <c r="E97" s="1"/>
      <c r="F97" s="5">
        <f t="shared" ref="F97:F101" si="37">IF(D$12=0,0,D97/D$12)</f>
        <v>1.8135967225901589E-3</v>
      </c>
      <c r="G97" s="1"/>
      <c r="H97" s="1">
        <f>SUM(OSRRefH22_4x_0)</f>
        <v>490</v>
      </c>
      <c r="I97" s="1"/>
      <c r="J97" s="5">
        <f t="shared" ref="J97:J101" si="38">IF(H$12=0,0,H97/H$12)</f>
        <v>1.94943092668913E-3</v>
      </c>
      <c r="K97" s="1"/>
      <c r="L97" s="1">
        <f t="shared" ref="L97:L101" si="39">+D97-H97</f>
        <v>-0.42000000000001592</v>
      </c>
      <c r="M97" s="1"/>
      <c r="N97" s="5">
        <f t="shared" ref="N97:N101" si="40">IF(H97=0,0,L97/H97)</f>
        <v>-8.5714285714288962E-4</v>
      </c>
      <c r="O97" s="13"/>
      <c r="P97" s="1">
        <f>SUM(OSRRefP22_4x_0)</f>
        <v>5174.05</v>
      </c>
      <c r="Q97" s="1"/>
      <c r="R97" s="5">
        <f t="shared" ref="R97:R101" si="41">IF(P$12=0,0,P97/P$12)</f>
        <v>2.5598164042611401E-3</v>
      </c>
      <c r="S97" s="1"/>
      <c r="T97" s="1">
        <f>SUM(OSRRefT22_4x_0)</f>
        <v>4985</v>
      </c>
      <c r="U97" s="1"/>
      <c r="V97" s="5">
        <f t="shared" ref="V97:V101" si="42">IF(T$12=0,0,T97/T$12)</f>
        <v>2.5061234446426502E-3</v>
      </c>
      <c r="W97" s="1"/>
      <c r="X97" s="1">
        <f t="shared" ref="X97:X101" si="43">+P97-T97</f>
        <v>189.05000000000018</v>
      </c>
      <c r="Y97" s="1"/>
      <c r="Z97" s="5">
        <f t="shared" ref="Z97:Z101" si="44">IF(T97=0,0,X97/T97)</f>
        <v>3.7923771313941861E-2</v>
      </c>
    </row>
    <row r="98" spans="1:26" s="24" customFormat="1" hidden="1" outlineLevel="2" x14ac:dyDescent="0.25">
      <c r="A98" s="25"/>
      <c r="B98" s="11" t="str">
        <f>CONCATENATE("          ", "6381", " - ", "BANK/CREDIT CARD FEES")</f>
        <v xml:space="preserve">          6381 - BANK/CREDIT CARD FEES</v>
      </c>
      <c r="C98" s="11"/>
      <c r="D98" s="7">
        <v>489.58</v>
      </c>
      <c r="E98" s="2"/>
      <c r="F98" s="6">
        <f t="shared" si="37"/>
        <v>1.8135967225901589E-3</v>
      </c>
      <c r="G98" s="2"/>
      <c r="H98" s="7">
        <v>490</v>
      </c>
      <c r="I98" s="2"/>
      <c r="J98" s="6">
        <f t="shared" si="38"/>
        <v>1.94943092668913E-3</v>
      </c>
      <c r="K98" s="2"/>
      <c r="L98" s="7">
        <f t="shared" si="39"/>
        <v>-0.42000000000001592</v>
      </c>
      <c r="M98" s="2"/>
      <c r="N98" s="6">
        <f t="shared" si="40"/>
        <v>-8.5714285714288962E-4</v>
      </c>
      <c r="O98" s="11"/>
      <c r="P98" s="7">
        <v>5174.05</v>
      </c>
      <c r="Q98" s="2"/>
      <c r="R98" s="6">
        <f t="shared" si="41"/>
        <v>2.5598164042611401E-3</v>
      </c>
      <c r="S98" s="2"/>
      <c r="T98" s="7">
        <v>4985</v>
      </c>
      <c r="U98" s="2"/>
      <c r="V98" s="6">
        <f t="shared" si="42"/>
        <v>2.5061234446426502E-3</v>
      </c>
      <c r="W98" s="2"/>
      <c r="X98" s="7">
        <f t="shared" si="43"/>
        <v>189.05000000000018</v>
      </c>
      <c r="Y98" s="2"/>
      <c r="Z98" s="6">
        <f t="shared" si="44"/>
        <v>3.7923771313941861E-2</v>
      </c>
    </row>
    <row r="99" spans="1:26" s="27" customFormat="1" outlineLevel="1" collapsed="1" x14ac:dyDescent="0.25">
      <c r="A99" s="26"/>
      <c r="B99" s="13" t="str">
        <f>CONCATENATE("     ","Discounts and Markdowns                           ")</f>
        <v xml:space="preserve">     Discounts and Markdowns                           </v>
      </c>
      <c r="C99" s="13"/>
      <c r="D99" s="1">
        <f>SUM(OSRRefD22_5x_0)</f>
        <v>31378.300000000003</v>
      </c>
      <c r="E99" s="1"/>
      <c r="F99" s="5">
        <f t="shared" si="37"/>
        <v>0.11623755472129334</v>
      </c>
      <c r="G99" s="1"/>
      <c r="H99" s="1">
        <f>SUM(OSRRefH22_5x_0)</f>
        <v>30000</v>
      </c>
      <c r="I99" s="1"/>
      <c r="J99" s="5">
        <f t="shared" si="38"/>
        <v>0.11935291387892633</v>
      </c>
      <c r="K99" s="1"/>
      <c r="L99" s="1">
        <f t="shared" si="39"/>
        <v>1378.3000000000029</v>
      </c>
      <c r="M99" s="1"/>
      <c r="N99" s="5">
        <f t="shared" si="40"/>
        <v>4.5943333333333433E-2</v>
      </c>
      <c r="O99" s="13"/>
      <c r="P99" s="1">
        <f>SUM(OSRRefP22_5x_0)</f>
        <v>210486.62</v>
      </c>
      <c r="Q99" s="1"/>
      <c r="R99" s="5">
        <f t="shared" si="41"/>
        <v>0.10413643137454817</v>
      </c>
      <c r="S99" s="1"/>
      <c r="T99" s="1">
        <f>SUM(OSRRefT22_5x_0)</f>
        <v>190000</v>
      </c>
      <c r="U99" s="1"/>
      <c r="V99" s="5">
        <f t="shared" si="42"/>
        <v>9.5519248642347759E-2</v>
      </c>
      <c r="W99" s="1"/>
      <c r="X99" s="1">
        <f t="shared" si="43"/>
        <v>20486.619999999995</v>
      </c>
      <c r="Y99" s="1"/>
      <c r="Z99" s="5">
        <f t="shared" si="44"/>
        <v>0.10782431578947366</v>
      </c>
    </row>
    <row r="100" spans="1:26" s="24" customFormat="1" hidden="1" outlineLevel="2" x14ac:dyDescent="0.25">
      <c r="A100" s="25"/>
      <c r="B100" s="11" t="str">
        <f>CONCATENATE("          ", "6382", " - ", "DISCOUNTS/MARK DOWNS")</f>
        <v xml:space="preserve">          6382 - DISCOUNTS/MARK DOWNS</v>
      </c>
      <c r="C100" s="11"/>
      <c r="D100" s="7">
        <v>31378.300000000003</v>
      </c>
      <c r="E100" s="2"/>
      <c r="F100" s="6">
        <f t="shared" si="37"/>
        <v>0.11623755472129334</v>
      </c>
      <c r="G100" s="2"/>
      <c r="H100" s="7">
        <v>30000</v>
      </c>
      <c r="I100" s="2"/>
      <c r="J100" s="6">
        <f t="shared" si="38"/>
        <v>0.11935291387892633</v>
      </c>
      <c r="K100" s="2"/>
      <c r="L100" s="7">
        <f t="shared" si="39"/>
        <v>1378.3000000000029</v>
      </c>
      <c r="M100" s="2"/>
      <c r="N100" s="6">
        <f t="shared" si="40"/>
        <v>4.5943333333333433E-2</v>
      </c>
      <c r="O100" s="11"/>
      <c r="P100" s="7">
        <v>210506.01</v>
      </c>
      <c r="Q100" s="2"/>
      <c r="R100" s="6">
        <f t="shared" si="41"/>
        <v>0.10414602440903348</v>
      </c>
      <c r="S100" s="2"/>
      <c r="T100" s="7">
        <v>190000</v>
      </c>
      <c r="U100" s="2"/>
      <c r="V100" s="6">
        <f t="shared" si="42"/>
        <v>9.5519248642347759E-2</v>
      </c>
      <c r="W100" s="2"/>
      <c r="X100" s="7">
        <f t="shared" si="43"/>
        <v>20506.010000000009</v>
      </c>
      <c r="Y100" s="2"/>
      <c r="Z100" s="6">
        <f t="shared" si="44"/>
        <v>0.10792636842105269</v>
      </c>
    </row>
    <row r="101" spans="1:26" s="24" customFormat="1" hidden="1" outlineLevel="2" x14ac:dyDescent="0.25">
      <c r="A101" s="25"/>
      <c r="B101" s="11" t="str">
        <f>CONCATENATE("          ", "9175", " - ", "EARNED DISCOUNTS")</f>
        <v xml:space="preserve">          9175 - EARNED DISCOUNTS</v>
      </c>
      <c r="C101" s="11"/>
      <c r="D101" s="7"/>
      <c r="E101" s="2"/>
      <c r="F101" s="6">
        <f t="shared" si="37"/>
        <v>0</v>
      </c>
      <c r="G101" s="2"/>
      <c r="H101" s="7"/>
      <c r="I101" s="2"/>
      <c r="J101" s="6">
        <f t="shared" si="38"/>
        <v>0</v>
      </c>
      <c r="K101" s="2"/>
      <c r="L101" s="7">
        <f t="shared" si="39"/>
        <v>0</v>
      </c>
      <c r="M101" s="2"/>
      <c r="N101" s="6">
        <f t="shared" si="40"/>
        <v>0</v>
      </c>
      <c r="O101" s="11"/>
      <c r="P101" s="7">
        <v>-19.39</v>
      </c>
      <c r="Q101" s="2"/>
      <c r="R101" s="6">
        <f t="shared" si="41"/>
        <v>-9.5930344852916969E-6</v>
      </c>
      <c r="S101" s="2"/>
      <c r="T101" s="7"/>
      <c r="U101" s="2"/>
      <c r="V101" s="6">
        <f t="shared" si="42"/>
        <v>0</v>
      </c>
      <c r="W101" s="2"/>
      <c r="X101" s="7">
        <f t="shared" si="43"/>
        <v>-19.39</v>
      </c>
      <c r="Y101" s="2"/>
      <c r="Z101" s="6">
        <f t="shared" si="44"/>
        <v>0</v>
      </c>
    </row>
    <row r="102" spans="1:26" s="27" customFormat="1" outlineLevel="1" collapsed="1" x14ac:dyDescent="0.25">
      <c r="A102" s="26"/>
      <c r="B102" s="13" t="str">
        <f>CONCATENATE("     ","Donations                                         ")</f>
        <v xml:space="preserve">     Donations                                         </v>
      </c>
      <c r="C102" s="13"/>
      <c r="D102" s="1">
        <f>SUM(OSRRefD22_6x_0)</f>
        <v>0</v>
      </c>
      <c r="E102" s="1"/>
      <c r="F102" s="5">
        <f t="shared" ref="F102:F108" si="45">IF(D$12=0,0,D102/D$12)</f>
        <v>0</v>
      </c>
      <c r="G102" s="1"/>
      <c r="H102" s="1">
        <f>SUM(OSRRefH22_6x_0)</f>
        <v>25</v>
      </c>
      <c r="I102" s="1"/>
      <c r="J102" s="5">
        <f t="shared" ref="J102:J108" si="46">IF(H$12=0,0,H102/H$12)</f>
        <v>9.9460761565771938E-5</v>
      </c>
      <c r="K102" s="1"/>
      <c r="L102" s="1">
        <f t="shared" ref="L102:L108" si="47">+D102-H102</f>
        <v>-25</v>
      </c>
      <c r="M102" s="1"/>
      <c r="N102" s="5">
        <f t="shared" ref="N102:N108" si="48">IF(H102=0,0,L102/H102)</f>
        <v>-1</v>
      </c>
      <c r="O102" s="13"/>
      <c r="P102" s="1">
        <f>SUM(OSRRefP22_6x_0)</f>
        <v>0</v>
      </c>
      <c r="Q102" s="1"/>
      <c r="R102" s="5">
        <f t="shared" ref="R102:R108" si="49">IF(P$12=0,0,P102/P$12)</f>
        <v>0</v>
      </c>
      <c r="S102" s="1"/>
      <c r="T102" s="1">
        <f>SUM(OSRRefT22_6x_0)</f>
        <v>250</v>
      </c>
      <c r="U102" s="1"/>
      <c r="V102" s="5">
        <f t="shared" ref="V102:V108" si="50">IF(T$12=0,0,T102/T$12)</f>
        <v>1.2568322189782598E-4</v>
      </c>
      <c r="W102" s="1"/>
      <c r="X102" s="1">
        <f t="shared" ref="X102:X108" si="51">+P102-T102</f>
        <v>-250</v>
      </c>
      <c r="Y102" s="1"/>
      <c r="Z102" s="5">
        <f t="shared" ref="Z102:Z108" si="52">IF(T102=0,0,X102/T102)</f>
        <v>-1</v>
      </c>
    </row>
    <row r="103" spans="1:26" s="24" customFormat="1" hidden="1" outlineLevel="2" x14ac:dyDescent="0.25">
      <c r="A103" s="25"/>
      <c r="B103" s="11" t="str">
        <f>CONCATENATE("          ", "6395", " - ", "DONATION-OFF CAMPUS")</f>
        <v xml:space="preserve">          6395 - DONATION-OFF CAMPUS</v>
      </c>
      <c r="C103" s="11"/>
      <c r="D103" s="7"/>
      <c r="E103" s="2"/>
      <c r="F103" s="6">
        <f t="shared" si="45"/>
        <v>0</v>
      </c>
      <c r="G103" s="2"/>
      <c r="H103" s="7">
        <v>25</v>
      </c>
      <c r="I103" s="2"/>
      <c r="J103" s="6">
        <f t="shared" si="46"/>
        <v>9.9460761565771938E-5</v>
      </c>
      <c r="K103" s="2"/>
      <c r="L103" s="7">
        <f t="shared" si="47"/>
        <v>-25</v>
      </c>
      <c r="M103" s="2"/>
      <c r="N103" s="6">
        <f t="shared" si="48"/>
        <v>-1</v>
      </c>
      <c r="O103" s="11"/>
      <c r="P103" s="7"/>
      <c r="Q103" s="2"/>
      <c r="R103" s="6">
        <f t="shared" si="49"/>
        <v>0</v>
      </c>
      <c r="S103" s="2"/>
      <c r="T103" s="7">
        <v>250</v>
      </c>
      <c r="U103" s="2"/>
      <c r="V103" s="6">
        <f t="shared" si="50"/>
        <v>1.2568322189782598E-4</v>
      </c>
      <c r="W103" s="2"/>
      <c r="X103" s="7">
        <f t="shared" si="51"/>
        <v>-250</v>
      </c>
      <c r="Y103" s="2"/>
      <c r="Z103" s="6">
        <f t="shared" si="52"/>
        <v>-1</v>
      </c>
    </row>
    <row r="104" spans="1:26" s="27" customFormat="1" outlineLevel="1" collapsed="1" x14ac:dyDescent="0.25">
      <c r="A104" s="26"/>
      <c r="B104" s="13" t="str">
        <f>CONCATENATE("     ","Employees' Appreciation                           ")</f>
        <v xml:space="preserve">     Employees' Appreciation                           </v>
      </c>
      <c r="C104" s="13"/>
      <c r="D104" s="1">
        <f>SUM(OSRRefD22_7x_0)</f>
        <v>0</v>
      </c>
      <c r="E104" s="1"/>
      <c r="F104" s="5">
        <f t="shared" si="45"/>
        <v>0</v>
      </c>
      <c r="G104" s="1"/>
      <c r="H104" s="1">
        <f>SUM(OSRRefH22_7x_0)</f>
        <v>300</v>
      </c>
      <c r="I104" s="1"/>
      <c r="J104" s="5">
        <f t="shared" si="46"/>
        <v>1.1935291387892631E-3</v>
      </c>
      <c r="K104" s="1"/>
      <c r="L104" s="1">
        <f t="shared" si="47"/>
        <v>-300</v>
      </c>
      <c r="M104" s="1"/>
      <c r="N104" s="5">
        <f t="shared" si="48"/>
        <v>-1</v>
      </c>
      <c r="O104" s="13"/>
      <c r="P104" s="1">
        <f>SUM(OSRRefP22_7x_0)</f>
        <v>330.41</v>
      </c>
      <c r="Q104" s="1"/>
      <c r="R104" s="5">
        <f t="shared" si="49"/>
        <v>1.6346748449124444E-4</v>
      </c>
      <c r="S104" s="1"/>
      <c r="T104" s="1">
        <f>SUM(OSRRefT22_7x_0)</f>
        <v>1575</v>
      </c>
      <c r="U104" s="1"/>
      <c r="V104" s="5">
        <f t="shared" si="50"/>
        <v>7.9180429795630374E-4</v>
      </c>
      <c r="W104" s="1"/>
      <c r="X104" s="1">
        <f t="shared" si="51"/>
        <v>-1244.5899999999999</v>
      </c>
      <c r="Y104" s="1"/>
      <c r="Z104" s="5">
        <f t="shared" si="52"/>
        <v>-0.79021587301587293</v>
      </c>
    </row>
    <row r="105" spans="1:26" s="24" customFormat="1" hidden="1" outlineLevel="2" x14ac:dyDescent="0.25">
      <c r="A105" s="25"/>
      <c r="B105" s="11" t="str">
        <f>CONCATENATE("          ", "6277", " - ", "EMPLOYEE APPRECIATION")</f>
        <v xml:space="preserve">          6277 - EMPLOYEE APPRECIATION</v>
      </c>
      <c r="C105" s="11"/>
      <c r="D105" s="7"/>
      <c r="E105" s="2"/>
      <c r="F105" s="6">
        <f t="shared" si="45"/>
        <v>0</v>
      </c>
      <c r="G105" s="2"/>
      <c r="H105" s="7">
        <v>300</v>
      </c>
      <c r="I105" s="2"/>
      <c r="J105" s="6">
        <f t="shared" si="46"/>
        <v>1.1935291387892631E-3</v>
      </c>
      <c r="K105" s="2"/>
      <c r="L105" s="7">
        <f t="shared" si="47"/>
        <v>-300</v>
      </c>
      <c r="M105" s="2"/>
      <c r="N105" s="6">
        <f t="shared" si="48"/>
        <v>-1</v>
      </c>
      <c r="O105" s="11"/>
      <c r="P105" s="7">
        <v>330.41</v>
      </c>
      <c r="Q105" s="2"/>
      <c r="R105" s="6">
        <f t="shared" si="49"/>
        <v>1.6346748449124444E-4</v>
      </c>
      <c r="S105" s="2"/>
      <c r="T105" s="7">
        <v>1575</v>
      </c>
      <c r="U105" s="2"/>
      <c r="V105" s="6">
        <f t="shared" si="50"/>
        <v>7.9180429795630374E-4</v>
      </c>
      <c r="W105" s="2"/>
      <c r="X105" s="7">
        <f t="shared" si="51"/>
        <v>-1244.5899999999999</v>
      </c>
      <c r="Y105" s="2"/>
      <c r="Z105" s="6">
        <f t="shared" si="52"/>
        <v>-0.79021587301587293</v>
      </c>
    </row>
    <row r="106" spans="1:26" s="27" customFormat="1" outlineLevel="1" collapsed="1" x14ac:dyDescent="0.25">
      <c r="A106" s="26"/>
      <c r="B106" s="13" t="str">
        <f>CONCATENATE("     ","Freight out/Postage                               ")</f>
        <v xml:space="preserve">     Freight out/Postage                               </v>
      </c>
      <c r="C106" s="13"/>
      <c r="D106" s="1">
        <f>SUM(OSRRefD22_8x_0)</f>
        <v>10.68</v>
      </c>
      <c r="E106" s="1"/>
      <c r="F106" s="5">
        <f t="shared" si="45"/>
        <v>3.9562917188739114E-5</v>
      </c>
      <c r="G106" s="1"/>
      <c r="H106" s="1">
        <f>SUM(OSRRefH22_8x_0)</f>
        <v>50</v>
      </c>
      <c r="I106" s="1"/>
      <c r="J106" s="5">
        <f t="shared" si="46"/>
        <v>1.9892152313154388E-4</v>
      </c>
      <c r="K106" s="1"/>
      <c r="L106" s="1">
        <f t="shared" si="47"/>
        <v>-39.32</v>
      </c>
      <c r="M106" s="1"/>
      <c r="N106" s="5">
        <f t="shared" si="48"/>
        <v>-0.78639999999999999</v>
      </c>
      <c r="O106" s="13"/>
      <c r="P106" s="1">
        <f>SUM(OSRRefP22_8x_0)</f>
        <v>81.180000000000007</v>
      </c>
      <c r="Q106" s="1"/>
      <c r="R106" s="5">
        <f t="shared" si="49"/>
        <v>4.0163101573799903E-5</v>
      </c>
      <c r="S106" s="1"/>
      <c r="T106" s="1">
        <f>SUM(OSRRefT22_8x_0)</f>
        <v>350</v>
      </c>
      <c r="U106" s="1"/>
      <c r="V106" s="5">
        <f t="shared" si="50"/>
        <v>1.759565106569564E-4</v>
      </c>
      <c r="W106" s="1"/>
      <c r="X106" s="1">
        <f t="shared" si="51"/>
        <v>-268.82</v>
      </c>
      <c r="Y106" s="1"/>
      <c r="Z106" s="5">
        <f t="shared" si="52"/>
        <v>-0.76805714285714288</v>
      </c>
    </row>
    <row r="107" spans="1:26" s="24" customFormat="1" hidden="1" outlineLevel="2" x14ac:dyDescent="0.25">
      <c r="A107" s="25"/>
      <c r="B107" s="11" t="str">
        <f>CONCATENATE("          ", "6305", " - ", "FREIGHT OUT")</f>
        <v xml:space="preserve">          6305 - FREIGHT OUT</v>
      </c>
      <c r="C107" s="11"/>
      <c r="D107" s="7">
        <v>10.68</v>
      </c>
      <c r="E107" s="2"/>
      <c r="F107" s="6">
        <f t="shared" si="45"/>
        <v>3.9562917188739114E-5</v>
      </c>
      <c r="G107" s="2"/>
      <c r="H107" s="7">
        <v>50</v>
      </c>
      <c r="I107" s="2"/>
      <c r="J107" s="6">
        <f t="shared" si="46"/>
        <v>1.9892152313154388E-4</v>
      </c>
      <c r="K107" s="2"/>
      <c r="L107" s="7">
        <f t="shared" si="47"/>
        <v>-39.32</v>
      </c>
      <c r="M107" s="2"/>
      <c r="N107" s="6">
        <f t="shared" si="48"/>
        <v>-0.78639999999999999</v>
      </c>
      <c r="O107" s="11"/>
      <c r="P107" s="7">
        <v>80.680000000000007</v>
      </c>
      <c r="Q107" s="2"/>
      <c r="R107" s="6">
        <f t="shared" si="49"/>
        <v>3.9915730906309136E-5</v>
      </c>
      <c r="S107" s="2"/>
      <c r="T107" s="7">
        <v>350</v>
      </c>
      <c r="U107" s="2"/>
      <c r="V107" s="6">
        <f t="shared" si="50"/>
        <v>1.759565106569564E-4</v>
      </c>
      <c r="W107" s="2"/>
      <c r="X107" s="7">
        <f t="shared" si="51"/>
        <v>-269.32</v>
      </c>
      <c r="Y107" s="2"/>
      <c r="Z107" s="6">
        <f t="shared" si="52"/>
        <v>-0.76948571428571422</v>
      </c>
    </row>
    <row r="108" spans="1:26" s="24" customFormat="1" hidden="1" outlineLevel="2" x14ac:dyDescent="0.25">
      <c r="A108" s="25"/>
      <c r="B108" s="11" t="str">
        <f>CONCATENATE("          ", "6307", " - ", "POSTAGE")</f>
        <v xml:space="preserve">          6307 - POSTAGE</v>
      </c>
      <c r="C108" s="11"/>
      <c r="D108" s="7"/>
      <c r="E108" s="2"/>
      <c r="F108" s="6">
        <f t="shared" si="45"/>
        <v>0</v>
      </c>
      <c r="G108" s="2"/>
      <c r="H108" s="7"/>
      <c r="I108" s="2"/>
      <c r="J108" s="6">
        <f t="shared" si="46"/>
        <v>0</v>
      </c>
      <c r="K108" s="2"/>
      <c r="L108" s="7">
        <f t="shared" si="47"/>
        <v>0</v>
      </c>
      <c r="M108" s="2"/>
      <c r="N108" s="6">
        <f t="shared" si="48"/>
        <v>0</v>
      </c>
      <c r="O108" s="11"/>
      <c r="P108" s="7">
        <v>0.5</v>
      </c>
      <c r="Q108" s="2"/>
      <c r="R108" s="6">
        <f t="shared" si="49"/>
        <v>2.4737066749076063E-7</v>
      </c>
      <c r="S108" s="2"/>
      <c r="T108" s="7"/>
      <c r="U108" s="2"/>
      <c r="V108" s="6">
        <f t="shared" si="50"/>
        <v>0</v>
      </c>
      <c r="W108" s="2"/>
      <c r="X108" s="7">
        <f t="shared" si="51"/>
        <v>0.5</v>
      </c>
      <c r="Y108" s="2"/>
      <c r="Z108" s="6">
        <f t="shared" si="52"/>
        <v>0</v>
      </c>
    </row>
    <row r="109" spans="1:26" s="27" customFormat="1" outlineLevel="1" collapsed="1" x14ac:dyDescent="0.25">
      <c r="A109" s="26"/>
      <c r="B109" s="13" t="str">
        <f>CONCATENATE("     ","General                                           ")</f>
        <v xml:space="preserve">     General                                           </v>
      </c>
      <c r="C109" s="13"/>
      <c r="D109" s="1">
        <f>SUM(OSRRefD22_9x_0)</f>
        <v>0</v>
      </c>
      <c r="E109" s="1"/>
      <c r="F109" s="5">
        <f t="shared" ref="F109:F121" si="53">IF(D$12=0,0,D109/D$12)</f>
        <v>0</v>
      </c>
      <c r="G109" s="1"/>
      <c r="H109" s="1">
        <f>SUM(OSRRefH22_9x_0)</f>
        <v>850</v>
      </c>
      <c r="I109" s="1"/>
      <c r="J109" s="5">
        <f t="shared" ref="J109:J121" si="54">IF(H$12=0,0,H109/H$12)</f>
        <v>3.3816658932362457E-3</v>
      </c>
      <c r="K109" s="1"/>
      <c r="L109" s="1">
        <f t="shared" ref="L109:L121" si="55">+D109-H109</f>
        <v>-850</v>
      </c>
      <c r="M109" s="1"/>
      <c r="N109" s="5">
        <f t="shared" ref="N109:N121" si="56">IF(H109=0,0,L109/H109)</f>
        <v>-1</v>
      </c>
      <c r="O109" s="13"/>
      <c r="P109" s="1">
        <f>SUM(OSRRefP22_9x_0)</f>
        <v>1271.44</v>
      </c>
      <c r="Q109" s="1"/>
      <c r="R109" s="5">
        <f t="shared" ref="R109:R121" si="57">IF(P$12=0,0,P109/P$12)</f>
        <v>6.2903392294890543E-4</v>
      </c>
      <c r="S109" s="1"/>
      <c r="T109" s="1">
        <f>SUM(OSRRefT22_9x_0)</f>
        <v>1865</v>
      </c>
      <c r="U109" s="1"/>
      <c r="V109" s="5">
        <f t="shared" ref="V109:V121" si="58">IF(T$12=0,0,T109/T$12)</f>
        <v>9.3759683535778193E-4</v>
      </c>
      <c r="W109" s="1"/>
      <c r="X109" s="1">
        <f t="shared" ref="X109:X121" si="59">+P109-T109</f>
        <v>-593.55999999999995</v>
      </c>
      <c r="Y109" s="1"/>
      <c r="Z109" s="5">
        <f t="shared" ref="Z109:Z121" si="60">IF(T109=0,0,X109/T109)</f>
        <v>-0.31826273458445037</v>
      </c>
    </row>
    <row r="110" spans="1:26" s="24" customFormat="1" hidden="1" outlineLevel="2" x14ac:dyDescent="0.25">
      <c r="A110" s="25"/>
      <c r="B110" s="11" t="str">
        <f>CONCATENATE("          ", "6279", " - ", "GENERAL EXPENSE")</f>
        <v xml:space="preserve">          6279 - GENERAL EXPENSE</v>
      </c>
      <c r="C110" s="11"/>
      <c r="D110" s="7"/>
      <c r="E110" s="2"/>
      <c r="F110" s="6">
        <f t="shared" si="53"/>
        <v>0</v>
      </c>
      <c r="G110" s="2"/>
      <c r="H110" s="7">
        <v>850</v>
      </c>
      <c r="I110" s="2"/>
      <c r="J110" s="6">
        <f t="shared" si="54"/>
        <v>3.3816658932362457E-3</v>
      </c>
      <c r="K110" s="2"/>
      <c r="L110" s="7">
        <f t="shared" si="55"/>
        <v>-850</v>
      </c>
      <c r="M110" s="2"/>
      <c r="N110" s="6">
        <f t="shared" si="56"/>
        <v>-1</v>
      </c>
      <c r="O110" s="11"/>
      <c r="P110" s="7">
        <v>1271.44</v>
      </c>
      <c r="Q110" s="2"/>
      <c r="R110" s="6">
        <f t="shared" si="57"/>
        <v>6.2903392294890543E-4</v>
      </c>
      <c r="S110" s="2"/>
      <c r="T110" s="7">
        <v>1865</v>
      </c>
      <c r="U110" s="2"/>
      <c r="V110" s="6">
        <f t="shared" si="58"/>
        <v>9.3759683535778193E-4</v>
      </c>
      <c r="W110" s="2"/>
      <c r="X110" s="7">
        <f t="shared" si="59"/>
        <v>-593.55999999999995</v>
      </c>
      <c r="Y110" s="2"/>
      <c r="Z110" s="6">
        <f t="shared" si="60"/>
        <v>-0.31826273458445037</v>
      </c>
    </row>
    <row r="111" spans="1:26" s="27" customFormat="1" outlineLevel="1" collapsed="1" x14ac:dyDescent="0.25">
      <c r="A111" s="26"/>
      <c r="B111" s="13" t="str">
        <f>CONCATENATE("     ","Insurance                                         ")</f>
        <v xml:space="preserve">     Insurance                                         </v>
      </c>
      <c r="C111" s="13"/>
      <c r="D111" s="1">
        <f>SUM(OSRRefD22_10x_0)</f>
        <v>161.18</v>
      </c>
      <c r="E111" s="1"/>
      <c r="F111" s="5">
        <f t="shared" si="53"/>
        <v>5.9707406296638304E-4</v>
      </c>
      <c r="G111" s="1"/>
      <c r="H111" s="1">
        <f>SUM(OSRRefH22_10x_0)</f>
        <v>155</v>
      </c>
      <c r="I111" s="1"/>
      <c r="J111" s="5">
        <f t="shared" si="54"/>
        <v>6.1665672170778602E-4</v>
      </c>
      <c r="K111" s="1"/>
      <c r="L111" s="1">
        <f t="shared" si="55"/>
        <v>6.1800000000000068</v>
      </c>
      <c r="M111" s="1"/>
      <c r="N111" s="5">
        <f t="shared" si="56"/>
        <v>3.9870967741935527E-2</v>
      </c>
      <c r="O111" s="13"/>
      <c r="P111" s="1">
        <f>SUM(OSRRefP22_10x_0)</f>
        <v>1128.26</v>
      </c>
      <c r="Q111" s="1"/>
      <c r="R111" s="5">
        <f t="shared" si="57"/>
        <v>5.5819685860625115E-4</v>
      </c>
      <c r="S111" s="1"/>
      <c r="T111" s="1">
        <f>SUM(OSRRefT22_10x_0)</f>
        <v>1085</v>
      </c>
      <c r="U111" s="1"/>
      <c r="V111" s="5">
        <f t="shared" si="58"/>
        <v>5.4546518303656482E-4</v>
      </c>
      <c r="W111" s="1"/>
      <c r="X111" s="1">
        <f t="shared" si="59"/>
        <v>43.259999999999991</v>
      </c>
      <c r="Y111" s="1"/>
      <c r="Z111" s="5">
        <f t="shared" si="60"/>
        <v>3.9870967741935479E-2</v>
      </c>
    </row>
    <row r="112" spans="1:26" s="24" customFormat="1" hidden="1" outlineLevel="2" x14ac:dyDescent="0.25">
      <c r="A112" s="25"/>
      <c r="B112" s="11" t="str">
        <f>CONCATENATE("          ", "6314", " - ", "LIABILITY INSURANCE")</f>
        <v xml:space="preserve">          6314 - LIABILITY INSURANCE</v>
      </c>
      <c r="C112" s="11"/>
      <c r="D112" s="7">
        <v>161.18</v>
      </c>
      <c r="E112" s="2"/>
      <c r="F112" s="6">
        <f t="shared" si="53"/>
        <v>5.9707406296638304E-4</v>
      </c>
      <c r="G112" s="2"/>
      <c r="H112" s="7">
        <v>155</v>
      </c>
      <c r="I112" s="2"/>
      <c r="J112" s="6">
        <f t="shared" si="54"/>
        <v>6.1665672170778602E-4</v>
      </c>
      <c r="K112" s="2"/>
      <c r="L112" s="7">
        <f t="shared" si="55"/>
        <v>6.1800000000000068</v>
      </c>
      <c r="M112" s="2"/>
      <c r="N112" s="6">
        <f t="shared" si="56"/>
        <v>3.9870967741935527E-2</v>
      </c>
      <c r="O112" s="11"/>
      <c r="P112" s="7">
        <v>1128.26</v>
      </c>
      <c r="Q112" s="2"/>
      <c r="R112" s="6">
        <f t="shared" si="57"/>
        <v>5.5819685860625115E-4</v>
      </c>
      <c r="S112" s="2"/>
      <c r="T112" s="7">
        <v>1085</v>
      </c>
      <c r="U112" s="2"/>
      <c r="V112" s="6">
        <f t="shared" si="58"/>
        <v>5.4546518303656482E-4</v>
      </c>
      <c r="W112" s="2"/>
      <c r="X112" s="7">
        <f t="shared" si="59"/>
        <v>43.259999999999991</v>
      </c>
      <c r="Y112" s="2"/>
      <c r="Z112" s="6">
        <f t="shared" si="60"/>
        <v>3.9870967741935479E-2</v>
      </c>
    </row>
    <row r="113" spans="1:26" s="27" customFormat="1" outlineLevel="1" collapsed="1" x14ac:dyDescent="0.25">
      <c r="A113" s="26"/>
      <c r="B113" s="13" t="str">
        <f>CONCATENATE("     ","Inventory Adjustment                              ")</f>
        <v xml:space="preserve">     Inventory Adjustment                              </v>
      </c>
      <c r="C113" s="13"/>
      <c r="D113" s="1">
        <f>SUM(OSRRefD22_11x_0)</f>
        <v>3150</v>
      </c>
      <c r="E113" s="1"/>
      <c r="F113" s="5">
        <f t="shared" si="53"/>
        <v>1.1668837934880919E-2</v>
      </c>
      <c r="G113" s="1"/>
      <c r="H113" s="1">
        <f>SUM(OSRRefH22_11x_0)</f>
        <v>3150</v>
      </c>
      <c r="I113" s="1"/>
      <c r="J113" s="5">
        <f t="shared" si="54"/>
        <v>1.2532055957287264E-2</v>
      </c>
      <c r="K113" s="1"/>
      <c r="L113" s="1">
        <f t="shared" si="55"/>
        <v>0</v>
      </c>
      <c r="M113" s="1"/>
      <c r="N113" s="5">
        <f t="shared" si="56"/>
        <v>0</v>
      </c>
      <c r="O113" s="13"/>
      <c r="P113" s="1">
        <f>SUM(OSRRefP22_11x_0)</f>
        <v>22050</v>
      </c>
      <c r="Q113" s="1"/>
      <c r="R113" s="5">
        <f t="shared" si="57"/>
        <v>1.0909046436342544E-2</v>
      </c>
      <c r="S113" s="1"/>
      <c r="T113" s="1">
        <f>SUM(OSRRefT22_11x_0)</f>
        <v>22050</v>
      </c>
      <c r="U113" s="1"/>
      <c r="V113" s="5">
        <f t="shared" si="58"/>
        <v>1.1085260171388252E-2</v>
      </c>
      <c r="W113" s="1"/>
      <c r="X113" s="1">
        <f t="shared" si="59"/>
        <v>0</v>
      </c>
      <c r="Y113" s="1"/>
      <c r="Z113" s="5">
        <f t="shared" si="60"/>
        <v>0</v>
      </c>
    </row>
    <row r="114" spans="1:26" s="24" customFormat="1" hidden="1" outlineLevel="2" x14ac:dyDescent="0.25">
      <c r="A114" s="25"/>
      <c r="B114" s="11" t="str">
        <f>CONCATENATE("          ", "6408", " - ", "INVENTORY ADJUSTMENT")</f>
        <v xml:space="preserve">          6408 - INVENTORY ADJUSTMENT</v>
      </c>
      <c r="C114" s="11"/>
      <c r="D114" s="7">
        <v>3150</v>
      </c>
      <c r="E114" s="2"/>
      <c r="F114" s="6">
        <f t="shared" si="53"/>
        <v>1.1668837934880919E-2</v>
      </c>
      <c r="G114" s="2"/>
      <c r="H114" s="7">
        <v>3150</v>
      </c>
      <c r="I114" s="2"/>
      <c r="J114" s="6">
        <f t="shared" si="54"/>
        <v>1.2532055957287264E-2</v>
      </c>
      <c r="K114" s="2"/>
      <c r="L114" s="7">
        <f t="shared" si="55"/>
        <v>0</v>
      </c>
      <c r="M114" s="2"/>
      <c r="N114" s="6">
        <f t="shared" si="56"/>
        <v>0</v>
      </c>
      <c r="O114" s="11"/>
      <c r="P114" s="7">
        <v>22050</v>
      </c>
      <c r="Q114" s="2"/>
      <c r="R114" s="6">
        <f t="shared" si="57"/>
        <v>1.0909046436342544E-2</v>
      </c>
      <c r="S114" s="2"/>
      <c r="T114" s="7">
        <v>22050</v>
      </c>
      <c r="U114" s="2"/>
      <c r="V114" s="6">
        <f t="shared" si="58"/>
        <v>1.1085260171388252E-2</v>
      </c>
      <c r="W114" s="2"/>
      <c r="X114" s="7">
        <f t="shared" si="59"/>
        <v>0</v>
      </c>
      <c r="Y114" s="2"/>
      <c r="Z114" s="6">
        <f t="shared" si="60"/>
        <v>0</v>
      </c>
    </row>
    <row r="115" spans="1:26" s="27" customFormat="1" outlineLevel="1" collapsed="1" x14ac:dyDescent="0.25">
      <c r="A115" s="26"/>
      <c r="B115" s="13" t="str">
        <f>CONCATENATE("     ","Professional Services                             ")</f>
        <v xml:space="preserve">     Professional Services                             </v>
      </c>
      <c r="C115" s="13"/>
      <c r="D115" s="1">
        <f>SUM(OSRRefD22_12x_0)</f>
        <v>0</v>
      </c>
      <c r="E115" s="1"/>
      <c r="F115" s="5">
        <f t="shared" si="53"/>
        <v>0</v>
      </c>
      <c r="G115" s="1"/>
      <c r="H115" s="1">
        <f>SUM(OSRRefH22_12x_0)</f>
        <v>250</v>
      </c>
      <c r="I115" s="1"/>
      <c r="J115" s="5">
        <f t="shared" si="54"/>
        <v>9.9460761565771925E-4</v>
      </c>
      <c r="K115" s="1"/>
      <c r="L115" s="1">
        <f t="shared" si="55"/>
        <v>-250</v>
      </c>
      <c r="M115" s="1"/>
      <c r="N115" s="5">
        <f t="shared" si="56"/>
        <v>-1</v>
      </c>
      <c r="O115" s="13"/>
      <c r="P115" s="1">
        <f>SUM(OSRRefP22_12x_0)</f>
        <v>750</v>
      </c>
      <c r="Q115" s="1"/>
      <c r="R115" s="5">
        <f t="shared" si="57"/>
        <v>3.7105600123614094E-4</v>
      </c>
      <c r="S115" s="1"/>
      <c r="T115" s="1">
        <f>SUM(OSRRefT22_12x_0)</f>
        <v>2900</v>
      </c>
      <c r="U115" s="1"/>
      <c r="V115" s="5">
        <f t="shared" si="58"/>
        <v>1.4579253740147815E-3</v>
      </c>
      <c r="W115" s="1"/>
      <c r="X115" s="1">
        <f t="shared" si="59"/>
        <v>-2150</v>
      </c>
      <c r="Y115" s="1"/>
      <c r="Z115" s="5">
        <f t="shared" si="60"/>
        <v>-0.74137931034482762</v>
      </c>
    </row>
    <row r="116" spans="1:26" s="24" customFormat="1" hidden="1" outlineLevel="2" x14ac:dyDescent="0.25">
      <c r="A116" s="25"/>
      <c r="B116" s="11" t="str">
        <f>CONCATENATE("          ", "6336", " - ", "PROFESSIONAL SERVICES")</f>
        <v xml:space="preserve">          6336 - PROFESSIONAL SERVICES</v>
      </c>
      <c r="C116" s="11"/>
      <c r="D116" s="7"/>
      <c r="E116" s="2"/>
      <c r="F116" s="6">
        <f t="shared" si="53"/>
        <v>0</v>
      </c>
      <c r="G116" s="2"/>
      <c r="H116" s="7">
        <v>250</v>
      </c>
      <c r="I116" s="2"/>
      <c r="J116" s="6">
        <f t="shared" si="54"/>
        <v>9.9460761565771925E-4</v>
      </c>
      <c r="K116" s="2"/>
      <c r="L116" s="7">
        <f t="shared" si="55"/>
        <v>-250</v>
      </c>
      <c r="M116" s="2"/>
      <c r="N116" s="6">
        <f t="shared" si="56"/>
        <v>-1</v>
      </c>
      <c r="O116" s="11"/>
      <c r="P116" s="7">
        <v>750</v>
      </c>
      <c r="Q116" s="2"/>
      <c r="R116" s="6">
        <f t="shared" si="57"/>
        <v>3.7105600123614094E-4</v>
      </c>
      <c r="S116" s="2"/>
      <c r="T116" s="7">
        <v>2900</v>
      </c>
      <c r="U116" s="2"/>
      <c r="V116" s="6">
        <f t="shared" si="58"/>
        <v>1.4579253740147815E-3</v>
      </c>
      <c r="W116" s="2"/>
      <c r="X116" s="7">
        <f t="shared" si="59"/>
        <v>-2150</v>
      </c>
      <c r="Y116" s="2"/>
      <c r="Z116" s="6">
        <f t="shared" si="60"/>
        <v>-0.74137931034482762</v>
      </c>
    </row>
    <row r="117" spans="1:26" s="27" customFormat="1" outlineLevel="1" collapsed="1" x14ac:dyDescent="0.25">
      <c r="A117" s="26"/>
      <c r="B117" s="13" t="str">
        <f>CONCATENATE("     ","Rent                                              ")</f>
        <v xml:space="preserve">     Rent                                              </v>
      </c>
      <c r="C117" s="13"/>
      <c r="D117" s="1">
        <f>SUM(OSRRefD22_13x_0)</f>
        <v>6900</v>
      </c>
      <c r="E117" s="1"/>
      <c r="F117" s="5">
        <f t="shared" si="53"/>
        <v>2.5560311666882014E-2</v>
      </c>
      <c r="G117" s="1"/>
      <c r="H117" s="1">
        <f>SUM(OSRRefH22_13x_0)</f>
        <v>7200</v>
      </c>
      <c r="I117" s="1"/>
      <c r="J117" s="5">
        <f t="shared" si="54"/>
        <v>2.8644699330942318E-2</v>
      </c>
      <c r="K117" s="1"/>
      <c r="L117" s="1">
        <f t="shared" si="55"/>
        <v>-300</v>
      </c>
      <c r="M117" s="1"/>
      <c r="N117" s="5">
        <f t="shared" si="56"/>
        <v>-4.1666666666666664E-2</v>
      </c>
      <c r="O117" s="13"/>
      <c r="P117" s="1">
        <f>SUM(OSRRefP22_13x_0)</f>
        <v>48300</v>
      </c>
      <c r="Q117" s="1"/>
      <c r="R117" s="5">
        <f t="shared" si="57"/>
        <v>2.3896006479607476E-2</v>
      </c>
      <c r="S117" s="1"/>
      <c r="T117" s="1">
        <f>SUM(OSRRefT22_13x_0)</f>
        <v>50400</v>
      </c>
      <c r="U117" s="1"/>
      <c r="V117" s="5">
        <f t="shared" si="58"/>
        <v>2.533773753460172E-2</v>
      </c>
      <c r="W117" s="1"/>
      <c r="X117" s="1">
        <f t="shared" si="59"/>
        <v>-2100</v>
      </c>
      <c r="Y117" s="1"/>
      <c r="Z117" s="5">
        <f t="shared" si="60"/>
        <v>-4.1666666666666664E-2</v>
      </c>
    </row>
    <row r="118" spans="1:26" s="24" customFormat="1" hidden="1" outlineLevel="2" x14ac:dyDescent="0.25">
      <c r="A118" s="25"/>
      <c r="B118" s="11" t="str">
        <f>CONCATENATE("          ", "6273", " - ", "RENT")</f>
        <v xml:space="preserve">          6273 - RENT</v>
      </c>
      <c r="C118" s="11"/>
      <c r="D118" s="7">
        <v>6900</v>
      </c>
      <c r="E118" s="2"/>
      <c r="F118" s="6">
        <f t="shared" si="53"/>
        <v>2.5560311666882014E-2</v>
      </c>
      <c r="G118" s="2"/>
      <c r="H118" s="7">
        <v>7200</v>
      </c>
      <c r="I118" s="2"/>
      <c r="J118" s="6">
        <f t="shared" si="54"/>
        <v>2.8644699330942318E-2</v>
      </c>
      <c r="K118" s="2"/>
      <c r="L118" s="7">
        <f t="shared" si="55"/>
        <v>-300</v>
      </c>
      <c r="M118" s="2"/>
      <c r="N118" s="6">
        <f t="shared" si="56"/>
        <v>-4.1666666666666664E-2</v>
      </c>
      <c r="O118" s="11"/>
      <c r="P118" s="7">
        <v>48300</v>
      </c>
      <c r="Q118" s="2"/>
      <c r="R118" s="6">
        <f t="shared" si="57"/>
        <v>2.3896006479607476E-2</v>
      </c>
      <c r="S118" s="2"/>
      <c r="T118" s="7">
        <v>50400</v>
      </c>
      <c r="U118" s="2"/>
      <c r="V118" s="6">
        <f t="shared" si="58"/>
        <v>2.533773753460172E-2</v>
      </c>
      <c r="W118" s="2"/>
      <c r="X118" s="7">
        <f t="shared" si="59"/>
        <v>-2100</v>
      </c>
      <c r="Y118" s="2"/>
      <c r="Z118" s="6">
        <f t="shared" si="60"/>
        <v>-4.1666666666666664E-2</v>
      </c>
    </row>
    <row r="119" spans="1:26" s="27" customFormat="1" outlineLevel="1" collapsed="1" x14ac:dyDescent="0.25">
      <c r="A119" s="26"/>
      <c r="B119" s="13" t="str">
        <f>CONCATENATE("     ","Repair and Maintenance                            ")</f>
        <v xml:space="preserve">     Repair and Maintenance                            </v>
      </c>
      <c r="C119" s="13"/>
      <c r="D119" s="1">
        <f>SUM(OSRRefD22_14x_0)</f>
        <v>0</v>
      </c>
      <c r="E119" s="1"/>
      <c r="F119" s="5">
        <f t="shared" si="53"/>
        <v>0</v>
      </c>
      <c r="G119" s="1"/>
      <c r="H119" s="1">
        <f>SUM(OSRRefH22_14x_0)</f>
        <v>150</v>
      </c>
      <c r="I119" s="1"/>
      <c r="J119" s="5">
        <f t="shared" si="54"/>
        <v>5.9676456939463155E-4</v>
      </c>
      <c r="K119" s="1"/>
      <c r="L119" s="1">
        <f t="shared" si="55"/>
        <v>-150</v>
      </c>
      <c r="M119" s="1"/>
      <c r="N119" s="5">
        <f t="shared" si="56"/>
        <v>-1</v>
      </c>
      <c r="O119" s="13"/>
      <c r="P119" s="1">
        <f>SUM(OSRRefP22_14x_0)</f>
        <v>275.75</v>
      </c>
      <c r="Q119" s="1"/>
      <c r="R119" s="5">
        <f t="shared" si="57"/>
        <v>1.364249231211545E-4</v>
      </c>
      <c r="S119" s="1"/>
      <c r="T119" s="1">
        <f>SUM(OSRRefT22_14x_0)</f>
        <v>1400</v>
      </c>
      <c r="U119" s="1"/>
      <c r="V119" s="5">
        <f t="shared" si="58"/>
        <v>7.0382604262782559E-4</v>
      </c>
      <c r="W119" s="1"/>
      <c r="X119" s="1">
        <f t="shared" si="59"/>
        <v>-1124.25</v>
      </c>
      <c r="Y119" s="1"/>
      <c r="Z119" s="5">
        <f t="shared" si="60"/>
        <v>-0.8030357142857143</v>
      </c>
    </row>
    <row r="120" spans="1:26" s="24" customFormat="1" hidden="1" outlineLevel="2" x14ac:dyDescent="0.25">
      <c r="A120" s="25"/>
      <c r="B120" s="11" t="str">
        <f>CONCATENATE("          ", "6373", " - ", "MAINTENANCE CONTRACTS")</f>
        <v xml:space="preserve">          6373 - MAINTENANCE CONTRACTS</v>
      </c>
      <c r="C120" s="11"/>
      <c r="D120" s="7"/>
      <c r="E120" s="2"/>
      <c r="F120" s="6">
        <f t="shared" si="53"/>
        <v>0</v>
      </c>
      <c r="G120" s="2"/>
      <c r="H120" s="7">
        <v>0</v>
      </c>
      <c r="I120" s="2"/>
      <c r="J120" s="6">
        <f t="shared" si="54"/>
        <v>0</v>
      </c>
      <c r="K120" s="2"/>
      <c r="L120" s="7">
        <f t="shared" si="55"/>
        <v>0</v>
      </c>
      <c r="M120" s="2"/>
      <c r="N120" s="6">
        <f t="shared" si="56"/>
        <v>0</v>
      </c>
      <c r="O120" s="11"/>
      <c r="P120" s="7">
        <v>93.22</v>
      </c>
      <c r="Q120" s="2"/>
      <c r="R120" s="6">
        <f t="shared" si="57"/>
        <v>4.6119787246977416E-5</v>
      </c>
      <c r="S120" s="2"/>
      <c r="T120" s="7">
        <v>75</v>
      </c>
      <c r="U120" s="2"/>
      <c r="V120" s="6">
        <f t="shared" si="58"/>
        <v>3.7704966569347798E-5</v>
      </c>
      <c r="W120" s="2"/>
      <c r="X120" s="7">
        <f t="shared" si="59"/>
        <v>18.22</v>
      </c>
      <c r="Y120" s="2"/>
      <c r="Z120" s="6">
        <f t="shared" si="60"/>
        <v>0.24293333333333331</v>
      </c>
    </row>
    <row r="121" spans="1:26" s="24" customFormat="1" hidden="1" outlineLevel="2" x14ac:dyDescent="0.25">
      <c r="A121" s="25"/>
      <c r="B121" s="11" t="str">
        <f>CONCATENATE("          ", "6375", " - ", "OUTSIDE REPAIRS &amp; MAINTENANCE")</f>
        <v xml:space="preserve">          6375 - OUTSIDE REPAIRS &amp; MAINTENANCE</v>
      </c>
      <c r="C121" s="11"/>
      <c r="D121" s="7"/>
      <c r="E121" s="2"/>
      <c r="F121" s="6">
        <f t="shared" si="53"/>
        <v>0</v>
      </c>
      <c r="G121" s="2"/>
      <c r="H121" s="7">
        <v>150</v>
      </c>
      <c r="I121" s="2"/>
      <c r="J121" s="6">
        <f t="shared" si="54"/>
        <v>5.9676456939463155E-4</v>
      </c>
      <c r="K121" s="2"/>
      <c r="L121" s="7">
        <f t="shared" si="55"/>
        <v>-150</v>
      </c>
      <c r="M121" s="2"/>
      <c r="N121" s="6">
        <f t="shared" si="56"/>
        <v>-1</v>
      </c>
      <c r="O121" s="11"/>
      <c r="P121" s="7">
        <v>182.53</v>
      </c>
      <c r="Q121" s="2"/>
      <c r="R121" s="6">
        <f t="shared" si="57"/>
        <v>9.0305135874177073E-5</v>
      </c>
      <c r="S121" s="2"/>
      <c r="T121" s="7">
        <v>1325</v>
      </c>
      <c r="U121" s="2"/>
      <c r="V121" s="6">
        <f t="shared" si="58"/>
        <v>6.6612107605847775E-4</v>
      </c>
      <c r="W121" s="2"/>
      <c r="X121" s="7">
        <f t="shared" si="59"/>
        <v>-1142.47</v>
      </c>
      <c r="Y121" s="2"/>
      <c r="Z121" s="6">
        <f t="shared" si="60"/>
        <v>-0.86224150943396227</v>
      </c>
    </row>
    <row r="122" spans="1:26" s="27" customFormat="1" outlineLevel="1" collapsed="1" x14ac:dyDescent="0.25">
      <c r="A122" s="26"/>
      <c r="B122" s="13" t="str">
        <f>CONCATENATE("     ","Royalty &amp; Commissions                             ")</f>
        <v xml:space="preserve">     Royalty &amp; Commissions                             </v>
      </c>
      <c r="C122" s="13"/>
      <c r="D122" s="1">
        <f>SUM(OSRRefD22_15x_0)</f>
        <v>760.81</v>
      </c>
      <c r="E122" s="1"/>
      <c r="F122" s="5">
        <f t="shared" ref="F122:F125" si="61">IF(D$12=0,0,D122/D$12)</f>
        <v>2.8183392346783341E-3</v>
      </c>
      <c r="G122" s="1"/>
      <c r="H122" s="1">
        <f>SUM(OSRRefH22_15x_0)</f>
        <v>5485</v>
      </c>
      <c r="I122" s="1"/>
      <c r="J122" s="5">
        <f t="shared" ref="J122:J125" si="62">IF(H$12=0,0,H122/H$12)</f>
        <v>2.1821691087530362E-2</v>
      </c>
      <c r="K122" s="1"/>
      <c r="L122" s="1">
        <f t="shared" ref="L122:L125" si="63">+D122-H122</f>
        <v>-4724.1900000000005</v>
      </c>
      <c r="M122" s="1"/>
      <c r="N122" s="5">
        <f t="shared" ref="N122:N125" si="64">IF(H122=0,0,L122/H122)</f>
        <v>-0.86129261622607123</v>
      </c>
      <c r="O122" s="13"/>
      <c r="P122" s="1">
        <f>SUM(OSRRefP22_15x_0)</f>
        <v>7691.6</v>
      </c>
      <c r="Q122" s="1"/>
      <c r="R122" s="5">
        <f t="shared" ref="R122:R125" si="65">IF(P$12=0,0,P122/P$12)</f>
        <v>3.8053524521438693E-3</v>
      </c>
      <c r="S122" s="1"/>
      <c r="T122" s="1">
        <f>SUM(OSRRefT22_15x_0)</f>
        <v>38395</v>
      </c>
      <c r="U122" s="1"/>
      <c r="V122" s="5">
        <f t="shared" ref="V122:V125" si="66">IF(T$12=0,0,T122/T$12)</f>
        <v>1.9302429219068117E-2</v>
      </c>
      <c r="W122" s="1"/>
      <c r="X122" s="1">
        <f t="shared" ref="X122:X125" si="67">+P122-T122</f>
        <v>-30703.4</v>
      </c>
      <c r="Y122" s="1"/>
      <c r="Z122" s="5">
        <f t="shared" ref="Z122:Z125" si="68">IF(T122=0,0,X122/T122)</f>
        <v>-0.79967183226982685</v>
      </c>
    </row>
    <row r="123" spans="1:26" s="24" customFormat="1" hidden="1" outlineLevel="2" x14ac:dyDescent="0.25">
      <c r="A123" s="25"/>
      <c r="B123" s="11" t="str">
        <f>CONCATENATE("          ", "6252", " - ", "ROYALTY DUE CSTV")</f>
        <v xml:space="preserve">          6252 - ROYALTY DUE CSTV</v>
      </c>
      <c r="C123" s="11"/>
      <c r="D123" s="7"/>
      <c r="E123" s="2"/>
      <c r="F123" s="6">
        <f t="shared" si="61"/>
        <v>0</v>
      </c>
      <c r="G123" s="2"/>
      <c r="H123" s="7">
        <v>1085</v>
      </c>
      <c r="I123" s="2"/>
      <c r="J123" s="6">
        <f t="shared" si="62"/>
        <v>4.3165970519545016E-3</v>
      </c>
      <c r="K123" s="2"/>
      <c r="L123" s="7">
        <f t="shared" si="63"/>
        <v>-1085</v>
      </c>
      <c r="M123" s="2"/>
      <c r="N123" s="6">
        <f t="shared" si="64"/>
        <v>-1</v>
      </c>
      <c r="O123" s="11"/>
      <c r="P123" s="7"/>
      <c r="Q123" s="2"/>
      <c r="R123" s="6">
        <f t="shared" si="65"/>
        <v>0</v>
      </c>
      <c r="S123" s="2"/>
      <c r="T123" s="7">
        <v>7595</v>
      </c>
      <c r="U123" s="2"/>
      <c r="V123" s="6">
        <f t="shared" si="66"/>
        <v>3.8182562812559538E-3</v>
      </c>
      <c r="W123" s="2"/>
      <c r="X123" s="7">
        <f t="shared" si="67"/>
        <v>-7595</v>
      </c>
      <c r="Y123" s="2"/>
      <c r="Z123" s="6">
        <f t="shared" si="68"/>
        <v>-1</v>
      </c>
    </row>
    <row r="124" spans="1:26" s="24" customFormat="1" hidden="1" outlineLevel="2" x14ac:dyDescent="0.25">
      <c r="A124" s="25"/>
      <c r="B124" s="11" t="str">
        <f>CONCATENATE("          ", "6253", " - ", "ROYALTY DUE ATHLETICS-LRG")</f>
        <v xml:space="preserve">          6253 - ROYALTY DUE ATHLETICS-LRG</v>
      </c>
      <c r="C124" s="11"/>
      <c r="D124" s="7"/>
      <c r="E124" s="2"/>
      <c r="F124" s="6">
        <f t="shared" si="61"/>
        <v>0</v>
      </c>
      <c r="G124" s="2"/>
      <c r="H124" s="7">
        <v>3700</v>
      </c>
      <c r="I124" s="2"/>
      <c r="J124" s="6">
        <f t="shared" si="62"/>
        <v>1.4720192711734246E-2</v>
      </c>
      <c r="K124" s="2"/>
      <c r="L124" s="7">
        <f t="shared" si="63"/>
        <v>-3700</v>
      </c>
      <c r="M124" s="2"/>
      <c r="N124" s="6">
        <f t="shared" si="64"/>
        <v>-1</v>
      </c>
      <c r="O124" s="11"/>
      <c r="P124" s="7">
        <v>4366.95</v>
      </c>
      <c r="Q124" s="2"/>
      <c r="R124" s="6">
        <f t="shared" si="65"/>
        <v>2.1605106727975542E-3</v>
      </c>
      <c r="S124" s="2"/>
      <c r="T124" s="7">
        <v>25900</v>
      </c>
      <c r="U124" s="2"/>
      <c r="V124" s="6">
        <f t="shared" si="66"/>
        <v>1.3020781788614773E-2</v>
      </c>
      <c r="W124" s="2"/>
      <c r="X124" s="7">
        <f t="shared" si="67"/>
        <v>-21533.05</v>
      </c>
      <c r="Y124" s="2"/>
      <c r="Z124" s="6">
        <f t="shared" si="68"/>
        <v>-0.83139189189189189</v>
      </c>
    </row>
    <row r="125" spans="1:26" s="24" customFormat="1" hidden="1" outlineLevel="2" x14ac:dyDescent="0.25">
      <c r="A125" s="25"/>
      <c r="B125" s="11" t="str">
        <f>CONCATENATE("          ", "6254", " - ", "ROYALTY &amp; COMMISSIONS")</f>
        <v xml:space="preserve">          6254 - ROYALTY &amp; COMMISSIONS</v>
      </c>
      <c r="C125" s="11"/>
      <c r="D125" s="7">
        <v>760.81</v>
      </c>
      <c r="E125" s="2"/>
      <c r="F125" s="6">
        <f t="shared" si="61"/>
        <v>2.8183392346783341E-3</v>
      </c>
      <c r="G125" s="2"/>
      <c r="H125" s="7">
        <v>700</v>
      </c>
      <c r="I125" s="2"/>
      <c r="J125" s="6">
        <f t="shared" si="62"/>
        <v>2.7849013238416143E-3</v>
      </c>
      <c r="K125" s="2"/>
      <c r="L125" s="7">
        <f t="shared" si="63"/>
        <v>60.809999999999945</v>
      </c>
      <c r="M125" s="2"/>
      <c r="N125" s="6">
        <f t="shared" si="64"/>
        <v>8.6871428571428488E-2</v>
      </c>
      <c r="O125" s="11"/>
      <c r="P125" s="7">
        <v>3324.65</v>
      </c>
      <c r="Q125" s="2"/>
      <c r="R125" s="6">
        <f t="shared" si="65"/>
        <v>1.6448417793463147E-3</v>
      </c>
      <c r="S125" s="2"/>
      <c r="T125" s="7">
        <v>4900</v>
      </c>
      <c r="U125" s="2"/>
      <c r="V125" s="6">
        <f t="shared" si="66"/>
        <v>2.4633911491973894E-3</v>
      </c>
      <c r="W125" s="2"/>
      <c r="X125" s="7">
        <f t="shared" si="67"/>
        <v>-1575.35</v>
      </c>
      <c r="Y125" s="2"/>
      <c r="Z125" s="6">
        <f t="shared" si="68"/>
        <v>-0.32150000000000001</v>
      </c>
    </row>
    <row r="126" spans="1:26" s="27" customFormat="1" outlineLevel="1" collapsed="1" x14ac:dyDescent="0.25">
      <c r="A126" s="26"/>
      <c r="B126" s="13" t="str">
        <f>CONCATENATE("     ","Services                                          ")</f>
        <v xml:space="preserve">     Services                                          </v>
      </c>
      <c r="C126" s="13"/>
      <c r="D126" s="1">
        <f>SUM(OSRRefD22_16x_0)</f>
        <v>189.45</v>
      </c>
      <c r="E126" s="1"/>
      <c r="F126" s="5">
        <f t="shared" ref="F126:F129" si="69">IF(D$12=0,0,D126/D$12)</f>
        <v>7.0179725294069529E-4</v>
      </c>
      <c r="G126" s="1"/>
      <c r="H126" s="1">
        <f>SUM(OSRRefH22_16x_0)</f>
        <v>567.5</v>
      </c>
      <c r="I126" s="1"/>
      <c r="J126" s="5">
        <f t="shared" ref="J126:J129" si="70">IF(H$12=0,0,H126/H$12)</f>
        <v>2.2577592875430231E-3</v>
      </c>
      <c r="K126" s="1"/>
      <c r="L126" s="1">
        <f t="shared" ref="L126:L129" si="71">+D126-H126</f>
        <v>-378.05</v>
      </c>
      <c r="M126" s="1"/>
      <c r="N126" s="5">
        <f t="shared" ref="N126:N129" si="72">IF(H126=0,0,L126/H126)</f>
        <v>-0.6661674008810573</v>
      </c>
      <c r="O126" s="13"/>
      <c r="P126" s="1">
        <f>SUM(OSRRefP22_16x_0)</f>
        <v>2191.73</v>
      </c>
      <c r="Q126" s="1"/>
      <c r="R126" s="5">
        <f t="shared" ref="R126:R129" si="73">IF(P$12=0,0,P126/P$12)</f>
        <v>1.0843394261190497E-3</v>
      </c>
      <c r="S126" s="1"/>
      <c r="T126" s="1">
        <f>SUM(OSRRefT22_16x_0)</f>
        <v>1962.5</v>
      </c>
      <c r="U126" s="1"/>
      <c r="V126" s="5">
        <f t="shared" ref="V126:V129" si="74">IF(T$12=0,0,T126/T$12)</f>
        <v>9.8661329189793411E-4</v>
      </c>
      <c r="W126" s="1"/>
      <c r="X126" s="1">
        <f t="shared" ref="X126:X129" si="75">+P126-T126</f>
        <v>229.23000000000002</v>
      </c>
      <c r="Y126" s="1"/>
      <c r="Z126" s="5">
        <f t="shared" ref="Z126:Z129" si="76">IF(T126=0,0,X126/T126)</f>
        <v>0.11680509554140128</v>
      </c>
    </row>
    <row r="127" spans="1:26" s="24" customFormat="1" hidden="1" outlineLevel="2" x14ac:dyDescent="0.25">
      <c r="A127" s="25"/>
      <c r="B127" s="11" t="str">
        <f>CONCATENATE("          ", "6283", " - ", "PLANT SERVICE")</f>
        <v xml:space="preserve">          6283 - PLANT SERVICE</v>
      </c>
      <c r="C127" s="11"/>
      <c r="D127" s="7"/>
      <c r="E127" s="2"/>
      <c r="F127" s="6">
        <f t="shared" si="69"/>
        <v>0</v>
      </c>
      <c r="G127" s="2"/>
      <c r="H127" s="7">
        <v>60</v>
      </c>
      <c r="I127" s="2"/>
      <c r="J127" s="6">
        <f t="shared" si="70"/>
        <v>2.3870582775785263E-4</v>
      </c>
      <c r="K127" s="2"/>
      <c r="L127" s="7">
        <f t="shared" si="71"/>
        <v>-60</v>
      </c>
      <c r="M127" s="2"/>
      <c r="N127" s="6">
        <f t="shared" si="72"/>
        <v>-1</v>
      </c>
      <c r="O127" s="11"/>
      <c r="P127" s="7">
        <v>178.65</v>
      </c>
      <c r="Q127" s="2"/>
      <c r="R127" s="6">
        <f t="shared" si="73"/>
        <v>8.8385539494448777E-5</v>
      </c>
      <c r="S127" s="2"/>
      <c r="T127" s="7">
        <v>420</v>
      </c>
      <c r="U127" s="2"/>
      <c r="V127" s="6">
        <f t="shared" si="74"/>
        <v>2.1114781278834766E-4</v>
      </c>
      <c r="W127" s="2"/>
      <c r="X127" s="7">
        <f t="shared" si="75"/>
        <v>-241.35</v>
      </c>
      <c r="Y127" s="2"/>
      <c r="Z127" s="6">
        <f t="shared" si="76"/>
        <v>-0.57464285714285712</v>
      </c>
    </row>
    <row r="128" spans="1:26" s="24" customFormat="1" hidden="1" outlineLevel="2" x14ac:dyDescent="0.25">
      <c r="A128" s="25"/>
      <c r="B128" s="11" t="str">
        <f>CONCATENATE("          ", "6284", " - ", "TRASH REMOVAL EXPENSE")</f>
        <v xml:space="preserve">          6284 - TRASH REMOVAL EXPENSE</v>
      </c>
      <c r="C128" s="11"/>
      <c r="D128" s="7">
        <v>134.82</v>
      </c>
      <c r="E128" s="2"/>
      <c r="F128" s="6">
        <f t="shared" si="69"/>
        <v>4.9942626361290329E-4</v>
      </c>
      <c r="G128" s="2"/>
      <c r="H128" s="7">
        <v>62.5</v>
      </c>
      <c r="I128" s="2"/>
      <c r="J128" s="6">
        <f t="shared" si="70"/>
        <v>2.4865190391442981E-4</v>
      </c>
      <c r="K128" s="2"/>
      <c r="L128" s="7">
        <f t="shared" si="71"/>
        <v>72.319999999999993</v>
      </c>
      <c r="M128" s="2"/>
      <c r="N128" s="6">
        <f t="shared" si="72"/>
        <v>1.1571199999999999</v>
      </c>
      <c r="O128" s="11"/>
      <c r="P128" s="7">
        <v>943.74</v>
      </c>
      <c r="Q128" s="2"/>
      <c r="R128" s="6">
        <f t="shared" si="73"/>
        <v>4.669071874754609E-4</v>
      </c>
      <c r="S128" s="2"/>
      <c r="T128" s="7">
        <v>437.5</v>
      </c>
      <c r="U128" s="2"/>
      <c r="V128" s="6">
        <f t="shared" si="74"/>
        <v>2.199456383211955E-4</v>
      </c>
      <c r="W128" s="2"/>
      <c r="X128" s="7">
        <f t="shared" si="75"/>
        <v>506.24</v>
      </c>
      <c r="Y128" s="2"/>
      <c r="Z128" s="6">
        <f t="shared" si="76"/>
        <v>1.1571199999999999</v>
      </c>
    </row>
    <row r="129" spans="1:26" s="24" customFormat="1" hidden="1" outlineLevel="2" x14ac:dyDescent="0.25">
      <c r="A129" s="25"/>
      <c r="B129" s="11" t="str">
        <f>CONCATENATE("          ", "6285", " - ", "JANITORIAL SERVICES")</f>
        <v xml:space="preserve">          6285 - JANITORIAL SERVICES</v>
      </c>
      <c r="C129" s="11"/>
      <c r="D129" s="7">
        <v>54.63</v>
      </c>
      <c r="E129" s="2"/>
      <c r="F129" s="6">
        <f t="shared" si="69"/>
        <v>2.0237098932779195E-4</v>
      </c>
      <c r="G129" s="2"/>
      <c r="H129" s="7">
        <v>445</v>
      </c>
      <c r="I129" s="2"/>
      <c r="J129" s="6">
        <f t="shared" si="70"/>
        <v>1.7704015558707405E-3</v>
      </c>
      <c r="K129" s="2"/>
      <c r="L129" s="7">
        <f t="shared" si="71"/>
        <v>-390.37</v>
      </c>
      <c r="M129" s="2"/>
      <c r="N129" s="6">
        <f t="shared" si="72"/>
        <v>-0.87723595505617979</v>
      </c>
      <c r="O129" s="11"/>
      <c r="P129" s="7">
        <v>1069.3399999999999</v>
      </c>
      <c r="Q129" s="2"/>
      <c r="R129" s="6">
        <f t="shared" si="73"/>
        <v>5.2904669914913987E-4</v>
      </c>
      <c r="S129" s="2"/>
      <c r="T129" s="7">
        <v>1105</v>
      </c>
      <c r="U129" s="2"/>
      <c r="V129" s="6">
        <f t="shared" si="74"/>
        <v>5.5551984078839093E-4</v>
      </c>
      <c r="W129" s="2"/>
      <c r="X129" s="7">
        <f t="shared" si="75"/>
        <v>-35.660000000000082</v>
      </c>
      <c r="Y129" s="2"/>
      <c r="Z129" s="6">
        <f t="shared" si="76"/>
        <v>-3.2271493212669755E-2</v>
      </c>
    </row>
    <row r="130" spans="1:26" s="27" customFormat="1" outlineLevel="1" collapsed="1" x14ac:dyDescent="0.25">
      <c r="A130" s="26"/>
      <c r="B130" s="13" t="str">
        <f>CONCATENATE("     ","Subscriptions &amp; Dues                              ")</f>
        <v xml:space="preserve">     Subscriptions &amp; Dues                              </v>
      </c>
      <c r="C130" s="13"/>
      <c r="D130" s="1">
        <f>SUM(OSRRefD22_17x_0)</f>
        <v>75</v>
      </c>
      <c r="E130" s="1"/>
      <c r="F130" s="5">
        <f t="shared" ref="F130:F132" si="77">IF(D$12=0,0,D130/D$12)</f>
        <v>2.7782947464002189E-4</v>
      </c>
      <c r="G130" s="1"/>
      <c r="H130" s="1">
        <f>SUM(OSRRefH22_17x_0)</f>
        <v>790</v>
      </c>
      <c r="I130" s="1"/>
      <c r="J130" s="5">
        <f t="shared" ref="J130:J132" si="78">IF(H$12=0,0,H130/H$12)</f>
        <v>3.1429600654783933E-3</v>
      </c>
      <c r="K130" s="1"/>
      <c r="L130" s="1">
        <f t="shared" ref="L130:L132" si="79">+D130-H130</f>
        <v>-715</v>
      </c>
      <c r="M130" s="1"/>
      <c r="N130" s="5">
        <f t="shared" ref="N130:N132" si="80">IF(H130=0,0,L130/H130)</f>
        <v>-0.90506329113924056</v>
      </c>
      <c r="O130" s="13"/>
      <c r="P130" s="1">
        <f>SUM(OSRRefP22_17x_0)</f>
        <v>460.06</v>
      </c>
      <c r="Q130" s="1"/>
      <c r="R130" s="5">
        <f t="shared" ref="R130:R132" si="81">IF(P$12=0,0,P130/P$12)</f>
        <v>2.2761069857159868E-4</v>
      </c>
      <c r="S130" s="1"/>
      <c r="T130" s="1">
        <f>SUM(OSRRefT22_17x_0)</f>
        <v>4775</v>
      </c>
      <c r="U130" s="1"/>
      <c r="V130" s="5">
        <f t="shared" ref="V130:V132" si="82">IF(T$12=0,0,T130/T$12)</f>
        <v>2.4005495382484767E-3</v>
      </c>
      <c r="W130" s="1"/>
      <c r="X130" s="1">
        <f t="shared" ref="X130:X132" si="83">+P130-T130</f>
        <v>-4314.9399999999996</v>
      </c>
      <c r="Y130" s="1"/>
      <c r="Z130" s="5">
        <f t="shared" ref="Z130:Z132" si="84">IF(T130=0,0,X130/T130)</f>
        <v>-0.90365235602094229</v>
      </c>
    </row>
    <row r="131" spans="1:26" s="24" customFormat="1" hidden="1" outlineLevel="2" x14ac:dyDescent="0.25">
      <c r="A131" s="25"/>
      <c r="B131" s="11" t="str">
        <f>CONCATENATE("          ", "6258", " - ", "MEMBERSHIP DUES")</f>
        <v xml:space="preserve">          6258 - MEMBERSHIP DUES</v>
      </c>
      <c r="C131" s="11"/>
      <c r="D131" s="7"/>
      <c r="E131" s="2"/>
      <c r="F131" s="6">
        <f t="shared" si="77"/>
        <v>0</v>
      </c>
      <c r="G131" s="2"/>
      <c r="H131" s="7">
        <v>500</v>
      </c>
      <c r="I131" s="2"/>
      <c r="J131" s="6">
        <f t="shared" si="78"/>
        <v>1.9892152313154385E-3</v>
      </c>
      <c r="K131" s="2"/>
      <c r="L131" s="7">
        <f t="shared" si="79"/>
        <v>-500</v>
      </c>
      <c r="M131" s="2"/>
      <c r="N131" s="6">
        <f t="shared" si="80"/>
        <v>-1</v>
      </c>
      <c r="O131" s="11"/>
      <c r="P131" s="7"/>
      <c r="Q131" s="2"/>
      <c r="R131" s="6">
        <f t="shared" si="81"/>
        <v>0</v>
      </c>
      <c r="S131" s="2"/>
      <c r="T131" s="7">
        <v>1895</v>
      </c>
      <c r="U131" s="2"/>
      <c r="V131" s="6">
        <f t="shared" si="82"/>
        <v>9.5267882198552109E-4</v>
      </c>
      <c r="W131" s="2"/>
      <c r="X131" s="7">
        <f t="shared" si="83"/>
        <v>-1895</v>
      </c>
      <c r="Y131" s="2"/>
      <c r="Z131" s="6">
        <f t="shared" si="84"/>
        <v>-1</v>
      </c>
    </row>
    <row r="132" spans="1:26" s="24" customFormat="1" hidden="1" outlineLevel="2" x14ac:dyDescent="0.25">
      <c r="A132" s="25"/>
      <c r="B132" s="11" t="str">
        <f>CONCATENATE("          ", "6275", " - ", "SUBSCRIPTIONS")</f>
        <v xml:space="preserve">          6275 - SUBSCRIPTIONS</v>
      </c>
      <c r="C132" s="11"/>
      <c r="D132" s="7">
        <v>75</v>
      </c>
      <c r="E132" s="2"/>
      <c r="F132" s="6">
        <f t="shared" si="77"/>
        <v>2.7782947464002189E-4</v>
      </c>
      <c r="G132" s="2"/>
      <c r="H132" s="7">
        <v>290</v>
      </c>
      <c r="I132" s="2"/>
      <c r="J132" s="6">
        <f t="shared" si="78"/>
        <v>1.1537448341629544E-3</v>
      </c>
      <c r="K132" s="2"/>
      <c r="L132" s="7">
        <f t="shared" si="79"/>
        <v>-215</v>
      </c>
      <c r="M132" s="2"/>
      <c r="N132" s="6">
        <f t="shared" si="80"/>
        <v>-0.74137931034482762</v>
      </c>
      <c r="O132" s="11"/>
      <c r="P132" s="7">
        <v>460.06</v>
      </c>
      <c r="Q132" s="2"/>
      <c r="R132" s="6">
        <f t="shared" si="81"/>
        <v>2.2761069857159868E-4</v>
      </c>
      <c r="S132" s="2"/>
      <c r="T132" s="7">
        <v>2880</v>
      </c>
      <c r="U132" s="2"/>
      <c r="V132" s="6">
        <f t="shared" si="82"/>
        <v>1.4478707162629554E-3</v>
      </c>
      <c r="W132" s="2"/>
      <c r="X132" s="7">
        <f t="shared" si="83"/>
        <v>-2419.94</v>
      </c>
      <c r="Y132" s="2"/>
      <c r="Z132" s="6">
        <f t="shared" si="84"/>
        <v>-0.84025694444444443</v>
      </c>
    </row>
    <row r="133" spans="1:26" s="27" customFormat="1" outlineLevel="1" collapsed="1" x14ac:dyDescent="0.25">
      <c r="A133" s="26"/>
      <c r="B133" s="13" t="str">
        <f>CONCATENATE("     ","Supplies                                          ")</f>
        <v xml:space="preserve">     Supplies                                          </v>
      </c>
      <c r="C133" s="13"/>
      <c r="D133" s="1">
        <f>SUM(OSRRefD22_18x_0)</f>
        <v>1997.74</v>
      </c>
      <c r="E133" s="1"/>
      <c r="F133" s="5">
        <f t="shared" ref="F133:F139" si="85">IF(D$12=0,0,D133/D$12)</f>
        <v>7.4004140622314311E-3</v>
      </c>
      <c r="G133" s="1"/>
      <c r="H133" s="1">
        <f>SUM(OSRRefH22_18x_0)</f>
        <v>3570</v>
      </c>
      <c r="I133" s="1"/>
      <c r="J133" s="5">
        <f t="shared" ref="J133:J139" si="86">IF(H$12=0,0,H133/H$12)</f>
        <v>1.4202996751592232E-2</v>
      </c>
      <c r="K133" s="1"/>
      <c r="L133" s="1">
        <f t="shared" ref="L133:L139" si="87">+D133-H133</f>
        <v>-1572.26</v>
      </c>
      <c r="M133" s="1"/>
      <c r="N133" s="5">
        <f t="shared" ref="N133:N139" si="88">IF(H133=0,0,L133/H133)</f>
        <v>-0.44040896358543419</v>
      </c>
      <c r="O133" s="13"/>
      <c r="P133" s="1">
        <f>SUM(OSRRefP22_18x_0)</f>
        <v>5908.58</v>
      </c>
      <c r="Q133" s="1"/>
      <c r="R133" s="5">
        <f t="shared" ref="R133:R139" si="89">IF(P$12=0,0,P133/P$12)</f>
        <v>2.9232187570451171E-3</v>
      </c>
      <c r="S133" s="1"/>
      <c r="T133" s="1">
        <f>SUM(OSRRefT22_18x_0)</f>
        <v>11430</v>
      </c>
      <c r="U133" s="1"/>
      <c r="V133" s="5">
        <f t="shared" ref="V133:V139" si="90">IF(T$12=0,0,T133/T$12)</f>
        <v>5.7462369051686042E-3</v>
      </c>
      <c r="W133" s="1"/>
      <c r="X133" s="1">
        <f t="shared" ref="X133:X139" si="91">+P133-T133</f>
        <v>-5521.42</v>
      </c>
      <c r="Y133" s="1"/>
      <c r="Z133" s="5">
        <f t="shared" ref="Z133:Z139" si="92">IF(T133=0,0,X133/T133)</f>
        <v>-0.48306386701662291</v>
      </c>
    </row>
    <row r="134" spans="1:26" s="24" customFormat="1" hidden="1" outlineLevel="2" x14ac:dyDescent="0.25">
      <c r="A134" s="25"/>
      <c r="B134" s="11" t="str">
        <f>CONCATENATE("          ", "6234", " - ", "EXPENDABLE SUPPLIES &amp; EQUIPMEN")</f>
        <v xml:space="preserve">          6234 - EXPENDABLE SUPPLIES &amp; EQUIPMEN</v>
      </c>
      <c r="C134" s="11"/>
      <c r="D134" s="7">
        <v>815.78</v>
      </c>
      <c r="E134" s="2"/>
      <c r="F134" s="6">
        <f t="shared" si="85"/>
        <v>3.0219697176244939E-3</v>
      </c>
      <c r="G134" s="2"/>
      <c r="H134" s="7">
        <v>2600</v>
      </c>
      <c r="I134" s="2"/>
      <c r="J134" s="6">
        <f t="shared" si="86"/>
        <v>1.0343919202840281E-2</v>
      </c>
      <c r="K134" s="2"/>
      <c r="L134" s="7">
        <f t="shared" si="87"/>
        <v>-1784.22</v>
      </c>
      <c r="M134" s="2"/>
      <c r="N134" s="6">
        <f t="shared" si="88"/>
        <v>-0.68623846153846157</v>
      </c>
      <c r="O134" s="11"/>
      <c r="P134" s="7">
        <v>836.14</v>
      </c>
      <c r="Q134" s="2"/>
      <c r="R134" s="6">
        <f t="shared" si="89"/>
        <v>4.1367301983144918E-4</v>
      </c>
      <c r="S134" s="2"/>
      <c r="T134" s="7">
        <v>5850</v>
      </c>
      <c r="U134" s="2"/>
      <c r="V134" s="6">
        <f t="shared" si="90"/>
        <v>2.9409873924091281E-3</v>
      </c>
      <c r="W134" s="2"/>
      <c r="X134" s="7">
        <f t="shared" si="91"/>
        <v>-5013.8599999999997</v>
      </c>
      <c r="Y134" s="2"/>
      <c r="Z134" s="6">
        <f t="shared" si="92"/>
        <v>-0.85707008547008545</v>
      </c>
    </row>
    <row r="135" spans="1:26" s="24" customFormat="1" hidden="1" outlineLevel="2" x14ac:dyDescent="0.25">
      <c r="A135" s="25"/>
      <c r="B135" s="11" t="str">
        <f>CONCATENATE("          ", "6237", " - ", "JANITORIAL SUPPLIES")</f>
        <v xml:space="preserve">          6237 - JANITORIAL SUPPLIES</v>
      </c>
      <c r="C135" s="11"/>
      <c r="D135" s="7"/>
      <c r="E135" s="2"/>
      <c r="F135" s="6">
        <f t="shared" si="85"/>
        <v>0</v>
      </c>
      <c r="G135" s="2"/>
      <c r="H135" s="7">
        <v>45</v>
      </c>
      <c r="I135" s="2"/>
      <c r="J135" s="6">
        <f t="shared" si="86"/>
        <v>1.7902937081838949E-4</v>
      </c>
      <c r="K135" s="2"/>
      <c r="L135" s="7">
        <f t="shared" si="87"/>
        <v>-45</v>
      </c>
      <c r="M135" s="2"/>
      <c r="N135" s="6">
        <f t="shared" si="88"/>
        <v>-1</v>
      </c>
      <c r="O135" s="11"/>
      <c r="P135" s="7">
        <v>287.72000000000003</v>
      </c>
      <c r="Q135" s="2"/>
      <c r="R135" s="6">
        <f t="shared" si="89"/>
        <v>1.423469769008833E-4</v>
      </c>
      <c r="S135" s="2"/>
      <c r="T135" s="7">
        <v>305</v>
      </c>
      <c r="U135" s="2"/>
      <c r="V135" s="6">
        <f t="shared" si="90"/>
        <v>1.5333353071534772E-4</v>
      </c>
      <c r="W135" s="2"/>
      <c r="X135" s="7">
        <f t="shared" si="91"/>
        <v>-17.279999999999973</v>
      </c>
      <c r="Y135" s="2"/>
      <c r="Z135" s="6">
        <f t="shared" si="92"/>
        <v>-5.6655737704917941E-2</v>
      </c>
    </row>
    <row r="136" spans="1:26" s="24" customFormat="1" hidden="1" outlineLevel="2" x14ac:dyDescent="0.25">
      <c r="A136" s="25"/>
      <c r="B136" s="11" t="str">
        <f>CONCATENATE("          ", "6241", " - ", "OFFICE EXPENSE")</f>
        <v xml:space="preserve">          6241 - OFFICE EXPENSE</v>
      </c>
      <c r="C136" s="11"/>
      <c r="D136" s="7">
        <v>630.52</v>
      </c>
      <c r="E136" s="2"/>
      <c r="F136" s="6">
        <f t="shared" si="85"/>
        <v>2.3356938713336882E-3</v>
      </c>
      <c r="G136" s="2"/>
      <c r="H136" s="7">
        <v>400</v>
      </c>
      <c r="I136" s="2"/>
      <c r="J136" s="6">
        <f t="shared" si="86"/>
        <v>1.591372185052351E-3</v>
      </c>
      <c r="K136" s="2"/>
      <c r="L136" s="7">
        <f t="shared" si="87"/>
        <v>230.51999999999998</v>
      </c>
      <c r="M136" s="2"/>
      <c r="N136" s="6">
        <f t="shared" si="88"/>
        <v>0.57629999999999992</v>
      </c>
      <c r="O136" s="11"/>
      <c r="P136" s="7">
        <v>4508.49</v>
      </c>
      <c r="Q136" s="2"/>
      <c r="R136" s="6">
        <f t="shared" si="89"/>
        <v>2.2305363613508386E-3</v>
      </c>
      <c r="S136" s="2"/>
      <c r="T136" s="7">
        <v>2900</v>
      </c>
      <c r="U136" s="2"/>
      <c r="V136" s="6">
        <f t="shared" si="90"/>
        <v>1.4579253740147815E-3</v>
      </c>
      <c r="W136" s="2"/>
      <c r="X136" s="7">
        <f t="shared" si="91"/>
        <v>1608.4899999999998</v>
      </c>
      <c r="Y136" s="2"/>
      <c r="Z136" s="6">
        <f t="shared" si="92"/>
        <v>0.55465172413793096</v>
      </c>
    </row>
    <row r="137" spans="1:26" s="24" customFormat="1" hidden="1" outlineLevel="2" x14ac:dyDescent="0.25">
      <c r="A137" s="25"/>
      <c r="B137" s="11" t="str">
        <f>CONCATENATE("          ", "6245", " - ", "PRINTING")</f>
        <v xml:space="preserve">          6245 - PRINTING</v>
      </c>
      <c r="C137" s="11"/>
      <c r="D137" s="7">
        <v>110.25</v>
      </c>
      <c r="E137" s="2"/>
      <c r="F137" s="6">
        <f t="shared" si="85"/>
        <v>4.0840932772083217E-4</v>
      </c>
      <c r="G137" s="2"/>
      <c r="H137" s="7"/>
      <c r="I137" s="2"/>
      <c r="J137" s="6">
        <f t="shared" si="86"/>
        <v>0</v>
      </c>
      <c r="K137" s="2"/>
      <c r="L137" s="7">
        <f t="shared" si="87"/>
        <v>110.25</v>
      </c>
      <c r="M137" s="2"/>
      <c r="N137" s="6">
        <f t="shared" si="88"/>
        <v>0</v>
      </c>
      <c r="O137" s="11"/>
      <c r="P137" s="7">
        <v>-506.93</v>
      </c>
      <c r="Q137" s="2"/>
      <c r="R137" s="6">
        <f t="shared" si="89"/>
        <v>-2.5079922494218257E-4</v>
      </c>
      <c r="S137" s="2"/>
      <c r="T137" s="7"/>
      <c r="U137" s="2"/>
      <c r="V137" s="6">
        <f t="shared" si="90"/>
        <v>0</v>
      </c>
      <c r="W137" s="2"/>
      <c r="X137" s="7">
        <f t="shared" si="91"/>
        <v>-506.93</v>
      </c>
      <c r="Y137" s="2"/>
      <c r="Z137" s="6">
        <f t="shared" si="92"/>
        <v>0</v>
      </c>
    </row>
    <row r="138" spans="1:26" s="24" customFormat="1" hidden="1" outlineLevel="2" x14ac:dyDescent="0.25">
      <c r="A138" s="25"/>
      <c r="B138" s="11" t="str">
        <f>CONCATENATE("          ", "6247", " - ", "STORE SUPPLIES")</f>
        <v xml:space="preserve">          6247 - STORE SUPPLIES</v>
      </c>
      <c r="C138" s="11"/>
      <c r="D138" s="7">
        <v>441.19</v>
      </c>
      <c r="E138" s="2"/>
      <c r="F138" s="6">
        <f t="shared" si="85"/>
        <v>1.6343411455524168E-3</v>
      </c>
      <c r="G138" s="2"/>
      <c r="H138" s="7">
        <v>525</v>
      </c>
      <c r="I138" s="2"/>
      <c r="J138" s="6">
        <f t="shared" si="86"/>
        <v>2.0886759928812107E-3</v>
      </c>
      <c r="K138" s="2"/>
      <c r="L138" s="7">
        <f t="shared" si="87"/>
        <v>-83.81</v>
      </c>
      <c r="M138" s="2"/>
      <c r="N138" s="6">
        <f t="shared" si="88"/>
        <v>-0.15963809523809525</v>
      </c>
      <c r="O138" s="11"/>
      <c r="P138" s="7">
        <v>783.16</v>
      </c>
      <c r="Q138" s="2"/>
      <c r="R138" s="6">
        <f t="shared" si="89"/>
        <v>3.874616239041282E-4</v>
      </c>
      <c r="S138" s="2"/>
      <c r="T138" s="7">
        <v>1875</v>
      </c>
      <c r="U138" s="2"/>
      <c r="V138" s="6">
        <f t="shared" si="90"/>
        <v>9.4262416423369498E-4</v>
      </c>
      <c r="W138" s="2"/>
      <c r="X138" s="7">
        <f t="shared" si="91"/>
        <v>-1091.8400000000001</v>
      </c>
      <c r="Y138" s="2"/>
      <c r="Z138" s="6">
        <f t="shared" si="92"/>
        <v>-0.58231466666666676</v>
      </c>
    </row>
    <row r="139" spans="1:26" s="24" customFormat="1" hidden="1" outlineLevel="2" x14ac:dyDescent="0.25">
      <c r="A139" s="25"/>
      <c r="B139" s="11" t="str">
        <f>CONCATENATE("          ", "6248", " - ", "UNIFORMS")</f>
        <v xml:space="preserve">          6248 - UNIFORMS</v>
      </c>
      <c r="C139" s="11"/>
      <c r="D139" s="7"/>
      <c r="E139" s="2"/>
      <c r="F139" s="6">
        <f t="shared" si="85"/>
        <v>0</v>
      </c>
      <c r="G139" s="2"/>
      <c r="H139" s="7">
        <v>0</v>
      </c>
      <c r="I139" s="2"/>
      <c r="J139" s="6">
        <f t="shared" si="86"/>
        <v>0</v>
      </c>
      <c r="K139" s="2"/>
      <c r="L139" s="7">
        <f t="shared" si="87"/>
        <v>0</v>
      </c>
      <c r="M139" s="2"/>
      <c r="N139" s="6">
        <f t="shared" si="88"/>
        <v>0</v>
      </c>
      <c r="O139" s="11"/>
      <c r="P139" s="7"/>
      <c r="Q139" s="2"/>
      <c r="R139" s="6">
        <f t="shared" si="89"/>
        <v>0</v>
      </c>
      <c r="S139" s="2"/>
      <c r="T139" s="7">
        <v>500</v>
      </c>
      <c r="U139" s="2"/>
      <c r="V139" s="6">
        <f t="shared" si="90"/>
        <v>2.5136644379565197E-4</v>
      </c>
      <c r="W139" s="2"/>
      <c r="X139" s="7">
        <f t="shared" si="91"/>
        <v>-500</v>
      </c>
      <c r="Y139" s="2"/>
      <c r="Z139" s="6">
        <f t="shared" si="92"/>
        <v>-1</v>
      </c>
    </row>
    <row r="140" spans="1:26" s="27" customFormat="1" outlineLevel="1" collapsed="1" x14ac:dyDescent="0.25">
      <c r="A140" s="26"/>
      <c r="B140" s="13" t="str">
        <f>CONCATENATE("     ","Telephone/Data Lines                              ")</f>
        <v xml:space="preserve">     Telephone/Data Lines                              </v>
      </c>
      <c r="C140" s="13"/>
      <c r="D140" s="1">
        <f>SUM(OSRRefD22_19x_0)</f>
        <v>614.79999999999995</v>
      </c>
      <c r="E140" s="1"/>
      <c r="F140" s="5">
        <f t="shared" ref="F140:F142" si="93">IF(D$12=0,0,D140/D$12)</f>
        <v>2.2774608134491395E-3</v>
      </c>
      <c r="G140" s="1"/>
      <c r="H140" s="1">
        <f>SUM(OSRRefH22_19x_0)</f>
        <v>800</v>
      </c>
      <c r="I140" s="1"/>
      <c r="J140" s="5">
        <f t="shared" ref="J140:J142" si="94">IF(H$12=0,0,H140/H$12)</f>
        <v>3.182744370104702E-3</v>
      </c>
      <c r="K140" s="1"/>
      <c r="L140" s="1">
        <f t="shared" ref="L140:L142" si="95">+D140-H140</f>
        <v>-185.20000000000005</v>
      </c>
      <c r="M140" s="1"/>
      <c r="N140" s="5">
        <f t="shared" ref="N140:N142" si="96">IF(H140=0,0,L140/H140)</f>
        <v>-0.23150000000000007</v>
      </c>
      <c r="O140" s="13"/>
      <c r="P140" s="1">
        <f>SUM(OSRRefP22_19x_0)</f>
        <v>5859.14</v>
      </c>
      <c r="Q140" s="1"/>
      <c r="R140" s="5">
        <f t="shared" ref="R140:R142" si="97">IF(P$12=0,0,P140/P$12)</f>
        <v>2.8987587454436308E-3</v>
      </c>
      <c r="S140" s="1"/>
      <c r="T140" s="1">
        <f>SUM(OSRRefT22_19x_0)</f>
        <v>7775</v>
      </c>
      <c r="U140" s="1"/>
      <c r="V140" s="5">
        <f t="shared" ref="V140:V142" si="98">IF(T$12=0,0,T140/T$12)</f>
        <v>3.9087482010223881E-3</v>
      </c>
      <c r="W140" s="1"/>
      <c r="X140" s="1">
        <f t="shared" ref="X140:X142" si="99">+P140-T140</f>
        <v>-1915.8599999999997</v>
      </c>
      <c r="Y140" s="1"/>
      <c r="Z140" s="5">
        <f t="shared" ref="Z140:Z142" si="100">IF(T140=0,0,X140/T140)</f>
        <v>-0.24641286173633437</v>
      </c>
    </row>
    <row r="141" spans="1:26" s="24" customFormat="1" hidden="1" outlineLevel="2" x14ac:dyDescent="0.25">
      <c r="A141" s="25"/>
      <c r="B141" s="11" t="str">
        <f>CONCATENATE("          ", "6303", " - ", "DATA PHONE LINES")</f>
        <v xml:space="preserve">          6303 - DATA PHONE LINES</v>
      </c>
      <c r="C141" s="11"/>
      <c r="D141" s="7"/>
      <c r="E141" s="2"/>
      <c r="F141" s="6">
        <f t="shared" si="93"/>
        <v>0</v>
      </c>
      <c r="G141" s="2"/>
      <c r="H141" s="7">
        <v>400</v>
      </c>
      <c r="I141" s="2"/>
      <c r="J141" s="6">
        <f t="shared" si="94"/>
        <v>1.591372185052351E-3</v>
      </c>
      <c r="K141" s="2"/>
      <c r="L141" s="7">
        <f t="shared" si="95"/>
        <v>-400</v>
      </c>
      <c r="M141" s="2"/>
      <c r="N141" s="6">
        <f t="shared" si="96"/>
        <v>-1</v>
      </c>
      <c r="O141" s="11"/>
      <c r="P141" s="7"/>
      <c r="Q141" s="2"/>
      <c r="R141" s="6">
        <f t="shared" si="97"/>
        <v>0</v>
      </c>
      <c r="S141" s="2"/>
      <c r="T141" s="7">
        <v>3875</v>
      </c>
      <c r="U141" s="2"/>
      <c r="V141" s="6">
        <f t="shared" si="98"/>
        <v>1.9480899394163028E-3</v>
      </c>
      <c r="W141" s="2"/>
      <c r="X141" s="7">
        <f t="shared" si="99"/>
        <v>-3875</v>
      </c>
      <c r="Y141" s="2"/>
      <c r="Z141" s="6">
        <f t="shared" si="100"/>
        <v>-1</v>
      </c>
    </row>
    <row r="142" spans="1:26" s="24" customFormat="1" hidden="1" outlineLevel="2" x14ac:dyDescent="0.25">
      <c r="A142" s="25"/>
      <c r="B142" s="11" t="str">
        <f>CONCATENATE("          ", "6309", " - ", "TELEPHONE")</f>
        <v xml:space="preserve">          6309 - TELEPHONE</v>
      </c>
      <c r="C142" s="11"/>
      <c r="D142" s="7">
        <v>614.79999999999995</v>
      </c>
      <c r="E142" s="2"/>
      <c r="F142" s="6">
        <f t="shared" si="93"/>
        <v>2.2774608134491395E-3</v>
      </c>
      <c r="G142" s="2"/>
      <c r="H142" s="7">
        <v>400</v>
      </c>
      <c r="I142" s="2"/>
      <c r="J142" s="6">
        <f t="shared" si="94"/>
        <v>1.591372185052351E-3</v>
      </c>
      <c r="K142" s="2"/>
      <c r="L142" s="7">
        <f t="shared" si="95"/>
        <v>214.79999999999995</v>
      </c>
      <c r="M142" s="2"/>
      <c r="N142" s="6">
        <f t="shared" si="96"/>
        <v>0.53699999999999992</v>
      </c>
      <c r="O142" s="11"/>
      <c r="P142" s="7">
        <v>5859.14</v>
      </c>
      <c r="Q142" s="2"/>
      <c r="R142" s="6">
        <f t="shared" si="97"/>
        <v>2.8987587454436308E-3</v>
      </c>
      <c r="S142" s="2"/>
      <c r="T142" s="7">
        <v>3900</v>
      </c>
      <c r="U142" s="2"/>
      <c r="V142" s="6">
        <f t="shared" si="98"/>
        <v>1.9606582616060854E-3</v>
      </c>
      <c r="W142" s="2"/>
      <c r="X142" s="7">
        <f t="shared" si="99"/>
        <v>1959.1400000000003</v>
      </c>
      <c r="Y142" s="2"/>
      <c r="Z142" s="6">
        <f t="shared" si="100"/>
        <v>0.50234358974358984</v>
      </c>
    </row>
    <row r="143" spans="1:26" s="27" customFormat="1" outlineLevel="1" collapsed="1" x14ac:dyDescent="0.25">
      <c r="A143" s="26"/>
      <c r="B143" s="13" t="str">
        <f>CONCATENATE("     ","Training                                          ")</f>
        <v xml:space="preserve">     Training                                          </v>
      </c>
      <c r="C143" s="13"/>
      <c r="D143" s="1">
        <f>SUM(OSRRefD22_20x_0)</f>
        <v>0</v>
      </c>
      <c r="E143" s="1"/>
      <c r="F143" s="5">
        <f t="shared" ref="F143:F147" si="101">IF(D$12=0,0,D143/D$12)</f>
        <v>0</v>
      </c>
      <c r="G143" s="1"/>
      <c r="H143" s="1">
        <f>SUM(OSRRefH22_20x_0)</f>
        <v>1000</v>
      </c>
      <c r="I143" s="1"/>
      <c r="J143" s="5">
        <f t="shared" ref="J143:J147" si="102">IF(H$12=0,0,H143/H$12)</f>
        <v>3.978430462630877E-3</v>
      </c>
      <c r="K143" s="1"/>
      <c r="L143" s="1">
        <f t="shared" ref="L143:L147" si="103">+D143-H143</f>
        <v>-1000</v>
      </c>
      <c r="M143" s="1"/>
      <c r="N143" s="5">
        <f t="shared" ref="N143:N147" si="104">IF(H143=0,0,L143/H143)</f>
        <v>-1</v>
      </c>
      <c r="O143" s="13"/>
      <c r="P143" s="1">
        <f>SUM(OSRRefP22_20x_0)</f>
        <v>1379.18</v>
      </c>
      <c r="Q143" s="1"/>
      <c r="R143" s="5">
        <f t="shared" ref="R143:R147" si="105">IF(P$12=0,0,P143/P$12)</f>
        <v>6.8233735437981454E-4</v>
      </c>
      <c r="S143" s="1"/>
      <c r="T143" s="1">
        <f>SUM(OSRRefT22_20x_0)</f>
        <v>3600</v>
      </c>
      <c r="U143" s="1"/>
      <c r="V143" s="5">
        <f t="shared" ref="V143:V147" si="106">IF(T$12=0,0,T143/T$12)</f>
        <v>1.8098383953286943E-3</v>
      </c>
      <c r="W143" s="1"/>
      <c r="X143" s="1">
        <f t="shared" ref="X143:X147" si="107">+P143-T143</f>
        <v>-2220.8199999999997</v>
      </c>
      <c r="Y143" s="1"/>
      <c r="Z143" s="5">
        <f t="shared" ref="Z143:Z147" si="108">IF(T143=0,0,X143/T143)</f>
        <v>-0.61689444444444441</v>
      </c>
    </row>
    <row r="144" spans="1:26" s="24" customFormat="1" hidden="1" outlineLevel="2" x14ac:dyDescent="0.25">
      <c r="A144" s="25"/>
      <c r="B144" s="11" t="str">
        <f>CONCATENATE("          ", "6376", " - ", "TRAINING")</f>
        <v xml:space="preserve">          6376 - TRAINING</v>
      </c>
      <c r="C144" s="11"/>
      <c r="D144" s="7"/>
      <c r="E144" s="2"/>
      <c r="F144" s="6">
        <f t="shared" si="101"/>
        <v>0</v>
      </c>
      <c r="G144" s="2"/>
      <c r="H144" s="7">
        <v>1000</v>
      </c>
      <c r="I144" s="2"/>
      <c r="J144" s="6">
        <f t="shared" si="102"/>
        <v>3.978430462630877E-3</v>
      </c>
      <c r="K144" s="2"/>
      <c r="L144" s="7">
        <f t="shared" si="103"/>
        <v>-1000</v>
      </c>
      <c r="M144" s="2"/>
      <c r="N144" s="6">
        <f t="shared" si="104"/>
        <v>-1</v>
      </c>
      <c r="O144" s="11"/>
      <c r="P144" s="7">
        <v>1379.18</v>
      </c>
      <c r="Q144" s="2"/>
      <c r="R144" s="6">
        <f t="shared" si="105"/>
        <v>6.8233735437981454E-4</v>
      </c>
      <c r="S144" s="2"/>
      <c r="T144" s="7">
        <v>3600</v>
      </c>
      <c r="U144" s="2"/>
      <c r="V144" s="6">
        <f t="shared" si="106"/>
        <v>1.8098383953286943E-3</v>
      </c>
      <c r="W144" s="2"/>
      <c r="X144" s="7">
        <f t="shared" si="107"/>
        <v>-2220.8199999999997</v>
      </c>
      <c r="Y144" s="2"/>
      <c r="Z144" s="6">
        <f t="shared" si="108"/>
        <v>-0.61689444444444441</v>
      </c>
    </row>
    <row r="145" spans="1:26" s="27" customFormat="1" outlineLevel="1" collapsed="1" x14ac:dyDescent="0.25">
      <c r="A145" s="26"/>
      <c r="B145" s="13" t="str">
        <f>CONCATENATE("     ","Travel                                            ")</f>
        <v xml:space="preserve">     Travel                                            </v>
      </c>
      <c r="C145" s="13"/>
      <c r="D145" s="1">
        <f>SUM(OSRRefD22_21x_0)</f>
        <v>-346.75</v>
      </c>
      <c r="E145" s="1"/>
      <c r="F145" s="5">
        <f t="shared" si="101"/>
        <v>-1.2844982710857012E-3</v>
      </c>
      <c r="G145" s="1"/>
      <c r="H145" s="1">
        <f>SUM(OSRRefH22_21x_0)</f>
        <v>100</v>
      </c>
      <c r="I145" s="1"/>
      <c r="J145" s="5">
        <f t="shared" si="102"/>
        <v>3.9784304626308775E-4</v>
      </c>
      <c r="K145" s="1"/>
      <c r="L145" s="1">
        <f t="shared" si="103"/>
        <v>-446.75</v>
      </c>
      <c r="M145" s="1"/>
      <c r="N145" s="5">
        <f t="shared" si="104"/>
        <v>-4.4675000000000002</v>
      </c>
      <c r="O145" s="13"/>
      <c r="P145" s="1">
        <f>SUM(OSRRefP22_21x_0)</f>
        <v>563.55999999999995</v>
      </c>
      <c r="Q145" s="1"/>
      <c r="R145" s="5">
        <f t="shared" si="105"/>
        <v>2.7881642674218611E-4</v>
      </c>
      <c r="S145" s="1"/>
      <c r="T145" s="1">
        <f>SUM(OSRRefT22_21x_0)</f>
        <v>710</v>
      </c>
      <c r="U145" s="1"/>
      <c r="V145" s="5">
        <f t="shared" si="106"/>
        <v>3.5694035018982585E-4</v>
      </c>
      <c r="W145" s="1"/>
      <c r="X145" s="1">
        <f t="shared" si="107"/>
        <v>-146.44000000000005</v>
      </c>
      <c r="Y145" s="1"/>
      <c r="Z145" s="5">
        <f t="shared" si="108"/>
        <v>-0.20625352112676065</v>
      </c>
    </row>
    <row r="146" spans="1:26" s="24" customFormat="1" hidden="1" outlineLevel="2" x14ac:dyDescent="0.25">
      <c r="A146" s="25"/>
      <c r="B146" s="11" t="str">
        <f>CONCATENATE("          ", "6292", " - ", "TRAVEL/CONFERENCE")</f>
        <v xml:space="preserve">          6292 - TRAVEL/CONFERENCE</v>
      </c>
      <c r="C146" s="11"/>
      <c r="D146" s="7"/>
      <c r="E146" s="2"/>
      <c r="F146" s="6">
        <f t="shared" si="101"/>
        <v>0</v>
      </c>
      <c r="G146" s="2"/>
      <c r="H146" s="7"/>
      <c r="I146" s="2"/>
      <c r="J146" s="6">
        <f t="shared" si="102"/>
        <v>0</v>
      </c>
      <c r="K146" s="2"/>
      <c r="L146" s="7">
        <f t="shared" si="103"/>
        <v>0</v>
      </c>
      <c r="M146" s="2"/>
      <c r="N146" s="6">
        <f t="shared" si="104"/>
        <v>0</v>
      </c>
      <c r="O146" s="11"/>
      <c r="P146" s="7">
        <v>107.04</v>
      </c>
      <c r="Q146" s="2"/>
      <c r="R146" s="6">
        <f t="shared" si="105"/>
        <v>5.2957112496422037E-5</v>
      </c>
      <c r="S146" s="2"/>
      <c r="T146" s="7"/>
      <c r="U146" s="2"/>
      <c r="V146" s="6">
        <f t="shared" si="106"/>
        <v>0</v>
      </c>
      <c r="W146" s="2"/>
      <c r="X146" s="7">
        <f t="shared" si="107"/>
        <v>107.04</v>
      </c>
      <c r="Y146" s="2"/>
      <c r="Z146" s="6">
        <f t="shared" si="108"/>
        <v>0</v>
      </c>
    </row>
    <row r="147" spans="1:26" s="24" customFormat="1" hidden="1" outlineLevel="2" x14ac:dyDescent="0.25">
      <c r="A147" s="25"/>
      <c r="B147" s="11" t="str">
        <f>CONCATENATE("          ", "6294", " - ", "TRAVEL OPERATIONAL")</f>
        <v xml:space="preserve">          6294 - TRAVEL OPERATIONAL</v>
      </c>
      <c r="C147" s="11"/>
      <c r="D147" s="7">
        <v>-346.75</v>
      </c>
      <c r="E147" s="2"/>
      <c r="F147" s="6">
        <f t="shared" si="101"/>
        <v>-1.2844982710857012E-3</v>
      </c>
      <c r="G147" s="2"/>
      <c r="H147" s="7">
        <v>100</v>
      </c>
      <c r="I147" s="2"/>
      <c r="J147" s="6">
        <f t="shared" si="102"/>
        <v>3.9784304626308775E-4</v>
      </c>
      <c r="K147" s="2"/>
      <c r="L147" s="7">
        <f t="shared" si="103"/>
        <v>-446.75</v>
      </c>
      <c r="M147" s="2"/>
      <c r="N147" s="6">
        <f t="shared" si="104"/>
        <v>-4.4675000000000002</v>
      </c>
      <c r="O147" s="11"/>
      <c r="P147" s="7">
        <v>456.52</v>
      </c>
      <c r="Q147" s="2"/>
      <c r="R147" s="6">
        <f t="shared" si="105"/>
        <v>2.2585931424576409E-4</v>
      </c>
      <c r="S147" s="2"/>
      <c r="T147" s="7">
        <v>710</v>
      </c>
      <c r="U147" s="2"/>
      <c r="V147" s="6">
        <f t="shared" si="106"/>
        <v>3.5694035018982585E-4</v>
      </c>
      <c r="W147" s="2"/>
      <c r="X147" s="7">
        <f t="shared" si="107"/>
        <v>-253.48000000000002</v>
      </c>
      <c r="Y147" s="2"/>
      <c r="Z147" s="6">
        <f t="shared" si="108"/>
        <v>-0.35701408450704231</v>
      </c>
    </row>
    <row r="148" spans="1:26" s="27" customFormat="1" outlineLevel="1" collapsed="1" x14ac:dyDescent="0.25">
      <c r="A148" s="26"/>
      <c r="B148" s="13" t="str">
        <f>CONCATENATE("     ","Utilities                                         ")</f>
        <v xml:space="preserve">     Utilities                                         </v>
      </c>
      <c r="C148" s="13"/>
      <c r="D148" s="1">
        <f>SUM(OSRRefD22_22x_0)</f>
        <v>163.13999999999999</v>
      </c>
      <c r="E148" s="1"/>
      <c r="F148" s="5">
        <f t="shared" ref="F148:F149" si="109">IF(D$12=0,0,D148/D$12)</f>
        <v>6.043346732369756E-4</v>
      </c>
      <c r="G148" s="1"/>
      <c r="H148" s="1">
        <f>SUM(OSRRefH22_22x_0)</f>
        <v>150</v>
      </c>
      <c r="I148" s="1"/>
      <c r="J148" s="5">
        <f t="shared" ref="J148:J149" si="110">IF(H$12=0,0,H148/H$12)</f>
        <v>5.9676456939463155E-4</v>
      </c>
      <c r="K148" s="1"/>
      <c r="L148" s="1">
        <f t="shared" ref="L148:L149" si="111">+D148-H148</f>
        <v>13.139999999999986</v>
      </c>
      <c r="M148" s="1"/>
      <c r="N148" s="5">
        <f t="shared" ref="N148:N149" si="112">IF(H148=0,0,L148/H148)</f>
        <v>8.7599999999999914E-2</v>
      </c>
      <c r="O148" s="13"/>
      <c r="P148" s="1">
        <f>SUM(OSRRefP22_22x_0)</f>
        <v>460.82</v>
      </c>
      <c r="Q148" s="1"/>
      <c r="R148" s="5">
        <f t="shared" ref="R148:R149" si="113">IF(P$12=0,0,P148/P$12)</f>
        <v>2.2798670198618463E-4</v>
      </c>
      <c r="S148" s="1"/>
      <c r="T148" s="1">
        <f>SUM(OSRRefT22_22x_0)</f>
        <v>675</v>
      </c>
      <c r="U148" s="1"/>
      <c r="V148" s="5">
        <f t="shared" ref="V148:V149" si="114">IF(T$12=0,0,T148/T$12)</f>
        <v>3.3934469912413017E-4</v>
      </c>
      <c r="W148" s="1"/>
      <c r="X148" s="1">
        <f t="shared" ref="X148:X149" si="115">+P148-T148</f>
        <v>-214.18</v>
      </c>
      <c r="Y148" s="1"/>
      <c r="Z148" s="5">
        <f t="shared" ref="Z148:Z149" si="116">IF(T148=0,0,X148/T148)</f>
        <v>-0.3173037037037037</v>
      </c>
    </row>
    <row r="149" spans="1:26" s="24" customFormat="1" hidden="1" outlineLevel="2" x14ac:dyDescent="0.25">
      <c r="A149" s="25"/>
      <c r="B149" s="11" t="str">
        <f>CONCATENATE("          ", "6274", " - ", "UTILITIES")</f>
        <v xml:space="preserve">          6274 - UTILITIES</v>
      </c>
      <c r="C149" s="11"/>
      <c r="D149" s="7">
        <v>163.13999999999999</v>
      </c>
      <c r="E149" s="2"/>
      <c r="F149" s="6">
        <f t="shared" si="109"/>
        <v>6.043346732369756E-4</v>
      </c>
      <c r="G149" s="2"/>
      <c r="H149" s="7">
        <v>150</v>
      </c>
      <c r="I149" s="2"/>
      <c r="J149" s="6">
        <f t="shared" si="110"/>
        <v>5.9676456939463155E-4</v>
      </c>
      <c r="K149" s="2"/>
      <c r="L149" s="7">
        <f t="shared" si="111"/>
        <v>13.139999999999986</v>
      </c>
      <c r="M149" s="2"/>
      <c r="N149" s="6">
        <f t="shared" si="112"/>
        <v>8.7599999999999914E-2</v>
      </c>
      <c r="O149" s="11"/>
      <c r="P149" s="7">
        <v>460.82</v>
      </c>
      <c r="Q149" s="2"/>
      <c r="R149" s="6">
        <f t="shared" si="113"/>
        <v>2.2798670198618463E-4</v>
      </c>
      <c r="S149" s="2"/>
      <c r="T149" s="7">
        <v>675</v>
      </c>
      <c r="U149" s="2"/>
      <c r="V149" s="6">
        <f t="shared" si="114"/>
        <v>3.3934469912413017E-4</v>
      </c>
      <c r="W149" s="2"/>
      <c r="X149" s="7">
        <f t="shared" si="115"/>
        <v>-214.18</v>
      </c>
      <c r="Y149" s="2"/>
      <c r="Z149" s="6">
        <f t="shared" si="116"/>
        <v>-0.3173037037037037</v>
      </c>
    </row>
    <row r="150" spans="1:26" s="53" customFormat="1" x14ac:dyDescent="0.25">
      <c r="A150" s="36"/>
      <c r="B150" s="36"/>
      <c r="C150" s="36"/>
      <c r="D150" s="1"/>
      <c r="E150" s="1"/>
      <c r="F150" s="5"/>
      <c r="G150" s="1"/>
      <c r="H150" s="1"/>
      <c r="I150" s="1"/>
      <c r="J150" s="5"/>
      <c r="K150" s="1"/>
      <c r="L150" s="1"/>
      <c r="M150" s="1"/>
      <c r="N150" s="5"/>
      <c r="O150" s="36"/>
      <c r="P150" s="1"/>
      <c r="Q150" s="1"/>
      <c r="R150" s="5"/>
      <c r="S150" s="1"/>
      <c r="T150" s="1"/>
      <c r="U150" s="1"/>
      <c r="V150" s="5"/>
      <c r="W150" s="1"/>
      <c r="X150" s="1"/>
      <c r="Y150" s="1"/>
      <c r="Z150" s="5"/>
    </row>
    <row r="151" spans="1:26" s="23" customFormat="1" collapsed="1" x14ac:dyDescent="0.25">
      <c r="A151" s="10"/>
      <c r="B151" s="28" t="s">
        <v>0</v>
      </c>
      <c r="C151" s="10"/>
      <c r="D151" s="4">
        <f>SUM(OSRRefD25x_0)</f>
        <v>0</v>
      </c>
      <c r="E151" s="4"/>
      <c r="F151" s="12">
        <f t="shared" ref="F151:F154" si="117">IF(D$12=0,0,D151/D$12)</f>
        <v>0</v>
      </c>
      <c r="G151" s="4"/>
      <c r="H151" s="4">
        <f>SUM(OSRRefH25x_0)</f>
        <v>8625</v>
      </c>
      <c r="I151" s="4"/>
      <c r="J151" s="12">
        <f t="shared" ref="J151:J154" si="118">IF(H$12=0,0,H151/H$12)</f>
        <v>3.4313962740191314E-2</v>
      </c>
      <c r="K151" s="4"/>
      <c r="L151" s="4">
        <f t="shared" ref="L151:L154" si="119">+D151-H151</f>
        <v>-8625</v>
      </c>
      <c r="M151" s="4"/>
      <c r="N151" s="12">
        <f t="shared" ref="N151:N154" si="120">IF(H151=0,0,L151/H151)</f>
        <v>-1</v>
      </c>
      <c r="O151" s="10"/>
      <c r="P151" s="4">
        <f>SUM(OSRRefP25x_0)</f>
        <v>14830.16</v>
      </c>
      <c r="Q151" s="4"/>
      <c r="R151" s="12">
        <f t="shared" ref="R151:R154" si="121">IF(P$12=0,0,P151/P$12)</f>
        <v>7.3370931563895578E-3</v>
      </c>
      <c r="S151" s="4"/>
      <c r="T151" s="4">
        <f>SUM(OSRRefT25x_0)</f>
        <v>60375</v>
      </c>
      <c r="U151" s="4"/>
      <c r="V151" s="12">
        <f t="shared" ref="V151:V154" si="122">IF(T$12=0,0,T151/T$12)</f>
        <v>3.0352498088324978E-2</v>
      </c>
      <c r="W151" s="4"/>
      <c r="X151" s="4">
        <f t="shared" ref="X151:X154" si="123">+P151-T151</f>
        <v>-45544.84</v>
      </c>
      <c r="Y151" s="4"/>
      <c r="Z151" s="12">
        <f t="shared" ref="Z151:Z154" si="124">IF(T151=0,0,X151/T151)</f>
        <v>-0.75436587991718418</v>
      </c>
    </row>
    <row r="152" spans="1:26" s="24" customFormat="1" hidden="1" outlineLevel="1" x14ac:dyDescent="0.25">
      <c r="A152" s="44"/>
      <c r="B152" s="11" t="str">
        <f>CONCATENATE("          ", "9150", " - ", "MISC. INCOME")</f>
        <v xml:space="preserve">          9150 - MISC. INCOME</v>
      </c>
      <c r="C152" s="11"/>
      <c r="D152" s="2">
        <f t="shared" ref="D152:D154" si="125">0</f>
        <v>0</v>
      </c>
      <c r="E152" s="2"/>
      <c r="F152" s="19">
        <f t="shared" si="117"/>
        <v>0</v>
      </c>
      <c r="G152" s="2"/>
      <c r="H152" s="2">
        <v>7725</v>
      </c>
      <c r="I152" s="2"/>
      <c r="J152" s="19">
        <f t="shared" si="118"/>
        <v>3.0733375323823527E-2</v>
      </c>
      <c r="K152" s="2"/>
      <c r="L152" s="2">
        <f t="shared" si="119"/>
        <v>-7725</v>
      </c>
      <c r="M152" s="2"/>
      <c r="N152" s="19">
        <f t="shared" si="120"/>
        <v>-1</v>
      </c>
      <c r="O152" s="11"/>
      <c r="P152" s="2">
        <f>--14830.16</f>
        <v>14830.16</v>
      </c>
      <c r="Q152" s="2"/>
      <c r="R152" s="19">
        <f t="shared" si="121"/>
        <v>7.3370931563895578E-3</v>
      </c>
      <c r="S152" s="2"/>
      <c r="T152" s="2">
        <v>54075</v>
      </c>
      <c r="U152" s="2"/>
      <c r="V152" s="19">
        <f t="shared" si="122"/>
        <v>2.7185280896499762E-2</v>
      </c>
      <c r="W152" s="2"/>
      <c r="X152" s="2">
        <f t="shared" si="123"/>
        <v>-39244.839999999997</v>
      </c>
      <c r="Y152" s="2"/>
      <c r="Z152" s="19">
        <f t="shared" si="124"/>
        <v>-0.72574831252889493</v>
      </c>
    </row>
    <row r="153" spans="1:26" s="24" customFormat="1" hidden="1" outlineLevel="1" x14ac:dyDescent="0.25">
      <c r="A153" s="44"/>
      <c r="B153" s="11" t="str">
        <f>CONCATENATE("          ", "9151", " - ", "MISC. INCOME")</f>
        <v xml:space="preserve">          9151 - MISC. INCOME</v>
      </c>
      <c r="C153" s="11"/>
      <c r="D153" s="2">
        <f t="shared" si="125"/>
        <v>0</v>
      </c>
      <c r="E153" s="2"/>
      <c r="F153" s="19">
        <f t="shared" si="117"/>
        <v>0</v>
      </c>
      <c r="G153" s="2"/>
      <c r="H153" s="2">
        <v>100</v>
      </c>
      <c r="I153" s="2"/>
      <c r="J153" s="19">
        <f t="shared" si="118"/>
        <v>3.9784304626308775E-4</v>
      </c>
      <c r="K153" s="2"/>
      <c r="L153" s="2">
        <f t="shared" si="119"/>
        <v>-100</v>
      </c>
      <c r="M153" s="2"/>
      <c r="N153" s="19">
        <f t="shared" si="120"/>
        <v>-1</v>
      </c>
      <c r="O153" s="11"/>
      <c r="P153" s="2">
        <f t="shared" ref="P153:P154" si="126">0</f>
        <v>0</v>
      </c>
      <c r="Q153" s="2"/>
      <c r="R153" s="19">
        <f t="shared" si="121"/>
        <v>0</v>
      </c>
      <c r="S153" s="2"/>
      <c r="T153" s="2">
        <v>700</v>
      </c>
      <c r="U153" s="2"/>
      <c r="V153" s="19">
        <f t="shared" si="122"/>
        <v>3.519130213139128E-4</v>
      </c>
      <c r="W153" s="2"/>
      <c r="X153" s="2">
        <f t="shared" si="123"/>
        <v>-700</v>
      </c>
      <c r="Y153" s="2"/>
      <c r="Z153" s="19">
        <f t="shared" si="124"/>
        <v>-1</v>
      </c>
    </row>
    <row r="154" spans="1:26" s="24" customFormat="1" hidden="1" outlineLevel="1" x14ac:dyDescent="0.25">
      <c r="A154" s="44"/>
      <c r="B154" s="11" t="str">
        <f>CONCATENATE("          ", "9160", " - ", "MISC. INCOME")</f>
        <v xml:space="preserve">          9160 - MISC. INCOME</v>
      </c>
      <c r="C154" s="11"/>
      <c r="D154" s="2">
        <f t="shared" si="125"/>
        <v>0</v>
      </c>
      <c r="E154" s="2"/>
      <c r="F154" s="19">
        <f t="shared" si="117"/>
        <v>0</v>
      </c>
      <c r="G154" s="2"/>
      <c r="H154" s="2">
        <v>800</v>
      </c>
      <c r="I154" s="2"/>
      <c r="J154" s="19">
        <f t="shared" si="118"/>
        <v>3.182744370104702E-3</v>
      </c>
      <c r="K154" s="2"/>
      <c r="L154" s="2">
        <f t="shared" si="119"/>
        <v>-800</v>
      </c>
      <c r="M154" s="2"/>
      <c r="N154" s="19">
        <f t="shared" si="120"/>
        <v>-1</v>
      </c>
      <c r="O154" s="11"/>
      <c r="P154" s="2">
        <f t="shared" si="126"/>
        <v>0</v>
      </c>
      <c r="Q154" s="2"/>
      <c r="R154" s="19">
        <f t="shared" si="121"/>
        <v>0</v>
      </c>
      <c r="S154" s="2"/>
      <c r="T154" s="2">
        <v>5600</v>
      </c>
      <c r="U154" s="2"/>
      <c r="V154" s="19">
        <f t="shared" si="122"/>
        <v>2.8153041705113024E-3</v>
      </c>
      <c r="W154" s="2"/>
      <c r="X154" s="2">
        <f t="shared" si="123"/>
        <v>-5600</v>
      </c>
      <c r="Y154" s="2"/>
      <c r="Z154" s="19">
        <f t="shared" si="124"/>
        <v>-1</v>
      </c>
    </row>
    <row r="155" spans="1:26" x14ac:dyDescent="0.25">
      <c r="A155" s="9"/>
      <c r="B155" s="10"/>
      <c r="C155" s="10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O155" s="10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s="23" customFormat="1" x14ac:dyDescent="0.25">
      <c r="A156" s="10"/>
      <c r="B156" s="29" t="s">
        <v>3</v>
      </c>
      <c r="C156" s="29"/>
      <c r="D156" s="21">
        <f>+D68-D70+D151</f>
        <v>58918.300000000032</v>
      </c>
      <c r="E156" s="14"/>
      <c r="F156" s="20">
        <f>IF(D$12=0,0,D156/D$12)</f>
        <v>0.21825653780910947</v>
      </c>
      <c r="G156" s="14"/>
      <c r="H156" s="21">
        <f>+H68-H70+H151</f>
        <v>46366.052139531239</v>
      </c>
      <c r="I156" s="14"/>
      <c r="J156" s="20">
        <f>IF(H$12=0,0,H156/H$12)</f>
        <v>0.18446411426384265</v>
      </c>
      <c r="K156" s="16"/>
      <c r="L156" s="21">
        <f>+D156-H156</f>
        <v>12552.247860468793</v>
      </c>
      <c r="M156" s="16"/>
      <c r="N156" s="20">
        <f>IF(H156=0,0,L156/H156)</f>
        <v>0.27072065188329608</v>
      </c>
      <c r="O156" s="28"/>
      <c r="P156" s="21">
        <f>+P68-P70+P151</f>
        <v>470907.75999999972</v>
      </c>
      <c r="Q156" s="14"/>
      <c r="R156" s="20">
        <f>IF(P$12=0,0,P156/P$12)</f>
        <v>0.23297753383555769</v>
      </c>
      <c r="S156" s="14"/>
      <c r="T156" s="21">
        <f>+T68-T70+T151</f>
        <v>530209.91513479385</v>
      </c>
      <c r="U156" s="14"/>
      <c r="V156" s="20">
        <f>IF(T$12=0,0,T156/T$12)</f>
        <v>0.26655396166525513</v>
      </c>
      <c r="W156" s="16"/>
      <c r="X156" s="21">
        <f>+P156-T156</f>
        <v>-59302.155134794128</v>
      </c>
      <c r="Y156" s="16"/>
      <c r="Z156" s="20">
        <f>IF(T156=0,0,X156/T156)</f>
        <v>-0.11184656009255863</v>
      </c>
    </row>
    <row r="157" spans="1:26" x14ac:dyDescent="0.25">
      <c r="A157" s="9"/>
      <c r="B157" s="10"/>
      <c r="C157" s="9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x14ac:dyDescent="0.25">
      <c r="A158" s="52"/>
      <c r="B158" s="10" t="s">
        <v>14</v>
      </c>
      <c r="C158" s="10"/>
      <c r="D158" s="4">
        <v>21633.8</v>
      </c>
      <c r="E158" s="4"/>
      <c r="F158" s="12">
        <f>IF(D$12=0,0,D158/D$12)</f>
        <v>8.0140097179564079E-2</v>
      </c>
      <c r="G158" s="4"/>
      <c r="H158" s="4">
        <v>21059</v>
      </c>
      <c r="I158" s="4"/>
      <c r="J158" s="12">
        <f>IF(H$12=0,0,H158/H$12)</f>
        <v>8.3781767112543648E-2</v>
      </c>
      <c r="K158" s="4"/>
      <c r="L158" s="4">
        <f>+D158-H158</f>
        <v>574.79999999999927</v>
      </c>
      <c r="M158" s="4"/>
      <c r="N158" s="12">
        <f>IF(H158=0,0,L158/H158)</f>
        <v>2.7294743340139573E-2</v>
      </c>
      <c r="O158" s="10"/>
      <c r="P158" s="4">
        <v>210788.61</v>
      </c>
      <c r="Q158" s="4"/>
      <c r="R158" s="12">
        <f>IF(P$12=0,0,P158/P$12)</f>
        <v>0.10428583831029924</v>
      </c>
      <c r="S158" s="4"/>
      <c r="T158" s="4">
        <v>244911</v>
      </c>
      <c r="U158" s="4"/>
      <c r="V158" s="12">
        <f>IF(T$12=0,0,T158/T$12)</f>
        <v>0.12312481423287384</v>
      </c>
      <c r="W158" s="4"/>
      <c r="X158" s="4">
        <f>+P158-T158</f>
        <v>-34122.390000000014</v>
      </c>
      <c r="Y158" s="4"/>
      <c r="Z158" s="12">
        <f>IF(T158=0,0,X158/T158)</f>
        <v>-0.13932567340789109</v>
      </c>
    </row>
    <row r="159" spans="1:26" x14ac:dyDescent="0.25">
      <c r="A159" s="9"/>
      <c r="B159" s="10"/>
      <c r="C159" s="10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O159" s="10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s="23" customFormat="1" ht="15.75" thickBot="1" x14ac:dyDescent="0.3">
      <c r="A160" s="10"/>
      <c r="B160" s="29" t="s">
        <v>4</v>
      </c>
      <c r="C160" s="29"/>
      <c r="D160" s="34">
        <f>+D156-D158</f>
        <v>37284.500000000029</v>
      </c>
      <c r="E160" s="14"/>
      <c r="F160" s="32">
        <f>IF(D$12=0,0,D160/D$12)</f>
        <v>0.1381164406295454</v>
      </c>
      <c r="G160" s="14"/>
      <c r="H160" s="34">
        <f>+H156-H158</f>
        <v>25307.052139531239</v>
      </c>
      <c r="I160" s="14"/>
      <c r="J160" s="32">
        <f>IF(H$12=0,0,H160/H$12)</f>
        <v>0.10068234715129901</v>
      </c>
      <c r="K160" s="16"/>
      <c r="L160" s="34">
        <f>D160-H160</f>
        <v>11977.44786046879</v>
      </c>
      <c r="M160" s="16"/>
      <c r="N160" s="32">
        <f>IF(H160=0,0,L160/H160)</f>
        <v>0.47328498769555416</v>
      </c>
      <c r="O160" s="28"/>
      <c r="P160" s="34">
        <f>+P156-P158</f>
        <v>260119.14999999973</v>
      </c>
      <c r="Q160" s="14"/>
      <c r="R160" s="32">
        <f>IF(P$12=0,0,P160/P$12)</f>
        <v>0.12869169552525844</v>
      </c>
      <c r="S160" s="14"/>
      <c r="T160" s="34">
        <f>+T156-T158</f>
        <v>285298.91513479385</v>
      </c>
      <c r="U160" s="14"/>
      <c r="V160" s="32">
        <f>IF(T$12=0,0,T160/T$12)</f>
        <v>0.14342914743238128</v>
      </c>
      <c r="W160" s="16"/>
      <c r="X160" s="34">
        <f>P160-T160</f>
        <v>-25179.765134794114</v>
      </c>
      <c r="Y160" s="16"/>
      <c r="Z160" s="32">
        <f>IF(T160=0,0,X160/T160)</f>
        <v>-8.8257486443288957E-2</v>
      </c>
    </row>
    <row r="161" spans="1:26" ht="15.75" thickTop="1" x14ac:dyDescent="0.25">
      <c r="A161" s="9"/>
      <c r="B161" s="9"/>
      <c r="C161" s="9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x14ac:dyDescent="0.25">
      <c r="A162" s="9"/>
      <c r="B162" s="9"/>
      <c r="C162" s="9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s="23" customFormat="1" ht="15.75" thickBot="1" x14ac:dyDescent="0.3">
      <c r="A163" s="10"/>
      <c r="B163" s="29" t="s">
        <v>5</v>
      </c>
      <c r="C163" s="29"/>
      <c r="D163" s="31">
        <f>SUM(D160:D162)</f>
        <v>37284.500000000029</v>
      </c>
      <c r="E163" s="14"/>
      <c r="F163" s="30">
        <f>IF(D$12=0,0,D163/D$12)</f>
        <v>0.1381164406295454</v>
      </c>
      <c r="G163" s="14"/>
      <c r="H163" s="31">
        <f>SUM(H160:H162)</f>
        <v>25307.052139531239</v>
      </c>
      <c r="I163" s="14"/>
      <c r="J163" s="30">
        <f>IF(H$12=0,0,H163/H$12)</f>
        <v>0.10068234715129901</v>
      </c>
      <c r="K163" s="16"/>
      <c r="L163" s="31">
        <f>+D163-H163</f>
        <v>11977.44786046879</v>
      </c>
      <c r="M163" s="16"/>
      <c r="N163" s="30">
        <f>IF(H163=0,0,L163/H163)</f>
        <v>0.47328498769555416</v>
      </c>
      <c r="O163" s="28"/>
      <c r="P163" s="31">
        <f>SUM(P160:P162)</f>
        <v>260119.14999999973</v>
      </c>
      <c r="Q163" s="14"/>
      <c r="R163" s="30">
        <f>IF(P$12=0,0,P163/P$12)</f>
        <v>0.12869169552525844</v>
      </c>
      <c r="S163" s="14"/>
      <c r="T163" s="31">
        <f>SUM(T160:T162)</f>
        <v>285298.91513479385</v>
      </c>
      <c r="U163" s="14"/>
      <c r="V163" s="30">
        <f>IF(T$12=0,0,T163/T$12)</f>
        <v>0.14342914743238128</v>
      </c>
      <c r="W163" s="16"/>
      <c r="X163" s="31">
        <f>+P163-T163</f>
        <v>-25179.765134794114</v>
      </c>
      <c r="Y163" s="16"/>
      <c r="Z163" s="30">
        <f>IF(T163=0,0,X163/T163)</f>
        <v>-8.8257486443288957E-2</v>
      </c>
    </row>
    <row r="164" spans="1:26" ht="15.75" thickTop="1" x14ac:dyDescent="0.25">
      <c r="A164" s="9"/>
      <c r="C164" s="9"/>
      <c r="D164" s="18"/>
      <c r="E164" s="18"/>
      <c r="G164" s="18"/>
      <c r="H164" s="18"/>
      <c r="I164" s="18"/>
      <c r="J164" s="43"/>
      <c r="K164" s="18"/>
      <c r="L164" s="18"/>
      <c r="M164" s="18"/>
      <c r="P164" s="18"/>
      <c r="Q164" s="18"/>
      <c r="R164" s="43"/>
      <c r="S164" s="18"/>
      <c r="T164" s="18"/>
      <c r="U164" s="18"/>
      <c r="V164" s="43"/>
      <c r="W164" s="18"/>
      <c r="X164" s="18"/>
    </row>
    <row r="165" spans="1:26" x14ac:dyDescent="0.25">
      <c r="A165" s="9"/>
      <c r="B165" s="63">
        <v>43879.545778506945</v>
      </c>
      <c r="D165" s="18"/>
      <c r="E165" s="18"/>
      <c r="G165" s="18"/>
      <c r="H165" s="18"/>
      <c r="I165" s="18"/>
      <c r="J165" s="43"/>
      <c r="K165" s="18"/>
      <c r="L165" s="18"/>
      <c r="M165" s="18"/>
      <c r="P165" s="18"/>
      <c r="Q165" s="18"/>
      <c r="R165" s="43"/>
      <c r="S165" s="18"/>
      <c r="T165" s="18"/>
      <c r="U165" s="18"/>
      <c r="V165" s="43"/>
      <c r="W165" s="18"/>
      <c r="X165" s="18"/>
    </row>
    <row r="166" spans="1:26" x14ac:dyDescent="0.25">
      <c r="A166" s="9"/>
      <c r="B166" s="57" t="s">
        <v>314</v>
      </c>
      <c r="D166" s="18"/>
      <c r="E166" s="18"/>
      <c r="G166" s="18"/>
      <c r="H166" s="18"/>
      <c r="I166" s="18"/>
      <c r="J166" s="43"/>
      <c r="K166" s="18"/>
      <c r="L166" s="18"/>
      <c r="M166" s="18"/>
      <c r="P166" s="18"/>
      <c r="Q166" s="18"/>
      <c r="R166" s="43"/>
      <c r="S166" s="18"/>
      <c r="T166" s="18"/>
      <c r="U166" s="18"/>
      <c r="V166" s="43"/>
      <c r="W166" s="18"/>
      <c r="X166" s="18"/>
    </row>
    <row r="167" spans="1:26" x14ac:dyDescent="0.25">
      <c r="A167" s="9"/>
      <c r="B167" s="60"/>
      <c r="D167" s="18"/>
      <c r="E167" s="18"/>
      <c r="G167" s="18"/>
      <c r="H167" s="18"/>
      <c r="I167" s="18"/>
      <c r="J167" s="43"/>
      <c r="K167" s="18"/>
      <c r="L167" s="18"/>
      <c r="M167" s="18"/>
      <c r="P167" s="18"/>
      <c r="Q167" s="18"/>
      <c r="R167" s="43"/>
      <c r="S167" s="18"/>
      <c r="T167" s="18"/>
      <c r="U167" s="18"/>
      <c r="V167" s="43"/>
      <c r="W167" s="18"/>
      <c r="X167" s="18"/>
    </row>
    <row r="168" spans="1:26" x14ac:dyDescent="0.25">
      <c r="D168" s="18"/>
      <c r="E168" s="18"/>
      <c r="G168" s="18"/>
      <c r="H168" s="18"/>
      <c r="I168" s="18"/>
      <c r="J168" s="43"/>
      <c r="K168" s="18"/>
      <c r="L168" s="18"/>
      <c r="M168" s="18"/>
      <c r="P168" s="18"/>
      <c r="Q168" s="18"/>
      <c r="R168" s="43"/>
      <c r="S168" s="18"/>
      <c r="T168" s="18"/>
      <c r="U168" s="18"/>
      <c r="V168" s="43"/>
      <c r="W168" s="18"/>
      <c r="X168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","315", " - ", "Beach Shop")</f>
        <v>Department 315 - Beach Shop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194929.08000000002</v>
      </c>
      <c r="E12" s="4"/>
      <c r="F12" s="12"/>
      <c r="G12" s="4"/>
      <c r="H12" s="4">
        <f>SUM(OSRRefH13x_0)</f>
        <v>214176</v>
      </c>
      <c r="I12" s="4"/>
      <c r="J12" s="12"/>
      <c r="K12" s="4"/>
      <c r="L12" s="4">
        <f t="shared" ref="L12:L33" si="0">+D12-H12</f>
        <v>-19246.919999999984</v>
      </c>
      <c r="M12" s="4"/>
      <c r="N12" s="12">
        <f t="shared" ref="N12:N33" si="1">IF(H12=0,0,L12/H12)</f>
        <v>-8.9864970865082841E-2</v>
      </c>
      <c r="O12" s="10"/>
      <c r="P12" s="4">
        <f>SUM(OSRRefP13x_0)</f>
        <v>1661874.44</v>
      </c>
      <c r="Q12" s="4"/>
      <c r="R12" s="12"/>
      <c r="S12" s="4"/>
      <c r="T12" s="4">
        <f>SUM(OSRRefT13x_0)</f>
        <v>1653193</v>
      </c>
      <c r="U12" s="4"/>
      <c r="V12" s="12"/>
      <c r="W12" s="4"/>
      <c r="X12" s="4">
        <f t="shared" ref="X12:X33" si="2">+P12-T12</f>
        <v>8681.4399999999441</v>
      </c>
      <c r="Y12" s="4"/>
      <c r="Z12" s="12">
        <f t="shared" ref="Z12:Z33" si="3">IF(T12=0,0,X12/T12)</f>
        <v>5.2513166944210049E-3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214176</v>
      </c>
      <c r="I13" s="2"/>
      <c r="J13" s="19"/>
      <c r="K13" s="2"/>
      <c r="L13" s="2">
        <f t="shared" si="0"/>
        <v>-214176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1653193</v>
      </c>
      <c r="U13" s="2"/>
      <c r="V13" s="19"/>
      <c r="W13" s="2"/>
      <c r="X13" s="2">
        <f t="shared" si="2"/>
        <v>-1653193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"4040", " - ", "TAXABLE SALES-LOGO CLOTHING")</f>
        <v xml:space="preserve">          4040 - TAXABLE SALES-LOGO CLOTHING</v>
      </c>
      <c r="C14" s="11"/>
      <c r="D14" s="2">
        <f>--129838.03</f>
        <v>129838.03</v>
      </c>
      <c r="E14" s="2"/>
      <c r="F14" s="19"/>
      <c r="G14" s="2"/>
      <c r="H14" s="2"/>
      <c r="I14" s="2"/>
      <c r="J14" s="19"/>
      <c r="K14" s="2"/>
      <c r="L14" s="2">
        <f t="shared" si="0"/>
        <v>129838.03</v>
      </c>
      <c r="M14" s="2"/>
      <c r="N14" s="19">
        <f t="shared" si="1"/>
        <v>0</v>
      </c>
      <c r="O14" s="11"/>
      <c r="P14" s="2">
        <f>--1183214.61</f>
        <v>1183214.6100000001</v>
      </c>
      <c r="Q14" s="2"/>
      <c r="R14" s="19"/>
      <c r="S14" s="2"/>
      <c r="T14" s="2"/>
      <c r="U14" s="2"/>
      <c r="V14" s="19"/>
      <c r="W14" s="2"/>
      <c r="X14" s="2">
        <f t="shared" si="2"/>
        <v>1183214.6100000001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"4041", " - ", "TAXABLE SALES-LOGO GIFTS")</f>
        <v xml:space="preserve">          4041 - TAXABLE SALES-LOGO GIFTS</v>
      </c>
      <c r="C15" s="11"/>
      <c r="D15" s="2">
        <f>--27369.25</f>
        <v>27369.25</v>
      </c>
      <c r="E15" s="2"/>
      <c r="F15" s="19"/>
      <c r="G15" s="2"/>
      <c r="H15" s="2"/>
      <c r="I15" s="2"/>
      <c r="J15" s="19"/>
      <c r="K15" s="2"/>
      <c r="L15" s="2">
        <f t="shared" si="0"/>
        <v>27369.25</v>
      </c>
      <c r="M15" s="2"/>
      <c r="N15" s="19">
        <f t="shared" si="1"/>
        <v>0</v>
      </c>
      <c r="O15" s="11"/>
      <c r="P15" s="2">
        <f>--195456.44</f>
        <v>195456.44</v>
      </c>
      <c r="Q15" s="2"/>
      <c r="R15" s="19"/>
      <c r="S15" s="2"/>
      <c r="T15" s="2"/>
      <c r="U15" s="2"/>
      <c r="V15" s="19"/>
      <c r="W15" s="2"/>
      <c r="X15" s="2">
        <f t="shared" si="2"/>
        <v>195456.44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"4042", " - ", "TAXABLE SALES-EVERYDAY GIFTS")</f>
        <v xml:space="preserve">          4042 - TAXABLE SALES-EVERYDAY GIFTS</v>
      </c>
      <c r="C16" s="11"/>
      <c r="D16" s="2">
        <f>--21801.17</f>
        <v>21801.17</v>
      </c>
      <c r="E16" s="2"/>
      <c r="F16" s="19"/>
      <c r="G16" s="2"/>
      <c r="H16" s="2"/>
      <c r="I16" s="2"/>
      <c r="J16" s="19"/>
      <c r="K16" s="2"/>
      <c r="L16" s="2">
        <f t="shared" si="0"/>
        <v>21801.17</v>
      </c>
      <c r="M16" s="2"/>
      <c r="N16" s="19">
        <f t="shared" si="1"/>
        <v>0</v>
      </c>
      <c r="O16" s="11"/>
      <c r="P16" s="2">
        <f>--152067.95</f>
        <v>152067.95000000001</v>
      </c>
      <c r="Q16" s="2"/>
      <c r="R16" s="19"/>
      <c r="S16" s="2"/>
      <c r="T16" s="2"/>
      <c r="U16" s="2"/>
      <c r="V16" s="19"/>
      <c r="W16" s="2"/>
      <c r="X16" s="2">
        <f t="shared" si="2"/>
        <v>152067.95000000001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"4043", " - ", "TAXABLE SALES-CARDS")</f>
        <v xml:space="preserve">          4043 - TAXABLE SALES-CARDS</v>
      </c>
      <c r="C17" s="11"/>
      <c r="D17" s="2">
        <f>--7120.83</f>
        <v>7120.83</v>
      </c>
      <c r="E17" s="2"/>
      <c r="F17" s="19"/>
      <c r="G17" s="2"/>
      <c r="H17" s="2"/>
      <c r="I17" s="2"/>
      <c r="J17" s="19"/>
      <c r="K17" s="2"/>
      <c r="L17" s="2">
        <f t="shared" si="0"/>
        <v>7120.83</v>
      </c>
      <c r="M17" s="2"/>
      <c r="N17" s="19">
        <f t="shared" si="1"/>
        <v>0</v>
      </c>
      <c r="O17" s="11"/>
      <c r="P17" s="2">
        <f>--21057.51</f>
        <v>21057.51</v>
      </c>
      <c r="Q17" s="2"/>
      <c r="R17" s="19"/>
      <c r="S17" s="2"/>
      <c r="T17" s="2"/>
      <c r="U17" s="2"/>
      <c r="V17" s="19"/>
      <c r="W17" s="2"/>
      <c r="X17" s="2">
        <f t="shared" si="2"/>
        <v>21057.51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"4044", " - ", "TAXABLE SALES-ACCESSORIES")</f>
        <v xml:space="preserve">          4044 - TAXABLE SALES-ACCESSORIES</v>
      </c>
      <c r="C18" s="11"/>
      <c r="D18" s="2">
        <f>--5859.56</f>
        <v>5859.56</v>
      </c>
      <c r="E18" s="2"/>
      <c r="F18" s="19"/>
      <c r="G18" s="2"/>
      <c r="H18" s="2"/>
      <c r="I18" s="2"/>
      <c r="J18" s="19"/>
      <c r="K18" s="2"/>
      <c r="L18" s="2">
        <f t="shared" si="0"/>
        <v>5859.56</v>
      </c>
      <c r="M18" s="2"/>
      <c r="N18" s="19">
        <f t="shared" si="1"/>
        <v>0</v>
      </c>
      <c r="O18" s="11"/>
      <c r="P18" s="2">
        <f>--50056.71</f>
        <v>50056.71</v>
      </c>
      <c r="Q18" s="2"/>
      <c r="R18" s="19"/>
      <c r="S18" s="2"/>
      <c r="T18" s="2"/>
      <c r="U18" s="2"/>
      <c r="V18" s="19"/>
      <c r="W18" s="2"/>
      <c r="X18" s="2">
        <f t="shared" si="2"/>
        <v>50056.71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"4045", " - ", "TAXABLE SALES-SPECIAL ORDERS")</f>
        <v xml:space="preserve">          4045 - TAXABLE SALES-SPECIAL ORDERS</v>
      </c>
      <c r="C19" s="11"/>
      <c r="D19" s="2">
        <f>--8722.22</f>
        <v>8722.2199999999993</v>
      </c>
      <c r="E19" s="2"/>
      <c r="F19" s="19"/>
      <c r="G19" s="2"/>
      <c r="H19" s="2"/>
      <c r="I19" s="2"/>
      <c r="J19" s="19"/>
      <c r="K19" s="2"/>
      <c r="L19" s="2">
        <f t="shared" si="0"/>
        <v>8722.2199999999993</v>
      </c>
      <c r="M19" s="2"/>
      <c r="N19" s="19">
        <f t="shared" si="1"/>
        <v>0</v>
      </c>
      <c r="O19" s="11"/>
      <c r="P19" s="2">
        <f>--69270.43</f>
        <v>69270.429999999993</v>
      </c>
      <c r="Q19" s="2"/>
      <c r="R19" s="19"/>
      <c r="S19" s="2"/>
      <c r="T19" s="2"/>
      <c r="U19" s="2"/>
      <c r="V19" s="19"/>
      <c r="W19" s="2"/>
      <c r="X19" s="2">
        <f t="shared" si="2"/>
        <v>69270.429999999993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"4140", " - ", "NON-TAXABLE SALES-LOGO CLOTHIN")</f>
        <v xml:space="preserve">          4140 - NON-TAXABLE SALES-LOGO CLOTHIN</v>
      </c>
      <c r="C20" s="11"/>
      <c r="D20" s="2">
        <f>--3758.83</f>
        <v>3758.83</v>
      </c>
      <c r="E20" s="2"/>
      <c r="F20" s="19"/>
      <c r="G20" s="2"/>
      <c r="H20" s="2"/>
      <c r="I20" s="2"/>
      <c r="J20" s="19"/>
      <c r="K20" s="2"/>
      <c r="L20" s="2">
        <f t="shared" si="0"/>
        <v>3758.83</v>
      </c>
      <c r="M20" s="2"/>
      <c r="N20" s="19">
        <f t="shared" si="1"/>
        <v>0</v>
      </c>
      <c r="O20" s="11"/>
      <c r="P20" s="2">
        <f>--42582.67</f>
        <v>42582.67</v>
      </c>
      <c r="Q20" s="2"/>
      <c r="R20" s="19"/>
      <c r="S20" s="2"/>
      <c r="T20" s="2"/>
      <c r="U20" s="2"/>
      <c r="V20" s="19"/>
      <c r="W20" s="2"/>
      <c r="X20" s="2">
        <f t="shared" si="2"/>
        <v>42582.67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--1020.72</f>
        <v>1020.72</v>
      </c>
      <c r="E21" s="2"/>
      <c r="F21" s="19"/>
      <c r="G21" s="2"/>
      <c r="H21" s="2"/>
      <c r="I21" s="2"/>
      <c r="J21" s="19"/>
      <c r="K21" s="2"/>
      <c r="L21" s="2">
        <f t="shared" si="0"/>
        <v>1020.72</v>
      </c>
      <c r="M21" s="2"/>
      <c r="N21" s="19">
        <f t="shared" si="1"/>
        <v>0</v>
      </c>
      <c r="O21" s="11"/>
      <c r="P21" s="2">
        <f>--3397.85</f>
        <v>3397.85</v>
      </c>
      <c r="Q21" s="2"/>
      <c r="R21" s="19"/>
      <c r="S21" s="2"/>
      <c r="T21" s="2"/>
      <c r="U21" s="2"/>
      <c r="V21" s="19"/>
      <c r="W21" s="2"/>
      <c r="X21" s="2">
        <f t="shared" si="2"/>
        <v>3397.85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--274.82</f>
        <v>274.82</v>
      </c>
      <c r="E22" s="2"/>
      <c r="F22" s="19"/>
      <c r="G22" s="2"/>
      <c r="H22" s="2"/>
      <c r="I22" s="2"/>
      <c r="J22" s="19"/>
      <c r="K22" s="2"/>
      <c r="L22" s="2">
        <f t="shared" si="0"/>
        <v>274.82</v>
      </c>
      <c r="M22" s="2"/>
      <c r="N22" s="19">
        <f t="shared" si="1"/>
        <v>0</v>
      </c>
      <c r="O22" s="11"/>
      <c r="P22" s="2">
        <f>--3712.28</f>
        <v>3712.28</v>
      </c>
      <c r="Q22" s="2"/>
      <c r="R22" s="19"/>
      <c r="S22" s="2"/>
      <c r="T22" s="2"/>
      <c r="U22" s="2"/>
      <c r="V22" s="19"/>
      <c r="W22" s="2"/>
      <c r="X22" s="2">
        <f t="shared" si="2"/>
        <v>3712.28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"4144", " - ", "NON-TAXABLE SALES-ACCESSORIES")</f>
        <v xml:space="preserve">          4144 - NON-TAXABLE SALES-ACCESSORIES</v>
      </c>
      <c r="C23" s="11"/>
      <c r="D23" s="2">
        <f>--374.48</f>
        <v>374.48</v>
      </c>
      <c r="E23" s="2"/>
      <c r="F23" s="19"/>
      <c r="G23" s="2"/>
      <c r="H23" s="2"/>
      <c r="I23" s="2"/>
      <c r="J23" s="19"/>
      <c r="K23" s="2"/>
      <c r="L23" s="2">
        <f t="shared" si="0"/>
        <v>374.48</v>
      </c>
      <c r="M23" s="2"/>
      <c r="N23" s="19">
        <f t="shared" si="1"/>
        <v>0</v>
      </c>
      <c r="O23" s="11"/>
      <c r="P23" s="2">
        <f>--967.33</f>
        <v>967.33</v>
      </c>
      <c r="Q23" s="2"/>
      <c r="R23" s="19"/>
      <c r="S23" s="2"/>
      <c r="T23" s="2"/>
      <c r="U23" s="2"/>
      <c r="V23" s="19"/>
      <c r="W23" s="2"/>
      <c r="X23" s="2">
        <f t="shared" si="2"/>
        <v>967.33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"4145", " - ", "NON-TAXABLE SALES-SPECIAL ORDE")</f>
        <v xml:space="preserve">          4145 - NON-TAXABLE SALES-SPECIAL ORDE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--140</f>
        <v>140</v>
      </c>
      <c r="Q24" s="2"/>
      <c r="R24" s="19"/>
      <c r="S24" s="2"/>
      <c r="T24" s="2"/>
      <c r="U24" s="2"/>
      <c r="V24" s="19"/>
      <c r="W24" s="2"/>
      <c r="X24" s="2">
        <f t="shared" si="2"/>
        <v>140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"4240", " - ", "SALES RETURN TAXABLE-LOGO CLOT")</f>
        <v xml:space="preserve">          4240 - SALES RETURN TAXABLE-LOGO CLOT</v>
      </c>
      <c r="C25" s="11"/>
      <c r="D25" s="2">
        <f>-7536.86</f>
        <v>-7536.86</v>
      </c>
      <c r="E25" s="2"/>
      <c r="F25" s="19"/>
      <c r="G25" s="2"/>
      <c r="H25" s="2"/>
      <c r="I25" s="2"/>
      <c r="J25" s="19"/>
      <c r="K25" s="2"/>
      <c r="L25" s="2">
        <f t="shared" si="0"/>
        <v>-7536.86</v>
      </c>
      <c r="M25" s="2"/>
      <c r="N25" s="19">
        <f t="shared" si="1"/>
        <v>0</v>
      </c>
      <c r="O25" s="11"/>
      <c r="P25" s="2">
        <f>-48407.64</f>
        <v>-48407.64</v>
      </c>
      <c r="Q25" s="2"/>
      <c r="R25" s="19"/>
      <c r="S25" s="2"/>
      <c r="T25" s="2"/>
      <c r="U25" s="2"/>
      <c r="V25" s="19"/>
      <c r="W25" s="2"/>
      <c r="X25" s="2">
        <f t="shared" si="2"/>
        <v>-48407.64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>-459.1</f>
        <v>-459.1</v>
      </c>
      <c r="E26" s="2"/>
      <c r="F26" s="19"/>
      <c r="G26" s="2"/>
      <c r="H26" s="2"/>
      <c r="I26" s="2"/>
      <c r="J26" s="19"/>
      <c r="K26" s="2"/>
      <c r="L26" s="2">
        <f t="shared" si="0"/>
        <v>-459.1</v>
      </c>
      <c r="M26" s="2"/>
      <c r="N26" s="19">
        <f t="shared" si="1"/>
        <v>0</v>
      </c>
      <c r="O26" s="11"/>
      <c r="P26" s="2">
        <f>-3004.11</f>
        <v>-3004.11</v>
      </c>
      <c r="Q26" s="2"/>
      <c r="R26" s="19"/>
      <c r="S26" s="2"/>
      <c r="T26" s="2"/>
      <c r="U26" s="2"/>
      <c r="V26" s="19"/>
      <c r="W26" s="2"/>
      <c r="X26" s="2">
        <f t="shared" si="2"/>
        <v>-3004.11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>-650.06</f>
        <v>-650.05999999999995</v>
      </c>
      <c r="E27" s="2"/>
      <c r="F27" s="19"/>
      <c r="G27" s="2"/>
      <c r="H27" s="2"/>
      <c r="I27" s="2"/>
      <c r="J27" s="19"/>
      <c r="K27" s="2"/>
      <c r="L27" s="2">
        <f t="shared" si="0"/>
        <v>-650.05999999999995</v>
      </c>
      <c r="M27" s="2"/>
      <c r="N27" s="19">
        <f t="shared" si="1"/>
        <v>0</v>
      </c>
      <c r="O27" s="11"/>
      <c r="P27" s="2">
        <f>-2664.82</f>
        <v>-2664.82</v>
      </c>
      <c r="Q27" s="2"/>
      <c r="R27" s="19"/>
      <c r="S27" s="2"/>
      <c r="T27" s="2"/>
      <c r="U27" s="2"/>
      <c r="V27" s="19"/>
      <c r="W27" s="2"/>
      <c r="X27" s="2">
        <f t="shared" si="2"/>
        <v>-2664.82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"4243", " - ", "SALES RETURN TAXABLE-CARDS")</f>
        <v xml:space="preserve">          4243 - SALES RETURN TAXABLE-CARDS</v>
      </c>
      <c r="C28" s="11"/>
      <c r="D28" s="2">
        <f>-344.74</f>
        <v>-344.74</v>
      </c>
      <c r="E28" s="2"/>
      <c r="F28" s="19"/>
      <c r="G28" s="2"/>
      <c r="H28" s="2"/>
      <c r="I28" s="2"/>
      <c r="J28" s="19"/>
      <c r="K28" s="2"/>
      <c r="L28" s="2">
        <f t="shared" si="0"/>
        <v>-344.74</v>
      </c>
      <c r="M28" s="2"/>
      <c r="N28" s="19">
        <f t="shared" si="1"/>
        <v>0</v>
      </c>
      <c r="O28" s="11"/>
      <c r="P28" s="2">
        <f>-1224.21</f>
        <v>-1224.21</v>
      </c>
      <c r="Q28" s="2"/>
      <c r="R28" s="19"/>
      <c r="S28" s="2"/>
      <c r="T28" s="2"/>
      <c r="U28" s="2"/>
      <c r="V28" s="19"/>
      <c r="W28" s="2"/>
      <c r="X28" s="2">
        <f t="shared" si="2"/>
        <v>-1224.21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"4244", " - ", "SALES RETURN TAXABLE-ACCESSORI")</f>
        <v xml:space="preserve">          4244 - SALES RETURN TAXABLE-ACCESSORI</v>
      </c>
      <c r="C29" s="11"/>
      <c r="D29" s="2">
        <f>-370.28</f>
        <v>-370.28</v>
      </c>
      <c r="E29" s="2"/>
      <c r="F29" s="19"/>
      <c r="G29" s="2"/>
      <c r="H29" s="2"/>
      <c r="I29" s="2"/>
      <c r="J29" s="19"/>
      <c r="K29" s="2"/>
      <c r="L29" s="2">
        <f t="shared" si="0"/>
        <v>-370.28</v>
      </c>
      <c r="M29" s="2"/>
      <c r="N29" s="19">
        <f t="shared" si="1"/>
        <v>0</v>
      </c>
      <c r="O29" s="11"/>
      <c r="P29" s="2">
        <f>-1971.25</f>
        <v>-1971.25</v>
      </c>
      <c r="Q29" s="2"/>
      <c r="R29" s="19"/>
      <c r="S29" s="2"/>
      <c r="T29" s="2"/>
      <c r="U29" s="2"/>
      <c r="V29" s="19"/>
      <c r="W29" s="2"/>
      <c r="X29" s="2">
        <f t="shared" si="2"/>
        <v>-1971.25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"4245", " - ", "SALES RETURN TAXABLE-SPECIAL O")</f>
        <v xml:space="preserve">          4245 - SALES RETURN TAXABLE-SPECIAL O</v>
      </c>
      <c r="C30" s="11"/>
      <c r="D30" s="2">
        <f>-1623.09</f>
        <v>-1623.09</v>
      </c>
      <c r="E30" s="2"/>
      <c r="F30" s="19"/>
      <c r="G30" s="2"/>
      <c r="H30" s="2"/>
      <c r="I30" s="2"/>
      <c r="J30" s="19"/>
      <c r="K30" s="2"/>
      <c r="L30" s="2">
        <f t="shared" si="0"/>
        <v>-1623.09</v>
      </c>
      <c r="M30" s="2"/>
      <c r="N30" s="19">
        <f t="shared" si="1"/>
        <v>0</v>
      </c>
      <c r="O30" s="11"/>
      <c r="P30" s="2">
        <f>-1705.06</f>
        <v>-1705.06</v>
      </c>
      <c r="Q30" s="2"/>
      <c r="R30" s="19"/>
      <c r="S30" s="2"/>
      <c r="T30" s="2"/>
      <c r="U30" s="2"/>
      <c r="V30" s="19"/>
      <c r="W30" s="2"/>
      <c r="X30" s="2">
        <f t="shared" si="2"/>
        <v>-1705.06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"4340", " - ", "SALES RETURN NON TAXABLE-LOGO")</f>
        <v xml:space="preserve">          4340 - SALES RETURN NON TAXABLE-LOGO</v>
      </c>
      <c r="C31" s="11"/>
      <c r="D31" s="2">
        <f>-216.75</f>
        <v>-216.75</v>
      </c>
      <c r="E31" s="2"/>
      <c r="F31" s="19"/>
      <c r="G31" s="2"/>
      <c r="H31" s="2"/>
      <c r="I31" s="2"/>
      <c r="J31" s="19"/>
      <c r="K31" s="2"/>
      <c r="L31" s="2">
        <f t="shared" si="0"/>
        <v>-216.75</v>
      </c>
      <c r="M31" s="2"/>
      <c r="N31" s="19">
        <f t="shared" si="1"/>
        <v>0</v>
      </c>
      <c r="O31" s="11"/>
      <c r="P31" s="2">
        <f>-931.65</f>
        <v>-931.65</v>
      </c>
      <c r="Q31" s="2"/>
      <c r="R31" s="19"/>
      <c r="S31" s="2"/>
      <c r="T31" s="2"/>
      <c r="U31" s="2"/>
      <c r="V31" s="19"/>
      <c r="W31" s="2"/>
      <c r="X31" s="2">
        <f t="shared" si="2"/>
        <v>-931.65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"4341", " - ", "SALES RETURN NON TAXABLE-LOGO")</f>
        <v xml:space="preserve">          4341 - SALES RETURN NON TAXABLE-LOGO</v>
      </c>
      <c r="C32" s="11"/>
      <c r="D32" s="2">
        <f>-9.95</f>
        <v>-9.9499999999999993</v>
      </c>
      <c r="E32" s="2"/>
      <c r="F32" s="19"/>
      <c r="G32" s="2"/>
      <c r="H32" s="2"/>
      <c r="I32" s="2"/>
      <c r="J32" s="19"/>
      <c r="K32" s="2"/>
      <c r="L32" s="2">
        <f t="shared" si="0"/>
        <v>-9.9499999999999993</v>
      </c>
      <c r="M32" s="2"/>
      <c r="N32" s="19">
        <f t="shared" si="1"/>
        <v>0</v>
      </c>
      <c r="O32" s="11"/>
      <c r="P32" s="2">
        <f>-30.8</f>
        <v>-30.8</v>
      </c>
      <c r="Q32" s="2"/>
      <c r="R32" s="19"/>
      <c r="S32" s="2"/>
      <c r="T32" s="2"/>
      <c r="U32" s="2"/>
      <c r="V32" s="19"/>
      <c r="W32" s="2"/>
      <c r="X32" s="2">
        <f t="shared" si="2"/>
        <v>-30.8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"4342", " - ", "SALES RETURN NON TAXABLE-EVERY")</f>
        <v xml:space="preserve">          4342 - SALES RETURN NON TAXABLE-EVERY</v>
      </c>
      <c r="C33" s="11"/>
      <c r="D33" s="2">
        <f>0</f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-109.8</f>
        <v>-109.8</v>
      </c>
      <c r="Q33" s="2"/>
      <c r="R33" s="19"/>
      <c r="S33" s="2"/>
      <c r="T33" s="2"/>
      <c r="U33" s="2"/>
      <c r="V33" s="19"/>
      <c r="W33" s="2"/>
      <c r="X33" s="2">
        <f t="shared" si="2"/>
        <v>-109.8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91101.719999999987</v>
      </c>
      <c r="E35" s="4"/>
      <c r="F35" s="12">
        <f t="shared" ref="F35:F51" si="4">IF(D$12=0,0,D35/D$12)</f>
        <v>0.46735828230451804</v>
      </c>
      <c r="G35" s="4"/>
      <c r="H35" s="4">
        <f>SUM(OSRRefH16x_0)</f>
        <v>96718</v>
      </c>
      <c r="I35" s="4"/>
      <c r="J35" s="12">
        <f t="shared" ref="J35:J51" si="5">IF(H$12=0,0,H35/H$12)</f>
        <v>0.45158187658747945</v>
      </c>
      <c r="K35" s="4"/>
      <c r="L35" s="4">
        <f t="shared" ref="L35:L51" si="6">+D35-H35</f>
        <v>-5616.2800000000134</v>
      </c>
      <c r="M35" s="4"/>
      <c r="N35" s="12">
        <f t="shared" ref="N35:N51" si="7">IF(H35=0,0,L35/H35)</f>
        <v>-5.8068611840608922E-2</v>
      </c>
      <c r="O35" s="10"/>
      <c r="P35" s="4">
        <f>SUM(OSRRefP16x_0)</f>
        <v>775594.13</v>
      </c>
      <c r="Q35" s="4"/>
      <c r="R35" s="12">
        <f t="shared" ref="R35:R51" si="8">IF(P$12=0,0,P35/P$12)</f>
        <v>0.46669839268964269</v>
      </c>
      <c r="S35" s="4"/>
      <c r="T35" s="4">
        <f>SUM(OSRRefT16x_0)</f>
        <v>752721</v>
      </c>
      <c r="U35" s="4"/>
      <c r="V35" s="12">
        <f t="shared" ref="V35:V51" si="9">IF(T$12=0,0,T35/T$12)</f>
        <v>0.45531344495167836</v>
      </c>
      <c r="W35" s="4"/>
      <c r="X35" s="4">
        <f t="shared" ref="X35:X51" si="10">+P35-T35</f>
        <v>22873.130000000005</v>
      </c>
      <c r="Y35" s="4"/>
      <c r="Z35" s="12">
        <f t="shared" ref="Z35:Z51" si="11">IF(T35=0,0,X35/T35)</f>
        <v>3.0387261681286963E-2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4"/>
        <v>0</v>
      </c>
      <c r="G36" s="2"/>
      <c r="H36" s="2">
        <v>96718</v>
      </c>
      <c r="I36" s="2"/>
      <c r="J36" s="19">
        <f t="shared" si="5"/>
        <v>0.45158187658747945</v>
      </c>
      <c r="K36" s="2"/>
      <c r="L36" s="2">
        <f t="shared" si="6"/>
        <v>-96718</v>
      </c>
      <c r="M36" s="2"/>
      <c r="N36" s="19">
        <f t="shared" si="7"/>
        <v>-1</v>
      </c>
      <c r="O36" s="11"/>
      <c r="P36" s="2"/>
      <c r="Q36" s="2"/>
      <c r="R36" s="19">
        <f t="shared" si="8"/>
        <v>0</v>
      </c>
      <c r="S36" s="2"/>
      <c r="T36" s="2">
        <v>752721</v>
      </c>
      <c r="U36" s="2"/>
      <c r="V36" s="19">
        <f t="shared" si="9"/>
        <v>0.45531344495167836</v>
      </c>
      <c r="W36" s="2"/>
      <c r="X36" s="2">
        <f t="shared" si="10"/>
        <v>-752721</v>
      </c>
      <c r="Y36" s="2"/>
      <c r="Z36" s="19">
        <f t="shared" si="11"/>
        <v>-1</v>
      </c>
    </row>
    <row r="37" spans="1:26" s="24" customFormat="1" hidden="1" outlineLevel="1" x14ac:dyDescent="0.25">
      <c r="A37" s="44"/>
      <c r="B37" s="11" t="str">
        <f>CONCATENATE("          ", "5040", " - ", "PURCHASES @ COST-LOGO CLOTHING")</f>
        <v xml:space="preserve">          5040 - PURCHASES @ COST-LOGO CLOTHING</v>
      </c>
      <c r="C37" s="11"/>
      <c r="D37" s="2">
        <v>75681.440000000002</v>
      </c>
      <c r="E37" s="2"/>
      <c r="F37" s="19">
        <f t="shared" si="4"/>
        <v>0.38825115267562949</v>
      </c>
      <c r="G37" s="2"/>
      <c r="H37" s="2"/>
      <c r="I37" s="2"/>
      <c r="J37" s="19">
        <f t="shared" si="5"/>
        <v>0</v>
      </c>
      <c r="K37" s="2"/>
      <c r="L37" s="2">
        <f t="shared" si="6"/>
        <v>75681.440000000002</v>
      </c>
      <c r="M37" s="2"/>
      <c r="N37" s="19">
        <f t="shared" si="7"/>
        <v>0</v>
      </c>
      <c r="O37" s="11"/>
      <c r="P37" s="2">
        <v>635872.93000000005</v>
      </c>
      <c r="Q37" s="2"/>
      <c r="R37" s="19">
        <f t="shared" si="8"/>
        <v>0.38262393036142978</v>
      </c>
      <c r="S37" s="2"/>
      <c r="T37" s="2"/>
      <c r="U37" s="2"/>
      <c r="V37" s="19">
        <f t="shared" si="9"/>
        <v>0</v>
      </c>
      <c r="W37" s="2"/>
      <c r="X37" s="2">
        <f t="shared" si="10"/>
        <v>635872.93000000005</v>
      </c>
      <c r="Y37" s="2"/>
      <c r="Z37" s="19">
        <f t="shared" si="11"/>
        <v>0</v>
      </c>
    </row>
    <row r="38" spans="1:26" s="24" customFormat="1" hidden="1" outlineLevel="1" x14ac:dyDescent="0.25">
      <c r="A38" s="44"/>
      <c r="B38" s="11" t="str">
        <f>CONCATENATE("          ", "5041", " - ", "PURCHASES @ COST-LOGO GIFTS")</f>
        <v xml:space="preserve">          5041 - PURCHASES @ COST-LOGO GIFTS</v>
      </c>
      <c r="C38" s="11"/>
      <c r="D38" s="2">
        <v>13138.03</v>
      </c>
      <c r="E38" s="2"/>
      <c r="F38" s="19">
        <f t="shared" si="4"/>
        <v>6.7399025327570417E-2</v>
      </c>
      <c r="G38" s="2"/>
      <c r="H38" s="2"/>
      <c r="I38" s="2"/>
      <c r="J38" s="19">
        <f t="shared" si="5"/>
        <v>0</v>
      </c>
      <c r="K38" s="2"/>
      <c r="L38" s="2">
        <f t="shared" si="6"/>
        <v>13138.03</v>
      </c>
      <c r="M38" s="2"/>
      <c r="N38" s="19">
        <f t="shared" si="7"/>
        <v>0</v>
      </c>
      <c r="O38" s="11"/>
      <c r="P38" s="2">
        <v>102762.23</v>
      </c>
      <c r="Q38" s="2"/>
      <c r="R38" s="19">
        <f t="shared" si="8"/>
        <v>6.1835134789124023E-2</v>
      </c>
      <c r="S38" s="2"/>
      <c r="T38" s="2"/>
      <c r="U38" s="2"/>
      <c r="V38" s="19">
        <f t="shared" si="9"/>
        <v>0</v>
      </c>
      <c r="W38" s="2"/>
      <c r="X38" s="2">
        <f t="shared" si="10"/>
        <v>102762.23</v>
      </c>
      <c r="Y38" s="2"/>
      <c r="Z38" s="19">
        <f t="shared" si="11"/>
        <v>0</v>
      </c>
    </row>
    <row r="39" spans="1:26" s="24" customFormat="1" hidden="1" outlineLevel="1" x14ac:dyDescent="0.25">
      <c r="A39" s="44"/>
      <c r="B39" s="11" t="str">
        <f>CONCATENATE("          ", "5042", " - ", "PURCHASES @ COST-EVERYDAY GIFT")</f>
        <v xml:space="preserve">          5042 - PURCHASES @ COST-EVERYDAY GIFT</v>
      </c>
      <c r="C39" s="11"/>
      <c r="D39" s="2">
        <v>2072.5500000000002</v>
      </c>
      <c r="E39" s="2"/>
      <c r="F39" s="19">
        <f t="shared" si="4"/>
        <v>1.0632328434526033E-2</v>
      </c>
      <c r="G39" s="2"/>
      <c r="H39" s="2"/>
      <c r="I39" s="2"/>
      <c r="J39" s="19">
        <f t="shared" si="5"/>
        <v>0</v>
      </c>
      <c r="K39" s="2"/>
      <c r="L39" s="2">
        <f t="shared" si="6"/>
        <v>2072.5500000000002</v>
      </c>
      <c r="M39" s="2"/>
      <c r="N39" s="19">
        <f t="shared" si="7"/>
        <v>0</v>
      </c>
      <c r="O39" s="11"/>
      <c r="P39" s="2">
        <v>73897.62</v>
      </c>
      <c r="Q39" s="2"/>
      <c r="R39" s="19">
        <f t="shared" si="8"/>
        <v>4.4466427920992632E-2</v>
      </c>
      <c r="S39" s="2"/>
      <c r="T39" s="2"/>
      <c r="U39" s="2"/>
      <c r="V39" s="19">
        <f t="shared" si="9"/>
        <v>0</v>
      </c>
      <c r="W39" s="2"/>
      <c r="X39" s="2">
        <f t="shared" si="10"/>
        <v>73897.62</v>
      </c>
      <c r="Y39" s="2"/>
      <c r="Z39" s="19">
        <f t="shared" si="11"/>
        <v>0</v>
      </c>
    </row>
    <row r="40" spans="1:26" s="24" customFormat="1" hidden="1" outlineLevel="1" x14ac:dyDescent="0.25">
      <c r="A40" s="44"/>
      <c r="B40" s="11" t="str">
        <f>CONCATENATE("          ", "5043", " - ", "PURCHASES @ COST-CARDS")</f>
        <v xml:space="preserve">          5043 - PURCHASES @ COST-CARDS</v>
      </c>
      <c r="C40" s="11"/>
      <c r="D40" s="2">
        <v>3880.37</v>
      </c>
      <c r="E40" s="2"/>
      <c r="F40" s="19">
        <f t="shared" si="4"/>
        <v>1.9906573200879005E-2</v>
      </c>
      <c r="G40" s="2"/>
      <c r="H40" s="2"/>
      <c r="I40" s="2"/>
      <c r="J40" s="19">
        <f t="shared" si="5"/>
        <v>0</v>
      </c>
      <c r="K40" s="2"/>
      <c r="L40" s="2">
        <f t="shared" si="6"/>
        <v>3880.37</v>
      </c>
      <c r="M40" s="2"/>
      <c r="N40" s="19">
        <f t="shared" si="7"/>
        <v>0</v>
      </c>
      <c r="O40" s="11"/>
      <c r="P40" s="2">
        <v>10325.94</v>
      </c>
      <c r="Q40" s="2"/>
      <c r="R40" s="19">
        <f t="shared" si="8"/>
        <v>6.2134296980944003E-3</v>
      </c>
      <c r="S40" s="2"/>
      <c r="T40" s="2"/>
      <c r="U40" s="2"/>
      <c r="V40" s="19">
        <f t="shared" si="9"/>
        <v>0</v>
      </c>
      <c r="W40" s="2"/>
      <c r="X40" s="2">
        <f t="shared" si="10"/>
        <v>10325.94</v>
      </c>
      <c r="Y40" s="2"/>
      <c r="Z40" s="19">
        <f t="shared" si="11"/>
        <v>0</v>
      </c>
    </row>
    <row r="41" spans="1:26" s="24" customFormat="1" hidden="1" outlineLevel="1" x14ac:dyDescent="0.25">
      <c r="A41" s="44"/>
      <c r="B41" s="11" t="str">
        <f>CONCATENATE("          ", "5044", " - ", "PURCHASES @ COST-ACCESSORIES")</f>
        <v xml:space="preserve">          5044 - PURCHASES @ COST-ACCESSORIES</v>
      </c>
      <c r="C41" s="11"/>
      <c r="D41" s="2">
        <v>1874.4</v>
      </c>
      <c r="E41" s="2"/>
      <c r="F41" s="19">
        <f t="shared" si="4"/>
        <v>9.6158048865772096E-3</v>
      </c>
      <c r="G41" s="2"/>
      <c r="H41" s="2"/>
      <c r="I41" s="2"/>
      <c r="J41" s="19">
        <f t="shared" si="5"/>
        <v>0</v>
      </c>
      <c r="K41" s="2"/>
      <c r="L41" s="2">
        <f t="shared" si="6"/>
        <v>1874.4</v>
      </c>
      <c r="M41" s="2"/>
      <c r="N41" s="19">
        <f t="shared" si="7"/>
        <v>0</v>
      </c>
      <c r="O41" s="11"/>
      <c r="P41" s="2">
        <v>25516.400000000001</v>
      </c>
      <c r="Q41" s="2"/>
      <c r="R41" s="19">
        <f t="shared" si="8"/>
        <v>1.5353987874077902E-2</v>
      </c>
      <c r="S41" s="2"/>
      <c r="T41" s="2"/>
      <c r="U41" s="2"/>
      <c r="V41" s="19">
        <f t="shared" si="9"/>
        <v>0</v>
      </c>
      <c r="W41" s="2"/>
      <c r="X41" s="2">
        <f t="shared" si="10"/>
        <v>25516.400000000001</v>
      </c>
      <c r="Y41" s="2"/>
      <c r="Z41" s="19">
        <f t="shared" si="11"/>
        <v>0</v>
      </c>
    </row>
    <row r="42" spans="1:26" s="24" customFormat="1" hidden="1" outlineLevel="1" x14ac:dyDescent="0.25">
      <c r="A42" s="44"/>
      <c r="B42" s="11" t="str">
        <f>CONCATENATE("          ", "5045", " - ", "PURCHASES @ COST-SPECIAL ORDER")</f>
        <v xml:space="preserve">          5045 - PURCHASES @ COST-SPECIAL ORDER</v>
      </c>
      <c r="C42" s="11"/>
      <c r="D42" s="2">
        <v>6862.4</v>
      </c>
      <c r="E42" s="2"/>
      <c r="F42" s="19">
        <f t="shared" si="4"/>
        <v>3.5204598513469611E-2</v>
      </c>
      <c r="G42" s="2"/>
      <c r="H42" s="2"/>
      <c r="I42" s="2"/>
      <c r="J42" s="19">
        <f t="shared" si="5"/>
        <v>0</v>
      </c>
      <c r="K42" s="2"/>
      <c r="L42" s="2">
        <f t="shared" si="6"/>
        <v>6862.4</v>
      </c>
      <c r="M42" s="2"/>
      <c r="N42" s="19">
        <f t="shared" si="7"/>
        <v>0</v>
      </c>
      <c r="O42" s="11"/>
      <c r="P42" s="2">
        <v>49014.43</v>
      </c>
      <c r="Q42" s="2"/>
      <c r="R42" s="19">
        <f t="shared" si="8"/>
        <v>2.9493461611937423E-2</v>
      </c>
      <c r="S42" s="2"/>
      <c r="T42" s="2"/>
      <c r="U42" s="2"/>
      <c r="V42" s="19">
        <f t="shared" si="9"/>
        <v>0</v>
      </c>
      <c r="W42" s="2"/>
      <c r="X42" s="2">
        <f t="shared" si="10"/>
        <v>49014.43</v>
      </c>
      <c r="Y42" s="2"/>
      <c r="Z42" s="19">
        <f t="shared" si="11"/>
        <v>0</v>
      </c>
    </row>
    <row r="43" spans="1:26" s="24" customFormat="1" hidden="1" outlineLevel="1" x14ac:dyDescent="0.25">
      <c r="A43" s="44"/>
      <c r="B43" s="11" t="str">
        <f>CONCATENATE("          ", "5200", " - ", "PURCHASES OFFSET")</f>
        <v xml:space="preserve">          5200 - PURCHASES OFFSET</v>
      </c>
      <c r="C43" s="11"/>
      <c r="D43" s="2">
        <v>-104949</v>
      </c>
      <c r="E43" s="2"/>
      <c r="F43" s="19">
        <f t="shared" si="4"/>
        <v>-0.5383958104147416</v>
      </c>
      <c r="G43" s="2"/>
      <c r="H43" s="2"/>
      <c r="I43" s="2"/>
      <c r="J43" s="19">
        <f t="shared" si="5"/>
        <v>0</v>
      </c>
      <c r="K43" s="2"/>
      <c r="L43" s="2">
        <f t="shared" si="6"/>
        <v>-104949</v>
      </c>
      <c r="M43" s="2"/>
      <c r="N43" s="19">
        <f t="shared" si="7"/>
        <v>0</v>
      </c>
      <c r="O43" s="11"/>
      <c r="P43" s="2">
        <v>-929771</v>
      </c>
      <c r="Q43" s="2"/>
      <c r="R43" s="19">
        <f t="shared" si="8"/>
        <v>-0.55947126787749379</v>
      </c>
      <c r="S43" s="2"/>
      <c r="T43" s="2"/>
      <c r="U43" s="2"/>
      <c r="V43" s="19">
        <f t="shared" si="9"/>
        <v>0</v>
      </c>
      <c r="W43" s="2"/>
      <c r="X43" s="2">
        <f t="shared" si="10"/>
        <v>-929771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"5300", " - ", "COG$ OFFSET")</f>
        <v xml:space="preserve">          5300 - COG$ OFFSET</v>
      </c>
      <c r="C44" s="11"/>
      <c r="D44" s="2">
        <v>91102</v>
      </c>
      <c r="E44" s="2"/>
      <c r="F44" s="19">
        <f t="shared" si="4"/>
        <v>0.46735971872436882</v>
      </c>
      <c r="G44" s="2"/>
      <c r="H44" s="2"/>
      <c r="I44" s="2"/>
      <c r="J44" s="19">
        <f t="shared" si="5"/>
        <v>0</v>
      </c>
      <c r="K44" s="2"/>
      <c r="L44" s="2">
        <f t="shared" si="6"/>
        <v>91102</v>
      </c>
      <c r="M44" s="2"/>
      <c r="N44" s="19">
        <f t="shared" si="7"/>
        <v>0</v>
      </c>
      <c r="O44" s="11"/>
      <c r="P44" s="2">
        <v>775567</v>
      </c>
      <c r="Q44" s="2"/>
      <c r="R44" s="19">
        <f t="shared" si="8"/>
        <v>0.46668206774995591</v>
      </c>
      <c r="S44" s="2"/>
      <c r="T44" s="2"/>
      <c r="U44" s="2"/>
      <c r="V44" s="19">
        <f t="shared" si="9"/>
        <v>0</v>
      </c>
      <c r="W44" s="2"/>
      <c r="X44" s="2">
        <f t="shared" si="10"/>
        <v>775567</v>
      </c>
      <c r="Y44" s="2"/>
      <c r="Z44" s="19">
        <f t="shared" si="11"/>
        <v>0</v>
      </c>
    </row>
    <row r="45" spans="1:26" s="24" customFormat="1" hidden="1" outlineLevel="1" x14ac:dyDescent="0.25">
      <c r="A45" s="44"/>
      <c r="B45" s="11" t="str">
        <f>CONCATENATE("          ", "5500", " - ", "FREIGHT-IN")</f>
        <v xml:space="preserve">          5500 - FREIGHT-IN</v>
      </c>
      <c r="C45" s="11"/>
      <c r="D45" s="2"/>
      <c r="E45" s="2"/>
      <c r="F45" s="19">
        <f t="shared" si="4"/>
        <v>0</v>
      </c>
      <c r="G45" s="2"/>
      <c r="H45" s="2"/>
      <c r="I45" s="2"/>
      <c r="J45" s="19">
        <f t="shared" si="5"/>
        <v>0</v>
      </c>
      <c r="K45" s="2"/>
      <c r="L45" s="2">
        <f t="shared" si="6"/>
        <v>0</v>
      </c>
      <c r="M45" s="2"/>
      <c r="N45" s="19">
        <f t="shared" si="7"/>
        <v>0</v>
      </c>
      <c r="O45" s="11"/>
      <c r="P45" s="2">
        <v>29.23</v>
      </c>
      <c r="Q45" s="2"/>
      <c r="R45" s="19">
        <f t="shared" si="8"/>
        <v>1.7588573057300287E-5</v>
      </c>
      <c r="S45" s="2"/>
      <c r="T45" s="2"/>
      <c r="U45" s="2"/>
      <c r="V45" s="19">
        <f t="shared" si="9"/>
        <v>0</v>
      </c>
      <c r="W45" s="2"/>
      <c r="X45" s="2">
        <f t="shared" si="10"/>
        <v>29.23</v>
      </c>
      <c r="Y45" s="2"/>
      <c r="Z45" s="19">
        <f t="shared" si="11"/>
        <v>0</v>
      </c>
    </row>
    <row r="46" spans="1:26" s="24" customFormat="1" hidden="1" outlineLevel="1" x14ac:dyDescent="0.25">
      <c r="A46" s="44"/>
      <c r="B46" s="11" t="str">
        <f>CONCATENATE("          ", "5540", " - ", "FREIGHT-IN-LOGO CLOTHING")</f>
        <v xml:space="preserve">          5540 - FREIGHT-IN-LOGO CLOTHING</v>
      </c>
      <c r="C46" s="11"/>
      <c r="D46" s="2">
        <v>1400.5</v>
      </c>
      <c r="E46" s="2"/>
      <c r="F46" s="19">
        <f t="shared" si="4"/>
        <v>7.1846642891866099E-3</v>
      </c>
      <c r="G46" s="2"/>
      <c r="H46" s="2"/>
      <c r="I46" s="2"/>
      <c r="J46" s="19">
        <f t="shared" si="5"/>
        <v>0</v>
      </c>
      <c r="K46" s="2"/>
      <c r="L46" s="2">
        <f t="shared" si="6"/>
        <v>1400.5</v>
      </c>
      <c r="M46" s="2"/>
      <c r="N46" s="19">
        <f t="shared" si="7"/>
        <v>0</v>
      </c>
      <c r="O46" s="11"/>
      <c r="P46" s="2">
        <v>25677.89</v>
      </c>
      <c r="Q46" s="2"/>
      <c r="R46" s="19">
        <f t="shared" si="8"/>
        <v>1.5451161280270969E-2</v>
      </c>
      <c r="S46" s="2"/>
      <c r="T46" s="2"/>
      <c r="U46" s="2"/>
      <c r="V46" s="19">
        <f t="shared" si="9"/>
        <v>0</v>
      </c>
      <c r="W46" s="2"/>
      <c r="X46" s="2">
        <f t="shared" si="10"/>
        <v>25677.89</v>
      </c>
      <c r="Y46" s="2"/>
      <c r="Z46" s="19">
        <f t="shared" si="11"/>
        <v>0</v>
      </c>
    </row>
    <row r="47" spans="1:26" s="24" customFormat="1" hidden="1" outlineLevel="1" x14ac:dyDescent="0.25">
      <c r="A47" s="44"/>
      <c r="B47" s="11" t="str">
        <f>CONCATENATE("          ", "5541", " - ", "FREIGHT-IN-LOGO GIFTS")</f>
        <v xml:space="preserve">          5541 - FREIGHT-IN-LOGO GIFTS</v>
      </c>
      <c r="C47" s="11"/>
      <c r="D47" s="2">
        <v>24.8</v>
      </c>
      <c r="E47" s="2"/>
      <c r="F47" s="19">
        <f t="shared" si="4"/>
        <v>1.2722575820908814E-4</v>
      </c>
      <c r="G47" s="2"/>
      <c r="H47" s="2"/>
      <c r="I47" s="2"/>
      <c r="J47" s="19">
        <f t="shared" si="5"/>
        <v>0</v>
      </c>
      <c r="K47" s="2"/>
      <c r="L47" s="2">
        <f t="shared" si="6"/>
        <v>24.8</v>
      </c>
      <c r="M47" s="2"/>
      <c r="N47" s="19">
        <f t="shared" si="7"/>
        <v>0</v>
      </c>
      <c r="O47" s="11"/>
      <c r="P47" s="2">
        <v>3587.57</v>
      </c>
      <c r="Q47" s="2"/>
      <c r="R47" s="19">
        <f t="shared" si="8"/>
        <v>2.1587491290858294E-3</v>
      </c>
      <c r="S47" s="2"/>
      <c r="T47" s="2"/>
      <c r="U47" s="2"/>
      <c r="V47" s="19">
        <f t="shared" si="9"/>
        <v>0</v>
      </c>
      <c r="W47" s="2"/>
      <c r="X47" s="2">
        <f t="shared" si="10"/>
        <v>3587.57</v>
      </c>
      <c r="Y47" s="2"/>
      <c r="Z47" s="19">
        <f t="shared" si="11"/>
        <v>0</v>
      </c>
    </row>
    <row r="48" spans="1:26" s="24" customFormat="1" hidden="1" outlineLevel="1" x14ac:dyDescent="0.25">
      <c r="A48" s="44"/>
      <c r="B48" s="11" t="str">
        <f>CONCATENATE("          ", "5542", " - ", "FREIGHT-IN-EVERYDAY GIFTS")</f>
        <v xml:space="preserve">          5542 - FREIGHT-IN-EVERYDAY GIFTS</v>
      </c>
      <c r="C48" s="11"/>
      <c r="D48" s="2"/>
      <c r="E48" s="2"/>
      <c r="F48" s="19">
        <f t="shared" si="4"/>
        <v>0</v>
      </c>
      <c r="G48" s="2"/>
      <c r="H48" s="2"/>
      <c r="I48" s="2"/>
      <c r="J48" s="19">
        <f t="shared" si="5"/>
        <v>0</v>
      </c>
      <c r="K48" s="2"/>
      <c r="L48" s="2">
        <f t="shared" si="6"/>
        <v>0</v>
      </c>
      <c r="M48" s="2"/>
      <c r="N48" s="19">
        <f t="shared" si="7"/>
        <v>0</v>
      </c>
      <c r="O48" s="11"/>
      <c r="P48" s="2">
        <v>1708.33</v>
      </c>
      <c r="Q48" s="2"/>
      <c r="R48" s="19">
        <f t="shared" si="8"/>
        <v>1.0279537123153539E-3</v>
      </c>
      <c r="S48" s="2"/>
      <c r="T48" s="2"/>
      <c r="U48" s="2"/>
      <c r="V48" s="19">
        <f t="shared" si="9"/>
        <v>0</v>
      </c>
      <c r="W48" s="2"/>
      <c r="X48" s="2">
        <f t="shared" si="10"/>
        <v>1708.33</v>
      </c>
      <c r="Y48" s="2"/>
      <c r="Z48" s="19">
        <f t="shared" si="11"/>
        <v>0</v>
      </c>
    </row>
    <row r="49" spans="1:26" s="24" customFormat="1" hidden="1" outlineLevel="1" x14ac:dyDescent="0.25">
      <c r="A49" s="44"/>
      <c r="B49" s="11" t="str">
        <f>CONCATENATE("          ", "5543", " - ", "FREIGHT-IN-CARDS")</f>
        <v xml:space="preserve">          5543 - FREIGHT-IN-CARDS</v>
      </c>
      <c r="C49" s="11"/>
      <c r="D49" s="2"/>
      <c r="E49" s="2"/>
      <c r="F49" s="19">
        <f t="shared" si="4"/>
        <v>0</v>
      </c>
      <c r="G49" s="2"/>
      <c r="H49" s="2"/>
      <c r="I49" s="2"/>
      <c r="J49" s="19">
        <f t="shared" si="5"/>
        <v>0</v>
      </c>
      <c r="K49" s="2"/>
      <c r="L49" s="2">
        <f t="shared" si="6"/>
        <v>0</v>
      </c>
      <c r="M49" s="2"/>
      <c r="N49" s="19">
        <f t="shared" si="7"/>
        <v>0</v>
      </c>
      <c r="O49" s="11"/>
      <c r="P49" s="2">
        <v>121.35</v>
      </c>
      <c r="Q49" s="2"/>
      <c r="R49" s="19">
        <f t="shared" si="8"/>
        <v>7.3019956910824139E-5</v>
      </c>
      <c r="S49" s="2"/>
      <c r="T49" s="2"/>
      <c r="U49" s="2"/>
      <c r="V49" s="19">
        <f t="shared" si="9"/>
        <v>0</v>
      </c>
      <c r="W49" s="2"/>
      <c r="X49" s="2">
        <f t="shared" si="10"/>
        <v>121.35</v>
      </c>
      <c r="Y49" s="2"/>
      <c r="Z49" s="19">
        <f t="shared" si="11"/>
        <v>0</v>
      </c>
    </row>
    <row r="50" spans="1:26" s="24" customFormat="1" hidden="1" outlineLevel="1" x14ac:dyDescent="0.25">
      <c r="A50" s="44"/>
      <c r="B50" s="11" t="str">
        <f>CONCATENATE("          ", "5544", " - ", "FREIGHT-IN-ACCESSORIES")</f>
        <v xml:space="preserve">          5544 - FREIGHT-IN-ACCESSORIES</v>
      </c>
      <c r="C50" s="11"/>
      <c r="D50" s="2"/>
      <c r="E50" s="2"/>
      <c r="F50" s="19">
        <f t="shared" si="4"/>
        <v>0</v>
      </c>
      <c r="G50" s="2"/>
      <c r="H50" s="2"/>
      <c r="I50" s="2"/>
      <c r="J50" s="19">
        <f t="shared" si="5"/>
        <v>0</v>
      </c>
      <c r="K50" s="2"/>
      <c r="L50" s="2">
        <f t="shared" si="6"/>
        <v>0</v>
      </c>
      <c r="M50" s="2"/>
      <c r="N50" s="19">
        <f t="shared" si="7"/>
        <v>0</v>
      </c>
      <c r="O50" s="11"/>
      <c r="P50" s="2">
        <v>442.31</v>
      </c>
      <c r="Q50" s="2"/>
      <c r="R50" s="19">
        <f t="shared" si="8"/>
        <v>2.6615127434055728E-4</v>
      </c>
      <c r="S50" s="2"/>
      <c r="T50" s="2"/>
      <c r="U50" s="2"/>
      <c r="V50" s="19">
        <f t="shared" si="9"/>
        <v>0</v>
      </c>
      <c r="W50" s="2"/>
      <c r="X50" s="2">
        <f t="shared" si="10"/>
        <v>442.31</v>
      </c>
      <c r="Y50" s="2"/>
      <c r="Z50" s="19">
        <f t="shared" si="11"/>
        <v>0</v>
      </c>
    </row>
    <row r="51" spans="1:26" s="24" customFormat="1" hidden="1" outlineLevel="1" x14ac:dyDescent="0.25">
      <c r="A51" s="44"/>
      <c r="B51" s="11" t="str">
        <f>CONCATENATE("          ", "5545", " - ", "FREIGHT-IN-SPECIAL ORDERS")</f>
        <v xml:space="preserve">          5545 - FREIGHT-IN-SPECIAL ORDERS</v>
      </c>
      <c r="C51" s="11"/>
      <c r="D51" s="2">
        <v>14.23</v>
      </c>
      <c r="E51" s="2"/>
      <c r="F51" s="19">
        <f t="shared" si="4"/>
        <v>7.3000908843359849E-5</v>
      </c>
      <c r="G51" s="2"/>
      <c r="H51" s="2"/>
      <c r="I51" s="2"/>
      <c r="J51" s="19">
        <f t="shared" si="5"/>
        <v>0</v>
      </c>
      <c r="K51" s="2"/>
      <c r="L51" s="2">
        <f t="shared" si="6"/>
        <v>14.23</v>
      </c>
      <c r="M51" s="2"/>
      <c r="N51" s="19">
        <f t="shared" si="7"/>
        <v>0</v>
      </c>
      <c r="O51" s="11"/>
      <c r="P51" s="2">
        <v>841.9</v>
      </c>
      <c r="Q51" s="2"/>
      <c r="R51" s="19">
        <f t="shared" si="8"/>
        <v>5.0659663554365752E-4</v>
      </c>
      <c r="S51" s="2"/>
      <c r="T51" s="2"/>
      <c r="U51" s="2"/>
      <c r="V51" s="19">
        <f t="shared" si="9"/>
        <v>0</v>
      </c>
      <c r="W51" s="2"/>
      <c r="X51" s="2">
        <f t="shared" si="10"/>
        <v>841.9</v>
      </c>
      <c r="Y51" s="2"/>
      <c r="Z51" s="19">
        <f t="shared" si="11"/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9" t="s">
        <v>6</v>
      </c>
      <c r="C53" s="29"/>
      <c r="D53" s="21">
        <f>D12-D35</f>
        <v>103827.36000000003</v>
      </c>
      <c r="E53" s="14"/>
      <c r="F53" s="20">
        <f>IF(D$12=0,0,D53/D$12)</f>
        <v>0.53264171769548196</v>
      </c>
      <c r="G53" s="14"/>
      <c r="H53" s="21">
        <f>H12-H35</f>
        <v>117458</v>
      </c>
      <c r="I53" s="14"/>
      <c r="J53" s="20">
        <f>IF(H$12=0,0,H53/H$12)</f>
        <v>0.5484181234125205</v>
      </c>
      <c r="K53" s="16"/>
      <c r="L53" s="21">
        <f>+D53-H53</f>
        <v>-13630.63999999997</v>
      </c>
      <c r="M53" s="16"/>
      <c r="N53" s="20">
        <f>IF(H53=0,0,L53/H53)</f>
        <v>-0.1160469274123514</v>
      </c>
      <c r="O53" s="28"/>
      <c r="P53" s="21">
        <f>P12-P35</f>
        <v>886280.30999999994</v>
      </c>
      <c r="Q53" s="14"/>
      <c r="R53" s="20">
        <f>IF(P$12=0,0,P53/P$12)</f>
        <v>0.53330160731035736</v>
      </c>
      <c r="S53" s="14"/>
      <c r="T53" s="21">
        <f>T12-T35</f>
        <v>900472</v>
      </c>
      <c r="U53" s="14"/>
      <c r="V53" s="20">
        <f>IF(T$12=0,0,T53/T$12)</f>
        <v>0.54468655504832164</v>
      </c>
      <c r="W53" s="16"/>
      <c r="X53" s="21">
        <f>+P53-T53</f>
        <v>-14191.690000000061</v>
      </c>
      <c r="Y53" s="16"/>
      <c r="Z53" s="20">
        <f>IF(T53=0,0,X53/T53)</f>
        <v>-1.5760279053651929E-2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8" t="s">
        <v>9</v>
      </c>
      <c r="C55" s="10"/>
      <c r="D55" s="22">
        <f>SUM(OSRRefD22x_0)</f>
        <v>61051.05</v>
      </c>
      <c r="E55" s="22"/>
      <c r="F55" s="35">
        <f t="shared" ref="F55:F65" si="12">IF(D$12=0,0,D55/D$12)</f>
        <v>0.3131962147464093</v>
      </c>
      <c r="G55" s="22"/>
      <c r="H55" s="22">
        <f>SUM(OSRRefH22x_0)</f>
        <v>72503.999591805288</v>
      </c>
      <c r="I55" s="22"/>
      <c r="J55" s="35">
        <f t="shared" ref="J55:J65" si="13">IF(H$12=0,0,H55/H$12)</f>
        <v>0.33852532306049832</v>
      </c>
      <c r="K55" s="4"/>
      <c r="L55" s="22">
        <f t="shared" ref="L55:L65" si="14">+D55-H55</f>
        <v>-11452.949591805285</v>
      </c>
      <c r="M55" s="4"/>
      <c r="N55" s="35">
        <f t="shared" ref="N55:N65" si="15">IF(H55=0,0,L55/H55)</f>
        <v>-0.15796300419680223</v>
      </c>
      <c r="O55" s="10"/>
      <c r="P55" s="22">
        <f>SUM(OSRRefP22x_0)</f>
        <v>421966.18999999994</v>
      </c>
      <c r="Q55" s="22"/>
      <c r="R55" s="35">
        <f t="shared" ref="R55:R65" si="16">IF(P$12=0,0,P55/P$12)</f>
        <v>0.25390978995982388</v>
      </c>
      <c r="S55" s="22"/>
      <c r="T55" s="22">
        <f>SUM(OSRRefT22x_0)</f>
        <v>430538.8913148928</v>
      </c>
      <c r="U55" s="22"/>
      <c r="V55" s="35">
        <f t="shared" ref="V55:V65" si="17">IF(T$12=0,0,T55/T$12)</f>
        <v>0.26042869242423167</v>
      </c>
      <c r="W55" s="4"/>
      <c r="X55" s="22">
        <f t="shared" ref="X55:X65" si="18">+P55-T55</f>
        <v>-8572.7013148928527</v>
      </c>
      <c r="Y55" s="4"/>
      <c r="Z55" s="35">
        <f t="shared" ref="Z55:Z65" si="19">IF(T55=0,0,X55/T55)</f>
        <v>-1.9911560808621224E-2</v>
      </c>
    </row>
    <row r="56" spans="1:26" s="27" customFormat="1" outlineLevel="1" collapsed="1" x14ac:dyDescent="0.25">
      <c r="A56" s="26"/>
      <c r="B56" s="13" t="str">
        <f>CONCATENATE("     ","*Benefits                                         ")</f>
        <v xml:space="preserve">     *Benefits                                         </v>
      </c>
      <c r="C56" s="13"/>
      <c r="D56" s="1">
        <f>SUM(OSRRefD22_0x_0)</f>
        <v>4847.47</v>
      </c>
      <c r="E56" s="1"/>
      <c r="F56" s="5">
        <f t="shared" si="12"/>
        <v>2.4867864763943891E-2</v>
      </c>
      <c r="G56" s="1"/>
      <c r="H56" s="1">
        <f>SUM(OSRRefH22_0x_0)</f>
        <v>4717.2247720937503</v>
      </c>
      <c r="I56" s="1"/>
      <c r="J56" s="5">
        <f t="shared" si="13"/>
        <v>2.2024992399212566E-2</v>
      </c>
      <c r="K56" s="1"/>
      <c r="L56" s="1">
        <f t="shared" si="14"/>
        <v>130.24522790624997</v>
      </c>
      <c r="M56" s="1"/>
      <c r="N56" s="5">
        <f t="shared" si="15"/>
        <v>2.7610562184095445E-2</v>
      </c>
      <c r="O56" s="13"/>
      <c r="P56" s="1">
        <f>SUM(OSRRefP22_0x_0)</f>
        <v>45130.11</v>
      </c>
      <c r="Q56" s="1"/>
      <c r="R56" s="5">
        <f t="shared" si="16"/>
        <v>2.715614905299344E-2</v>
      </c>
      <c r="S56" s="1"/>
      <c r="T56" s="1">
        <f>SUM(OSRRefT22_0x_0)</f>
        <v>32121.435432681254</v>
      </c>
      <c r="U56" s="1"/>
      <c r="V56" s="5">
        <f t="shared" si="17"/>
        <v>1.9429936754318009E-2</v>
      </c>
      <c r="W56" s="1"/>
      <c r="X56" s="1">
        <f t="shared" si="18"/>
        <v>13008.674567318747</v>
      </c>
      <c r="Y56" s="1"/>
      <c r="Z56" s="5">
        <f t="shared" si="19"/>
        <v>0.40498422290565989</v>
      </c>
    </row>
    <row r="57" spans="1:26" s="24" customFormat="1" hidden="1" outlineLevel="2" x14ac:dyDescent="0.25">
      <c r="A57" s="25"/>
      <c r="B57" s="11" t="str">
        <f>CONCATENATE("          ", "6111", " - ", "F.I.C.A.")</f>
        <v xml:space="preserve">          6111 - F.I.C.A.</v>
      </c>
      <c r="C57" s="11"/>
      <c r="D57" s="7">
        <v>797.76</v>
      </c>
      <c r="E57" s="2"/>
      <c r="F57" s="6">
        <f t="shared" si="12"/>
        <v>4.0925653576162156E-3</v>
      </c>
      <c r="G57" s="2"/>
      <c r="H57" s="7">
        <v>860.85614905528803</v>
      </c>
      <c r="I57" s="2"/>
      <c r="J57" s="6">
        <f t="shared" si="13"/>
        <v>4.0193866215415732E-3</v>
      </c>
      <c r="K57" s="2"/>
      <c r="L57" s="7">
        <f t="shared" si="14"/>
        <v>-63.096149055288038</v>
      </c>
      <c r="M57" s="2"/>
      <c r="N57" s="6">
        <f t="shared" si="15"/>
        <v>-7.3294648733740669E-2</v>
      </c>
      <c r="O57" s="11"/>
      <c r="P57" s="7">
        <v>9375.93</v>
      </c>
      <c r="Q57" s="2"/>
      <c r="R57" s="6">
        <f t="shared" si="16"/>
        <v>5.6417800131759654E-3</v>
      </c>
      <c r="S57" s="2"/>
      <c r="T57" s="7">
        <v>7060.0940866427891</v>
      </c>
      <c r="U57" s="2"/>
      <c r="V57" s="6">
        <f t="shared" si="17"/>
        <v>4.2705806803215287E-3</v>
      </c>
      <c r="W57" s="2"/>
      <c r="X57" s="7">
        <f t="shared" si="18"/>
        <v>2315.8359133572112</v>
      </c>
      <c r="Y57" s="2"/>
      <c r="Z57" s="6">
        <f t="shared" si="19"/>
        <v>0.32801771264473839</v>
      </c>
    </row>
    <row r="58" spans="1:26" s="24" customFormat="1" hidden="1" outlineLevel="2" x14ac:dyDescent="0.25">
      <c r="A58" s="25"/>
      <c r="B58" s="11" t="str">
        <f>CONCATENATE("          ", "6112", " - ", "COMPENSATION INSURANCE")</f>
        <v xml:space="preserve">          6112 - COMPENSATION INSURANCE</v>
      </c>
      <c r="C58" s="11"/>
      <c r="D58" s="7">
        <v>375.63</v>
      </c>
      <c r="E58" s="2"/>
      <c r="F58" s="6">
        <f t="shared" si="12"/>
        <v>1.9270085304870877E-3</v>
      </c>
      <c r="G58" s="2"/>
      <c r="H58" s="7">
        <v>520.02478139423101</v>
      </c>
      <c r="I58" s="2"/>
      <c r="J58" s="6">
        <f t="shared" si="13"/>
        <v>2.4280254622097296E-3</v>
      </c>
      <c r="K58" s="2"/>
      <c r="L58" s="7">
        <f t="shared" si="14"/>
        <v>-144.39478139423102</v>
      </c>
      <c r="M58" s="2"/>
      <c r="N58" s="6">
        <f t="shared" si="15"/>
        <v>-0.27766903916981844</v>
      </c>
      <c r="O58" s="11"/>
      <c r="P58" s="7">
        <v>3023.42</v>
      </c>
      <c r="Q58" s="2"/>
      <c r="R58" s="6">
        <f t="shared" si="16"/>
        <v>1.819283050047993E-3</v>
      </c>
      <c r="S58" s="2"/>
      <c r="T58" s="7">
        <v>3014.7062326442328</v>
      </c>
      <c r="U58" s="2"/>
      <c r="V58" s="6">
        <f t="shared" si="17"/>
        <v>1.8235658103102498E-3</v>
      </c>
      <c r="W58" s="2"/>
      <c r="X58" s="7">
        <f t="shared" si="18"/>
        <v>8.7137673557672315</v>
      </c>
      <c r="Y58" s="2"/>
      <c r="Z58" s="6">
        <f t="shared" si="19"/>
        <v>2.890420055331324E-3</v>
      </c>
    </row>
    <row r="59" spans="1:26" s="24" customFormat="1" hidden="1" outlineLevel="2" x14ac:dyDescent="0.25">
      <c r="A59" s="25"/>
      <c r="B59" s="11" t="str">
        <f>CONCATENATE("          ", "6113", " - ", "GROUP INSURANCE")</f>
        <v xml:space="preserve">          6113 - GROUP INSURANCE</v>
      </c>
      <c r="C59" s="11"/>
      <c r="D59" s="7">
        <v>1427.92</v>
      </c>
      <c r="E59" s="2"/>
      <c r="F59" s="6">
        <f t="shared" si="12"/>
        <v>7.3253308331419813E-3</v>
      </c>
      <c r="G59" s="2"/>
      <c r="H59" s="7">
        <v>1875.25</v>
      </c>
      <c r="I59" s="2"/>
      <c r="J59" s="6">
        <f t="shared" si="13"/>
        <v>8.755649559240998E-3</v>
      </c>
      <c r="K59" s="2"/>
      <c r="L59" s="7">
        <f t="shared" si="14"/>
        <v>-447.32999999999993</v>
      </c>
      <c r="M59" s="2"/>
      <c r="N59" s="6">
        <f t="shared" si="15"/>
        <v>-0.23854419410745231</v>
      </c>
      <c r="O59" s="11"/>
      <c r="P59" s="7">
        <v>15208.12</v>
      </c>
      <c r="Q59" s="2"/>
      <c r="R59" s="6">
        <f t="shared" si="16"/>
        <v>9.1511847308994067E-3</v>
      </c>
      <c r="S59" s="2"/>
      <c r="T59" s="7">
        <v>13126.75</v>
      </c>
      <c r="U59" s="2"/>
      <c r="V59" s="6">
        <f t="shared" si="17"/>
        <v>7.9402404921869382E-3</v>
      </c>
      <c r="W59" s="2"/>
      <c r="X59" s="7">
        <f t="shared" si="18"/>
        <v>2081.3700000000008</v>
      </c>
      <c r="Y59" s="2"/>
      <c r="Z59" s="6">
        <f t="shared" si="19"/>
        <v>0.15855943017121532</v>
      </c>
    </row>
    <row r="60" spans="1:26" s="24" customFormat="1" hidden="1" outlineLevel="2" x14ac:dyDescent="0.25">
      <c r="A60" s="25"/>
      <c r="B60" s="11" t="str">
        <f>CONCATENATE("          ", "6114", " - ", "STATE UNEMPLOYMENT INSURANCE")</f>
        <v xml:space="preserve">          6114 - STATE UNEMPLOYMENT INSURANCE</v>
      </c>
      <c r="C60" s="11"/>
      <c r="D60" s="7">
        <v>51.4</v>
      </c>
      <c r="E60" s="2"/>
      <c r="F60" s="6">
        <f t="shared" si="12"/>
        <v>2.6368564403012621E-4</v>
      </c>
      <c r="G60" s="2"/>
      <c r="H60" s="7">
        <v>71.161285875000004</v>
      </c>
      <c r="I60" s="2"/>
      <c r="J60" s="6">
        <f t="shared" si="13"/>
        <v>3.3225611588133124E-4</v>
      </c>
      <c r="K60" s="2"/>
      <c r="L60" s="7">
        <f t="shared" si="14"/>
        <v>-19.761285875000006</v>
      </c>
      <c r="M60" s="2"/>
      <c r="N60" s="6">
        <f t="shared" si="15"/>
        <v>-0.27769714433929915</v>
      </c>
      <c r="O60" s="11"/>
      <c r="P60" s="7">
        <v>466.32</v>
      </c>
      <c r="Q60" s="2"/>
      <c r="R60" s="6">
        <f t="shared" si="16"/>
        <v>2.8059881587684808E-4</v>
      </c>
      <c r="S60" s="2"/>
      <c r="T60" s="7">
        <v>412.53874762499998</v>
      </c>
      <c r="U60" s="2"/>
      <c r="V60" s="6">
        <f t="shared" si="17"/>
        <v>2.4954058456877086E-4</v>
      </c>
      <c r="W60" s="2"/>
      <c r="X60" s="7">
        <f t="shared" si="18"/>
        <v>53.781252375000008</v>
      </c>
      <c r="Y60" s="2"/>
      <c r="Z60" s="6">
        <f t="shared" si="19"/>
        <v>0.1303665478324656</v>
      </c>
    </row>
    <row r="61" spans="1:26" s="24" customFormat="1" hidden="1" outlineLevel="2" x14ac:dyDescent="0.25">
      <c r="A61" s="25"/>
      <c r="B61" s="11" t="str">
        <f>CONCATENATE("          ", "6115", " - ", "P.E.R.S.")</f>
        <v xml:space="preserve">          6115 - P.E.R.S.</v>
      </c>
      <c r="C61" s="11"/>
      <c r="D61" s="7">
        <v>932.78</v>
      </c>
      <c r="E61" s="2"/>
      <c r="F61" s="6">
        <f t="shared" si="12"/>
        <v>4.7852275299303717E-3</v>
      </c>
      <c r="G61" s="2"/>
      <c r="H61" s="7">
        <v>761.87488894230808</v>
      </c>
      <c r="I61" s="2"/>
      <c r="J61" s="6">
        <f t="shared" si="13"/>
        <v>3.5572374539738724E-3</v>
      </c>
      <c r="K61" s="2"/>
      <c r="L61" s="7">
        <f t="shared" si="14"/>
        <v>170.9051110576919</v>
      </c>
      <c r="M61" s="2"/>
      <c r="N61" s="6">
        <f t="shared" si="15"/>
        <v>0.22432175352957912</v>
      </c>
      <c r="O61" s="11"/>
      <c r="P61" s="7">
        <v>6153.92</v>
      </c>
      <c r="Q61" s="2"/>
      <c r="R61" s="6">
        <f t="shared" si="16"/>
        <v>3.7029993673890309E-3</v>
      </c>
      <c r="S61" s="2"/>
      <c r="T61" s="7">
        <v>4723.6243114423078</v>
      </c>
      <c r="U61" s="2"/>
      <c r="V61" s="6">
        <f t="shared" si="17"/>
        <v>2.8572733561310192E-3</v>
      </c>
      <c r="W61" s="2"/>
      <c r="X61" s="7">
        <f t="shared" si="18"/>
        <v>1430.2956885576923</v>
      </c>
      <c r="Y61" s="2"/>
      <c r="Z61" s="6">
        <f t="shared" si="19"/>
        <v>0.30279624166828945</v>
      </c>
    </row>
    <row r="62" spans="1:26" s="24" customFormat="1" hidden="1" outlineLevel="2" x14ac:dyDescent="0.25">
      <c r="A62" s="25"/>
      <c r="B62" s="11" t="str">
        <f>CONCATENATE("          ", "6116", " - ", "EDUCATIONAL BENEFITS")</f>
        <v xml:space="preserve">          6116 - EDUCATIONAL BENEFITS</v>
      </c>
      <c r="C62" s="11"/>
      <c r="D62" s="7"/>
      <c r="E62" s="2"/>
      <c r="F62" s="6">
        <f t="shared" si="12"/>
        <v>0</v>
      </c>
      <c r="G62" s="2"/>
      <c r="H62" s="7">
        <v>0</v>
      </c>
      <c r="I62" s="2"/>
      <c r="J62" s="6">
        <f t="shared" si="13"/>
        <v>0</v>
      </c>
      <c r="K62" s="2"/>
      <c r="L62" s="7">
        <f t="shared" si="14"/>
        <v>0</v>
      </c>
      <c r="M62" s="2"/>
      <c r="N62" s="6">
        <f t="shared" si="15"/>
        <v>0</v>
      </c>
      <c r="O62" s="11"/>
      <c r="P62" s="7"/>
      <c r="Q62" s="2"/>
      <c r="R62" s="6">
        <f t="shared" si="16"/>
        <v>0</v>
      </c>
      <c r="S62" s="2"/>
      <c r="T62" s="7">
        <v>0</v>
      </c>
      <c r="U62" s="2"/>
      <c r="V62" s="6">
        <f t="shared" si="17"/>
        <v>0</v>
      </c>
      <c r="W62" s="2"/>
      <c r="X62" s="7">
        <f t="shared" si="18"/>
        <v>0</v>
      </c>
      <c r="Y62" s="2"/>
      <c r="Z62" s="6">
        <f t="shared" si="19"/>
        <v>0</v>
      </c>
    </row>
    <row r="63" spans="1:26" s="24" customFormat="1" hidden="1" outlineLevel="2" x14ac:dyDescent="0.25">
      <c r="A63" s="25"/>
      <c r="B63" s="11" t="str">
        <f>CONCATENATE("          ", "6118", " - ", "VACATION")</f>
        <v xml:space="preserve">          6118 - VACATION</v>
      </c>
      <c r="C63" s="11"/>
      <c r="D63" s="7">
        <v>565.20000000000005</v>
      </c>
      <c r="E63" s="2"/>
      <c r="F63" s="6">
        <f t="shared" si="12"/>
        <v>2.8995160701522833E-3</v>
      </c>
      <c r="G63" s="2"/>
      <c r="H63" s="7">
        <v>265.77031009615399</v>
      </c>
      <c r="I63" s="2"/>
      <c r="J63" s="6">
        <f t="shared" si="13"/>
        <v>1.2408967862699554E-3</v>
      </c>
      <c r="K63" s="2"/>
      <c r="L63" s="7">
        <f t="shared" si="14"/>
        <v>299.42968990384605</v>
      </c>
      <c r="M63" s="2"/>
      <c r="N63" s="6">
        <f t="shared" si="15"/>
        <v>1.1266483821895468</v>
      </c>
      <c r="O63" s="11"/>
      <c r="P63" s="7">
        <v>5081.93</v>
      </c>
      <c r="Q63" s="2"/>
      <c r="R63" s="6">
        <f t="shared" si="16"/>
        <v>3.0579506355486162E-3</v>
      </c>
      <c r="S63" s="2"/>
      <c r="T63" s="7">
        <v>1647.775922596154</v>
      </c>
      <c r="U63" s="2"/>
      <c r="V63" s="6">
        <f t="shared" si="17"/>
        <v>9.9672326376663454E-4</v>
      </c>
      <c r="W63" s="2"/>
      <c r="X63" s="7">
        <f t="shared" si="18"/>
        <v>3434.1540774038463</v>
      </c>
      <c r="Y63" s="2"/>
      <c r="Z63" s="6">
        <f t="shared" si="19"/>
        <v>2.0841147332661367</v>
      </c>
    </row>
    <row r="64" spans="1:26" s="24" customFormat="1" hidden="1" outlineLevel="2" x14ac:dyDescent="0.25">
      <c r="A64" s="25"/>
      <c r="B64" s="11" t="str">
        <f>CONCATENATE("          ", "6119", " - ", "SICK LEAVE")</f>
        <v xml:space="preserve">          6119 - SICK LEAVE</v>
      </c>
      <c r="C64" s="11"/>
      <c r="D64" s="7">
        <v>369.18</v>
      </c>
      <c r="E64" s="2"/>
      <c r="F64" s="6">
        <f t="shared" si="12"/>
        <v>1.8939195732109338E-3</v>
      </c>
      <c r="G64" s="2"/>
      <c r="H64" s="7">
        <v>362.28735673076898</v>
      </c>
      <c r="I64" s="2"/>
      <c r="J64" s="6">
        <f t="shared" si="13"/>
        <v>1.691540400095104E-3</v>
      </c>
      <c r="K64" s="2"/>
      <c r="L64" s="7">
        <f t="shared" si="14"/>
        <v>6.89264326923103</v>
      </c>
      <c r="M64" s="2"/>
      <c r="N64" s="6">
        <f t="shared" si="15"/>
        <v>1.9025348638796812E-2</v>
      </c>
      <c r="O64" s="11"/>
      <c r="P64" s="7">
        <v>4567.71</v>
      </c>
      <c r="Q64" s="2"/>
      <c r="R64" s="6">
        <f t="shared" si="16"/>
        <v>2.7485289442203591E-3</v>
      </c>
      <c r="S64" s="2"/>
      <c r="T64" s="7">
        <v>2135.9461317307669</v>
      </c>
      <c r="U64" s="2"/>
      <c r="V64" s="6">
        <f t="shared" si="17"/>
        <v>1.2920125670328672E-3</v>
      </c>
      <c r="W64" s="2"/>
      <c r="X64" s="7">
        <f t="shared" si="18"/>
        <v>2431.7638682692332</v>
      </c>
      <c r="Y64" s="2"/>
      <c r="Z64" s="6">
        <f t="shared" si="19"/>
        <v>1.138494942425708</v>
      </c>
    </row>
    <row r="65" spans="1:26" s="24" customFormat="1" hidden="1" outlineLevel="2" x14ac:dyDescent="0.25">
      <c r="A65" s="25"/>
      <c r="B65" s="11" t="str">
        <f>CONCATENATE("          ", "6156", " - ", "EMPLOYEE MEALS")</f>
        <v xml:space="preserve">          6156 - EMPLOYEE MEALS</v>
      </c>
      <c r="C65" s="11"/>
      <c r="D65" s="7">
        <v>327.60000000000002</v>
      </c>
      <c r="E65" s="2"/>
      <c r="F65" s="6">
        <f t="shared" si="12"/>
        <v>1.6806112253748902E-3</v>
      </c>
      <c r="G65" s="2"/>
      <c r="H65" s="7"/>
      <c r="I65" s="2"/>
      <c r="J65" s="6">
        <f t="shared" si="13"/>
        <v>0</v>
      </c>
      <c r="K65" s="2"/>
      <c r="L65" s="7">
        <f t="shared" si="14"/>
        <v>327.60000000000002</v>
      </c>
      <c r="M65" s="2"/>
      <c r="N65" s="6">
        <f t="shared" si="15"/>
        <v>0</v>
      </c>
      <c r="O65" s="11"/>
      <c r="P65" s="7">
        <v>1252.76</v>
      </c>
      <c r="Q65" s="2"/>
      <c r="R65" s="6">
        <f t="shared" si="16"/>
        <v>7.538234958352209E-4</v>
      </c>
      <c r="S65" s="2"/>
      <c r="T65" s="7"/>
      <c r="U65" s="2"/>
      <c r="V65" s="6">
        <f t="shared" si="17"/>
        <v>0</v>
      </c>
      <c r="W65" s="2"/>
      <c r="X65" s="7">
        <f t="shared" si="18"/>
        <v>1252.76</v>
      </c>
      <c r="Y65" s="2"/>
      <c r="Z65" s="6">
        <f t="shared" si="19"/>
        <v>0</v>
      </c>
    </row>
    <row r="66" spans="1:26" s="27" customFormat="1" outlineLevel="1" collapsed="1" x14ac:dyDescent="0.25">
      <c r="A66" s="26"/>
      <c r="B66" s="13" t="str">
        <f>CONCATENATE("     ","*Payroll                                          ")</f>
        <v xml:space="preserve">     *Payroll                                          </v>
      </c>
      <c r="C66" s="13"/>
      <c r="D66" s="1">
        <f>SUM(OSRRefD22_1x_0)</f>
        <v>24897.08</v>
      </c>
      <c r="E66" s="1"/>
      <c r="F66" s="5">
        <f t="shared" ref="F66:F76" si="20">IF(D$12=0,0,D66/D$12)</f>
        <v>0.12772378549162597</v>
      </c>
      <c r="G66" s="1"/>
      <c r="H66" s="1">
        <f>SUM(OSRRefH22_1x_0)</f>
        <v>26926.774819711543</v>
      </c>
      <c r="I66" s="1"/>
      <c r="J66" s="5">
        <f t="shared" ref="J66:J76" si="21">IF(H$12=0,0,H66/H$12)</f>
        <v>0.12572265249006212</v>
      </c>
      <c r="K66" s="1"/>
      <c r="L66" s="1">
        <f t="shared" ref="L66:L76" si="22">+D66-H66</f>
        <v>-2029.6948197115416</v>
      </c>
      <c r="M66" s="1"/>
      <c r="N66" s="5">
        <f t="shared" ref="N66:N76" si="23">IF(H66=0,0,L66/H66)</f>
        <v>-7.537831148740913E-2</v>
      </c>
      <c r="O66" s="13"/>
      <c r="P66" s="1">
        <f>SUM(OSRRefP22_1x_0)</f>
        <v>171743.74</v>
      </c>
      <c r="Q66" s="1"/>
      <c r="R66" s="5">
        <f t="shared" ref="R66:R76" si="24">IF(P$12=0,0,P66/P$12)</f>
        <v>0.10334339097242509</v>
      </c>
      <c r="S66" s="1"/>
      <c r="T66" s="1">
        <f>SUM(OSRRefT22_1x_0)</f>
        <v>155922.45588221157</v>
      </c>
      <c r="U66" s="1"/>
      <c r="V66" s="5">
        <f t="shared" ref="V66:V76" si="25">IF(T$12=0,0,T66/T$12)</f>
        <v>9.4315942471454667E-2</v>
      </c>
      <c r="W66" s="1"/>
      <c r="X66" s="1">
        <f t="shared" ref="X66:X76" si="26">+P66-T66</f>
        <v>15821.284117788426</v>
      </c>
      <c r="Y66" s="1"/>
      <c r="Z66" s="5">
        <f t="shared" ref="Z66:Z76" si="27">IF(T66=0,0,X66/T66)</f>
        <v>0.1014689258726164</v>
      </c>
    </row>
    <row r="67" spans="1:26" s="24" customFormat="1" hidden="1" outlineLevel="2" x14ac:dyDescent="0.25">
      <c r="A67" s="25"/>
      <c r="B67" s="11" t="str">
        <f>CONCATENATE("          ", "6001", " - ", "ADMINISTRATIVE SALARIES")</f>
        <v xml:space="preserve">          6001 - ADMINISTRATIVE SALARIES</v>
      </c>
      <c r="C67" s="11"/>
      <c r="D67" s="7"/>
      <c r="E67" s="2"/>
      <c r="F67" s="6">
        <f t="shared" si="20"/>
        <v>0</v>
      </c>
      <c r="G67" s="2"/>
      <c r="H67" s="7">
        <v>0</v>
      </c>
      <c r="I67" s="2"/>
      <c r="J67" s="6">
        <f t="shared" si="21"/>
        <v>0</v>
      </c>
      <c r="K67" s="2"/>
      <c r="L67" s="7">
        <f t="shared" si="22"/>
        <v>0</v>
      </c>
      <c r="M67" s="2"/>
      <c r="N67" s="6">
        <f t="shared" si="23"/>
        <v>0</v>
      </c>
      <c r="O67" s="11"/>
      <c r="P67" s="7"/>
      <c r="Q67" s="2"/>
      <c r="R67" s="6">
        <f t="shared" si="24"/>
        <v>0</v>
      </c>
      <c r="S67" s="2"/>
      <c r="T67" s="7">
        <v>0</v>
      </c>
      <c r="U67" s="2"/>
      <c r="V67" s="6">
        <f t="shared" si="25"/>
        <v>0</v>
      </c>
      <c r="W67" s="2"/>
      <c r="X67" s="7">
        <f t="shared" si="26"/>
        <v>0</v>
      </c>
      <c r="Y67" s="2"/>
      <c r="Z67" s="6">
        <f t="shared" si="27"/>
        <v>0</v>
      </c>
    </row>
    <row r="68" spans="1:26" s="24" customFormat="1" hidden="1" outlineLevel="2" x14ac:dyDescent="0.25">
      <c r="A68" s="25"/>
      <c r="B68" s="11" t="str">
        <f>CONCATENATE("          ", "6002", " - ", "STAFF SALARIES")</f>
        <v xml:space="preserve">          6002 - STAFF SALARIES</v>
      </c>
      <c r="C68" s="11"/>
      <c r="D68" s="7">
        <v>6996.68</v>
      </c>
      <c r="E68" s="2"/>
      <c r="F68" s="6">
        <f t="shared" si="20"/>
        <v>3.589346443332108E-2</v>
      </c>
      <c r="G68" s="2"/>
      <c r="H68" s="7">
        <v>8416.0598197115396</v>
      </c>
      <c r="I68" s="2"/>
      <c r="J68" s="6">
        <f t="shared" si="21"/>
        <v>3.9295064898548573E-2</v>
      </c>
      <c r="K68" s="2"/>
      <c r="L68" s="7">
        <f t="shared" si="22"/>
        <v>-1419.3798197115393</v>
      </c>
      <c r="M68" s="2"/>
      <c r="N68" s="6">
        <f t="shared" si="23"/>
        <v>-0.16865134636842311</v>
      </c>
      <c r="O68" s="11"/>
      <c r="P68" s="7">
        <v>57144.32</v>
      </c>
      <c r="Q68" s="2"/>
      <c r="R68" s="6">
        <f t="shared" si="24"/>
        <v>3.4385461756063836E-2</v>
      </c>
      <c r="S68" s="2"/>
      <c r="T68" s="7">
        <v>52179.570882211541</v>
      </c>
      <c r="U68" s="2"/>
      <c r="V68" s="6">
        <f t="shared" si="25"/>
        <v>3.1562903352610097E-2</v>
      </c>
      <c r="W68" s="2"/>
      <c r="X68" s="7">
        <f t="shared" si="26"/>
        <v>4964.7491177884585</v>
      </c>
      <c r="Y68" s="2"/>
      <c r="Z68" s="6">
        <f t="shared" si="27"/>
        <v>9.51473734614591E-2</v>
      </c>
    </row>
    <row r="69" spans="1:26" s="24" customFormat="1" hidden="1" outlineLevel="2" x14ac:dyDescent="0.25">
      <c r="A69" s="25"/>
      <c r="B69" s="11" t="str">
        <f>CONCATENATE("          ", "6003", " - ", "STAFF HOURLY-9 MONTH")</f>
        <v xml:space="preserve">          6003 - STAFF HOURLY-9 MONTH</v>
      </c>
      <c r="C69" s="11"/>
      <c r="D69" s="7"/>
      <c r="E69" s="2"/>
      <c r="F69" s="6">
        <f t="shared" si="20"/>
        <v>0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0</v>
      </c>
      <c r="M69" s="2"/>
      <c r="N69" s="6">
        <f t="shared" si="23"/>
        <v>0</v>
      </c>
      <c r="O69" s="11"/>
      <c r="P69" s="7"/>
      <c r="Q69" s="2"/>
      <c r="R69" s="6">
        <f t="shared" si="24"/>
        <v>0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0</v>
      </c>
      <c r="Y69" s="2"/>
      <c r="Z69" s="6">
        <f t="shared" si="27"/>
        <v>0</v>
      </c>
    </row>
    <row r="70" spans="1:26" s="24" customFormat="1" hidden="1" outlineLevel="2" x14ac:dyDescent="0.25">
      <c r="A70" s="25"/>
      <c r="B70" s="11" t="str">
        <f>CONCATENATE("          ", "6004", " - ", "STAFF HOURLY")</f>
        <v xml:space="preserve">          6004 - STAFF HOURLY</v>
      </c>
      <c r="C70" s="11"/>
      <c r="D70" s="7">
        <v>1557</v>
      </c>
      <c r="E70" s="2"/>
      <c r="F70" s="6">
        <f t="shared" si="20"/>
        <v>7.9875203843367028E-3</v>
      </c>
      <c r="G70" s="2"/>
      <c r="H70" s="7">
        <v>2389.6</v>
      </c>
      <c r="I70" s="2"/>
      <c r="J70" s="6">
        <f t="shared" si="21"/>
        <v>1.1157179142387568E-2</v>
      </c>
      <c r="K70" s="2"/>
      <c r="L70" s="7">
        <f t="shared" si="22"/>
        <v>-832.59999999999991</v>
      </c>
      <c r="M70" s="2"/>
      <c r="N70" s="6">
        <f t="shared" si="23"/>
        <v>-0.34842651489789084</v>
      </c>
      <c r="O70" s="11"/>
      <c r="P70" s="7">
        <v>644.39</v>
      </c>
      <c r="Q70" s="2"/>
      <c r="R70" s="6">
        <f t="shared" si="24"/>
        <v>3.8774890839526964E-4</v>
      </c>
      <c r="S70" s="2"/>
      <c r="T70" s="7">
        <v>14815.52</v>
      </c>
      <c r="U70" s="2"/>
      <c r="V70" s="6">
        <f t="shared" si="25"/>
        <v>8.9617606655726222E-3</v>
      </c>
      <c r="W70" s="2"/>
      <c r="X70" s="7">
        <f t="shared" si="26"/>
        <v>-14171.130000000001</v>
      </c>
      <c r="Y70" s="2"/>
      <c r="Z70" s="6">
        <f t="shared" si="27"/>
        <v>-0.95650574532652255</v>
      </c>
    </row>
    <row r="71" spans="1:26" s="24" customFormat="1" hidden="1" outlineLevel="2" x14ac:dyDescent="0.25">
      <c r="A71" s="25"/>
      <c r="B71" s="11" t="str">
        <f>CONCATENATE("          ", "6005", " - ", "TEMPORARY WAGES-HOURLY")</f>
        <v xml:space="preserve">          6005 - TEMPORARY WAGES-HOURLY</v>
      </c>
      <c r="C71" s="11"/>
      <c r="D71" s="7">
        <v>2728.88</v>
      </c>
      <c r="E71" s="2"/>
      <c r="F71" s="6">
        <f t="shared" si="20"/>
        <v>1.399934786538776E-2</v>
      </c>
      <c r="G71" s="2"/>
      <c r="H71" s="7">
        <v>0</v>
      </c>
      <c r="I71" s="2"/>
      <c r="J71" s="6">
        <f t="shared" si="21"/>
        <v>0</v>
      </c>
      <c r="K71" s="2"/>
      <c r="L71" s="7">
        <f t="shared" si="22"/>
        <v>2728.88</v>
      </c>
      <c r="M71" s="2"/>
      <c r="N71" s="6">
        <f t="shared" si="23"/>
        <v>0</v>
      </c>
      <c r="O71" s="11"/>
      <c r="P71" s="7">
        <v>24562.06</v>
      </c>
      <c r="Q71" s="2"/>
      <c r="R71" s="6">
        <f t="shared" si="24"/>
        <v>1.4779732697495487E-2</v>
      </c>
      <c r="S71" s="2"/>
      <c r="T71" s="7">
        <v>0</v>
      </c>
      <c r="U71" s="2"/>
      <c r="V71" s="6">
        <f t="shared" si="25"/>
        <v>0</v>
      </c>
      <c r="W71" s="2"/>
      <c r="X71" s="7">
        <f t="shared" si="26"/>
        <v>24562.06</v>
      </c>
      <c r="Y71" s="2"/>
      <c r="Z71" s="6">
        <f t="shared" si="27"/>
        <v>0</v>
      </c>
    </row>
    <row r="72" spans="1:26" s="24" customFormat="1" hidden="1" outlineLevel="2" x14ac:dyDescent="0.25">
      <c r="A72" s="25"/>
      <c r="B72" s="11" t="str">
        <f>CONCATENATE("          ", "6006", " - ", "TEMPORARY PART TIME")</f>
        <v xml:space="preserve">          6006 - TEMPORARY PART TIME</v>
      </c>
      <c r="C72" s="11"/>
      <c r="D72" s="7"/>
      <c r="E72" s="2"/>
      <c r="F72" s="6">
        <f t="shared" si="20"/>
        <v>0</v>
      </c>
      <c r="G72" s="2"/>
      <c r="H72" s="7">
        <v>0</v>
      </c>
      <c r="I72" s="2"/>
      <c r="J72" s="6">
        <f t="shared" si="21"/>
        <v>0</v>
      </c>
      <c r="K72" s="2"/>
      <c r="L72" s="7">
        <f t="shared" si="22"/>
        <v>0</v>
      </c>
      <c r="M72" s="2"/>
      <c r="N72" s="6">
        <f t="shared" si="23"/>
        <v>0</v>
      </c>
      <c r="O72" s="11"/>
      <c r="P72" s="7">
        <v>66.5</v>
      </c>
      <c r="Q72" s="2"/>
      <c r="R72" s="6">
        <f t="shared" si="24"/>
        <v>4.001505673316692E-5</v>
      </c>
      <c r="S72" s="2"/>
      <c r="T72" s="7">
        <v>0</v>
      </c>
      <c r="U72" s="2"/>
      <c r="V72" s="6">
        <f t="shared" si="25"/>
        <v>0</v>
      </c>
      <c r="W72" s="2"/>
      <c r="X72" s="7">
        <f t="shared" si="26"/>
        <v>66.5</v>
      </c>
      <c r="Y72" s="2"/>
      <c r="Z72" s="6">
        <f t="shared" si="27"/>
        <v>0</v>
      </c>
    </row>
    <row r="73" spans="1:26" s="24" customFormat="1" hidden="1" outlineLevel="2" x14ac:dyDescent="0.25">
      <c r="A73" s="25"/>
      <c r="B73" s="11" t="str">
        <f>CONCATENATE("          ", "6007", " - ", "STUDENT HOURLY")</f>
        <v xml:space="preserve">          6007 - STUDENT HOURLY</v>
      </c>
      <c r="C73" s="11"/>
      <c r="D73" s="7">
        <v>13614.52</v>
      </c>
      <c r="E73" s="2"/>
      <c r="F73" s="6">
        <f t="shared" si="20"/>
        <v>6.9843452808580425E-2</v>
      </c>
      <c r="G73" s="2"/>
      <c r="H73" s="7">
        <v>0</v>
      </c>
      <c r="I73" s="2"/>
      <c r="J73" s="6">
        <f t="shared" si="21"/>
        <v>0</v>
      </c>
      <c r="K73" s="2"/>
      <c r="L73" s="7">
        <f t="shared" si="22"/>
        <v>13614.52</v>
      </c>
      <c r="M73" s="2"/>
      <c r="N73" s="6">
        <f t="shared" si="23"/>
        <v>0</v>
      </c>
      <c r="O73" s="11"/>
      <c r="P73" s="7">
        <v>89131.47</v>
      </c>
      <c r="Q73" s="2"/>
      <c r="R73" s="6">
        <f t="shared" si="24"/>
        <v>5.3633095169331811E-2</v>
      </c>
      <c r="S73" s="2"/>
      <c r="T73" s="7">
        <v>22511.25</v>
      </c>
      <c r="U73" s="2"/>
      <c r="V73" s="6">
        <f t="shared" si="25"/>
        <v>1.3616831186679354E-2</v>
      </c>
      <c r="W73" s="2"/>
      <c r="X73" s="7">
        <f t="shared" si="26"/>
        <v>66620.22</v>
      </c>
      <c r="Y73" s="2"/>
      <c r="Z73" s="6">
        <f t="shared" si="27"/>
        <v>2.9594189571880727</v>
      </c>
    </row>
    <row r="74" spans="1:26" s="24" customFormat="1" hidden="1" outlineLevel="2" x14ac:dyDescent="0.25">
      <c r="A74" s="25"/>
      <c r="B74" s="11" t="str">
        <f>CONCATENATE("          ", "6008", " - ", "STUDENT HOURLY-FICA EXEMPT")</f>
        <v xml:space="preserve">          6008 - STUDENT HOURLY-FICA EXEMPT</v>
      </c>
      <c r="C74" s="11"/>
      <c r="D74" s="7"/>
      <c r="E74" s="2"/>
      <c r="F74" s="6">
        <f t="shared" si="20"/>
        <v>0</v>
      </c>
      <c r="G74" s="2"/>
      <c r="H74" s="7">
        <v>16121.115000000002</v>
      </c>
      <c r="I74" s="2"/>
      <c r="J74" s="6">
        <f t="shared" si="21"/>
        <v>7.5270408449125956E-2</v>
      </c>
      <c r="K74" s="2"/>
      <c r="L74" s="7">
        <f t="shared" si="22"/>
        <v>-16121.115000000002</v>
      </c>
      <c r="M74" s="2"/>
      <c r="N74" s="6">
        <f t="shared" si="23"/>
        <v>-1</v>
      </c>
      <c r="O74" s="11"/>
      <c r="P74" s="7">
        <v>195</v>
      </c>
      <c r="Q74" s="2"/>
      <c r="R74" s="6">
        <f t="shared" si="24"/>
        <v>1.1733738440552705E-4</v>
      </c>
      <c r="S74" s="2"/>
      <c r="T74" s="7">
        <v>66416.115000000005</v>
      </c>
      <c r="U74" s="2"/>
      <c r="V74" s="6">
        <f t="shared" si="25"/>
        <v>4.017444726659259E-2</v>
      </c>
      <c r="W74" s="2"/>
      <c r="X74" s="7">
        <f t="shared" si="26"/>
        <v>-66221.115000000005</v>
      </c>
      <c r="Y74" s="2"/>
      <c r="Z74" s="6">
        <f t="shared" si="27"/>
        <v>-0.99706396557522226</v>
      </c>
    </row>
    <row r="75" spans="1:26" s="24" customFormat="1" hidden="1" outlineLevel="2" x14ac:dyDescent="0.25">
      <c r="A75" s="25"/>
      <c r="B75" s="11" t="str">
        <f>CONCATENATE("          ", "6009", " - ", "TEMPORARY-SEASONAL")</f>
        <v xml:space="preserve">          6009 - TEMPORARY-SEASONAL</v>
      </c>
      <c r="C75" s="11"/>
      <c r="D75" s="7"/>
      <c r="E75" s="2"/>
      <c r="F75" s="6">
        <f t="shared" si="20"/>
        <v>0</v>
      </c>
      <c r="G75" s="2"/>
      <c r="H75" s="7">
        <v>0</v>
      </c>
      <c r="I75" s="2"/>
      <c r="J75" s="6">
        <f t="shared" si="21"/>
        <v>0</v>
      </c>
      <c r="K75" s="2"/>
      <c r="L75" s="7">
        <f t="shared" si="22"/>
        <v>0</v>
      </c>
      <c r="M75" s="2"/>
      <c r="N75" s="6">
        <f t="shared" si="23"/>
        <v>0</v>
      </c>
      <c r="O75" s="11"/>
      <c r="P75" s="7"/>
      <c r="Q75" s="2"/>
      <c r="R75" s="6">
        <f t="shared" si="24"/>
        <v>0</v>
      </c>
      <c r="S75" s="2"/>
      <c r="T75" s="7">
        <v>0</v>
      </c>
      <c r="U75" s="2"/>
      <c r="V75" s="6">
        <f t="shared" si="25"/>
        <v>0</v>
      </c>
      <c r="W75" s="2"/>
      <c r="X75" s="7">
        <f t="shared" si="26"/>
        <v>0</v>
      </c>
      <c r="Y75" s="2"/>
      <c r="Z75" s="6">
        <f t="shared" si="27"/>
        <v>0</v>
      </c>
    </row>
    <row r="76" spans="1:26" s="24" customFormat="1" hidden="1" outlineLevel="2" x14ac:dyDescent="0.25">
      <c r="A76" s="25"/>
      <c r="B76" s="11" t="str">
        <f>CONCATENATE("          ", "6010", " - ", "GRATUITY")</f>
        <v xml:space="preserve">          6010 - GRATUITY</v>
      </c>
      <c r="C76" s="11"/>
      <c r="D76" s="7"/>
      <c r="E76" s="2"/>
      <c r="F76" s="6">
        <f t="shared" si="20"/>
        <v>0</v>
      </c>
      <c r="G76" s="2"/>
      <c r="H76" s="7">
        <v>0</v>
      </c>
      <c r="I76" s="2"/>
      <c r="J76" s="6">
        <f t="shared" si="21"/>
        <v>0</v>
      </c>
      <c r="K76" s="2"/>
      <c r="L76" s="7">
        <f t="shared" si="22"/>
        <v>0</v>
      </c>
      <c r="M76" s="2"/>
      <c r="N76" s="6">
        <f t="shared" si="23"/>
        <v>0</v>
      </c>
      <c r="O76" s="11"/>
      <c r="P76" s="7"/>
      <c r="Q76" s="2"/>
      <c r="R76" s="6">
        <f t="shared" si="24"/>
        <v>0</v>
      </c>
      <c r="S76" s="2"/>
      <c r="T76" s="7">
        <v>0</v>
      </c>
      <c r="U76" s="2"/>
      <c r="V76" s="6">
        <f t="shared" si="25"/>
        <v>0</v>
      </c>
      <c r="W76" s="2"/>
      <c r="X76" s="7">
        <f t="shared" si="26"/>
        <v>0</v>
      </c>
      <c r="Y76" s="2"/>
      <c r="Z76" s="6">
        <f t="shared" si="27"/>
        <v>0</v>
      </c>
    </row>
    <row r="77" spans="1:26" s="27" customFormat="1" outlineLevel="1" collapsed="1" x14ac:dyDescent="0.25">
      <c r="A77" s="26"/>
      <c r="B77" s="13" t="str">
        <f>CONCATENATE("     ","Advertising/Promo                                 ")</f>
        <v xml:space="preserve">     Advertising/Promo                                 </v>
      </c>
      <c r="C77" s="13"/>
      <c r="D77" s="1">
        <f>SUM(OSRRefD22_2x_0)</f>
        <v>5671.87</v>
      </c>
      <c r="E77" s="1"/>
      <c r="F77" s="5">
        <f t="shared" ref="F77:F81" si="28">IF(D$12=0,0,D77/D$12)</f>
        <v>2.9097095210216965E-2</v>
      </c>
      <c r="G77" s="1"/>
      <c r="H77" s="1">
        <f>SUM(OSRRefH22_2x_0)</f>
        <v>500</v>
      </c>
      <c r="I77" s="1"/>
      <c r="J77" s="5">
        <f t="shared" ref="J77:J81" si="29">IF(H$12=0,0,H77/H$12)</f>
        <v>2.3345286119826683E-3</v>
      </c>
      <c r="K77" s="1"/>
      <c r="L77" s="1">
        <f t="shared" ref="L77:L81" si="30">+D77-H77</f>
        <v>5171.87</v>
      </c>
      <c r="M77" s="1"/>
      <c r="N77" s="5">
        <f t="shared" ref="N77:N81" si="31">IF(H77=0,0,L77/H77)</f>
        <v>10.34374</v>
      </c>
      <c r="O77" s="13"/>
      <c r="P77" s="1">
        <f>SUM(OSRRefP22_2x_0)</f>
        <v>17166.510000000002</v>
      </c>
      <c r="Q77" s="1"/>
      <c r="R77" s="5">
        <f t="shared" ref="R77:R81" si="32">IF(P$12=0,0,P77/P$12)</f>
        <v>1.0329607091134996E-2</v>
      </c>
      <c r="S77" s="1"/>
      <c r="T77" s="1">
        <f>SUM(OSRRefT22_2x_0)</f>
        <v>3600</v>
      </c>
      <c r="U77" s="1"/>
      <c r="V77" s="5">
        <f t="shared" ref="V77:V81" si="33">IF(T$12=0,0,T77/T$12)</f>
        <v>2.1776041877748092E-3</v>
      </c>
      <c r="W77" s="1"/>
      <c r="X77" s="1">
        <f t="shared" ref="X77:X81" si="34">+P77-T77</f>
        <v>13566.510000000002</v>
      </c>
      <c r="Y77" s="1"/>
      <c r="Z77" s="5">
        <f t="shared" ref="Z77:Z81" si="35">IF(T77=0,0,X77/T77)</f>
        <v>3.7684750000000005</v>
      </c>
    </row>
    <row r="78" spans="1:26" s="24" customFormat="1" hidden="1" outlineLevel="2" x14ac:dyDescent="0.25">
      <c r="A78" s="25"/>
      <c r="B78" s="11" t="str">
        <f>CONCATENATE("          ", "6362", " - ", "ADVERTISING EXPENSE")</f>
        <v xml:space="preserve">          6362 - ADVERTISING EXPENSE</v>
      </c>
      <c r="C78" s="11"/>
      <c r="D78" s="7">
        <v>5671.87</v>
      </c>
      <c r="E78" s="2"/>
      <c r="F78" s="6">
        <f t="shared" si="28"/>
        <v>2.9097095210216965E-2</v>
      </c>
      <c r="G78" s="2"/>
      <c r="H78" s="7">
        <v>500</v>
      </c>
      <c r="I78" s="2"/>
      <c r="J78" s="6">
        <f t="shared" si="29"/>
        <v>2.3345286119826683E-3</v>
      </c>
      <c r="K78" s="2"/>
      <c r="L78" s="7">
        <f t="shared" si="30"/>
        <v>5171.87</v>
      </c>
      <c r="M78" s="2"/>
      <c r="N78" s="6">
        <f t="shared" si="31"/>
        <v>10.34374</v>
      </c>
      <c r="O78" s="11"/>
      <c r="P78" s="7">
        <v>17166.510000000002</v>
      </c>
      <c r="Q78" s="2"/>
      <c r="R78" s="6">
        <f t="shared" si="32"/>
        <v>1.0329607091134996E-2</v>
      </c>
      <c r="S78" s="2"/>
      <c r="T78" s="7">
        <v>3600</v>
      </c>
      <c r="U78" s="2"/>
      <c r="V78" s="6">
        <f t="shared" si="33"/>
        <v>2.1776041877748092E-3</v>
      </c>
      <c r="W78" s="2"/>
      <c r="X78" s="7">
        <f t="shared" si="34"/>
        <v>13566.510000000002</v>
      </c>
      <c r="Y78" s="2"/>
      <c r="Z78" s="6">
        <f t="shared" si="35"/>
        <v>3.7684750000000005</v>
      </c>
    </row>
    <row r="79" spans="1:26" s="27" customFormat="1" outlineLevel="1" collapsed="1" x14ac:dyDescent="0.25">
      <c r="A79" s="26"/>
      <c r="B79" s="13" t="str">
        <f>CONCATENATE("     ","Discounts and Markdowns                           ")</f>
        <v xml:space="preserve">     Discounts and Markdowns                           </v>
      </c>
      <c r="C79" s="13"/>
      <c r="D79" s="1">
        <f>SUM(OSRRefD22_3x_0)</f>
        <v>20600.53</v>
      </c>
      <c r="E79" s="1"/>
      <c r="F79" s="5">
        <f t="shared" si="28"/>
        <v>0.10568217938544622</v>
      </c>
      <c r="G79" s="1"/>
      <c r="H79" s="1">
        <f>SUM(OSRRefH22_3x_0)</f>
        <v>26000</v>
      </c>
      <c r="I79" s="1"/>
      <c r="J79" s="5">
        <f t="shared" si="29"/>
        <v>0.12139548782309877</v>
      </c>
      <c r="K79" s="1"/>
      <c r="L79" s="1">
        <f t="shared" si="30"/>
        <v>-5399.4700000000012</v>
      </c>
      <c r="M79" s="1"/>
      <c r="N79" s="5">
        <f t="shared" si="31"/>
        <v>-0.20767192307692312</v>
      </c>
      <c r="O79" s="13"/>
      <c r="P79" s="1">
        <f>SUM(OSRRefP22_3x_0)</f>
        <v>151279.49</v>
      </c>
      <c r="Q79" s="1"/>
      <c r="R79" s="5">
        <f t="shared" si="32"/>
        <v>9.1029434209241464E-2</v>
      </c>
      <c r="S79" s="1"/>
      <c r="T79" s="1">
        <f>SUM(OSRRefT22_3x_0)</f>
        <v>158000</v>
      </c>
      <c r="U79" s="1"/>
      <c r="V79" s="5">
        <f t="shared" si="33"/>
        <v>9.5572628241227739E-2</v>
      </c>
      <c r="W79" s="1"/>
      <c r="X79" s="1">
        <f t="shared" si="34"/>
        <v>-6720.5100000000093</v>
      </c>
      <c r="Y79" s="1"/>
      <c r="Z79" s="5">
        <f t="shared" si="35"/>
        <v>-4.253487341772158E-2</v>
      </c>
    </row>
    <row r="80" spans="1:26" s="24" customFormat="1" hidden="1" outlineLevel="2" x14ac:dyDescent="0.25">
      <c r="A80" s="25"/>
      <c r="B80" s="11" t="str">
        <f>CONCATENATE("          ", "6382", " - ", "DISCOUNTS/MARK DOWNS")</f>
        <v xml:space="preserve">          6382 - DISCOUNTS/MARK DOWNS</v>
      </c>
      <c r="C80" s="11"/>
      <c r="D80" s="7">
        <v>20600.53</v>
      </c>
      <c r="E80" s="2"/>
      <c r="F80" s="6">
        <f t="shared" si="28"/>
        <v>0.10568217938544622</v>
      </c>
      <c r="G80" s="2"/>
      <c r="H80" s="7">
        <v>26000</v>
      </c>
      <c r="I80" s="2"/>
      <c r="J80" s="6">
        <f t="shared" si="29"/>
        <v>0.12139548782309877</v>
      </c>
      <c r="K80" s="2"/>
      <c r="L80" s="7">
        <f t="shared" si="30"/>
        <v>-5399.4700000000012</v>
      </c>
      <c r="M80" s="2"/>
      <c r="N80" s="6">
        <f t="shared" si="31"/>
        <v>-0.20767192307692312</v>
      </c>
      <c r="O80" s="11"/>
      <c r="P80" s="7">
        <v>151298.88</v>
      </c>
      <c r="Q80" s="2"/>
      <c r="R80" s="6">
        <f t="shared" si="32"/>
        <v>9.1041101757362616E-2</v>
      </c>
      <c r="S80" s="2"/>
      <c r="T80" s="7">
        <v>158000</v>
      </c>
      <c r="U80" s="2"/>
      <c r="V80" s="6">
        <f t="shared" si="33"/>
        <v>9.5572628241227739E-2</v>
      </c>
      <c r="W80" s="2"/>
      <c r="X80" s="7">
        <f t="shared" si="34"/>
        <v>-6701.1199999999953</v>
      </c>
      <c r="Y80" s="2"/>
      <c r="Z80" s="6">
        <f t="shared" si="35"/>
        <v>-4.2412151898734145E-2</v>
      </c>
    </row>
    <row r="81" spans="1:26" s="24" customFormat="1" hidden="1" outlineLevel="2" x14ac:dyDescent="0.25">
      <c r="A81" s="25"/>
      <c r="B81" s="11" t="str">
        <f>CONCATENATE("          ", "9175", " - ", "EARNED DISCOUNTS")</f>
        <v xml:space="preserve">          9175 - EARNED DISCOUNTS</v>
      </c>
      <c r="C81" s="11"/>
      <c r="D81" s="7"/>
      <c r="E81" s="2"/>
      <c r="F81" s="6">
        <f t="shared" si="28"/>
        <v>0</v>
      </c>
      <c r="G81" s="2"/>
      <c r="H81" s="7"/>
      <c r="I81" s="2"/>
      <c r="J81" s="6">
        <f t="shared" si="29"/>
        <v>0</v>
      </c>
      <c r="K81" s="2"/>
      <c r="L81" s="7">
        <f t="shared" si="30"/>
        <v>0</v>
      </c>
      <c r="M81" s="2"/>
      <c r="N81" s="6">
        <f t="shared" si="31"/>
        <v>0</v>
      </c>
      <c r="O81" s="11"/>
      <c r="P81" s="7">
        <v>-19.39</v>
      </c>
      <c r="Q81" s="2"/>
      <c r="R81" s="6">
        <f t="shared" si="32"/>
        <v>-1.1667548121144459E-5</v>
      </c>
      <c r="S81" s="2"/>
      <c r="T81" s="7"/>
      <c r="U81" s="2"/>
      <c r="V81" s="6">
        <f t="shared" si="33"/>
        <v>0</v>
      </c>
      <c r="W81" s="2"/>
      <c r="X81" s="7">
        <f t="shared" si="34"/>
        <v>-19.39</v>
      </c>
      <c r="Y81" s="2"/>
      <c r="Z81" s="6">
        <f t="shared" si="35"/>
        <v>0</v>
      </c>
    </row>
    <row r="82" spans="1:26" s="27" customFormat="1" outlineLevel="1" collapsed="1" x14ac:dyDescent="0.25">
      <c r="A82" s="26"/>
      <c r="B82" s="13" t="str">
        <f>CONCATENATE("     ","Employees' Appreciation                           ")</f>
        <v xml:space="preserve">     Employees' Appreciation                           </v>
      </c>
      <c r="C82" s="13"/>
      <c r="D82" s="1">
        <f>SUM(OSRRefD22_4x_0)</f>
        <v>0</v>
      </c>
      <c r="E82" s="1"/>
      <c r="F82" s="5">
        <f t="shared" ref="F82:F86" si="36">IF(D$12=0,0,D82/D$12)</f>
        <v>0</v>
      </c>
      <c r="G82" s="1"/>
      <c r="H82" s="1">
        <f>SUM(OSRRefH22_4x_0)</f>
        <v>250</v>
      </c>
      <c r="I82" s="1"/>
      <c r="J82" s="5">
        <f t="shared" ref="J82:J86" si="37">IF(H$12=0,0,H82/H$12)</f>
        <v>1.1672643059913342E-3</v>
      </c>
      <c r="K82" s="1"/>
      <c r="L82" s="1">
        <f t="shared" ref="L82:L86" si="38">+D82-H82</f>
        <v>-250</v>
      </c>
      <c r="M82" s="1"/>
      <c r="N82" s="5">
        <f t="shared" ref="N82:N86" si="39">IF(H82=0,0,L82/H82)</f>
        <v>-1</v>
      </c>
      <c r="O82" s="13"/>
      <c r="P82" s="1">
        <f>SUM(OSRRefP22_4x_0)</f>
        <v>209.48</v>
      </c>
      <c r="Q82" s="1"/>
      <c r="R82" s="5">
        <f t="shared" ref="R82:R86" si="40">IF(P$12=0,0,P82/P$12)</f>
        <v>1.2605043736035797E-4</v>
      </c>
      <c r="S82" s="1"/>
      <c r="T82" s="1">
        <f>SUM(OSRRefT22_4x_0)</f>
        <v>1225</v>
      </c>
      <c r="U82" s="1"/>
      <c r="V82" s="5">
        <f t="shared" ref="V82:V86" si="41">IF(T$12=0,0,T82/T$12)</f>
        <v>7.4099031389559481E-4</v>
      </c>
      <c r="W82" s="1"/>
      <c r="X82" s="1">
        <f t="shared" ref="X82:X86" si="42">+P82-T82</f>
        <v>-1015.52</v>
      </c>
      <c r="Y82" s="1"/>
      <c r="Z82" s="5">
        <f t="shared" ref="Z82:Z86" si="43">IF(T82=0,0,X82/T82)</f>
        <v>-0.82899591836734687</v>
      </c>
    </row>
    <row r="83" spans="1:26" s="24" customFormat="1" hidden="1" outlineLevel="2" x14ac:dyDescent="0.25">
      <c r="A83" s="25"/>
      <c r="B83" s="11" t="str">
        <f>CONCATENATE("          ", "6277", " - ", "EMPLOYEE APPRECIATION")</f>
        <v xml:space="preserve">          6277 - EMPLOYEE APPRECIATION</v>
      </c>
      <c r="C83" s="11"/>
      <c r="D83" s="7"/>
      <c r="E83" s="2"/>
      <c r="F83" s="6">
        <f t="shared" si="36"/>
        <v>0</v>
      </c>
      <c r="G83" s="2"/>
      <c r="H83" s="7">
        <v>250</v>
      </c>
      <c r="I83" s="2"/>
      <c r="J83" s="6">
        <f t="shared" si="37"/>
        <v>1.1672643059913342E-3</v>
      </c>
      <c r="K83" s="2"/>
      <c r="L83" s="7">
        <f t="shared" si="38"/>
        <v>-250</v>
      </c>
      <c r="M83" s="2"/>
      <c r="N83" s="6">
        <f t="shared" si="39"/>
        <v>-1</v>
      </c>
      <c r="O83" s="11"/>
      <c r="P83" s="7">
        <v>209.48</v>
      </c>
      <c r="Q83" s="2"/>
      <c r="R83" s="6">
        <f t="shared" si="40"/>
        <v>1.2605043736035797E-4</v>
      </c>
      <c r="S83" s="2"/>
      <c r="T83" s="7">
        <v>1225</v>
      </c>
      <c r="U83" s="2"/>
      <c r="V83" s="6">
        <f t="shared" si="41"/>
        <v>7.4099031389559481E-4</v>
      </c>
      <c r="W83" s="2"/>
      <c r="X83" s="7">
        <f t="shared" si="42"/>
        <v>-1015.52</v>
      </c>
      <c r="Y83" s="2"/>
      <c r="Z83" s="6">
        <f t="shared" si="43"/>
        <v>-0.82899591836734687</v>
      </c>
    </row>
    <row r="84" spans="1:26" s="27" customFormat="1" outlineLevel="1" collapsed="1" x14ac:dyDescent="0.25">
      <c r="A84" s="26"/>
      <c r="B84" s="13" t="str">
        <f>CONCATENATE("     ","Freight out/Postage                               ")</f>
        <v xml:space="preserve">     Freight out/Postage                               </v>
      </c>
      <c r="C84" s="13"/>
      <c r="D84" s="1">
        <f>SUM(OSRRefD22_5x_0)</f>
        <v>10.68</v>
      </c>
      <c r="E84" s="1"/>
      <c r="F84" s="5">
        <f t="shared" si="36"/>
        <v>5.4789157164236344E-5</v>
      </c>
      <c r="G84" s="1"/>
      <c r="H84" s="1">
        <f>SUM(OSRRefH22_5x_0)</f>
        <v>50</v>
      </c>
      <c r="I84" s="1"/>
      <c r="J84" s="5">
        <f t="shared" si="37"/>
        <v>2.3345286119826685E-4</v>
      </c>
      <c r="K84" s="1"/>
      <c r="L84" s="1">
        <f t="shared" si="38"/>
        <v>-39.32</v>
      </c>
      <c r="M84" s="1"/>
      <c r="N84" s="5">
        <f t="shared" si="39"/>
        <v>-0.78639999999999999</v>
      </c>
      <c r="O84" s="13"/>
      <c r="P84" s="1">
        <f>SUM(OSRRefP22_5x_0)</f>
        <v>81.180000000000007</v>
      </c>
      <c r="Q84" s="1"/>
      <c r="R84" s="5">
        <f t="shared" si="40"/>
        <v>4.8848455723285576E-5</v>
      </c>
      <c r="S84" s="1"/>
      <c r="T84" s="1">
        <f>SUM(OSRRefT22_5x_0)</f>
        <v>350</v>
      </c>
      <c r="U84" s="1"/>
      <c r="V84" s="5">
        <f t="shared" si="41"/>
        <v>2.1171151825588423E-4</v>
      </c>
      <c r="W84" s="1"/>
      <c r="X84" s="1">
        <f t="shared" si="42"/>
        <v>-268.82</v>
      </c>
      <c r="Y84" s="1"/>
      <c r="Z84" s="5">
        <f t="shared" si="43"/>
        <v>-0.76805714285714288</v>
      </c>
    </row>
    <row r="85" spans="1:26" s="24" customFormat="1" hidden="1" outlineLevel="2" x14ac:dyDescent="0.25">
      <c r="A85" s="25"/>
      <c r="B85" s="11" t="str">
        <f>CONCATENATE("          ", "6305", " - ", "FREIGHT OUT")</f>
        <v xml:space="preserve">          6305 - FREIGHT OUT</v>
      </c>
      <c r="C85" s="11"/>
      <c r="D85" s="7">
        <v>10.68</v>
      </c>
      <c r="E85" s="2"/>
      <c r="F85" s="6">
        <f t="shared" si="36"/>
        <v>5.4789157164236344E-5</v>
      </c>
      <c r="G85" s="2"/>
      <c r="H85" s="7">
        <v>50</v>
      </c>
      <c r="I85" s="2"/>
      <c r="J85" s="6">
        <f t="shared" si="37"/>
        <v>2.3345286119826685E-4</v>
      </c>
      <c r="K85" s="2"/>
      <c r="L85" s="7">
        <f t="shared" si="38"/>
        <v>-39.32</v>
      </c>
      <c r="M85" s="2"/>
      <c r="N85" s="6">
        <f t="shared" si="39"/>
        <v>-0.78639999999999999</v>
      </c>
      <c r="O85" s="11"/>
      <c r="P85" s="7">
        <v>80.680000000000007</v>
      </c>
      <c r="Q85" s="2"/>
      <c r="R85" s="6">
        <f t="shared" si="40"/>
        <v>4.8547590635066274E-5</v>
      </c>
      <c r="S85" s="2"/>
      <c r="T85" s="7">
        <v>350</v>
      </c>
      <c r="U85" s="2"/>
      <c r="V85" s="6">
        <f t="shared" si="41"/>
        <v>2.1171151825588423E-4</v>
      </c>
      <c r="W85" s="2"/>
      <c r="X85" s="7">
        <f t="shared" si="42"/>
        <v>-269.32</v>
      </c>
      <c r="Y85" s="2"/>
      <c r="Z85" s="6">
        <f t="shared" si="43"/>
        <v>-0.76948571428571422</v>
      </c>
    </row>
    <row r="86" spans="1:26" s="24" customFormat="1" hidden="1" outlineLevel="2" x14ac:dyDescent="0.25">
      <c r="A86" s="25"/>
      <c r="B86" s="11" t="str">
        <f>CONCATENATE("          ", "6307", " - ", "POSTAGE")</f>
        <v xml:space="preserve">          6307 - POSTAGE</v>
      </c>
      <c r="C86" s="11"/>
      <c r="D86" s="7"/>
      <c r="E86" s="2"/>
      <c r="F86" s="6">
        <f t="shared" si="36"/>
        <v>0</v>
      </c>
      <c r="G86" s="2"/>
      <c r="H86" s="7"/>
      <c r="I86" s="2"/>
      <c r="J86" s="6">
        <f t="shared" si="37"/>
        <v>0</v>
      </c>
      <c r="K86" s="2"/>
      <c r="L86" s="7">
        <f t="shared" si="38"/>
        <v>0</v>
      </c>
      <c r="M86" s="2"/>
      <c r="N86" s="6">
        <f t="shared" si="39"/>
        <v>0</v>
      </c>
      <c r="O86" s="11"/>
      <c r="P86" s="7">
        <v>0.5</v>
      </c>
      <c r="Q86" s="2"/>
      <c r="R86" s="6">
        <f t="shared" si="40"/>
        <v>3.0086508821930015E-7</v>
      </c>
      <c r="S86" s="2"/>
      <c r="T86" s="7"/>
      <c r="U86" s="2"/>
      <c r="V86" s="6">
        <f t="shared" si="41"/>
        <v>0</v>
      </c>
      <c r="W86" s="2"/>
      <c r="X86" s="7">
        <f t="shared" si="42"/>
        <v>0.5</v>
      </c>
      <c r="Y86" s="2"/>
      <c r="Z86" s="6">
        <f t="shared" si="43"/>
        <v>0</v>
      </c>
    </row>
    <row r="87" spans="1:26" s="27" customFormat="1" outlineLevel="1" collapsed="1" x14ac:dyDescent="0.25">
      <c r="A87" s="26"/>
      <c r="B87" s="13" t="str">
        <f>CONCATENATE("     ","General                                           ")</f>
        <v xml:space="preserve">     General                                           </v>
      </c>
      <c r="C87" s="13"/>
      <c r="D87" s="1">
        <f>SUM(OSRRefD22_6x_0)</f>
        <v>0</v>
      </c>
      <c r="E87" s="1"/>
      <c r="F87" s="5">
        <f t="shared" ref="F87:F98" si="44">IF(D$12=0,0,D87/D$12)</f>
        <v>0</v>
      </c>
      <c r="G87" s="1"/>
      <c r="H87" s="1">
        <f>SUM(OSRRefH22_6x_0)</f>
        <v>250</v>
      </c>
      <c r="I87" s="1"/>
      <c r="J87" s="5">
        <f t="shared" ref="J87:J98" si="45">IF(H$12=0,0,H87/H$12)</f>
        <v>1.1672643059913342E-3</v>
      </c>
      <c r="K87" s="1"/>
      <c r="L87" s="1">
        <f t="shared" ref="L87:L98" si="46">+D87-H87</f>
        <v>-250</v>
      </c>
      <c r="M87" s="1"/>
      <c r="N87" s="5">
        <f t="shared" ref="N87:N98" si="47">IF(H87=0,0,L87/H87)</f>
        <v>-1</v>
      </c>
      <c r="O87" s="13"/>
      <c r="P87" s="1">
        <f>SUM(OSRRefP22_6x_0)</f>
        <v>0</v>
      </c>
      <c r="Q87" s="1"/>
      <c r="R87" s="5">
        <f t="shared" ref="R87:R98" si="48">IF(P$12=0,0,P87/P$12)</f>
        <v>0</v>
      </c>
      <c r="S87" s="1"/>
      <c r="T87" s="1">
        <f>SUM(OSRRefT22_6x_0)</f>
        <v>250</v>
      </c>
      <c r="U87" s="1"/>
      <c r="V87" s="5">
        <f t="shared" ref="V87:V98" si="49">IF(T$12=0,0,T87/T$12)</f>
        <v>1.5122251303991731E-4</v>
      </c>
      <c r="W87" s="1"/>
      <c r="X87" s="1">
        <f t="shared" ref="X87:X98" si="50">+P87-T87</f>
        <v>-250</v>
      </c>
      <c r="Y87" s="1"/>
      <c r="Z87" s="5">
        <f t="shared" ref="Z87:Z98" si="51">IF(T87=0,0,X87/T87)</f>
        <v>-1</v>
      </c>
    </row>
    <row r="88" spans="1:26" s="24" customFormat="1" hidden="1" outlineLevel="2" x14ac:dyDescent="0.25">
      <c r="A88" s="25"/>
      <c r="B88" s="11" t="str">
        <f>CONCATENATE("          ", "6279", " - ", "GENERAL EXPENSE")</f>
        <v xml:space="preserve">          6279 - GENERAL EXPENSE</v>
      </c>
      <c r="C88" s="11"/>
      <c r="D88" s="7"/>
      <c r="E88" s="2"/>
      <c r="F88" s="6">
        <f t="shared" si="44"/>
        <v>0</v>
      </c>
      <c r="G88" s="2"/>
      <c r="H88" s="7">
        <v>250</v>
      </c>
      <c r="I88" s="2"/>
      <c r="J88" s="6">
        <f t="shared" si="45"/>
        <v>1.1672643059913342E-3</v>
      </c>
      <c r="K88" s="2"/>
      <c r="L88" s="7">
        <f t="shared" si="46"/>
        <v>-250</v>
      </c>
      <c r="M88" s="2"/>
      <c r="N88" s="6">
        <f t="shared" si="47"/>
        <v>-1</v>
      </c>
      <c r="O88" s="11"/>
      <c r="P88" s="7"/>
      <c r="Q88" s="2"/>
      <c r="R88" s="6">
        <f t="shared" si="48"/>
        <v>0</v>
      </c>
      <c r="S88" s="2"/>
      <c r="T88" s="7">
        <v>250</v>
      </c>
      <c r="U88" s="2"/>
      <c r="V88" s="6">
        <f t="shared" si="49"/>
        <v>1.5122251303991731E-4</v>
      </c>
      <c r="W88" s="2"/>
      <c r="X88" s="7">
        <f t="shared" si="50"/>
        <v>-250</v>
      </c>
      <c r="Y88" s="2"/>
      <c r="Z88" s="6">
        <f t="shared" si="51"/>
        <v>-1</v>
      </c>
    </row>
    <row r="89" spans="1:26" s="27" customFormat="1" outlineLevel="1" collapsed="1" x14ac:dyDescent="0.25">
      <c r="A89" s="26"/>
      <c r="B89" s="13" t="str">
        <f>CONCATENATE("     ","Inventory Adjustment                              ")</f>
        <v xml:space="preserve">     Inventory Adjustment                              </v>
      </c>
      <c r="C89" s="13"/>
      <c r="D89" s="1">
        <f>SUM(OSRRefD22_7x_0)</f>
        <v>2850</v>
      </c>
      <c r="E89" s="1"/>
      <c r="F89" s="5">
        <f t="shared" si="44"/>
        <v>1.4620702052254081E-2</v>
      </c>
      <c r="G89" s="1"/>
      <c r="H89" s="1">
        <f>SUM(OSRRefH22_7x_0)</f>
        <v>2850</v>
      </c>
      <c r="I89" s="1"/>
      <c r="J89" s="5">
        <f t="shared" si="45"/>
        <v>1.3306813088301211E-2</v>
      </c>
      <c r="K89" s="1"/>
      <c r="L89" s="1">
        <f t="shared" si="46"/>
        <v>0</v>
      </c>
      <c r="M89" s="1"/>
      <c r="N89" s="5">
        <f t="shared" si="47"/>
        <v>0</v>
      </c>
      <c r="O89" s="13"/>
      <c r="P89" s="1">
        <f>SUM(OSRRefP22_7x_0)</f>
        <v>19950</v>
      </c>
      <c r="Q89" s="1"/>
      <c r="R89" s="5">
        <f t="shared" si="48"/>
        <v>1.2004517019950076E-2</v>
      </c>
      <c r="S89" s="1"/>
      <c r="T89" s="1">
        <f>SUM(OSRRefT22_7x_0)</f>
        <v>19950</v>
      </c>
      <c r="U89" s="1"/>
      <c r="V89" s="5">
        <f t="shared" si="49"/>
        <v>1.2067556540585401E-2</v>
      </c>
      <c r="W89" s="1"/>
      <c r="X89" s="1">
        <f t="shared" si="50"/>
        <v>0</v>
      </c>
      <c r="Y89" s="1"/>
      <c r="Z89" s="5">
        <f t="shared" si="51"/>
        <v>0</v>
      </c>
    </row>
    <row r="90" spans="1:26" s="24" customFormat="1" hidden="1" outlineLevel="2" x14ac:dyDescent="0.25">
      <c r="A90" s="25"/>
      <c r="B90" s="11" t="str">
        <f>CONCATENATE("          ", "6408", " - ", "INVENTORY ADJUSTMENT")</f>
        <v xml:space="preserve">          6408 - INVENTORY ADJUSTMENT</v>
      </c>
      <c r="C90" s="11"/>
      <c r="D90" s="7">
        <v>2850</v>
      </c>
      <c r="E90" s="2"/>
      <c r="F90" s="6">
        <f t="shared" si="44"/>
        <v>1.4620702052254081E-2</v>
      </c>
      <c r="G90" s="2"/>
      <c r="H90" s="7">
        <v>2850</v>
      </c>
      <c r="I90" s="2"/>
      <c r="J90" s="6">
        <f t="shared" si="45"/>
        <v>1.3306813088301211E-2</v>
      </c>
      <c r="K90" s="2"/>
      <c r="L90" s="7">
        <f t="shared" si="46"/>
        <v>0</v>
      </c>
      <c r="M90" s="2"/>
      <c r="N90" s="6">
        <f t="shared" si="47"/>
        <v>0</v>
      </c>
      <c r="O90" s="11"/>
      <c r="P90" s="7">
        <v>19950</v>
      </c>
      <c r="Q90" s="2"/>
      <c r="R90" s="6">
        <f t="shared" si="48"/>
        <v>1.2004517019950076E-2</v>
      </c>
      <c r="S90" s="2"/>
      <c r="T90" s="7">
        <v>19950</v>
      </c>
      <c r="U90" s="2"/>
      <c r="V90" s="6">
        <f t="shared" si="49"/>
        <v>1.2067556540585401E-2</v>
      </c>
      <c r="W90" s="2"/>
      <c r="X90" s="7">
        <f t="shared" si="50"/>
        <v>0</v>
      </c>
      <c r="Y90" s="2"/>
      <c r="Z90" s="6">
        <f t="shared" si="51"/>
        <v>0</v>
      </c>
    </row>
    <row r="91" spans="1:26" s="27" customFormat="1" outlineLevel="1" collapsed="1" x14ac:dyDescent="0.25">
      <c r="A91" s="26"/>
      <c r="B91" s="13" t="str">
        <f>CONCATENATE("     ","Professional Services                             ")</f>
        <v xml:space="preserve">     Professional Services                             </v>
      </c>
      <c r="C91" s="13"/>
      <c r="D91" s="1">
        <f>SUM(OSRRefD22_8x_0)</f>
        <v>0</v>
      </c>
      <c r="E91" s="1"/>
      <c r="F91" s="5">
        <f t="shared" si="44"/>
        <v>0</v>
      </c>
      <c r="G91" s="1"/>
      <c r="H91" s="1">
        <f>SUM(OSRRefH22_8x_0)</f>
        <v>250</v>
      </c>
      <c r="I91" s="1"/>
      <c r="J91" s="5">
        <f t="shared" si="45"/>
        <v>1.1672643059913342E-3</v>
      </c>
      <c r="K91" s="1"/>
      <c r="L91" s="1">
        <f t="shared" si="46"/>
        <v>-250</v>
      </c>
      <c r="M91" s="1"/>
      <c r="N91" s="5">
        <f t="shared" si="47"/>
        <v>-1</v>
      </c>
      <c r="O91" s="13"/>
      <c r="P91" s="1">
        <f>SUM(OSRRefP22_8x_0)</f>
        <v>0</v>
      </c>
      <c r="Q91" s="1"/>
      <c r="R91" s="5">
        <f t="shared" si="48"/>
        <v>0</v>
      </c>
      <c r="S91" s="1"/>
      <c r="T91" s="1">
        <f>SUM(OSRRefT22_8x_0)</f>
        <v>2000</v>
      </c>
      <c r="U91" s="1"/>
      <c r="V91" s="5">
        <f t="shared" si="49"/>
        <v>1.2097801043193385E-3</v>
      </c>
      <c r="W91" s="1"/>
      <c r="X91" s="1">
        <f t="shared" si="50"/>
        <v>-2000</v>
      </c>
      <c r="Y91" s="1"/>
      <c r="Z91" s="5">
        <f t="shared" si="51"/>
        <v>-1</v>
      </c>
    </row>
    <row r="92" spans="1:26" s="24" customFormat="1" hidden="1" outlineLevel="2" x14ac:dyDescent="0.25">
      <c r="A92" s="25"/>
      <c r="B92" s="11" t="str">
        <f>CONCATENATE("          ", "6336", " - ", "PROFESSIONAL SERVICES")</f>
        <v xml:space="preserve">          6336 - PROFESSIONAL SERVICES</v>
      </c>
      <c r="C92" s="11"/>
      <c r="D92" s="7"/>
      <c r="E92" s="2"/>
      <c r="F92" s="6">
        <f t="shared" si="44"/>
        <v>0</v>
      </c>
      <c r="G92" s="2"/>
      <c r="H92" s="7">
        <v>250</v>
      </c>
      <c r="I92" s="2"/>
      <c r="J92" s="6">
        <f t="shared" si="45"/>
        <v>1.1672643059913342E-3</v>
      </c>
      <c r="K92" s="2"/>
      <c r="L92" s="7">
        <f t="shared" si="46"/>
        <v>-250</v>
      </c>
      <c r="M92" s="2"/>
      <c r="N92" s="6">
        <f t="shared" si="47"/>
        <v>-1</v>
      </c>
      <c r="O92" s="11"/>
      <c r="P92" s="7"/>
      <c r="Q92" s="2"/>
      <c r="R92" s="6">
        <f t="shared" si="48"/>
        <v>0</v>
      </c>
      <c r="S92" s="2"/>
      <c r="T92" s="7">
        <v>2000</v>
      </c>
      <c r="U92" s="2"/>
      <c r="V92" s="6">
        <f t="shared" si="49"/>
        <v>1.2097801043193385E-3</v>
      </c>
      <c r="W92" s="2"/>
      <c r="X92" s="7">
        <f t="shared" si="50"/>
        <v>-2000</v>
      </c>
      <c r="Y92" s="2"/>
      <c r="Z92" s="6">
        <f t="shared" si="51"/>
        <v>-1</v>
      </c>
    </row>
    <row r="93" spans="1:26" s="27" customFormat="1" outlineLevel="1" collapsed="1" x14ac:dyDescent="0.25">
      <c r="A93" s="26"/>
      <c r="B93" s="13" t="str">
        <f>CONCATENATE("     ","Repair and Maintenance                            ")</f>
        <v xml:space="preserve">     Repair and Maintenance                            </v>
      </c>
      <c r="C93" s="13"/>
      <c r="D93" s="1">
        <f>SUM(OSRRefD22_9x_0)</f>
        <v>0</v>
      </c>
      <c r="E93" s="1"/>
      <c r="F93" s="5">
        <f t="shared" si="44"/>
        <v>0</v>
      </c>
      <c r="G93" s="1"/>
      <c r="H93" s="1">
        <f>SUM(OSRRefH22_9x_0)</f>
        <v>50</v>
      </c>
      <c r="I93" s="1"/>
      <c r="J93" s="5">
        <f t="shared" si="45"/>
        <v>2.3345286119826685E-4</v>
      </c>
      <c r="K93" s="1"/>
      <c r="L93" s="1">
        <f t="shared" si="46"/>
        <v>-50</v>
      </c>
      <c r="M93" s="1"/>
      <c r="N93" s="5">
        <f t="shared" si="47"/>
        <v>-1</v>
      </c>
      <c r="O93" s="13"/>
      <c r="P93" s="1">
        <f>SUM(OSRRefP22_9x_0)</f>
        <v>0</v>
      </c>
      <c r="Q93" s="1"/>
      <c r="R93" s="5">
        <f t="shared" si="48"/>
        <v>0</v>
      </c>
      <c r="S93" s="1"/>
      <c r="T93" s="1">
        <f>SUM(OSRRefT22_9x_0)</f>
        <v>350</v>
      </c>
      <c r="U93" s="1"/>
      <c r="V93" s="5">
        <f t="shared" si="49"/>
        <v>2.1171151825588423E-4</v>
      </c>
      <c r="W93" s="1"/>
      <c r="X93" s="1">
        <f t="shared" si="50"/>
        <v>-350</v>
      </c>
      <c r="Y93" s="1"/>
      <c r="Z93" s="5">
        <f t="shared" si="51"/>
        <v>-1</v>
      </c>
    </row>
    <row r="94" spans="1:26" s="24" customFormat="1" hidden="1" outlineLevel="2" x14ac:dyDescent="0.25">
      <c r="A94" s="25"/>
      <c r="B94" s="11" t="str">
        <f>CONCATENATE("          ", "6375", " - ", "OUTSIDE REPAIRS &amp; MAINTENANCE")</f>
        <v xml:space="preserve">          6375 - OUTSIDE REPAIRS &amp; MAINTENANCE</v>
      </c>
      <c r="C94" s="11"/>
      <c r="D94" s="7"/>
      <c r="E94" s="2"/>
      <c r="F94" s="6">
        <f t="shared" si="44"/>
        <v>0</v>
      </c>
      <c r="G94" s="2"/>
      <c r="H94" s="7">
        <v>50</v>
      </c>
      <c r="I94" s="2"/>
      <c r="J94" s="6">
        <f t="shared" si="45"/>
        <v>2.3345286119826685E-4</v>
      </c>
      <c r="K94" s="2"/>
      <c r="L94" s="7">
        <f t="shared" si="46"/>
        <v>-50</v>
      </c>
      <c r="M94" s="2"/>
      <c r="N94" s="6">
        <f t="shared" si="47"/>
        <v>-1</v>
      </c>
      <c r="O94" s="11"/>
      <c r="P94" s="7"/>
      <c r="Q94" s="2"/>
      <c r="R94" s="6">
        <f t="shared" si="48"/>
        <v>0</v>
      </c>
      <c r="S94" s="2"/>
      <c r="T94" s="7">
        <v>350</v>
      </c>
      <c r="U94" s="2"/>
      <c r="V94" s="6">
        <f t="shared" si="49"/>
        <v>2.1171151825588423E-4</v>
      </c>
      <c r="W94" s="2"/>
      <c r="X94" s="7">
        <f t="shared" si="50"/>
        <v>-350</v>
      </c>
      <c r="Y94" s="2"/>
      <c r="Z94" s="6">
        <f t="shared" si="51"/>
        <v>-1</v>
      </c>
    </row>
    <row r="95" spans="1:26" s="27" customFormat="1" outlineLevel="1" collapsed="1" x14ac:dyDescent="0.25">
      <c r="A95" s="26"/>
      <c r="B95" s="13" t="str">
        <f>CONCATENATE("     ","Royalty &amp; Commissions                             ")</f>
        <v xml:space="preserve">     Royalty &amp; Commissions                             </v>
      </c>
      <c r="C95" s="13"/>
      <c r="D95" s="1">
        <f>SUM(OSRRefD22_10x_0)</f>
        <v>760.81</v>
      </c>
      <c r="E95" s="1"/>
      <c r="F95" s="5">
        <f t="shared" si="44"/>
        <v>3.9030092380264651E-3</v>
      </c>
      <c r="G95" s="1"/>
      <c r="H95" s="1">
        <f>SUM(OSRRefH22_10x_0)</f>
        <v>5485</v>
      </c>
      <c r="I95" s="1"/>
      <c r="J95" s="5">
        <f t="shared" si="45"/>
        <v>2.5609778873449875E-2</v>
      </c>
      <c r="K95" s="1"/>
      <c r="L95" s="1">
        <f t="shared" si="46"/>
        <v>-4724.1900000000005</v>
      </c>
      <c r="M95" s="1"/>
      <c r="N95" s="5">
        <f t="shared" si="47"/>
        <v>-0.86129261622607123</v>
      </c>
      <c r="O95" s="13"/>
      <c r="P95" s="1">
        <f>SUM(OSRRefP22_10x_0)</f>
        <v>7691.6</v>
      </c>
      <c r="Q95" s="1"/>
      <c r="R95" s="5">
        <f t="shared" si="48"/>
        <v>4.6282678250951382E-3</v>
      </c>
      <c r="S95" s="1"/>
      <c r="T95" s="1">
        <f>SUM(OSRRefT22_10x_0)</f>
        <v>38395</v>
      </c>
      <c r="U95" s="1"/>
      <c r="V95" s="5">
        <f t="shared" si="49"/>
        <v>2.32247535526705E-2</v>
      </c>
      <c r="W95" s="1"/>
      <c r="X95" s="1">
        <f t="shared" si="50"/>
        <v>-30703.4</v>
      </c>
      <c r="Y95" s="1"/>
      <c r="Z95" s="5">
        <f t="shared" si="51"/>
        <v>-0.79967183226982685</v>
      </c>
    </row>
    <row r="96" spans="1:26" s="24" customFormat="1" hidden="1" outlineLevel="2" x14ac:dyDescent="0.25">
      <c r="A96" s="25"/>
      <c r="B96" s="11" t="str">
        <f>CONCATENATE("          ", "6252", " - ", "ROYALTY DUE CSTV")</f>
        <v xml:space="preserve">          6252 - ROYALTY DUE CSTV</v>
      </c>
      <c r="C96" s="11"/>
      <c r="D96" s="7"/>
      <c r="E96" s="2"/>
      <c r="F96" s="6">
        <f t="shared" si="44"/>
        <v>0</v>
      </c>
      <c r="G96" s="2"/>
      <c r="H96" s="7">
        <v>1085</v>
      </c>
      <c r="I96" s="2"/>
      <c r="J96" s="6">
        <f t="shared" si="45"/>
        <v>5.0659270880023905E-3</v>
      </c>
      <c r="K96" s="2"/>
      <c r="L96" s="7">
        <f t="shared" si="46"/>
        <v>-1085</v>
      </c>
      <c r="M96" s="2"/>
      <c r="N96" s="6">
        <f t="shared" si="47"/>
        <v>-1</v>
      </c>
      <c r="O96" s="11"/>
      <c r="P96" s="7"/>
      <c r="Q96" s="2"/>
      <c r="R96" s="6">
        <f t="shared" si="48"/>
        <v>0</v>
      </c>
      <c r="S96" s="2"/>
      <c r="T96" s="7">
        <v>7595</v>
      </c>
      <c r="U96" s="2"/>
      <c r="V96" s="6">
        <f t="shared" si="49"/>
        <v>4.5941399461526871E-3</v>
      </c>
      <c r="W96" s="2"/>
      <c r="X96" s="7">
        <f t="shared" si="50"/>
        <v>-7595</v>
      </c>
      <c r="Y96" s="2"/>
      <c r="Z96" s="6">
        <f t="shared" si="51"/>
        <v>-1</v>
      </c>
    </row>
    <row r="97" spans="1:26" s="24" customFormat="1" hidden="1" outlineLevel="2" x14ac:dyDescent="0.25">
      <c r="A97" s="25"/>
      <c r="B97" s="11" t="str">
        <f>CONCATENATE("          ", "6253", " - ", "ROYALTY DUE ATHLETICS-LRG")</f>
        <v xml:space="preserve">          6253 - ROYALTY DUE ATHLETICS-LRG</v>
      </c>
      <c r="C97" s="11"/>
      <c r="D97" s="7"/>
      <c r="E97" s="2"/>
      <c r="F97" s="6">
        <f t="shared" si="44"/>
        <v>0</v>
      </c>
      <c r="G97" s="2"/>
      <c r="H97" s="7">
        <v>3700</v>
      </c>
      <c r="I97" s="2"/>
      <c r="J97" s="6">
        <f t="shared" si="45"/>
        <v>1.7275511728671748E-2</v>
      </c>
      <c r="K97" s="2"/>
      <c r="L97" s="7">
        <f t="shared" si="46"/>
        <v>-3700</v>
      </c>
      <c r="M97" s="2"/>
      <c r="N97" s="6">
        <f t="shared" si="47"/>
        <v>-1</v>
      </c>
      <c r="O97" s="11"/>
      <c r="P97" s="7">
        <v>4366.95</v>
      </c>
      <c r="Q97" s="2"/>
      <c r="R97" s="6">
        <f t="shared" si="48"/>
        <v>2.6277255939985453E-3</v>
      </c>
      <c r="S97" s="2"/>
      <c r="T97" s="7">
        <v>25900</v>
      </c>
      <c r="U97" s="2"/>
      <c r="V97" s="6">
        <f t="shared" si="49"/>
        <v>1.5666652350935433E-2</v>
      </c>
      <c r="W97" s="2"/>
      <c r="X97" s="7">
        <f t="shared" si="50"/>
        <v>-21533.05</v>
      </c>
      <c r="Y97" s="2"/>
      <c r="Z97" s="6">
        <f t="shared" si="51"/>
        <v>-0.83139189189189189</v>
      </c>
    </row>
    <row r="98" spans="1:26" s="24" customFormat="1" hidden="1" outlineLevel="2" x14ac:dyDescent="0.25">
      <c r="A98" s="25"/>
      <c r="B98" s="11" t="str">
        <f>CONCATENATE("          ", "6254", " - ", "ROYALTY &amp; COMMISSIONS")</f>
        <v xml:space="preserve">          6254 - ROYALTY &amp; COMMISSIONS</v>
      </c>
      <c r="C98" s="11"/>
      <c r="D98" s="7">
        <v>760.81</v>
      </c>
      <c r="E98" s="2"/>
      <c r="F98" s="6">
        <f t="shared" si="44"/>
        <v>3.9030092380264651E-3</v>
      </c>
      <c r="G98" s="2"/>
      <c r="H98" s="7">
        <v>700</v>
      </c>
      <c r="I98" s="2"/>
      <c r="J98" s="6">
        <f t="shared" si="45"/>
        <v>3.2683400567757358E-3</v>
      </c>
      <c r="K98" s="2"/>
      <c r="L98" s="7">
        <f t="shared" si="46"/>
        <v>60.809999999999945</v>
      </c>
      <c r="M98" s="2"/>
      <c r="N98" s="6">
        <f t="shared" si="47"/>
        <v>8.6871428571428488E-2</v>
      </c>
      <c r="O98" s="11"/>
      <c r="P98" s="7">
        <v>3324.65</v>
      </c>
      <c r="Q98" s="2"/>
      <c r="R98" s="6">
        <f t="shared" si="48"/>
        <v>2.0005422310965925E-3</v>
      </c>
      <c r="S98" s="2"/>
      <c r="T98" s="7">
        <v>4900</v>
      </c>
      <c r="U98" s="2"/>
      <c r="V98" s="6">
        <f t="shared" si="49"/>
        <v>2.9639612555823792E-3</v>
      </c>
      <c r="W98" s="2"/>
      <c r="X98" s="7">
        <f t="shared" si="50"/>
        <v>-1575.35</v>
      </c>
      <c r="Y98" s="2"/>
      <c r="Z98" s="6">
        <f t="shared" si="51"/>
        <v>-0.32150000000000001</v>
      </c>
    </row>
    <row r="99" spans="1:26" s="27" customFormat="1" outlineLevel="1" collapsed="1" x14ac:dyDescent="0.25">
      <c r="A99" s="26"/>
      <c r="B99" s="13" t="str">
        <f>CONCATENATE("     ","Subscriptions &amp; Dues                              ")</f>
        <v xml:space="preserve">     Subscriptions &amp; Dues                              </v>
      </c>
      <c r="C99" s="13"/>
      <c r="D99" s="1">
        <f>SUM(OSRRefD22_11x_0)</f>
        <v>0</v>
      </c>
      <c r="E99" s="1"/>
      <c r="F99" s="5">
        <f t="shared" ref="F99:F101" si="52">IF(D$12=0,0,D99/D$12)</f>
        <v>0</v>
      </c>
      <c r="G99" s="1"/>
      <c r="H99" s="1">
        <f>SUM(OSRRefH22_11x_0)</f>
        <v>500</v>
      </c>
      <c r="I99" s="1"/>
      <c r="J99" s="5">
        <f t="shared" ref="J99:J101" si="53">IF(H$12=0,0,H99/H$12)</f>
        <v>2.3345286119826683E-3</v>
      </c>
      <c r="K99" s="1"/>
      <c r="L99" s="1">
        <f t="shared" ref="L99:L101" si="54">+D99-H99</f>
        <v>-500</v>
      </c>
      <c r="M99" s="1"/>
      <c r="N99" s="5">
        <f t="shared" ref="N99:N101" si="55">IF(H99=0,0,L99/H99)</f>
        <v>-1</v>
      </c>
      <c r="O99" s="13"/>
      <c r="P99" s="1">
        <f>SUM(OSRRefP22_11x_0)</f>
        <v>296.64</v>
      </c>
      <c r="Q99" s="1"/>
      <c r="R99" s="5">
        <f t="shared" ref="R99:R101" si="56">IF(P$12=0,0,P99/P$12)</f>
        <v>1.7849723953874638E-4</v>
      </c>
      <c r="S99" s="1"/>
      <c r="T99" s="1">
        <f>SUM(OSRRefT22_11x_0)</f>
        <v>2650</v>
      </c>
      <c r="U99" s="1"/>
      <c r="V99" s="5">
        <f t="shared" ref="V99:V101" si="57">IF(T$12=0,0,T99/T$12)</f>
        <v>1.6029586382231235E-3</v>
      </c>
      <c r="W99" s="1"/>
      <c r="X99" s="1">
        <f t="shared" ref="X99:X101" si="58">+P99-T99</f>
        <v>-2353.36</v>
      </c>
      <c r="Y99" s="1"/>
      <c r="Z99" s="5">
        <f t="shared" ref="Z99:Z101" si="59">IF(T99=0,0,X99/T99)</f>
        <v>-0.88806037735849064</v>
      </c>
    </row>
    <row r="100" spans="1:26" s="24" customFormat="1" hidden="1" outlineLevel="2" x14ac:dyDescent="0.25">
      <c r="A100" s="25"/>
      <c r="B100" s="11" t="str">
        <f>CONCATENATE("          ", "6258", " - ", "MEMBERSHIP DUES")</f>
        <v xml:space="preserve">          6258 - MEMBERSHIP DUES</v>
      </c>
      <c r="C100" s="11"/>
      <c r="D100" s="7"/>
      <c r="E100" s="2"/>
      <c r="F100" s="6">
        <f t="shared" si="52"/>
        <v>0</v>
      </c>
      <c r="G100" s="2"/>
      <c r="H100" s="7">
        <v>500</v>
      </c>
      <c r="I100" s="2"/>
      <c r="J100" s="6">
        <f t="shared" si="53"/>
        <v>2.3345286119826683E-3</v>
      </c>
      <c r="K100" s="2"/>
      <c r="L100" s="7">
        <f t="shared" si="54"/>
        <v>-500</v>
      </c>
      <c r="M100" s="2"/>
      <c r="N100" s="6">
        <f t="shared" si="55"/>
        <v>-1</v>
      </c>
      <c r="O100" s="11"/>
      <c r="P100" s="7"/>
      <c r="Q100" s="2"/>
      <c r="R100" s="6">
        <f t="shared" si="56"/>
        <v>0</v>
      </c>
      <c r="S100" s="2"/>
      <c r="T100" s="7">
        <v>1500</v>
      </c>
      <c r="U100" s="2"/>
      <c r="V100" s="6">
        <f t="shared" si="57"/>
        <v>9.0733507823950385E-4</v>
      </c>
      <c r="W100" s="2"/>
      <c r="X100" s="7">
        <f t="shared" si="58"/>
        <v>-1500</v>
      </c>
      <c r="Y100" s="2"/>
      <c r="Z100" s="6">
        <f t="shared" si="59"/>
        <v>-1</v>
      </c>
    </row>
    <row r="101" spans="1:26" s="24" customFormat="1" hidden="1" outlineLevel="2" x14ac:dyDescent="0.25">
      <c r="A101" s="25"/>
      <c r="B101" s="11" t="str">
        <f>CONCATENATE("          ", "6275", " - ", "SUBSCRIPTIONS")</f>
        <v xml:space="preserve">          6275 - SUBSCRIPTIONS</v>
      </c>
      <c r="C101" s="11"/>
      <c r="D101" s="7"/>
      <c r="E101" s="2"/>
      <c r="F101" s="6">
        <f t="shared" si="52"/>
        <v>0</v>
      </c>
      <c r="G101" s="2"/>
      <c r="H101" s="7">
        <v>0</v>
      </c>
      <c r="I101" s="2"/>
      <c r="J101" s="6">
        <f t="shared" si="53"/>
        <v>0</v>
      </c>
      <c r="K101" s="2"/>
      <c r="L101" s="7">
        <f t="shared" si="54"/>
        <v>0</v>
      </c>
      <c r="M101" s="2"/>
      <c r="N101" s="6">
        <f t="shared" si="55"/>
        <v>0</v>
      </c>
      <c r="O101" s="11"/>
      <c r="P101" s="7">
        <v>296.64</v>
      </c>
      <c r="Q101" s="2"/>
      <c r="R101" s="6">
        <f t="shared" si="56"/>
        <v>1.7849723953874638E-4</v>
      </c>
      <c r="S101" s="2"/>
      <c r="T101" s="7">
        <v>1150</v>
      </c>
      <c r="U101" s="2"/>
      <c r="V101" s="6">
        <f t="shared" si="57"/>
        <v>6.9562355998361962E-4</v>
      </c>
      <c r="W101" s="2"/>
      <c r="X101" s="7">
        <f t="shared" si="58"/>
        <v>-853.36</v>
      </c>
      <c r="Y101" s="2"/>
      <c r="Z101" s="6">
        <f t="shared" si="59"/>
        <v>-0.74205217391304346</v>
      </c>
    </row>
    <row r="102" spans="1:26" s="27" customFormat="1" outlineLevel="1" collapsed="1" x14ac:dyDescent="0.25">
      <c r="A102" s="26"/>
      <c r="B102" s="13" t="str">
        <f>CONCATENATE("     ","Supplies                                          ")</f>
        <v xml:space="preserve">     Supplies                                          </v>
      </c>
      <c r="C102" s="13"/>
      <c r="D102" s="1">
        <f>SUM(OSRRefD22_12x_0)</f>
        <v>1445.13</v>
      </c>
      <c r="E102" s="1"/>
      <c r="F102" s="5">
        <f t="shared" ref="F102:F107" si="60">IF(D$12=0,0,D102/D$12)</f>
        <v>7.4136193532540143E-3</v>
      </c>
      <c r="G102" s="1"/>
      <c r="H102" s="1">
        <f>SUM(OSRRefH22_12x_0)</f>
        <v>3225</v>
      </c>
      <c r="I102" s="1"/>
      <c r="J102" s="5">
        <f t="shared" ref="J102:J107" si="61">IF(H$12=0,0,H102/H$12)</f>
        <v>1.5057709547288212E-2</v>
      </c>
      <c r="K102" s="1"/>
      <c r="L102" s="1">
        <f t="shared" ref="L102:L107" si="62">+D102-H102</f>
        <v>-1779.87</v>
      </c>
      <c r="M102" s="1"/>
      <c r="N102" s="5">
        <f t="shared" ref="N102:N107" si="63">IF(H102=0,0,L102/H102)</f>
        <v>-0.5518976744186046</v>
      </c>
      <c r="O102" s="13"/>
      <c r="P102" s="1">
        <f>SUM(OSRRefP22_12x_0)</f>
        <v>3252.3799999999997</v>
      </c>
      <c r="Q102" s="1"/>
      <c r="R102" s="5">
        <f t="shared" ref="R102:R107" si="64">IF(P$12=0,0,P102/P$12)</f>
        <v>1.9570551912453747E-3</v>
      </c>
      <c r="S102" s="1"/>
      <c r="T102" s="1">
        <f>SUM(OSRRefT22_12x_0)</f>
        <v>7975</v>
      </c>
      <c r="U102" s="1"/>
      <c r="V102" s="5">
        <f t="shared" ref="V102:V107" si="65">IF(T$12=0,0,T102/T$12)</f>
        <v>4.8239981659733621E-3</v>
      </c>
      <c r="W102" s="1"/>
      <c r="X102" s="1">
        <f t="shared" ref="X102:X107" si="66">+P102-T102</f>
        <v>-4722.6200000000008</v>
      </c>
      <c r="Y102" s="1"/>
      <c r="Z102" s="5">
        <f t="shared" ref="Z102:Z107" si="67">IF(T102=0,0,X102/T102)</f>
        <v>-0.59217805642633237</v>
      </c>
    </row>
    <row r="103" spans="1:26" s="24" customFormat="1" hidden="1" outlineLevel="2" x14ac:dyDescent="0.25">
      <c r="A103" s="25"/>
      <c r="B103" s="11" t="str">
        <f>CONCATENATE("          ", "6234", " - ", "EXPENDABLE SUPPLIES &amp; EQUIPMEN")</f>
        <v xml:space="preserve">          6234 - EXPENDABLE SUPPLIES &amp; EQUIPMEN</v>
      </c>
      <c r="C103" s="11"/>
      <c r="D103" s="7">
        <v>511.92</v>
      </c>
      <c r="E103" s="2"/>
      <c r="F103" s="6">
        <f t="shared" si="60"/>
        <v>2.6261858928385644E-3</v>
      </c>
      <c r="G103" s="2"/>
      <c r="H103" s="7">
        <v>2500</v>
      </c>
      <c r="I103" s="2"/>
      <c r="J103" s="6">
        <f t="shared" si="61"/>
        <v>1.1672643059913342E-2</v>
      </c>
      <c r="K103" s="2"/>
      <c r="L103" s="7">
        <f t="shared" si="62"/>
        <v>-1988.08</v>
      </c>
      <c r="M103" s="2"/>
      <c r="N103" s="6">
        <f t="shared" si="63"/>
        <v>-0.79523199999999994</v>
      </c>
      <c r="O103" s="11"/>
      <c r="P103" s="7">
        <v>532.28</v>
      </c>
      <c r="Q103" s="2"/>
      <c r="R103" s="6">
        <f t="shared" si="64"/>
        <v>3.2028893831473814E-4</v>
      </c>
      <c r="S103" s="2"/>
      <c r="T103" s="7">
        <v>4700</v>
      </c>
      <c r="U103" s="2"/>
      <c r="V103" s="6">
        <f t="shared" si="65"/>
        <v>2.8429832451504454E-3</v>
      </c>
      <c r="W103" s="2"/>
      <c r="X103" s="7">
        <f t="shared" si="66"/>
        <v>-4167.72</v>
      </c>
      <c r="Y103" s="2"/>
      <c r="Z103" s="6">
        <f t="shared" si="67"/>
        <v>-0.88674893617021278</v>
      </c>
    </row>
    <row r="104" spans="1:26" s="24" customFormat="1" hidden="1" outlineLevel="2" x14ac:dyDescent="0.25">
      <c r="A104" s="25"/>
      <c r="B104" s="11" t="str">
        <f>CONCATENATE("          ", "6237", " - ", "JANITORIAL SUPPLIES")</f>
        <v xml:space="preserve">          6237 - JANITORIAL SUPPLIES</v>
      </c>
      <c r="C104" s="11"/>
      <c r="D104" s="7"/>
      <c r="E104" s="2"/>
      <c r="F104" s="6">
        <f t="shared" si="60"/>
        <v>0</v>
      </c>
      <c r="G104" s="2"/>
      <c r="H104" s="7">
        <v>25</v>
      </c>
      <c r="I104" s="2"/>
      <c r="J104" s="6">
        <f t="shared" si="61"/>
        <v>1.1672643059913342E-4</v>
      </c>
      <c r="K104" s="2"/>
      <c r="L104" s="7">
        <f t="shared" si="62"/>
        <v>-25</v>
      </c>
      <c r="M104" s="2"/>
      <c r="N104" s="6">
        <f t="shared" si="63"/>
        <v>-1</v>
      </c>
      <c r="O104" s="11"/>
      <c r="P104" s="7"/>
      <c r="Q104" s="2"/>
      <c r="R104" s="6">
        <f t="shared" si="64"/>
        <v>0</v>
      </c>
      <c r="S104" s="2"/>
      <c r="T104" s="7">
        <v>175</v>
      </c>
      <c r="U104" s="2"/>
      <c r="V104" s="6">
        <f t="shared" si="65"/>
        <v>1.0585575912794212E-4</v>
      </c>
      <c r="W104" s="2"/>
      <c r="X104" s="7">
        <f t="shared" si="66"/>
        <v>-175</v>
      </c>
      <c r="Y104" s="2"/>
      <c r="Z104" s="6">
        <f t="shared" si="67"/>
        <v>-1</v>
      </c>
    </row>
    <row r="105" spans="1:26" s="24" customFormat="1" hidden="1" outlineLevel="2" x14ac:dyDescent="0.25">
      <c r="A105" s="25"/>
      <c r="B105" s="11" t="str">
        <f>CONCATENATE("          ", "6241", " - ", "OFFICE EXPENSE")</f>
        <v xml:space="preserve">          6241 - OFFICE EXPENSE</v>
      </c>
      <c r="C105" s="11"/>
      <c r="D105" s="7">
        <v>403.82</v>
      </c>
      <c r="E105" s="2"/>
      <c r="F105" s="6">
        <f t="shared" si="60"/>
        <v>2.0716252290320148E-3</v>
      </c>
      <c r="G105" s="2"/>
      <c r="H105" s="7">
        <v>200</v>
      </c>
      <c r="I105" s="2"/>
      <c r="J105" s="6">
        <f t="shared" si="61"/>
        <v>9.3381144479306739E-4</v>
      </c>
      <c r="K105" s="2"/>
      <c r="L105" s="7">
        <f t="shared" si="62"/>
        <v>203.82</v>
      </c>
      <c r="M105" s="2"/>
      <c r="N105" s="6">
        <f t="shared" si="63"/>
        <v>1.0190999999999999</v>
      </c>
      <c r="O105" s="11"/>
      <c r="P105" s="7">
        <v>2486.04</v>
      </c>
      <c r="Q105" s="2"/>
      <c r="R105" s="6">
        <f t="shared" si="64"/>
        <v>1.4959252878334179E-3</v>
      </c>
      <c r="S105" s="2"/>
      <c r="T105" s="7">
        <v>1400</v>
      </c>
      <c r="U105" s="2"/>
      <c r="V105" s="6">
        <f t="shared" si="65"/>
        <v>8.4684607302353693E-4</v>
      </c>
      <c r="W105" s="2"/>
      <c r="X105" s="7">
        <f t="shared" si="66"/>
        <v>1086.04</v>
      </c>
      <c r="Y105" s="2"/>
      <c r="Z105" s="6">
        <f t="shared" si="67"/>
        <v>0.77574285714285707</v>
      </c>
    </row>
    <row r="106" spans="1:26" s="24" customFormat="1" hidden="1" outlineLevel="2" x14ac:dyDescent="0.25">
      <c r="A106" s="25"/>
      <c r="B106" s="11" t="str">
        <f>CONCATENATE("          ", "6245", " - ", "PRINTING")</f>
        <v xml:space="preserve">          6245 - PRINTING</v>
      </c>
      <c r="C106" s="11"/>
      <c r="D106" s="7">
        <v>88.2</v>
      </c>
      <c r="E106" s="2"/>
      <c r="F106" s="6">
        <f t="shared" si="60"/>
        <v>4.5247225298554732E-4</v>
      </c>
      <c r="G106" s="2"/>
      <c r="H106" s="7"/>
      <c r="I106" s="2"/>
      <c r="J106" s="6">
        <f t="shared" si="61"/>
        <v>0</v>
      </c>
      <c r="K106" s="2"/>
      <c r="L106" s="7">
        <f t="shared" si="62"/>
        <v>88.2</v>
      </c>
      <c r="M106" s="2"/>
      <c r="N106" s="6">
        <f t="shared" si="63"/>
        <v>0</v>
      </c>
      <c r="O106" s="11"/>
      <c r="P106" s="7">
        <v>-528.98</v>
      </c>
      <c r="Q106" s="2"/>
      <c r="R106" s="6">
        <f t="shared" si="64"/>
        <v>-3.1830322873249077E-4</v>
      </c>
      <c r="S106" s="2"/>
      <c r="T106" s="7"/>
      <c r="U106" s="2"/>
      <c r="V106" s="6">
        <f t="shared" si="65"/>
        <v>0</v>
      </c>
      <c r="W106" s="2"/>
      <c r="X106" s="7">
        <f t="shared" si="66"/>
        <v>-528.98</v>
      </c>
      <c r="Y106" s="2"/>
      <c r="Z106" s="6">
        <f t="shared" si="67"/>
        <v>0</v>
      </c>
    </row>
    <row r="107" spans="1:26" s="24" customFormat="1" hidden="1" outlineLevel="2" x14ac:dyDescent="0.25">
      <c r="A107" s="25"/>
      <c r="B107" s="11" t="str">
        <f>CONCATENATE("          ", "6247", " - ", "STORE SUPPLIES")</f>
        <v xml:space="preserve">          6247 - STORE SUPPLIES</v>
      </c>
      <c r="C107" s="11"/>
      <c r="D107" s="7">
        <v>441.19</v>
      </c>
      <c r="E107" s="2"/>
      <c r="F107" s="6">
        <f t="shared" si="60"/>
        <v>2.263335978397887E-3</v>
      </c>
      <c r="G107" s="2"/>
      <c r="H107" s="7">
        <v>500</v>
      </c>
      <c r="I107" s="2"/>
      <c r="J107" s="6">
        <f t="shared" si="61"/>
        <v>2.3345286119826683E-3</v>
      </c>
      <c r="K107" s="2"/>
      <c r="L107" s="7">
        <f t="shared" si="62"/>
        <v>-58.81</v>
      </c>
      <c r="M107" s="2"/>
      <c r="N107" s="6">
        <f t="shared" si="63"/>
        <v>-0.11762</v>
      </c>
      <c r="O107" s="11"/>
      <c r="P107" s="7">
        <v>763.04</v>
      </c>
      <c r="Q107" s="2"/>
      <c r="R107" s="6">
        <f t="shared" si="64"/>
        <v>4.5914419382970953E-4</v>
      </c>
      <c r="S107" s="2"/>
      <c r="T107" s="7">
        <v>1700</v>
      </c>
      <c r="U107" s="2"/>
      <c r="V107" s="6">
        <f t="shared" si="65"/>
        <v>1.0283130886714377E-3</v>
      </c>
      <c r="W107" s="2"/>
      <c r="X107" s="7">
        <f t="shared" si="66"/>
        <v>-936.96</v>
      </c>
      <c r="Y107" s="2"/>
      <c r="Z107" s="6">
        <f t="shared" si="67"/>
        <v>-0.55115294117647062</v>
      </c>
    </row>
    <row r="108" spans="1:26" s="27" customFormat="1" outlineLevel="1" collapsed="1" x14ac:dyDescent="0.25">
      <c r="A108" s="26"/>
      <c r="B108" s="13" t="str">
        <f>CONCATENATE("     ","Telephone/Data Lines                              ")</f>
        <v xml:space="preserve">     Telephone/Data Lines                              </v>
      </c>
      <c r="C108" s="13"/>
      <c r="D108" s="1">
        <f>SUM(OSRRefD22_13x_0)</f>
        <v>386.48</v>
      </c>
      <c r="E108" s="1"/>
      <c r="F108" s="5">
        <f t="shared" ref="F108:F114" si="68">IF(D$12=0,0,D108/D$12)</f>
        <v>1.9826697997035641E-3</v>
      </c>
      <c r="G108" s="1"/>
      <c r="H108" s="1">
        <f>SUM(OSRRefH22_13x_0)</f>
        <v>400</v>
      </c>
      <c r="I108" s="1"/>
      <c r="J108" s="5">
        <f t="shared" ref="J108:J114" si="69">IF(H$12=0,0,H108/H$12)</f>
        <v>1.8676228895861348E-3</v>
      </c>
      <c r="K108" s="1"/>
      <c r="L108" s="1">
        <f t="shared" ref="L108:L114" si="70">+D108-H108</f>
        <v>-13.519999999999982</v>
      </c>
      <c r="M108" s="1"/>
      <c r="N108" s="5">
        <f t="shared" ref="N108:N114" si="71">IF(H108=0,0,L108/H108)</f>
        <v>-3.3799999999999955E-2</v>
      </c>
      <c r="O108" s="13"/>
      <c r="P108" s="1">
        <f>SUM(OSRRefP22_13x_0)</f>
        <v>3885.04</v>
      </c>
      <c r="Q108" s="1"/>
      <c r="R108" s="5">
        <f t="shared" ref="R108:R114" si="72">IF(P$12=0,0,P108/P$12)</f>
        <v>2.3377458046710195E-3</v>
      </c>
      <c r="S108" s="1"/>
      <c r="T108" s="1">
        <f>SUM(OSRRefT22_13x_0)</f>
        <v>3900</v>
      </c>
      <c r="U108" s="1"/>
      <c r="V108" s="5">
        <f t="shared" ref="V108:V114" si="73">IF(T$12=0,0,T108/T$12)</f>
        <v>2.35907120342271E-3</v>
      </c>
      <c r="W108" s="1"/>
      <c r="X108" s="1">
        <f t="shared" ref="X108:X114" si="74">+P108-T108</f>
        <v>-14.960000000000036</v>
      </c>
      <c r="Y108" s="1"/>
      <c r="Z108" s="5">
        <f t="shared" ref="Z108:Z114" si="75">IF(T108=0,0,X108/T108)</f>
        <v>-3.8358974358974453E-3</v>
      </c>
    </row>
    <row r="109" spans="1:26" s="24" customFormat="1" hidden="1" outlineLevel="2" x14ac:dyDescent="0.25">
      <c r="A109" s="25"/>
      <c r="B109" s="11" t="str">
        <f>CONCATENATE("          ", "6309", " - ", "TELEPHONE")</f>
        <v xml:space="preserve">          6309 - TELEPHONE</v>
      </c>
      <c r="C109" s="11"/>
      <c r="D109" s="7">
        <v>386.48</v>
      </c>
      <c r="E109" s="2"/>
      <c r="F109" s="6">
        <f t="shared" si="68"/>
        <v>1.9826697997035641E-3</v>
      </c>
      <c r="G109" s="2"/>
      <c r="H109" s="7">
        <v>400</v>
      </c>
      <c r="I109" s="2"/>
      <c r="J109" s="6">
        <f t="shared" si="69"/>
        <v>1.8676228895861348E-3</v>
      </c>
      <c r="K109" s="2"/>
      <c r="L109" s="7">
        <f t="shared" si="70"/>
        <v>-13.519999999999982</v>
      </c>
      <c r="M109" s="2"/>
      <c r="N109" s="6">
        <f t="shared" si="71"/>
        <v>-3.3799999999999955E-2</v>
      </c>
      <c r="O109" s="11"/>
      <c r="P109" s="7">
        <v>3885.04</v>
      </c>
      <c r="Q109" s="2"/>
      <c r="R109" s="6">
        <f t="shared" si="72"/>
        <v>2.3377458046710195E-3</v>
      </c>
      <c r="S109" s="2"/>
      <c r="T109" s="7">
        <v>3900</v>
      </c>
      <c r="U109" s="2"/>
      <c r="V109" s="6">
        <f t="shared" si="73"/>
        <v>2.35907120342271E-3</v>
      </c>
      <c r="W109" s="2"/>
      <c r="X109" s="7">
        <f t="shared" si="74"/>
        <v>-14.960000000000036</v>
      </c>
      <c r="Y109" s="2"/>
      <c r="Z109" s="6">
        <f t="shared" si="75"/>
        <v>-3.8358974358974453E-3</v>
      </c>
    </row>
    <row r="110" spans="1:26" s="27" customFormat="1" outlineLevel="1" collapsed="1" x14ac:dyDescent="0.25">
      <c r="A110" s="26"/>
      <c r="B110" s="13" t="str">
        <f>CONCATENATE("     ","Training                                          ")</f>
        <v xml:space="preserve">     Training                                          </v>
      </c>
      <c r="C110" s="13"/>
      <c r="D110" s="1">
        <f>SUM(OSRRefD22_14x_0)</f>
        <v>0</v>
      </c>
      <c r="E110" s="1"/>
      <c r="F110" s="5">
        <f t="shared" si="68"/>
        <v>0</v>
      </c>
      <c r="G110" s="1"/>
      <c r="H110" s="1">
        <f>SUM(OSRRefH22_14x_0)</f>
        <v>1000</v>
      </c>
      <c r="I110" s="1"/>
      <c r="J110" s="5">
        <f t="shared" si="69"/>
        <v>4.6690572239653366E-3</v>
      </c>
      <c r="K110" s="1"/>
      <c r="L110" s="1">
        <f t="shared" si="70"/>
        <v>-1000</v>
      </c>
      <c r="M110" s="1"/>
      <c r="N110" s="5">
        <f t="shared" si="71"/>
        <v>-1</v>
      </c>
      <c r="O110" s="13"/>
      <c r="P110" s="1">
        <f>SUM(OSRRefP22_14x_0)</f>
        <v>1379.18</v>
      </c>
      <c r="Q110" s="1"/>
      <c r="R110" s="5">
        <f t="shared" si="72"/>
        <v>8.2989422474058874E-4</v>
      </c>
      <c r="S110" s="1"/>
      <c r="T110" s="1">
        <f>SUM(OSRRefT22_14x_0)</f>
        <v>3500</v>
      </c>
      <c r="U110" s="1"/>
      <c r="V110" s="5">
        <f t="shared" si="73"/>
        <v>2.1171151825588423E-3</v>
      </c>
      <c r="W110" s="1"/>
      <c r="X110" s="1">
        <f t="shared" si="74"/>
        <v>-2120.8199999999997</v>
      </c>
      <c r="Y110" s="1"/>
      <c r="Z110" s="5">
        <f t="shared" si="75"/>
        <v>-0.60594857142857139</v>
      </c>
    </row>
    <row r="111" spans="1:26" s="24" customFormat="1" hidden="1" outlineLevel="2" x14ac:dyDescent="0.25">
      <c r="A111" s="25"/>
      <c r="B111" s="11" t="str">
        <f>CONCATENATE("          ", "6376", " - ", "TRAINING")</f>
        <v xml:space="preserve">          6376 - TRAINING</v>
      </c>
      <c r="C111" s="11"/>
      <c r="D111" s="7"/>
      <c r="E111" s="2"/>
      <c r="F111" s="6">
        <f t="shared" si="68"/>
        <v>0</v>
      </c>
      <c r="G111" s="2"/>
      <c r="H111" s="7">
        <v>1000</v>
      </c>
      <c r="I111" s="2"/>
      <c r="J111" s="6">
        <f t="shared" si="69"/>
        <v>4.6690572239653366E-3</v>
      </c>
      <c r="K111" s="2"/>
      <c r="L111" s="7">
        <f t="shared" si="70"/>
        <v>-1000</v>
      </c>
      <c r="M111" s="2"/>
      <c r="N111" s="6">
        <f t="shared" si="71"/>
        <v>-1</v>
      </c>
      <c r="O111" s="11"/>
      <c r="P111" s="7">
        <v>1379.18</v>
      </c>
      <c r="Q111" s="2"/>
      <c r="R111" s="6">
        <f t="shared" si="72"/>
        <v>8.2989422474058874E-4</v>
      </c>
      <c r="S111" s="2"/>
      <c r="T111" s="7">
        <v>3500</v>
      </c>
      <c r="U111" s="2"/>
      <c r="V111" s="6">
        <f t="shared" si="73"/>
        <v>2.1171151825588423E-3</v>
      </c>
      <c r="W111" s="2"/>
      <c r="X111" s="7">
        <f t="shared" si="74"/>
        <v>-2120.8199999999997</v>
      </c>
      <c r="Y111" s="2"/>
      <c r="Z111" s="6">
        <f t="shared" si="75"/>
        <v>-0.60594857142857139</v>
      </c>
    </row>
    <row r="112" spans="1:26" s="27" customFormat="1" outlineLevel="1" collapsed="1" x14ac:dyDescent="0.25">
      <c r="A112" s="26"/>
      <c r="B112" s="13" t="str">
        <f>CONCATENATE("     ","Travel                                            ")</f>
        <v xml:space="preserve">     Travel                                            </v>
      </c>
      <c r="C112" s="13"/>
      <c r="D112" s="1">
        <f>SUM(OSRRefD22_15x_0)</f>
        <v>-419</v>
      </c>
      <c r="E112" s="1"/>
      <c r="F112" s="5">
        <f t="shared" si="68"/>
        <v>-2.1494997052261262E-3</v>
      </c>
      <c r="G112" s="1"/>
      <c r="H112" s="1">
        <f>SUM(OSRRefH22_15x_0)</f>
        <v>50</v>
      </c>
      <c r="I112" s="1"/>
      <c r="J112" s="5">
        <f t="shared" si="69"/>
        <v>2.3345286119826685E-4</v>
      </c>
      <c r="K112" s="1"/>
      <c r="L112" s="1">
        <f t="shared" si="70"/>
        <v>-469</v>
      </c>
      <c r="M112" s="1"/>
      <c r="N112" s="5">
        <f t="shared" si="71"/>
        <v>-9.3800000000000008</v>
      </c>
      <c r="O112" s="13"/>
      <c r="P112" s="1">
        <f>SUM(OSRRefP22_15x_0)</f>
        <v>-99.159999999999982</v>
      </c>
      <c r="Q112" s="1"/>
      <c r="R112" s="5">
        <f t="shared" si="72"/>
        <v>-5.9667564295651591E-5</v>
      </c>
      <c r="S112" s="1"/>
      <c r="T112" s="1">
        <f>SUM(OSRRefT22_15x_0)</f>
        <v>350</v>
      </c>
      <c r="U112" s="1"/>
      <c r="V112" s="5">
        <f t="shared" si="73"/>
        <v>2.1171151825588423E-4</v>
      </c>
      <c r="W112" s="1"/>
      <c r="X112" s="1">
        <f t="shared" si="74"/>
        <v>-449.15999999999997</v>
      </c>
      <c r="Y112" s="1"/>
      <c r="Z112" s="5">
        <f t="shared" si="75"/>
        <v>-1.2833142857142856</v>
      </c>
    </row>
    <row r="113" spans="1:26" s="24" customFormat="1" hidden="1" outlineLevel="2" x14ac:dyDescent="0.25">
      <c r="A113" s="25"/>
      <c r="B113" s="11" t="str">
        <f>CONCATENATE("          ", "6292", " - ", "TRAVEL/CONFERENCE")</f>
        <v xml:space="preserve">          6292 - TRAVEL/CONFERENCE</v>
      </c>
      <c r="C113" s="11"/>
      <c r="D113" s="7"/>
      <c r="E113" s="2"/>
      <c r="F113" s="6">
        <f t="shared" si="68"/>
        <v>0</v>
      </c>
      <c r="G113" s="2"/>
      <c r="H113" s="7"/>
      <c r="I113" s="2"/>
      <c r="J113" s="6">
        <f t="shared" si="69"/>
        <v>0</v>
      </c>
      <c r="K113" s="2"/>
      <c r="L113" s="7">
        <f t="shared" si="70"/>
        <v>0</v>
      </c>
      <c r="M113" s="2"/>
      <c r="N113" s="6">
        <f t="shared" si="71"/>
        <v>0</v>
      </c>
      <c r="O113" s="11"/>
      <c r="P113" s="7">
        <v>107.04</v>
      </c>
      <c r="Q113" s="2"/>
      <c r="R113" s="6">
        <f t="shared" si="72"/>
        <v>6.4409198085987784E-5</v>
      </c>
      <c r="S113" s="2"/>
      <c r="T113" s="7"/>
      <c r="U113" s="2"/>
      <c r="V113" s="6">
        <f t="shared" si="73"/>
        <v>0</v>
      </c>
      <c r="W113" s="2"/>
      <c r="X113" s="7">
        <f t="shared" si="74"/>
        <v>107.04</v>
      </c>
      <c r="Y113" s="2"/>
      <c r="Z113" s="6">
        <f t="shared" si="75"/>
        <v>0</v>
      </c>
    </row>
    <row r="114" spans="1:26" s="24" customFormat="1" hidden="1" outlineLevel="2" x14ac:dyDescent="0.25">
      <c r="A114" s="25"/>
      <c r="B114" s="11" t="str">
        <f>CONCATENATE("          ", "6294", " - ", "TRAVEL OPERATIONAL")</f>
        <v xml:space="preserve">          6294 - TRAVEL OPERATIONAL</v>
      </c>
      <c r="C114" s="11"/>
      <c r="D114" s="7">
        <v>-419</v>
      </c>
      <c r="E114" s="2"/>
      <c r="F114" s="6">
        <f t="shared" si="68"/>
        <v>-2.1494997052261262E-3</v>
      </c>
      <c r="G114" s="2"/>
      <c r="H114" s="7">
        <v>50</v>
      </c>
      <c r="I114" s="2"/>
      <c r="J114" s="6">
        <f t="shared" si="69"/>
        <v>2.3345286119826685E-4</v>
      </c>
      <c r="K114" s="2"/>
      <c r="L114" s="7">
        <f t="shared" si="70"/>
        <v>-469</v>
      </c>
      <c r="M114" s="2"/>
      <c r="N114" s="6">
        <f t="shared" si="71"/>
        <v>-9.3800000000000008</v>
      </c>
      <c r="O114" s="11"/>
      <c r="P114" s="7">
        <v>-206.2</v>
      </c>
      <c r="Q114" s="2"/>
      <c r="R114" s="6">
        <f t="shared" si="72"/>
        <v>-1.2407676238163938E-4</v>
      </c>
      <c r="S114" s="2"/>
      <c r="T114" s="7">
        <v>350</v>
      </c>
      <c r="U114" s="2"/>
      <c r="V114" s="6">
        <f t="shared" si="73"/>
        <v>2.1171151825588423E-4</v>
      </c>
      <c r="W114" s="2"/>
      <c r="X114" s="7">
        <f t="shared" si="74"/>
        <v>-556.20000000000005</v>
      </c>
      <c r="Y114" s="2"/>
      <c r="Z114" s="6">
        <f t="shared" si="75"/>
        <v>-1.5891428571428572</v>
      </c>
    </row>
    <row r="115" spans="1:26" s="53" customFormat="1" x14ac:dyDescent="0.25">
      <c r="A115" s="36"/>
      <c r="B115" s="36"/>
      <c r="C115" s="36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6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collapsed="1" x14ac:dyDescent="0.25">
      <c r="A116" s="10"/>
      <c r="B116" s="28" t="s">
        <v>0</v>
      </c>
      <c r="C116" s="10"/>
      <c r="D116" s="4">
        <f>SUM(OSRRefD25x_0)</f>
        <v>0</v>
      </c>
      <c r="E116" s="4"/>
      <c r="F116" s="12">
        <f t="shared" ref="F116:F119" si="76">IF(D$12=0,0,D116/D$12)</f>
        <v>0</v>
      </c>
      <c r="G116" s="4"/>
      <c r="H116" s="4">
        <f>SUM(OSRRefH25x_0)</f>
        <v>8625</v>
      </c>
      <c r="I116" s="4"/>
      <c r="J116" s="12">
        <f t="shared" ref="J116:J119" si="77">IF(H$12=0,0,H116/H$12)</f>
        <v>4.0270618556701034E-2</v>
      </c>
      <c r="K116" s="4"/>
      <c r="L116" s="4">
        <f t="shared" ref="L116:L119" si="78">+D116-H116</f>
        <v>-8625</v>
      </c>
      <c r="M116" s="4"/>
      <c r="N116" s="12">
        <f t="shared" ref="N116:N119" si="79">IF(H116=0,0,L116/H116)</f>
        <v>-1</v>
      </c>
      <c r="O116" s="10"/>
      <c r="P116" s="4">
        <f>SUM(OSRRefP25x_0)</f>
        <v>14830.16</v>
      </c>
      <c r="Q116" s="4"/>
      <c r="R116" s="12">
        <f t="shared" ref="R116:R119" si="80">IF(P$12=0,0,P116/P$12)</f>
        <v>8.9237547934126714E-3</v>
      </c>
      <c r="S116" s="4"/>
      <c r="T116" s="4">
        <f>SUM(OSRRefT25x_0)</f>
        <v>60375</v>
      </c>
      <c r="U116" s="4"/>
      <c r="V116" s="12">
        <f t="shared" ref="V116:V119" si="81">IF(T$12=0,0,T116/T$12)</f>
        <v>3.6520236899140031E-2</v>
      </c>
      <c r="W116" s="4"/>
      <c r="X116" s="4">
        <f t="shared" ref="X116:X119" si="82">+P116-T116</f>
        <v>-45544.84</v>
      </c>
      <c r="Y116" s="4"/>
      <c r="Z116" s="12">
        <f t="shared" ref="Z116:Z119" si="83">IF(T116=0,0,X116/T116)</f>
        <v>-0.75436587991718418</v>
      </c>
    </row>
    <row r="117" spans="1:26" s="24" customFormat="1" hidden="1" outlineLevel="1" x14ac:dyDescent="0.25">
      <c r="A117" s="44"/>
      <c r="B117" s="11" t="str">
        <f>CONCATENATE("          ", "9150", " - ", "MISC. INCOME")</f>
        <v xml:space="preserve">          9150 - MISC. INCOME</v>
      </c>
      <c r="C117" s="11"/>
      <c r="D117" s="2">
        <f t="shared" ref="D117:D119" si="84">0</f>
        <v>0</v>
      </c>
      <c r="E117" s="2"/>
      <c r="F117" s="19">
        <f t="shared" si="76"/>
        <v>0</v>
      </c>
      <c r="G117" s="2"/>
      <c r="H117" s="2">
        <v>7725</v>
      </c>
      <c r="I117" s="2"/>
      <c r="J117" s="19">
        <f t="shared" si="77"/>
        <v>3.6068467055132225E-2</v>
      </c>
      <c r="K117" s="2"/>
      <c r="L117" s="2">
        <f t="shared" si="78"/>
        <v>-7725</v>
      </c>
      <c r="M117" s="2"/>
      <c r="N117" s="19">
        <f t="shared" si="79"/>
        <v>-1</v>
      </c>
      <c r="O117" s="11"/>
      <c r="P117" s="2">
        <f>--14830.16</f>
        <v>14830.16</v>
      </c>
      <c r="Q117" s="2"/>
      <c r="R117" s="19">
        <f t="shared" si="80"/>
        <v>8.9237547934126714E-3</v>
      </c>
      <c r="S117" s="2"/>
      <c r="T117" s="2">
        <v>54075</v>
      </c>
      <c r="U117" s="2"/>
      <c r="V117" s="19">
        <f t="shared" si="81"/>
        <v>3.2709429570534111E-2</v>
      </c>
      <c r="W117" s="2"/>
      <c r="X117" s="2">
        <f t="shared" si="82"/>
        <v>-39244.839999999997</v>
      </c>
      <c r="Y117" s="2"/>
      <c r="Z117" s="19">
        <f t="shared" si="83"/>
        <v>-0.72574831252889493</v>
      </c>
    </row>
    <row r="118" spans="1:26" s="24" customFormat="1" hidden="1" outlineLevel="1" x14ac:dyDescent="0.25">
      <c r="A118" s="44"/>
      <c r="B118" s="11" t="str">
        <f>CONCATENATE("          ", "9151", " - ", "MISC. INCOME")</f>
        <v xml:space="preserve">          9151 - MISC. INCOME</v>
      </c>
      <c r="C118" s="11"/>
      <c r="D118" s="2">
        <f t="shared" si="84"/>
        <v>0</v>
      </c>
      <c r="E118" s="2"/>
      <c r="F118" s="19">
        <f t="shared" si="76"/>
        <v>0</v>
      </c>
      <c r="G118" s="2"/>
      <c r="H118" s="2">
        <v>100</v>
      </c>
      <c r="I118" s="2"/>
      <c r="J118" s="19">
        <f t="shared" si="77"/>
        <v>4.6690572239653369E-4</v>
      </c>
      <c r="K118" s="2"/>
      <c r="L118" s="2">
        <f t="shared" si="78"/>
        <v>-100</v>
      </c>
      <c r="M118" s="2"/>
      <c r="N118" s="19">
        <f t="shared" si="79"/>
        <v>-1</v>
      </c>
      <c r="O118" s="11"/>
      <c r="P118" s="2">
        <f t="shared" ref="P118:P119" si="85">0</f>
        <v>0</v>
      </c>
      <c r="Q118" s="2"/>
      <c r="R118" s="19">
        <f t="shared" si="80"/>
        <v>0</v>
      </c>
      <c r="S118" s="2"/>
      <c r="T118" s="2">
        <v>700</v>
      </c>
      <c r="U118" s="2"/>
      <c r="V118" s="19">
        <f t="shared" si="81"/>
        <v>4.2342303651176846E-4</v>
      </c>
      <c r="W118" s="2"/>
      <c r="X118" s="2">
        <f t="shared" si="82"/>
        <v>-700</v>
      </c>
      <c r="Y118" s="2"/>
      <c r="Z118" s="19">
        <f t="shared" si="83"/>
        <v>-1</v>
      </c>
    </row>
    <row r="119" spans="1:26" s="24" customFormat="1" hidden="1" outlineLevel="1" x14ac:dyDescent="0.25">
      <c r="A119" s="44"/>
      <c r="B119" s="11" t="str">
        <f>CONCATENATE("          ", "9160", " - ", "MISC. INCOME")</f>
        <v xml:space="preserve">          9160 - MISC. INCOME</v>
      </c>
      <c r="C119" s="11"/>
      <c r="D119" s="2">
        <f t="shared" si="84"/>
        <v>0</v>
      </c>
      <c r="E119" s="2"/>
      <c r="F119" s="19">
        <f t="shared" si="76"/>
        <v>0</v>
      </c>
      <c r="G119" s="2"/>
      <c r="H119" s="2">
        <v>800</v>
      </c>
      <c r="I119" s="2"/>
      <c r="J119" s="19">
        <f t="shared" si="77"/>
        <v>3.7352457791722696E-3</v>
      </c>
      <c r="K119" s="2"/>
      <c r="L119" s="2">
        <f t="shared" si="78"/>
        <v>-800</v>
      </c>
      <c r="M119" s="2"/>
      <c r="N119" s="19">
        <f t="shared" si="79"/>
        <v>-1</v>
      </c>
      <c r="O119" s="11"/>
      <c r="P119" s="2">
        <f t="shared" si="85"/>
        <v>0</v>
      </c>
      <c r="Q119" s="2"/>
      <c r="R119" s="19">
        <f t="shared" si="80"/>
        <v>0</v>
      </c>
      <c r="S119" s="2"/>
      <c r="T119" s="2">
        <v>5600</v>
      </c>
      <c r="U119" s="2"/>
      <c r="V119" s="19">
        <f t="shared" si="81"/>
        <v>3.3873842920941477E-3</v>
      </c>
      <c r="W119" s="2"/>
      <c r="X119" s="2">
        <f t="shared" si="82"/>
        <v>-5600</v>
      </c>
      <c r="Y119" s="2"/>
      <c r="Z119" s="19">
        <f t="shared" si="83"/>
        <v>-1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10"/>
      <c r="B121" s="29" t="s">
        <v>3</v>
      </c>
      <c r="C121" s="29"/>
      <c r="D121" s="21">
        <f>+D53-D55+D116</f>
        <v>42776.310000000027</v>
      </c>
      <c r="E121" s="14"/>
      <c r="F121" s="20">
        <f>IF(D$12=0,0,D121/D$12)</f>
        <v>0.21944550294907267</v>
      </c>
      <c r="G121" s="14"/>
      <c r="H121" s="21">
        <f>+H53-H55+H116</f>
        <v>53579.000408194712</v>
      </c>
      <c r="I121" s="14"/>
      <c r="J121" s="20">
        <f>IF(H$12=0,0,H121/H$12)</f>
        <v>0.25016341890872323</v>
      </c>
      <c r="K121" s="16"/>
      <c r="L121" s="21">
        <f>+D121-H121</f>
        <v>-10802.690408194685</v>
      </c>
      <c r="M121" s="16"/>
      <c r="N121" s="20">
        <f>IF(H121=0,0,L121/H121)</f>
        <v>-0.20162172354642235</v>
      </c>
      <c r="O121" s="28"/>
      <c r="P121" s="21">
        <f>+P53-P55+P116</f>
        <v>479144.27999999997</v>
      </c>
      <c r="Q121" s="14"/>
      <c r="R121" s="20">
        <f>IF(P$12=0,0,P121/P$12)</f>
        <v>0.2883155721439461</v>
      </c>
      <c r="S121" s="14"/>
      <c r="T121" s="21">
        <f>+T53-T55+T116</f>
        <v>530308.1086851072</v>
      </c>
      <c r="U121" s="14"/>
      <c r="V121" s="20">
        <f>IF(T$12=0,0,T121/T$12)</f>
        <v>0.32077809952323</v>
      </c>
      <c r="W121" s="16"/>
      <c r="X121" s="21">
        <f>+P121-T121</f>
        <v>-51163.828685107233</v>
      </c>
      <c r="Y121" s="16"/>
      <c r="Z121" s="20">
        <f>IF(T121=0,0,X121/T121)</f>
        <v>-9.6479438739806092E-2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52"/>
      <c r="B123" s="10" t="s">
        <v>14</v>
      </c>
      <c r="C123" s="10"/>
      <c r="D123" s="4">
        <v>14868.569999999998</v>
      </c>
      <c r="E123" s="4"/>
      <c r="F123" s="12">
        <f>IF(D$12=0,0,D123/D$12)</f>
        <v>7.627681821511699E-2</v>
      </c>
      <c r="G123" s="4"/>
      <c r="H123" s="4">
        <v>18181</v>
      </c>
      <c r="I123" s="4"/>
      <c r="J123" s="12">
        <f>IF(H$12=0,0,H123/H$12)</f>
        <v>8.4888129388913797E-2</v>
      </c>
      <c r="K123" s="4"/>
      <c r="L123" s="4">
        <f>+D123-H123</f>
        <v>-3312.4300000000021</v>
      </c>
      <c r="M123" s="4"/>
      <c r="N123" s="12">
        <f>IF(H123=0,0,L123/H123)</f>
        <v>-0.1821918486331886</v>
      </c>
      <c r="O123" s="10"/>
      <c r="P123" s="4">
        <v>173309.97</v>
      </c>
      <c r="Q123" s="4"/>
      <c r="R123" s="12">
        <f>IF(P$12=0,0,P123/P$12)</f>
        <v>0.10428583882666852</v>
      </c>
      <c r="S123" s="4"/>
      <c r="T123" s="4">
        <v>203548</v>
      </c>
      <c r="U123" s="4"/>
      <c r="V123" s="12">
        <f>IF(T$12=0,0,T123/T$12)</f>
        <v>0.12312416033699634</v>
      </c>
      <c r="W123" s="4"/>
      <c r="X123" s="4">
        <f>+P123-T123</f>
        <v>-30238.03</v>
      </c>
      <c r="Y123" s="4"/>
      <c r="Z123" s="12">
        <f>IF(T123=0,0,X123/T123)</f>
        <v>-0.14855478805981881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9" t="s">
        <v>4</v>
      </c>
      <c r="C125" s="29"/>
      <c r="D125" s="34">
        <f>+D121-D123</f>
        <v>27907.740000000027</v>
      </c>
      <c r="E125" s="14"/>
      <c r="F125" s="32">
        <f>IF(D$12=0,0,D125/D$12)</f>
        <v>0.14316868473395566</v>
      </c>
      <c r="G125" s="14"/>
      <c r="H125" s="34">
        <f>+H121-H123</f>
        <v>35398.000408194712</v>
      </c>
      <c r="I125" s="14"/>
      <c r="J125" s="32">
        <f>IF(H$12=0,0,H125/H$12)</f>
        <v>0.16527528951980947</v>
      </c>
      <c r="K125" s="16"/>
      <c r="L125" s="34">
        <f>D125-H125</f>
        <v>-7490.2604081946847</v>
      </c>
      <c r="M125" s="16"/>
      <c r="N125" s="32">
        <f>IF(H125=0,0,L125/H125)</f>
        <v>-0.21160122949941187</v>
      </c>
      <c r="O125" s="28"/>
      <c r="P125" s="34">
        <f>+P121-P123</f>
        <v>305834.30999999994</v>
      </c>
      <c r="Q125" s="14"/>
      <c r="R125" s="32">
        <f>IF(P$12=0,0,P125/P$12)</f>
        <v>0.18402973331727754</v>
      </c>
      <c r="S125" s="14"/>
      <c r="T125" s="34">
        <f>+T121-T123</f>
        <v>326760.1086851072</v>
      </c>
      <c r="U125" s="14"/>
      <c r="V125" s="32">
        <f>IF(T$12=0,0,T125/T$12)</f>
        <v>0.19765393918623367</v>
      </c>
      <c r="W125" s="16"/>
      <c r="X125" s="34">
        <f>P125-T125</f>
        <v>-20925.798685107264</v>
      </c>
      <c r="Y125" s="16"/>
      <c r="Z125" s="32">
        <f>IF(T125=0,0,X125/T125)</f>
        <v>-6.4040248882623177E-2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9" t="s">
        <v>5</v>
      </c>
      <c r="C128" s="29"/>
      <c r="D128" s="31">
        <f>SUM(D125:D127)</f>
        <v>27907.740000000027</v>
      </c>
      <c r="E128" s="14"/>
      <c r="F128" s="30">
        <f>IF(D$12=0,0,D128/D$12)</f>
        <v>0.14316868473395566</v>
      </c>
      <c r="G128" s="14"/>
      <c r="H128" s="31">
        <f>SUM(H125:H127)</f>
        <v>35398.000408194712</v>
      </c>
      <c r="I128" s="14"/>
      <c r="J128" s="30">
        <f>IF(H$12=0,0,H128/H$12)</f>
        <v>0.16527528951980947</v>
      </c>
      <c r="K128" s="16"/>
      <c r="L128" s="31">
        <f>+D128-H128</f>
        <v>-7490.2604081946847</v>
      </c>
      <c r="M128" s="16"/>
      <c r="N128" s="30">
        <f>IF(H128=0,0,L128/H128)</f>
        <v>-0.21160122949941187</v>
      </c>
      <c r="O128" s="28"/>
      <c r="P128" s="31">
        <f>SUM(P125:P127)</f>
        <v>305834.30999999994</v>
      </c>
      <c r="Q128" s="14"/>
      <c r="R128" s="30">
        <f>IF(P$12=0,0,P128/P$12)</f>
        <v>0.18402973331727754</v>
      </c>
      <c r="S128" s="14"/>
      <c r="T128" s="31">
        <f>SUM(T125:T127)</f>
        <v>326760.1086851072</v>
      </c>
      <c r="U128" s="14"/>
      <c r="V128" s="30">
        <f>IF(T$12=0,0,T128/T$12)</f>
        <v>0.19765393918623367</v>
      </c>
      <c r="W128" s="16"/>
      <c r="X128" s="31">
        <f>+P128-T128</f>
        <v>-20925.798685107264</v>
      </c>
      <c r="Y128" s="16"/>
      <c r="Z128" s="30">
        <f>IF(T128=0,0,X128/T128)</f>
        <v>-6.4040248882623177E-2</v>
      </c>
    </row>
    <row r="129" spans="1:24" ht="15.75" thickTop="1" x14ac:dyDescent="0.25">
      <c r="A129" s="9"/>
      <c r="C129" s="9"/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63">
        <v>43879.546239618059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57" t="s">
        <v>314</v>
      </c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A132" s="9"/>
      <c r="B132" s="60"/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4" x14ac:dyDescent="0.25"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","326", " - ", "2nd Street Store")</f>
        <v>Department 326 - 2nd Street Store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75020.679999999993</v>
      </c>
      <c r="E12" s="4"/>
      <c r="F12" s="12"/>
      <c r="G12" s="4"/>
      <c r="H12" s="4">
        <f>SUM(OSRRefH13x_0)</f>
        <v>37179.404950000004</v>
      </c>
      <c r="I12" s="4"/>
      <c r="J12" s="12"/>
      <c r="K12" s="4"/>
      <c r="L12" s="4">
        <f t="shared" ref="L12:L33" si="0">+D12-H12</f>
        <v>37841.275049999989</v>
      </c>
      <c r="M12" s="4"/>
      <c r="N12" s="12">
        <f t="shared" ref="N12:N33" si="1">IF(H12=0,0,L12/H12)</f>
        <v>1.017802062751948</v>
      </c>
      <c r="O12" s="10"/>
      <c r="P12" s="4">
        <f>SUM(OSRRefP13x_0)</f>
        <v>359383.80000000005</v>
      </c>
      <c r="Q12" s="4"/>
      <c r="R12" s="12"/>
      <c r="S12" s="4"/>
      <c r="T12" s="4">
        <f>SUM(OSRRefT13x_0)</f>
        <v>335934.87422999996</v>
      </c>
      <c r="U12" s="4"/>
      <c r="V12" s="12"/>
      <c r="W12" s="4"/>
      <c r="X12" s="4">
        <f t="shared" ref="X12:X33" si="2">+P12-T12</f>
        <v>23448.925770000089</v>
      </c>
      <c r="Y12" s="4"/>
      <c r="Z12" s="12">
        <f t="shared" ref="Z12:Z33" si="3">IF(T12=0,0,X12/T12)</f>
        <v>6.9801999044450599E-2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37179.404950000004</v>
      </c>
      <c r="I13" s="2"/>
      <c r="J13" s="19"/>
      <c r="K13" s="2"/>
      <c r="L13" s="2">
        <f t="shared" si="0"/>
        <v>-37179.404950000004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335934.87422999996</v>
      </c>
      <c r="U13" s="2"/>
      <c r="V13" s="19"/>
      <c r="W13" s="2"/>
      <c r="X13" s="2">
        <f t="shared" si="2"/>
        <v>-335934.87422999996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>--13.62</f>
        <v>13.62</v>
      </c>
      <c r="E14" s="2"/>
      <c r="F14" s="19"/>
      <c r="G14" s="2"/>
      <c r="H14" s="2"/>
      <c r="I14" s="2"/>
      <c r="J14" s="19"/>
      <c r="K14" s="2"/>
      <c r="L14" s="2">
        <f t="shared" si="0"/>
        <v>13.62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/>
      <c r="U14" s="2"/>
      <c r="V14" s="19"/>
      <c r="W14" s="2"/>
      <c r="X14" s="2">
        <f t="shared" si="2"/>
        <v>13.62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--24.98</f>
        <v>24.98</v>
      </c>
      <c r="E15" s="2"/>
      <c r="F15" s="19"/>
      <c r="G15" s="2"/>
      <c r="H15" s="2"/>
      <c r="I15" s="2"/>
      <c r="J15" s="19"/>
      <c r="K15" s="2"/>
      <c r="L15" s="2">
        <f t="shared" si="0"/>
        <v>24.98</v>
      </c>
      <c r="M15" s="2"/>
      <c r="N15" s="19">
        <f t="shared" si="1"/>
        <v>0</v>
      </c>
      <c r="O15" s="11"/>
      <c r="P15" s="2">
        <f>--174.63</f>
        <v>174.63</v>
      </c>
      <c r="Q15" s="2"/>
      <c r="R15" s="19"/>
      <c r="S15" s="2"/>
      <c r="T15" s="2"/>
      <c r="U15" s="2"/>
      <c r="V15" s="19"/>
      <c r="W15" s="2"/>
      <c r="X15" s="2">
        <f t="shared" si="2"/>
        <v>174.63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--91.73</f>
        <v>91.73</v>
      </c>
      <c r="E16" s="2"/>
      <c r="F16" s="19"/>
      <c r="G16" s="2"/>
      <c r="H16" s="2"/>
      <c r="I16" s="2"/>
      <c r="J16" s="19"/>
      <c r="K16" s="2"/>
      <c r="L16" s="2">
        <f t="shared" si="0"/>
        <v>91.73</v>
      </c>
      <c r="M16" s="2"/>
      <c r="N16" s="19">
        <f t="shared" si="1"/>
        <v>0</v>
      </c>
      <c r="O16" s="11"/>
      <c r="P16" s="2">
        <f>--139.64</f>
        <v>139.63999999999999</v>
      </c>
      <c r="Q16" s="2"/>
      <c r="R16" s="19"/>
      <c r="S16" s="2"/>
      <c r="T16" s="2"/>
      <c r="U16" s="2"/>
      <c r="V16" s="19"/>
      <c r="W16" s="2"/>
      <c r="X16" s="2">
        <f t="shared" si="2"/>
        <v>139.63999999999999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--62989.78</f>
        <v>62989.78</v>
      </c>
      <c r="E17" s="2"/>
      <c r="F17" s="19"/>
      <c r="G17" s="2"/>
      <c r="H17" s="2"/>
      <c r="I17" s="2"/>
      <c r="J17" s="19"/>
      <c r="K17" s="2"/>
      <c r="L17" s="2">
        <f t="shared" si="0"/>
        <v>62989.78</v>
      </c>
      <c r="M17" s="2"/>
      <c r="N17" s="19">
        <f t="shared" si="1"/>
        <v>0</v>
      </c>
      <c r="O17" s="11"/>
      <c r="P17" s="2">
        <f>--301404.38</f>
        <v>301404.38</v>
      </c>
      <c r="Q17" s="2"/>
      <c r="R17" s="19"/>
      <c r="S17" s="2"/>
      <c r="T17" s="2"/>
      <c r="U17" s="2"/>
      <c r="V17" s="19"/>
      <c r="W17" s="2"/>
      <c r="X17" s="2">
        <f t="shared" si="2"/>
        <v>301404.38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--9414.77</f>
        <v>9414.77</v>
      </c>
      <c r="E18" s="2"/>
      <c r="F18" s="19"/>
      <c r="G18" s="2"/>
      <c r="H18" s="2"/>
      <c r="I18" s="2"/>
      <c r="J18" s="19"/>
      <c r="K18" s="2"/>
      <c r="L18" s="2">
        <f t="shared" si="0"/>
        <v>9414.77</v>
      </c>
      <c r="M18" s="2"/>
      <c r="N18" s="19">
        <f t="shared" si="1"/>
        <v>0</v>
      </c>
      <c r="O18" s="11"/>
      <c r="P18" s="2">
        <f>--40389.51</f>
        <v>40389.51</v>
      </c>
      <c r="Q18" s="2"/>
      <c r="R18" s="19"/>
      <c r="S18" s="2"/>
      <c r="T18" s="2"/>
      <c r="U18" s="2"/>
      <c r="V18" s="19"/>
      <c r="W18" s="2"/>
      <c r="X18" s="2">
        <f t="shared" si="2"/>
        <v>40389.51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--5422.43</f>
        <v>5422.43</v>
      </c>
      <c r="E19" s="2"/>
      <c r="F19" s="19"/>
      <c r="G19" s="2"/>
      <c r="H19" s="2"/>
      <c r="I19" s="2"/>
      <c r="J19" s="19"/>
      <c r="K19" s="2"/>
      <c r="L19" s="2">
        <f t="shared" si="0"/>
        <v>5422.43</v>
      </c>
      <c r="M19" s="2"/>
      <c r="N19" s="19">
        <f t="shared" si="1"/>
        <v>0</v>
      </c>
      <c r="O19" s="11"/>
      <c r="P19" s="2">
        <f>--27000.81</f>
        <v>27000.81</v>
      </c>
      <c r="Q19" s="2"/>
      <c r="R19" s="19"/>
      <c r="S19" s="2"/>
      <c r="T19" s="2"/>
      <c r="U19" s="2"/>
      <c r="V19" s="19"/>
      <c r="W19" s="2"/>
      <c r="X19" s="2">
        <f t="shared" si="2"/>
        <v>27000.81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--1104.42</f>
        <v>1104.42</v>
      </c>
      <c r="E20" s="2"/>
      <c r="F20" s="19"/>
      <c r="G20" s="2"/>
      <c r="H20" s="2"/>
      <c r="I20" s="2"/>
      <c r="J20" s="19"/>
      <c r="K20" s="2"/>
      <c r="L20" s="2">
        <f t="shared" si="0"/>
        <v>1104.42</v>
      </c>
      <c r="M20" s="2"/>
      <c r="N20" s="19">
        <f t="shared" si="1"/>
        <v>0</v>
      </c>
      <c r="O20" s="11"/>
      <c r="P20" s="2">
        <f>--1384.14</f>
        <v>1384.14</v>
      </c>
      <c r="Q20" s="2"/>
      <c r="R20" s="19"/>
      <c r="S20" s="2"/>
      <c r="T20" s="2"/>
      <c r="U20" s="2"/>
      <c r="V20" s="19"/>
      <c r="W20" s="2"/>
      <c r="X20" s="2">
        <f t="shared" si="2"/>
        <v>1384.14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--490.4</f>
        <v>490.4</v>
      </c>
      <c r="E21" s="2"/>
      <c r="F21" s="19"/>
      <c r="G21" s="2"/>
      <c r="H21" s="2"/>
      <c r="I21" s="2"/>
      <c r="J21" s="19"/>
      <c r="K21" s="2"/>
      <c r="L21" s="2">
        <f t="shared" si="0"/>
        <v>490.4</v>
      </c>
      <c r="M21" s="2"/>
      <c r="N21" s="19">
        <f t="shared" si="1"/>
        <v>0</v>
      </c>
      <c r="O21" s="11"/>
      <c r="P21" s="2">
        <f>--3029.45</f>
        <v>3029.45</v>
      </c>
      <c r="Q21" s="2"/>
      <c r="R21" s="19"/>
      <c r="S21" s="2"/>
      <c r="T21" s="2"/>
      <c r="U21" s="2"/>
      <c r="V21" s="19"/>
      <c r="W21" s="2"/>
      <c r="X21" s="2">
        <f t="shared" si="2"/>
        <v>3029.45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>--9.99</f>
        <v>9.99</v>
      </c>
      <c r="E22" s="2"/>
      <c r="F22" s="19"/>
      <c r="G22" s="2"/>
      <c r="H22" s="2"/>
      <c r="I22" s="2"/>
      <c r="J22" s="19"/>
      <c r="K22" s="2"/>
      <c r="L22" s="2">
        <f t="shared" si="0"/>
        <v>9.99</v>
      </c>
      <c r="M22" s="2"/>
      <c r="N22" s="19">
        <f t="shared" si="1"/>
        <v>0</v>
      </c>
      <c r="O22" s="11"/>
      <c r="P22" s="2">
        <f>--467.6</f>
        <v>467.6</v>
      </c>
      <c r="Q22" s="2"/>
      <c r="R22" s="19"/>
      <c r="S22" s="2"/>
      <c r="T22" s="2"/>
      <c r="U22" s="2"/>
      <c r="V22" s="19"/>
      <c r="W22" s="2"/>
      <c r="X22" s="2">
        <f t="shared" si="2"/>
        <v>467.6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/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>--0.99</f>
        <v>0.99</v>
      </c>
      <c r="E24" s="2"/>
      <c r="F24" s="19"/>
      <c r="G24" s="2"/>
      <c r="H24" s="2"/>
      <c r="I24" s="2"/>
      <c r="J24" s="19"/>
      <c r="K24" s="2"/>
      <c r="L24" s="2">
        <f t="shared" si="0"/>
        <v>0.99</v>
      </c>
      <c r="M24" s="2"/>
      <c r="N24" s="19">
        <f t="shared" si="1"/>
        <v>0</v>
      </c>
      <c r="O24" s="11"/>
      <c r="P24" s="2">
        <f>--29.7</f>
        <v>29.7</v>
      </c>
      <c r="Q24" s="2"/>
      <c r="R24" s="19"/>
      <c r="S24" s="2"/>
      <c r="T24" s="2"/>
      <c r="U24" s="2"/>
      <c r="V24" s="19"/>
      <c r="W24" s="2"/>
      <c r="X24" s="2">
        <f t="shared" si="2"/>
        <v>29.7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--10.5</f>
        <v>10.5</v>
      </c>
      <c r="E25" s="2"/>
      <c r="F25" s="19"/>
      <c r="G25" s="2"/>
      <c r="H25" s="2"/>
      <c r="I25" s="2"/>
      <c r="J25" s="19"/>
      <c r="K25" s="2"/>
      <c r="L25" s="2">
        <f t="shared" si="0"/>
        <v>10.5</v>
      </c>
      <c r="M25" s="2"/>
      <c r="N25" s="19">
        <f t="shared" si="1"/>
        <v>0</v>
      </c>
      <c r="O25" s="11"/>
      <c r="P25" s="2">
        <f>--103.5</f>
        <v>103.5</v>
      </c>
      <c r="Q25" s="2"/>
      <c r="R25" s="19"/>
      <c r="S25" s="2"/>
      <c r="T25" s="2"/>
      <c r="U25" s="2"/>
      <c r="V25" s="19"/>
      <c r="W25" s="2"/>
      <c r="X25" s="2">
        <f t="shared" si="2"/>
        <v>103.5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"4142", " - ", "NON-TAXABLE SALES-EVERYDAY GIF")</f>
        <v xml:space="preserve">          4142 - NON-TAXABLE SALES-EVERYDAY GIF</v>
      </c>
      <c r="C26" s="11"/>
      <c r="D26" s="2">
        <f>--270.76</f>
        <v>270.76</v>
      </c>
      <c r="E26" s="2"/>
      <c r="F26" s="19"/>
      <c r="G26" s="2"/>
      <c r="H26" s="2"/>
      <c r="I26" s="2"/>
      <c r="J26" s="19"/>
      <c r="K26" s="2"/>
      <c r="L26" s="2">
        <f t="shared" si="0"/>
        <v>270.76</v>
      </c>
      <c r="M26" s="2"/>
      <c r="N26" s="19">
        <f t="shared" si="1"/>
        <v>0</v>
      </c>
      <c r="O26" s="11"/>
      <c r="P26" s="2">
        <f>--563.79</f>
        <v>563.79</v>
      </c>
      <c r="Q26" s="2"/>
      <c r="R26" s="19"/>
      <c r="S26" s="2"/>
      <c r="T26" s="2"/>
      <c r="U26" s="2"/>
      <c r="V26" s="19"/>
      <c r="W26" s="2"/>
      <c r="X26" s="2">
        <f t="shared" si="2"/>
        <v>563.79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"4226", " - ", "SALES RETURN TAXABLE-WRITING I")</f>
        <v xml:space="preserve">          4226 - SALES RETURN TAXABLE-WRITING I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-134.8</f>
        <v>-134.80000000000001</v>
      </c>
      <c r="Q27" s="2"/>
      <c r="R27" s="19"/>
      <c r="S27" s="2"/>
      <c r="T27" s="2"/>
      <c r="U27" s="2"/>
      <c r="V27" s="19"/>
      <c r="W27" s="2"/>
      <c r="X27" s="2">
        <f t="shared" si="2"/>
        <v>-134.80000000000001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"4240", " - ", "SALES RETURN TAXABLE-LOGO CLOT")</f>
        <v xml:space="preserve">          4240 - SALES RETURN TAXABLE-LOGO CLOT</v>
      </c>
      <c r="C28" s="11"/>
      <c r="D28" s="2">
        <f>-4749.95</f>
        <v>-4749.95</v>
      </c>
      <c r="E28" s="2"/>
      <c r="F28" s="19"/>
      <c r="G28" s="2"/>
      <c r="H28" s="2"/>
      <c r="I28" s="2"/>
      <c r="J28" s="19"/>
      <c r="K28" s="2"/>
      <c r="L28" s="2">
        <f t="shared" si="0"/>
        <v>-4749.95</v>
      </c>
      <c r="M28" s="2"/>
      <c r="N28" s="19">
        <f t="shared" si="1"/>
        <v>0</v>
      </c>
      <c r="O28" s="11"/>
      <c r="P28" s="2">
        <f>-13201.11</f>
        <v>-13201.11</v>
      </c>
      <c r="Q28" s="2"/>
      <c r="R28" s="19"/>
      <c r="S28" s="2"/>
      <c r="T28" s="2"/>
      <c r="U28" s="2"/>
      <c r="V28" s="19"/>
      <c r="W28" s="2"/>
      <c r="X28" s="2">
        <f t="shared" si="2"/>
        <v>-13201.11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"4241", " - ", "SALES RETURN TAXABLE-LOGO GIFT")</f>
        <v xml:space="preserve">          4241 - SALES RETURN TAXABLE-LOGO GIFT</v>
      </c>
      <c r="C29" s="11"/>
      <c r="D29" s="2">
        <f>-22.89</f>
        <v>-22.89</v>
      </c>
      <c r="E29" s="2"/>
      <c r="F29" s="19"/>
      <c r="G29" s="2"/>
      <c r="H29" s="2"/>
      <c r="I29" s="2"/>
      <c r="J29" s="19"/>
      <c r="K29" s="2"/>
      <c r="L29" s="2">
        <f t="shared" si="0"/>
        <v>-22.89</v>
      </c>
      <c r="M29" s="2"/>
      <c r="N29" s="19">
        <f t="shared" si="1"/>
        <v>0</v>
      </c>
      <c r="O29" s="11"/>
      <c r="P29" s="2">
        <f>-992</f>
        <v>-992</v>
      </c>
      <c r="Q29" s="2"/>
      <c r="R29" s="19"/>
      <c r="S29" s="2"/>
      <c r="T29" s="2"/>
      <c r="U29" s="2"/>
      <c r="V29" s="19"/>
      <c r="W29" s="2"/>
      <c r="X29" s="2">
        <f t="shared" si="2"/>
        <v>-992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"4242", " - ", "SALES RETURN TAXABLE-EVERYDAY")</f>
        <v xml:space="preserve">          4242 - SALES RETURN TAXABLE-EVERYDAY</v>
      </c>
      <c r="C30" s="11"/>
      <c r="D30" s="2">
        <f>-50.85</f>
        <v>-50.85</v>
      </c>
      <c r="E30" s="2"/>
      <c r="F30" s="19"/>
      <c r="G30" s="2"/>
      <c r="H30" s="2"/>
      <c r="I30" s="2"/>
      <c r="J30" s="19"/>
      <c r="K30" s="2"/>
      <c r="L30" s="2">
        <f t="shared" si="0"/>
        <v>-50.85</v>
      </c>
      <c r="M30" s="2"/>
      <c r="N30" s="19">
        <f t="shared" si="1"/>
        <v>0</v>
      </c>
      <c r="O30" s="11"/>
      <c r="P30" s="2">
        <f>-809.31</f>
        <v>-809.31</v>
      </c>
      <c r="Q30" s="2"/>
      <c r="R30" s="19"/>
      <c r="S30" s="2"/>
      <c r="T30" s="2"/>
      <c r="U30" s="2"/>
      <c r="V30" s="19"/>
      <c r="W30" s="2"/>
      <c r="X30" s="2">
        <f t="shared" si="2"/>
        <v>-809.31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"4244", " - ", "SALES RETURN TAXABLE-ACCESSORI")</f>
        <v xml:space="preserve">          4244 - SALES RETURN TAXABLE-ACCESSORI</v>
      </c>
      <c r="C31" s="11"/>
      <c r="D31" s="2">
        <f t="shared" ref="D31:D33" si="4"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-130.8</f>
        <v>-130.80000000000001</v>
      </c>
      <c r="Q31" s="2"/>
      <c r="R31" s="19"/>
      <c r="S31" s="2"/>
      <c r="T31" s="2"/>
      <c r="U31" s="2"/>
      <c r="V31" s="19"/>
      <c r="W31" s="2"/>
      <c r="X31" s="2">
        <f t="shared" si="2"/>
        <v>-130.80000000000001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"4245", " - ", "SALES RETURN TAXABLE-SPECIAL O")</f>
        <v xml:space="preserve">          4245 - SALES RETURN TAXABLE-SPECIAL O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-9.99</f>
        <v>-9.99</v>
      </c>
      <c r="Q32" s="2"/>
      <c r="R32" s="19"/>
      <c r="S32" s="2"/>
      <c r="T32" s="2"/>
      <c r="U32" s="2"/>
      <c r="V32" s="19"/>
      <c r="W32" s="2"/>
      <c r="X32" s="2">
        <f t="shared" si="2"/>
        <v>-9.99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"4295", " - ", "SALES RETURN TAXABLE-CUSTOMER")</f>
        <v xml:space="preserve">          4295 - SALES RETURN TAXABLE-CUSTOMER</v>
      </c>
      <c r="C33" s="11"/>
      <c r="D33" s="2">
        <f t="shared" si="4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--0.99</f>
        <v>0.99</v>
      </c>
      <c r="Q33" s="2"/>
      <c r="R33" s="19"/>
      <c r="S33" s="2"/>
      <c r="T33" s="2"/>
      <c r="U33" s="2"/>
      <c r="V33" s="19"/>
      <c r="W33" s="2"/>
      <c r="X33" s="2">
        <f t="shared" si="2"/>
        <v>0.99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24108.940000000002</v>
      </c>
      <c r="E35" s="4"/>
      <c r="F35" s="12">
        <f t="shared" ref="F35:F51" si="5">IF(D$12=0,0,D35/D$12)</f>
        <v>0.32136392258774521</v>
      </c>
      <c r="G35" s="4"/>
      <c r="H35" s="4">
        <f>SUM(OSRRefH16x_0)</f>
        <v>15944.275590000001</v>
      </c>
      <c r="I35" s="4"/>
      <c r="J35" s="12">
        <f t="shared" ref="J35:J51" si="6">IF(H$12=0,0,H35/H$12)</f>
        <v>0.42884698158677764</v>
      </c>
      <c r="K35" s="4"/>
      <c r="L35" s="4">
        <f t="shared" ref="L35:L51" si="7">+D35-H35</f>
        <v>8164.6644100000012</v>
      </c>
      <c r="M35" s="4"/>
      <c r="N35" s="12">
        <f t="shared" ref="N35:N51" si="8">IF(H35=0,0,L35/H35)</f>
        <v>0.5120749678411699</v>
      </c>
      <c r="O35" s="10"/>
      <c r="P35" s="4">
        <f>SUM(OSRRefP16x_0)</f>
        <v>145131.80999999997</v>
      </c>
      <c r="Q35" s="4"/>
      <c r="R35" s="12">
        <f t="shared" ref="R35:R51" si="9">IF(P$12=0,0,P35/P$12)</f>
        <v>0.40383514782803215</v>
      </c>
      <c r="S35" s="4"/>
      <c r="T35" s="4">
        <f>SUM(OSRRefT16x_0)</f>
        <v>143600.88344999999</v>
      </c>
      <c r="U35" s="4"/>
      <c r="V35" s="12">
        <f t="shared" ref="V35:V51" si="10">IF(T$12=0,0,T35/T$12)</f>
        <v>0.42746643610357266</v>
      </c>
      <c r="W35" s="4"/>
      <c r="X35" s="4">
        <f t="shared" ref="X35:X51" si="11">+P35-T35</f>
        <v>1530.9265499999747</v>
      </c>
      <c r="Y35" s="4"/>
      <c r="Z35" s="12">
        <f t="shared" ref="Z35:Z51" si="12">IF(T35=0,0,X35/T35)</f>
        <v>1.0660982810269575E-2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5"/>
        <v>0</v>
      </c>
      <c r="G36" s="2"/>
      <c r="H36" s="2">
        <v>15944.275590000001</v>
      </c>
      <c r="I36" s="2"/>
      <c r="J36" s="19">
        <f t="shared" si="6"/>
        <v>0.42884698158677764</v>
      </c>
      <c r="K36" s="2"/>
      <c r="L36" s="2">
        <f t="shared" si="7"/>
        <v>-15944.275590000001</v>
      </c>
      <c r="M36" s="2"/>
      <c r="N36" s="19">
        <f t="shared" si="8"/>
        <v>-1</v>
      </c>
      <c r="O36" s="11"/>
      <c r="P36" s="2"/>
      <c r="Q36" s="2"/>
      <c r="R36" s="19">
        <f t="shared" si="9"/>
        <v>0</v>
      </c>
      <c r="S36" s="2"/>
      <c r="T36" s="2">
        <v>143600.88344999999</v>
      </c>
      <c r="U36" s="2"/>
      <c r="V36" s="19">
        <f t="shared" si="10"/>
        <v>0.42746643610357266</v>
      </c>
      <c r="W36" s="2"/>
      <c r="X36" s="2">
        <f t="shared" si="11"/>
        <v>-143600.88344999999</v>
      </c>
      <c r="Y36" s="2"/>
      <c r="Z36" s="19">
        <f t="shared" si="12"/>
        <v>-1</v>
      </c>
    </row>
    <row r="37" spans="1:26" s="24" customFormat="1" hidden="1" outlineLevel="1" x14ac:dyDescent="0.2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>
        <v>6.06</v>
      </c>
      <c r="E37" s="2"/>
      <c r="F37" s="19">
        <f t="shared" si="5"/>
        <v>8.0777726888106051E-5</v>
      </c>
      <c r="G37" s="2"/>
      <c r="H37" s="2"/>
      <c r="I37" s="2"/>
      <c r="J37" s="19">
        <f t="shared" si="6"/>
        <v>0</v>
      </c>
      <c r="K37" s="2"/>
      <c r="L37" s="2">
        <f t="shared" si="7"/>
        <v>6.06</v>
      </c>
      <c r="M37" s="2"/>
      <c r="N37" s="19">
        <f t="shared" si="8"/>
        <v>0</v>
      </c>
      <c r="O37" s="11"/>
      <c r="P37" s="2">
        <v>6.06</v>
      </c>
      <c r="Q37" s="2"/>
      <c r="R37" s="19">
        <f t="shared" si="9"/>
        <v>1.6862195791796955E-5</v>
      </c>
      <c r="S37" s="2"/>
      <c r="T37" s="2"/>
      <c r="U37" s="2"/>
      <c r="V37" s="19">
        <f t="shared" si="10"/>
        <v>0</v>
      </c>
      <c r="W37" s="2"/>
      <c r="X37" s="2">
        <f t="shared" si="11"/>
        <v>6.06</v>
      </c>
      <c r="Y37" s="2"/>
      <c r="Z37" s="19">
        <f t="shared" si="12"/>
        <v>0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>
        <v>1296.3800000000001</v>
      </c>
      <c r="E38" s="2"/>
      <c r="F38" s="19">
        <f t="shared" si="5"/>
        <v>1.7280301911419629E-2</v>
      </c>
      <c r="G38" s="2"/>
      <c r="H38" s="2"/>
      <c r="I38" s="2"/>
      <c r="J38" s="19">
        <f t="shared" si="6"/>
        <v>0</v>
      </c>
      <c r="K38" s="2"/>
      <c r="L38" s="2">
        <f t="shared" si="7"/>
        <v>1296.3800000000001</v>
      </c>
      <c r="M38" s="2"/>
      <c r="N38" s="19">
        <f t="shared" si="8"/>
        <v>0</v>
      </c>
      <c r="O38" s="11"/>
      <c r="P38" s="2">
        <v>1275.1400000000001</v>
      </c>
      <c r="Q38" s="2"/>
      <c r="R38" s="19">
        <f t="shared" si="9"/>
        <v>3.5481287692990054E-3</v>
      </c>
      <c r="S38" s="2"/>
      <c r="T38" s="2"/>
      <c r="U38" s="2"/>
      <c r="V38" s="19">
        <f t="shared" si="10"/>
        <v>0</v>
      </c>
      <c r="W38" s="2"/>
      <c r="X38" s="2">
        <f t="shared" si="11"/>
        <v>1275.1400000000001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>
        <v>255.26</v>
      </c>
      <c r="E39" s="2"/>
      <c r="F39" s="19">
        <f t="shared" si="5"/>
        <v>3.402528476148177E-3</v>
      </c>
      <c r="G39" s="2"/>
      <c r="H39" s="2"/>
      <c r="I39" s="2"/>
      <c r="J39" s="19">
        <f t="shared" si="6"/>
        <v>0</v>
      </c>
      <c r="K39" s="2"/>
      <c r="L39" s="2">
        <f t="shared" si="7"/>
        <v>255.26</v>
      </c>
      <c r="M39" s="2"/>
      <c r="N39" s="19">
        <f t="shared" si="8"/>
        <v>0</v>
      </c>
      <c r="O39" s="11"/>
      <c r="P39" s="2">
        <v>306.55</v>
      </c>
      <c r="Q39" s="2"/>
      <c r="R39" s="19">
        <f t="shared" si="9"/>
        <v>8.5298780857679161E-4</v>
      </c>
      <c r="S39" s="2"/>
      <c r="T39" s="2"/>
      <c r="U39" s="2"/>
      <c r="V39" s="19">
        <f t="shared" si="10"/>
        <v>0</v>
      </c>
      <c r="W39" s="2"/>
      <c r="X39" s="2">
        <f t="shared" si="11"/>
        <v>306.55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"5037", " - ", "PURCHASES @ COST-WATER")</f>
        <v xml:space="preserve">          5037 - PURCHASES @ COST-WATER</v>
      </c>
      <c r="C40" s="11"/>
      <c r="D40" s="2"/>
      <c r="E40" s="2"/>
      <c r="F40" s="19">
        <f t="shared" si="5"/>
        <v>0</v>
      </c>
      <c r="G40" s="2"/>
      <c r="H40" s="2"/>
      <c r="I40" s="2"/>
      <c r="J40" s="19">
        <f t="shared" si="6"/>
        <v>0</v>
      </c>
      <c r="K40" s="2"/>
      <c r="L40" s="2">
        <f t="shared" si="7"/>
        <v>0</v>
      </c>
      <c r="M40" s="2"/>
      <c r="N40" s="19">
        <f t="shared" si="8"/>
        <v>0</v>
      </c>
      <c r="O40" s="11"/>
      <c r="P40" s="2">
        <v>29.76</v>
      </c>
      <c r="Q40" s="2"/>
      <c r="R40" s="19">
        <f t="shared" si="9"/>
        <v>8.2808407056745458E-5</v>
      </c>
      <c r="S40" s="2"/>
      <c r="T40" s="2"/>
      <c r="U40" s="2"/>
      <c r="V40" s="19">
        <f t="shared" si="10"/>
        <v>0</v>
      </c>
      <c r="W40" s="2"/>
      <c r="X40" s="2">
        <f t="shared" si="11"/>
        <v>29.76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"5040", " - ", "PURCHASES @ COST-LOGO CLOTHING")</f>
        <v xml:space="preserve">          5040 - PURCHASES @ COST-LOGO CLOTHING</v>
      </c>
      <c r="C41" s="11"/>
      <c r="D41" s="2">
        <v>18818.73</v>
      </c>
      <c r="E41" s="2"/>
      <c r="F41" s="19">
        <f t="shared" si="5"/>
        <v>0.25084723305627199</v>
      </c>
      <c r="G41" s="2"/>
      <c r="H41" s="2"/>
      <c r="I41" s="2"/>
      <c r="J41" s="19">
        <f t="shared" si="6"/>
        <v>0</v>
      </c>
      <c r="K41" s="2"/>
      <c r="L41" s="2">
        <f t="shared" si="7"/>
        <v>18818.73</v>
      </c>
      <c r="M41" s="2"/>
      <c r="N41" s="19">
        <f t="shared" si="8"/>
        <v>0</v>
      </c>
      <c r="O41" s="11"/>
      <c r="P41" s="2">
        <v>174866.08</v>
      </c>
      <c r="Q41" s="2"/>
      <c r="R41" s="19">
        <f t="shared" si="9"/>
        <v>0.48657196011617654</v>
      </c>
      <c r="S41" s="2"/>
      <c r="T41" s="2"/>
      <c r="U41" s="2"/>
      <c r="V41" s="19">
        <f t="shared" si="10"/>
        <v>0</v>
      </c>
      <c r="W41" s="2"/>
      <c r="X41" s="2">
        <f t="shared" si="11"/>
        <v>174866.08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"5041", " - ", "PURCHASES @ COST-LOGO GIFTS")</f>
        <v xml:space="preserve">          5041 - PURCHASES @ COST-LOGO GIFTS</v>
      </c>
      <c r="C42" s="11"/>
      <c r="D42" s="2">
        <v>1474.17</v>
      </c>
      <c r="E42" s="2"/>
      <c r="F42" s="19">
        <f t="shared" si="5"/>
        <v>1.9650181789874474E-2</v>
      </c>
      <c r="G42" s="2"/>
      <c r="H42" s="2"/>
      <c r="I42" s="2"/>
      <c r="J42" s="19">
        <f t="shared" si="6"/>
        <v>0</v>
      </c>
      <c r="K42" s="2"/>
      <c r="L42" s="2">
        <f t="shared" si="7"/>
        <v>1474.17</v>
      </c>
      <c r="M42" s="2"/>
      <c r="N42" s="19">
        <f t="shared" si="8"/>
        <v>0</v>
      </c>
      <c r="O42" s="11"/>
      <c r="P42" s="2">
        <v>21253.64</v>
      </c>
      <c r="Q42" s="2"/>
      <c r="R42" s="19">
        <f t="shared" si="9"/>
        <v>5.913911534131476E-2</v>
      </c>
      <c r="S42" s="2"/>
      <c r="T42" s="2"/>
      <c r="U42" s="2"/>
      <c r="V42" s="19">
        <f t="shared" si="10"/>
        <v>0</v>
      </c>
      <c r="W42" s="2"/>
      <c r="X42" s="2">
        <f t="shared" si="11"/>
        <v>21253.64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"5042", " - ", "PURCHASES @ COST-EVERYDAY GIFT")</f>
        <v xml:space="preserve">          5042 - PURCHASES @ COST-EVERYDAY GIFT</v>
      </c>
      <c r="C43" s="11"/>
      <c r="D43" s="2">
        <v>900.31</v>
      </c>
      <c r="E43" s="2"/>
      <c r="F43" s="19">
        <f t="shared" si="5"/>
        <v>1.2000824306044681E-2</v>
      </c>
      <c r="G43" s="2"/>
      <c r="H43" s="2"/>
      <c r="I43" s="2"/>
      <c r="J43" s="19">
        <f t="shared" si="6"/>
        <v>0</v>
      </c>
      <c r="K43" s="2"/>
      <c r="L43" s="2">
        <f t="shared" si="7"/>
        <v>900.31</v>
      </c>
      <c r="M43" s="2"/>
      <c r="N43" s="19">
        <f t="shared" si="8"/>
        <v>0</v>
      </c>
      <c r="O43" s="11"/>
      <c r="P43" s="2">
        <v>17463.350000000002</v>
      </c>
      <c r="Q43" s="2"/>
      <c r="R43" s="19">
        <f t="shared" si="9"/>
        <v>4.85924796832801E-2</v>
      </c>
      <c r="S43" s="2"/>
      <c r="T43" s="2"/>
      <c r="U43" s="2"/>
      <c r="V43" s="19">
        <f t="shared" si="10"/>
        <v>0</v>
      </c>
      <c r="W43" s="2"/>
      <c r="X43" s="2">
        <f t="shared" si="11"/>
        <v>17463.350000000002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"5043", " - ", "PURCHASES @ COST-CARDS")</f>
        <v xml:space="preserve">          5043 - PURCHASES @ COST-CARDS</v>
      </c>
      <c r="C44" s="11"/>
      <c r="D44" s="2">
        <v>29.15</v>
      </c>
      <c r="E44" s="2"/>
      <c r="F44" s="19">
        <f t="shared" si="5"/>
        <v>3.885595278528534E-4</v>
      </c>
      <c r="G44" s="2"/>
      <c r="H44" s="2"/>
      <c r="I44" s="2"/>
      <c r="J44" s="19">
        <f t="shared" si="6"/>
        <v>0</v>
      </c>
      <c r="K44" s="2"/>
      <c r="L44" s="2">
        <f t="shared" si="7"/>
        <v>29.15</v>
      </c>
      <c r="M44" s="2"/>
      <c r="N44" s="19">
        <f t="shared" si="8"/>
        <v>0</v>
      </c>
      <c r="O44" s="11"/>
      <c r="P44" s="2">
        <v>368.47</v>
      </c>
      <c r="Q44" s="2"/>
      <c r="R44" s="19">
        <f t="shared" si="9"/>
        <v>1.0252827200335685E-3</v>
      </c>
      <c r="S44" s="2"/>
      <c r="T44" s="2"/>
      <c r="U44" s="2"/>
      <c r="V44" s="19">
        <f t="shared" si="10"/>
        <v>0</v>
      </c>
      <c r="W44" s="2"/>
      <c r="X44" s="2">
        <f t="shared" si="11"/>
        <v>368.47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"5044", " - ", "PURCHASES @ COST-ACCESSORIES")</f>
        <v xml:space="preserve">          5044 - PURCHASES @ COST-ACCESSORIES</v>
      </c>
      <c r="C45" s="11"/>
      <c r="D45" s="2">
        <v>1305.23</v>
      </c>
      <c r="E45" s="2"/>
      <c r="F45" s="19">
        <f t="shared" si="5"/>
        <v>1.7398269383855226E-2</v>
      </c>
      <c r="G45" s="2"/>
      <c r="H45" s="2"/>
      <c r="I45" s="2"/>
      <c r="J45" s="19">
        <f t="shared" si="6"/>
        <v>0</v>
      </c>
      <c r="K45" s="2"/>
      <c r="L45" s="2">
        <f t="shared" si="7"/>
        <v>1305.23</v>
      </c>
      <c r="M45" s="2"/>
      <c r="N45" s="19">
        <f t="shared" si="8"/>
        <v>0</v>
      </c>
      <c r="O45" s="11"/>
      <c r="P45" s="2">
        <v>-4649.1899999999996</v>
      </c>
      <c r="Q45" s="2"/>
      <c r="R45" s="19">
        <f t="shared" si="9"/>
        <v>-1.2936559744763116E-2</v>
      </c>
      <c r="S45" s="2"/>
      <c r="T45" s="2"/>
      <c r="U45" s="2"/>
      <c r="V45" s="19">
        <f t="shared" si="10"/>
        <v>0</v>
      </c>
      <c r="W45" s="2"/>
      <c r="X45" s="2">
        <f t="shared" si="11"/>
        <v>-4649.1899999999996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"5045", " - ", "PURCHASES @ COST-SPECIAL ORDER")</f>
        <v xml:space="preserve">          5045 - PURCHASES @ COST-SPECIAL ORDER</v>
      </c>
      <c r="C46" s="11"/>
      <c r="D46" s="2">
        <v>-26.75</v>
      </c>
      <c r="E46" s="2"/>
      <c r="F46" s="19">
        <f t="shared" si="5"/>
        <v>-3.5656834888726687E-4</v>
      </c>
      <c r="G46" s="2"/>
      <c r="H46" s="2"/>
      <c r="I46" s="2"/>
      <c r="J46" s="19">
        <f t="shared" si="6"/>
        <v>0</v>
      </c>
      <c r="K46" s="2"/>
      <c r="L46" s="2">
        <f t="shared" si="7"/>
        <v>-26.75</v>
      </c>
      <c r="M46" s="2"/>
      <c r="N46" s="19">
        <f t="shared" si="8"/>
        <v>0</v>
      </c>
      <c r="O46" s="11"/>
      <c r="P46" s="2">
        <v>-998.2</v>
      </c>
      <c r="Q46" s="2"/>
      <c r="R46" s="19">
        <f t="shared" si="9"/>
        <v>-2.7775319866950037E-3</v>
      </c>
      <c r="S46" s="2"/>
      <c r="T46" s="2"/>
      <c r="U46" s="2"/>
      <c r="V46" s="19">
        <f t="shared" si="10"/>
        <v>0</v>
      </c>
      <c r="W46" s="2"/>
      <c r="X46" s="2">
        <f t="shared" si="11"/>
        <v>-998.2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"5083", " - ", "PURCHASES @ COST-COMPUTER EQUI")</f>
        <v xml:space="preserve">          5083 - PURCHASES @ COST-COMPUTER EQUI</v>
      </c>
      <c r="C47" s="11"/>
      <c r="D47" s="2">
        <v>50.4</v>
      </c>
      <c r="E47" s="2"/>
      <c r="F47" s="19">
        <f t="shared" si="5"/>
        <v>6.7181475827731774E-4</v>
      </c>
      <c r="G47" s="2"/>
      <c r="H47" s="2"/>
      <c r="I47" s="2"/>
      <c r="J47" s="19">
        <f t="shared" si="6"/>
        <v>0</v>
      </c>
      <c r="K47" s="2"/>
      <c r="L47" s="2">
        <f t="shared" si="7"/>
        <v>50.4</v>
      </c>
      <c r="M47" s="2"/>
      <c r="N47" s="19">
        <f t="shared" si="8"/>
        <v>0</v>
      </c>
      <c r="O47" s="11"/>
      <c r="P47" s="2">
        <v>90.35</v>
      </c>
      <c r="Q47" s="2"/>
      <c r="R47" s="19">
        <f t="shared" si="9"/>
        <v>2.5140253956911797E-4</v>
      </c>
      <c r="S47" s="2"/>
      <c r="T47" s="2"/>
      <c r="U47" s="2"/>
      <c r="V47" s="19">
        <f t="shared" si="10"/>
        <v>0</v>
      </c>
      <c r="W47" s="2"/>
      <c r="X47" s="2">
        <f t="shared" si="11"/>
        <v>90.35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"5092", " - ", "PURCHASES @ COST-GRAD MERCH")</f>
        <v xml:space="preserve">          5092 - PURCHASES @ COST-GRAD MERCH</v>
      </c>
      <c r="C48" s="11"/>
      <c r="D48" s="2"/>
      <c r="E48" s="2"/>
      <c r="F48" s="19">
        <f t="shared" si="5"/>
        <v>0</v>
      </c>
      <c r="G48" s="2"/>
      <c r="H48" s="2"/>
      <c r="I48" s="2"/>
      <c r="J48" s="19">
        <f t="shared" si="6"/>
        <v>0</v>
      </c>
      <c r="K48" s="2"/>
      <c r="L48" s="2">
        <f t="shared" si="7"/>
        <v>0</v>
      </c>
      <c r="M48" s="2"/>
      <c r="N48" s="19">
        <f t="shared" si="8"/>
        <v>0</v>
      </c>
      <c r="O48" s="11"/>
      <c r="P48" s="2">
        <v>-60.35</v>
      </c>
      <c r="Q48" s="2"/>
      <c r="R48" s="19">
        <f t="shared" si="9"/>
        <v>-1.6792632277804395E-4</v>
      </c>
      <c r="S48" s="2"/>
      <c r="T48" s="2"/>
      <c r="U48" s="2"/>
      <c r="V48" s="19">
        <f t="shared" si="10"/>
        <v>0</v>
      </c>
      <c r="W48" s="2"/>
      <c r="X48" s="2">
        <f t="shared" si="11"/>
        <v>-60.35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"5095", " - ", "PURCHASES @ COST-CUSTOMER SERV")</f>
        <v xml:space="preserve">          5095 - PURCHASES @ COST-CUSTOMER SERV</v>
      </c>
      <c r="C49" s="11"/>
      <c r="D49" s="2"/>
      <c r="E49" s="2"/>
      <c r="F49" s="19">
        <f t="shared" si="5"/>
        <v>0</v>
      </c>
      <c r="G49" s="2"/>
      <c r="H49" s="2"/>
      <c r="I49" s="2"/>
      <c r="J49" s="19">
        <f t="shared" si="6"/>
        <v>0</v>
      </c>
      <c r="K49" s="2"/>
      <c r="L49" s="2">
        <f t="shared" si="7"/>
        <v>0</v>
      </c>
      <c r="M49" s="2"/>
      <c r="N49" s="19">
        <f t="shared" si="8"/>
        <v>0</v>
      </c>
      <c r="O49" s="11"/>
      <c r="P49" s="2">
        <v>-11.85</v>
      </c>
      <c r="Q49" s="2"/>
      <c r="R49" s="19">
        <f t="shared" si="9"/>
        <v>-3.2973105632474248E-5</v>
      </c>
      <c r="S49" s="2"/>
      <c r="T49" s="2"/>
      <c r="U49" s="2"/>
      <c r="V49" s="19">
        <f t="shared" si="10"/>
        <v>0</v>
      </c>
      <c r="W49" s="2"/>
      <c r="X49" s="2">
        <f t="shared" si="11"/>
        <v>-11.85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/>
      <c r="E50" s="2"/>
      <c r="F50" s="19">
        <f t="shared" si="5"/>
        <v>0</v>
      </c>
      <c r="G50" s="2"/>
      <c r="H50" s="2"/>
      <c r="I50" s="2"/>
      <c r="J50" s="19">
        <f t="shared" si="6"/>
        <v>0</v>
      </c>
      <c r="K50" s="2"/>
      <c r="L50" s="2">
        <f t="shared" si="7"/>
        <v>0</v>
      </c>
      <c r="M50" s="2"/>
      <c r="N50" s="19">
        <f t="shared" si="8"/>
        <v>0</v>
      </c>
      <c r="O50" s="11"/>
      <c r="P50" s="2">
        <v>-147712</v>
      </c>
      <c r="Q50" s="2"/>
      <c r="R50" s="19">
        <f t="shared" si="9"/>
        <v>-0.41101463115477099</v>
      </c>
      <c r="S50" s="2"/>
      <c r="T50" s="2"/>
      <c r="U50" s="2"/>
      <c r="V50" s="19">
        <f t="shared" si="10"/>
        <v>0</v>
      </c>
      <c r="W50" s="2"/>
      <c r="X50" s="2">
        <f t="shared" si="11"/>
        <v>-147712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/>
      <c r="E51" s="2"/>
      <c r="F51" s="19">
        <f t="shared" si="5"/>
        <v>0</v>
      </c>
      <c r="G51" s="2"/>
      <c r="H51" s="2"/>
      <c r="I51" s="2"/>
      <c r="J51" s="19">
        <f t="shared" si="6"/>
        <v>0</v>
      </c>
      <c r="K51" s="2"/>
      <c r="L51" s="2">
        <f t="shared" si="7"/>
        <v>0</v>
      </c>
      <c r="M51" s="2"/>
      <c r="N51" s="19">
        <f t="shared" si="8"/>
        <v>0</v>
      </c>
      <c r="O51" s="11"/>
      <c r="P51" s="2">
        <v>82904</v>
      </c>
      <c r="Q51" s="2"/>
      <c r="R51" s="19">
        <f t="shared" si="9"/>
        <v>0.23068374256157342</v>
      </c>
      <c r="S51" s="2"/>
      <c r="T51" s="2"/>
      <c r="U51" s="2"/>
      <c r="V51" s="19">
        <f t="shared" si="10"/>
        <v>0</v>
      </c>
      <c r="W51" s="2"/>
      <c r="X51" s="2">
        <f t="shared" si="11"/>
        <v>82904</v>
      </c>
      <c r="Y51" s="2"/>
      <c r="Z51" s="19">
        <f t="shared" si="12"/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9" t="s">
        <v>6</v>
      </c>
      <c r="C53" s="29"/>
      <c r="D53" s="21">
        <f>D12-D35</f>
        <v>50911.739999999991</v>
      </c>
      <c r="E53" s="14"/>
      <c r="F53" s="20">
        <f>IF(D$12=0,0,D53/D$12)</f>
        <v>0.67863607741225485</v>
      </c>
      <c r="G53" s="14"/>
      <c r="H53" s="21">
        <f>H12-H35</f>
        <v>21235.129360000003</v>
      </c>
      <c r="I53" s="14"/>
      <c r="J53" s="20">
        <f>IF(H$12=0,0,H53/H$12)</f>
        <v>0.57115301841322241</v>
      </c>
      <c r="K53" s="16"/>
      <c r="L53" s="21">
        <f>+D53-H53</f>
        <v>29676.610639999988</v>
      </c>
      <c r="M53" s="16"/>
      <c r="N53" s="20">
        <f>IF(H53=0,0,L53/H53)</f>
        <v>1.3975243633740682</v>
      </c>
      <c r="O53" s="28"/>
      <c r="P53" s="21">
        <f>P12-P35</f>
        <v>214251.99000000008</v>
      </c>
      <c r="Q53" s="14"/>
      <c r="R53" s="20">
        <f>IF(P$12=0,0,P53/P$12)</f>
        <v>0.5961648521719678</v>
      </c>
      <c r="S53" s="14"/>
      <c r="T53" s="21">
        <f>T12-T35</f>
        <v>192333.99077999996</v>
      </c>
      <c r="U53" s="14"/>
      <c r="V53" s="20">
        <f>IF(T$12=0,0,T53/T$12)</f>
        <v>0.57253356389642729</v>
      </c>
      <c r="W53" s="16"/>
      <c r="X53" s="21">
        <f>+P53-T53</f>
        <v>21917.999220000114</v>
      </c>
      <c r="Y53" s="16"/>
      <c r="Z53" s="20">
        <f>IF(T53=0,0,X53/T53)</f>
        <v>0.11395801195156857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8" t="s">
        <v>9</v>
      </c>
      <c r="C55" s="10"/>
      <c r="D55" s="22">
        <f>SUM(OSRRefD22x_0)</f>
        <v>34769.75</v>
      </c>
      <c r="E55" s="22"/>
      <c r="F55" s="35">
        <f t="shared" ref="F55:F65" si="13">IF(D$12=0,0,D55/D$12)</f>
        <v>0.4634688728494597</v>
      </c>
      <c r="G55" s="22"/>
      <c r="H55" s="22">
        <f>SUM(OSRRefH22x_0)</f>
        <v>28448.077628663457</v>
      </c>
      <c r="I55" s="22"/>
      <c r="J55" s="35">
        <f t="shared" ref="J55:J65" si="14">IF(H$12=0,0,H55/H$12)</f>
        <v>0.76515688368120194</v>
      </c>
      <c r="K55" s="4"/>
      <c r="L55" s="22">
        <f t="shared" ref="L55:L65" si="15">+D55-H55</f>
        <v>6321.6723713365427</v>
      </c>
      <c r="M55" s="4"/>
      <c r="N55" s="35">
        <f t="shared" ref="N55:N65" si="16">IF(H55=0,0,L55/H55)</f>
        <v>0.22221791060380858</v>
      </c>
      <c r="O55" s="10"/>
      <c r="P55" s="22">
        <f>SUM(OSRRefP22x_0)</f>
        <v>222488.50999999998</v>
      </c>
      <c r="Q55" s="22"/>
      <c r="R55" s="35">
        <f t="shared" ref="R55:R65" si="17">IF(P$12=0,0,P55/P$12)</f>
        <v>0.61908330314276816</v>
      </c>
      <c r="S55" s="22"/>
      <c r="T55" s="22">
        <f>SUM(OSRRefT22x_0)</f>
        <v>192432.18433031347</v>
      </c>
      <c r="U55" s="22"/>
      <c r="V55" s="35">
        <f t="shared" ref="V55:V65" si="18">IF(T$12=0,0,T55/T$12)</f>
        <v>0.57282586326111395</v>
      </c>
      <c r="W55" s="4"/>
      <c r="X55" s="22">
        <f t="shared" ref="X55:X65" si="19">+P55-T55</f>
        <v>30056.325669686514</v>
      </c>
      <c r="Y55" s="4"/>
      <c r="Z55" s="35">
        <f t="shared" ref="Z55:Z65" si="20">IF(T55=0,0,X55/T55)</f>
        <v>0.15619178140229528</v>
      </c>
    </row>
    <row r="56" spans="1:26" s="27" customFormat="1" outlineLevel="1" collapsed="1" x14ac:dyDescent="0.25">
      <c r="A56" s="26"/>
      <c r="B56" s="13" t="str">
        <f>CONCATENATE("     ","*Benefits                                         ")</f>
        <v xml:space="preserve">     *Benefits                                         </v>
      </c>
      <c r="C56" s="13"/>
      <c r="D56" s="1">
        <f>SUM(OSRRefD22_0x_0)</f>
        <v>1977.1100000000001</v>
      </c>
      <c r="E56" s="1"/>
      <c r="F56" s="5">
        <f t="shared" si="13"/>
        <v>2.6354199935271185E-2</v>
      </c>
      <c r="G56" s="1"/>
      <c r="H56" s="1">
        <f>SUM(OSRRefH22_0x_0)</f>
        <v>2005.2254171249999</v>
      </c>
      <c r="I56" s="1"/>
      <c r="J56" s="5">
        <f t="shared" si="14"/>
        <v>5.3933768435016329E-2</v>
      </c>
      <c r="K56" s="1"/>
      <c r="L56" s="1">
        <f t="shared" si="15"/>
        <v>-28.115417124999794</v>
      </c>
      <c r="M56" s="1"/>
      <c r="N56" s="5">
        <f t="shared" si="16"/>
        <v>-1.4021075578281063E-2</v>
      </c>
      <c r="O56" s="13"/>
      <c r="P56" s="1">
        <f>SUM(OSRRefP22_0x_0)</f>
        <v>14648.349999999999</v>
      </c>
      <c r="Q56" s="1"/>
      <c r="R56" s="5">
        <f t="shared" si="17"/>
        <v>4.0759628007717645E-2</v>
      </c>
      <c r="S56" s="1"/>
      <c r="T56" s="1">
        <f>SUM(OSRRefT22_0x_0)</f>
        <v>14260.664618774998</v>
      </c>
      <c r="U56" s="1"/>
      <c r="V56" s="5">
        <f t="shared" si="18"/>
        <v>4.2450682298055611E-2</v>
      </c>
      <c r="W56" s="1"/>
      <c r="X56" s="1">
        <f t="shared" si="19"/>
        <v>387.68538122500104</v>
      </c>
      <c r="Y56" s="1"/>
      <c r="Z56" s="5">
        <f t="shared" si="20"/>
        <v>2.7185646082342516E-2</v>
      </c>
    </row>
    <row r="57" spans="1:26" s="24" customFormat="1" hidden="1" outlineLevel="2" x14ac:dyDescent="0.25">
      <c r="A57" s="25"/>
      <c r="B57" s="11" t="str">
        <f>CONCATENATE("          ", "6111", " - ", "F.I.C.A.")</f>
        <v xml:space="preserve">          6111 - F.I.C.A.</v>
      </c>
      <c r="C57" s="11"/>
      <c r="D57" s="7">
        <v>299.56</v>
      </c>
      <c r="E57" s="2"/>
      <c r="F57" s="6">
        <f t="shared" si="13"/>
        <v>3.9930323212212957E-3</v>
      </c>
      <c r="G57" s="2"/>
      <c r="H57" s="7">
        <v>366.228501663462</v>
      </c>
      <c r="I57" s="2"/>
      <c r="J57" s="6">
        <f t="shared" si="14"/>
        <v>9.8503056236638863E-3</v>
      </c>
      <c r="K57" s="2"/>
      <c r="L57" s="7">
        <f t="shared" si="15"/>
        <v>-66.668501663461996</v>
      </c>
      <c r="M57" s="2"/>
      <c r="N57" s="6">
        <f t="shared" si="16"/>
        <v>-0.18204072419444192</v>
      </c>
      <c r="O57" s="11"/>
      <c r="P57" s="7">
        <v>3122.58</v>
      </c>
      <c r="Q57" s="2"/>
      <c r="R57" s="6">
        <f t="shared" si="17"/>
        <v>8.6887055009157322E-3</v>
      </c>
      <c r="S57" s="2"/>
      <c r="T57" s="7">
        <v>3266.6929253134608</v>
      </c>
      <c r="U57" s="2"/>
      <c r="V57" s="6">
        <f t="shared" si="18"/>
        <v>9.7241851796455604E-3</v>
      </c>
      <c r="W57" s="2"/>
      <c r="X57" s="7">
        <f t="shared" si="19"/>
        <v>-144.11292531346089</v>
      </c>
      <c r="Y57" s="2"/>
      <c r="Z57" s="6">
        <f t="shared" si="20"/>
        <v>-4.4115847007453968E-2</v>
      </c>
    </row>
    <row r="58" spans="1:26" s="24" customFormat="1" hidden="1" outlineLevel="2" x14ac:dyDescent="0.25">
      <c r="A58" s="25"/>
      <c r="B58" s="11" t="str">
        <f>CONCATENATE("          ", "6112", " - ", "COMPENSATION INSURANCE")</f>
        <v xml:space="preserve">          6112 - COMPENSATION INSURANCE</v>
      </c>
      <c r="C58" s="11"/>
      <c r="D58" s="7">
        <v>181.77</v>
      </c>
      <c r="E58" s="2"/>
      <c r="F58" s="6">
        <f t="shared" si="13"/>
        <v>2.4229319169061119E-3</v>
      </c>
      <c r="G58" s="2"/>
      <c r="H58" s="7">
        <v>201.12913673076901</v>
      </c>
      <c r="I58" s="2"/>
      <c r="J58" s="6">
        <f t="shared" si="14"/>
        <v>5.4096921938706008E-3</v>
      </c>
      <c r="K58" s="2"/>
      <c r="L58" s="7">
        <f t="shared" si="15"/>
        <v>-19.359136730768995</v>
      </c>
      <c r="M58" s="2"/>
      <c r="N58" s="6">
        <f t="shared" si="16"/>
        <v>-9.6252273765203344E-2</v>
      </c>
      <c r="O58" s="11"/>
      <c r="P58" s="7">
        <v>1183.94</v>
      </c>
      <c r="Q58" s="2"/>
      <c r="R58" s="6">
        <f t="shared" si="17"/>
        <v>3.2943610702541402E-3</v>
      </c>
      <c r="S58" s="2"/>
      <c r="T58" s="7">
        <v>1271.887531730767</v>
      </c>
      <c r="U58" s="2"/>
      <c r="V58" s="6">
        <f t="shared" si="18"/>
        <v>3.7861134085768098E-3</v>
      </c>
      <c r="W58" s="2"/>
      <c r="X58" s="7">
        <f t="shared" si="19"/>
        <v>-87.947531730766968</v>
      </c>
      <c r="Y58" s="2"/>
      <c r="Z58" s="6">
        <f t="shared" si="20"/>
        <v>-6.9147255190943793E-2</v>
      </c>
    </row>
    <row r="59" spans="1:26" s="24" customFormat="1" hidden="1" outlineLevel="2" x14ac:dyDescent="0.25">
      <c r="A59" s="25"/>
      <c r="B59" s="11" t="str">
        <f>CONCATENATE("          ", "6113", " - ", "GROUP INSURANCE")</f>
        <v xml:space="preserve">          6113 - GROUP INSURANCE</v>
      </c>
      <c r="C59" s="11"/>
      <c r="D59" s="7">
        <v>988.45</v>
      </c>
      <c r="E59" s="2"/>
      <c r="F59" s="6">
        <f t="shared" si="13"/>
        <v>1.3175700353555848E-2</v>
      </c>
      <c r="G59" s="2"/>
      <c r="H59" s="7">
        <v>988.5</v>
      </c>
      <c r="I59" s="2"/>
      <c r="J59" s="6">
        <f t="shared" si="14"/>
        <v>2.6587300182167112E-2</v>
      </c>
      <c r="K59" s="2"/>
      <c r="L59" s="7">
        <f t="shared" si="15"/>
        <v>-4.9999999999954525E-2</v>
      </c>
      <c r="M59" s="2"/>
      <c r="N59" s="6">
        <f t="shared" si="16"/>
        <v>-5.0581689428380903E-5</v>
      </c>
      <c r="O59" s="11"/>
      <c r="P59" s="7">
        <v>6332.21</v>
      </c>
      <c r="Q59" s="2"/>
      <c r="R59" s="6">
        <f t="shared" si="17"/>
        <v>1.7619631157553568E-2</v>
      </c>
      <c r="S59" s="2"/>
      <c r="T59" s="7">
        <v>6919.5</v>
      </c>
      <c r="U59" s="2"/>
      <c r="V59" s="6">
        <f t="shared" si="18"/>
        <v>2.0597742392361802E-2</v>
      </c>
      <c r="W59" s="2"/>
      <c r="X59" s="7">
        <f t="shared" si="19"/>
        <v>-587.29</v>
      </c>
      <c r="Y59" s="2"/>
      <c r="Z59" s="6">
        <f t="shared" si="20"/>
        <v>-8.4874629669773827E-2</v>
      </c>
    </row>
    <row r="60" spans="1:26" s="24" customFormat="1" hidden="1" outlineLevel="2" x14ac:dyDescent="0.25">
      <c r="A60" s="25"/>
      <c r="B60" s="11" t="str">
        <f>CONCATENATE("          ", "6114", " - ", "STATE UNEMPLOYMENT INSURANCE")</f>
        <v xml:space="preserve">          6114 - STATE UNEMPLOYMENT INSURANCE</v>
      </c>
      <c r="C60" s="11"/>
      <c r="D60" s="7">
        <v>24.87</v>
      </c>
      <c r="E60" s="2"/>
      <c r="F60" s="6">
        <f t="shared" si="13"/>
        <v>3.3150859203089073E-4</v>
      </c>
      <c r="G60" s="2"/>
      <c r="H60" s="7">
        <v>27.522934500000002</v>
      </c>
      <c r="I60" s="2"/>
      <c r="J60" s="6">
        <f t="shared" si="14"/>
        <v>7.4027366863492526E-4</v>
      </c>
      <c r="K60" s="2"/>
      <c r="L60" s="7">
        <f t="shared" si="15"/>
        <v>-2.6529345000000006</v>
      </c>
      <c r="M60" s="2"/>
      <c r="N60" s="6">
        <f t="shared" si="16"/>
        <v>-9.6389957982133068E-2</v>
      </c>
      <c r="O60" s="11"/>
      <c r="P60" s="7">
        <v>194.72</v>
      </c>
      <c r="Q60" s="2"/>
      <c r="R60" s="6">
        <f t="shared" si="17"/>
        <v>5.4181629778526463E-4</v>
      </c>
      <c r="S60" s="2"/>
      <c r="T60" s="7">
        <v>174.04776749999999</v>
      </c>
      <c r="U60" s="2"/>
      <c r="V60" s="6">
        <f t="shared" si="18"/>
        <v>5.1809972959472226E-4</v>
      </c>
      <c r="W60" s="2"/>
      <c r="X60" s="7">
        <f t="shared" si="19"/>
        <v>20.672232500000007</v>
      </c>
      <c r="Y60" s="2"/>
      <c r="Z60" s="6">
        <f t="shared" si="20"/>
        <v>0.11877332755790738</v>
      </c>
    </row>
    <row r="61" spans="1:26" s="24" customFormat="1" hidden="1" outlineLevel="2" x14ac:dyDescent="0.25">
      <c r="A61" s="25"/>
      <c r="B61" s="11" t="str">
        <f>CONCATENATE("          ", "6115", " - ", "P.E.R.S.")</f>
        <v xml:space="preserve">          6115 - P.E.R.S.</v>
      </c>
      <c r="C61" s="11"/>
      <c r="D61" s="7">
        <v>233.73</v>
      </c>
      <c r="E61" s="2"/>
      <c r="F61" s="6">
        <f t="shared" si="13"/>
        <v>3.1155409415110609E-3</v>
      </c>
      <c r="G61" s="2"/>
      <c r="H61" s="7">
        <v>215.67394230769202</v>
      </c>
      <c r="I61" s="2"/>
      <c r="J61" s="6">
        <f t="shared" si="14"/>
        <v>5.8008981746140616E-3</v>
      </c>
      <c r="K61" s="2"/>
      <c r="L61" s="7">
        <f t="shared" si="15"/>
        <v>18.056057692307974</v>
      </c>
      <c r="M61" s="2"/>
      <c r="N61" s="6">
        <f t="shared" si="16"/>
        <v>8.3719236079749654E-2</v>
      </c>
      <c r="O61" s="11"/>
      <c r="P61" s="7">
        <v>1387.48</v>
      </c>
      <c r="Q61" s="2"/>
      <c r="R61" s="6">
        <f t="shared" si="17"/>
        <v>3.8607193757759805E-3</v>
      </c>
      <c r="S61" s="2"/>
      <c r="T61" s="7">
        <v>1337.1784423076922</v>
      </c>
      <c r="U61" s="2"/>
      <c r="V61" s="6">
        <f t="shared" si="18"/>
        <v>3.9804692661714672E-3</v>
      </c>
      <c r="W61" s="2"/>
      <c r="X61" s="7">
        <f t="shared" si="19"/>
        <v>50.301557692307824</v>
      </c>
      <c r="Y61" s="2"/>
      <c r="Z61" s="6">
        <f t="shared" si="20"/>
        <v>3.761768519502736E-2</v>
      </c>
    </row>
    <row r="62" spans="1:26" s="24" customFormat="1" hidden="1" outlineLevel="2" x14ac:dyDescent="0.25">
      <c r="A62" s="25"/>
      <c r="B62" s="11" t="str">
        <f>CONCATENATE("          ", "6116", " - ", "EDUCATIONAL BENEFITS")</f>
        <v xml:space="preserve">          6116 - EDUCATIONAL BENEFITS</v>
      </c>
      <c r="C62" s="11"/>
      <c r="D62" s="7"/>
      <c r="E62" s="2"/>
      <c r="F62" s="6">
        <f t="shared" si="13"/>
        <v>0</v>
      </c>
      <c r="G62" s="2"/>
      <c r="H62" s="7">
        <v>0</v>
      </c>
      <c r="I62" s="2"/>
      <c r="J62" s="6">
        <f t="shared" si="14"/>
        <v>0</v>
      </c>
      <c r="K62" s="2"/>
      <c r="L62" s="7">
        <f t="shared" si="15"/>
        <v>0</v>
      </c>
      <c r="M62" s="2"/>
      <c r="N62" s="6">
        <f t="shared" si="16"/>
        <v>0</v>
      </c>
      <c r="O62" s="11"/>
      <c r="P62" s="7"/>
      <c r="Q62" s="2"/>
      <c r="R62" s="6">
        <f t="shared" si="17"/>
        <v>0</v>
      </c>
      <c r="S62" s="2"/>
      <c r="T62" s="7">
        <v>0</v>
      </c>
      <c r="U62" s="2"/>
      <c r="V62" s="6">
        <f t="shared" si="18"/>
        <v>0</v>
      </c>
      <c r="W62" s="2"/>
      <c r="X62" s="7">
        <f t="shared" si="19"/>
        <v>0</v>
      </c>
      <c r="Y62" s="2"/>
      <c r="Z62" s="6">
        <f t="shared" si="20"/>
        <v>0</v>
      </c>
    </row>
    <row r="63" spans="1:26" s="24" customFormat="1" hidden="1" outlineLevel="2" x14ac:dyDescent="0.25">
      <c r="A63" s="25"/>
      <c r="B63" s="11" t="str">
        <f>CONCATENATE("          ", "6118", " - ", "VACATION")</f>
        <v xml:space="preserve">          6118 - VACATION</v>
      </c>
      <c r="C63" s="11"/>
      <c r="D63" s="7">
        <v>145.84</v>
      </c>
      <c r="E63" s="2"/>
      <c r="F63" s="6">
        <f t="shared" si="13"/>
        <v>1.9439973084754765E-3</v>
      </c>
      <c r="G63" s="2"/>
      <c r="H63" s="7">
        <v>75.2350961538462</v>
      </c>
      <c r="I63" s="2"/>
      <c r="J63" s="6">
        <f t="shared" si="14"/>
        <v>2.0235691306793278E-3</v>
      </c>
      <c r="K63" s="2"/>
      <c r="L63" s="7">
        <f t="shared" si="15"/>
        <v>70.604903846153803</v>
      </c>
      <c r="M63" s="2"/>
      <c r="N63" s="6">
        <f t="shared" si="16"/>
        <v>0.93845701614809873</v>
      </c>
      <c r="O63" s="11"/>
      <c r="P63" s="7">
        <v>1451</v>
      </c>
      <c r="Q63" s="2"/>
      <c r="R63" s="6">
        <f t="shared" si="17"/>
        <v>4.0374663521282814E-3</v>
      </c>
      <c r="S63" s="2"/>
      <c r="T63" s="7">
        <v>466.45759615384617</v>
      </c>
      <c r="U63" s="2"/>
      <c r="V63" s="6">
        <f t="shared" si="18"/>
        <v>1.3885357905249307E-3</v>
      </c>
      <c r="W63" s="2"/>
      <c r="X63" s="7">
        <f t="shared" si="19"/>
        <v>984.54240384615377</v>
      </c>
      <c r="Y63" s="2"/>
      <c r="Z63" s="6">
        <f t="shared" si="20"/>
        <v>2.1106793242604498</v>
      </c>
    </row>
    <row r="64" spans="1:26" s="24" customFormat="1" hidden="1" outlineLevel="2" x14ac:dyDescent="0.25">
      <c r="A64" s="25"/>
      <c r="B64" s="11" t="str">
        <f>CONCATENATE("          ", "6119", " - ", "SICK LEAVE")</f>
        <v xml:space="preserve">          6119 - SICK LEAVE</v>
      </c>
      <c r="C64" s="11"/>
      <c r="D64" s="7">
        <v>102.89</v>
      </c>
      <c r="E64" s="2"/>
      <c r="F64" s="6">
        <f t="shared" si="13"/>
        <v>1.3714885015705003E-3</v>
      </c>
      <c r="G64" s="2"/>
      <c r="H64" s="7">
        <v>130.935805769231</v>
      </c>
      <c r="I64" s="2"/>
      <c r="J64" s="6">
        <f t="shared" si="14"/>
        <v>3.5217294613864168E-3</v>
      </c>
      <c r="K64" s="2"/>
      <c r="L64" s="7">
        <f t="shared" si="15"/>
        <v>-28.045805769230995</v>
      </c>
      <c r="M64" s="2"/>
      <c r="N64" s="6">
        <f t="shared" si="16"/>
        <v>-0.21419508288405525</v>
      </c>
      <c r="O64" s="11"/>
      <c r="P64" s="7">
        <v>486.92</v>
      </c>
      <c r="Q64" s="2"/>
      <c r="R64" s="6">
        <f t="shared" si="17"/>
        <v>1.3548746493303259E-3</v>
      </c>
      <c r="S64" s="2"/>
      <c r="T64" s="7">
        <v>824.90035576923299</v>
      </c>
      <c r="U64" s="2"/>
      <c r="V64" s="6">
        <f t="shared" si="18"/>
        <v>2.4555365311803253E-3</v>
      </c>
      <c r="W64" s="2"/>
      <c r="X64" s="7">
        <f t="shared" si="19"/>
        <v>-337.98035576923297</v>
      </c>
      <c r="Y64" s="2"/>
      <c r="Z64" s="6">
        <f t="shared" si="20"/>
        <v>-0.40972264517216844</v>
      </c>
    </row>
    <row r="65" spans="1:26" s="24" customFormat="1" hidden="1" outlineLevel="2" x14ac:dyDescent="0.25">
      <c r="A65" s="25"/>
      <c r="B65" s="11" t="str">
        <f>CONCATENATE("          ", "6156", " - ", "EMPLOYEE MEALS")</f>
        <v xml:space="preserve">          6156 - EMPLOYEE MEALS</v>
      </c>
      <c r="C65" s="11"/>
      <c r="D65" s="7"/>
      <c r="E65" s="2"/>
      <c r="F65" s="6">
        <f t="shared" si="13"/>
        <v>0</v>
      </c>
      <c r="G65" s="2"/>
      <c r="H65" s="7"/>
      <c r="I65" s="2"/>
      <c r="J65" s="6">
        <f t="shared" si="14"/>
        <v>0</v>
      </c>
      <c r="K65" s="2"/>
      <c r="L65" s="7">
        <f t="shared" si="15"/>
        <v>0</v>
      </c>
      <c r="M65" s="2"/>
      <c r="N65" s="6">
        <f t="shared" si="16"/>
        <v>0</v>
      </c>
      <c r="O65" s="11"/>
      <c r="P65" s="7">
        <v>489.5</v>
      </c>
      <c r="Q65" s="2"/>
      <c r="R65" s="6">
        <f t="shared" si="17"/>
        <v>1.3620536039743582E-3</v>
      </c>
      <c r="S65" s="2"/>
      <c r="T65" s="7"/>
      <c r="U65" s="2"/>
      <c r="V65" s="6">
        <f t="shared" si="18"/>
        <v>0</v>
      </c>
      <c r="W65" s="2"/>
      <c r="X65" s="7">
        <f t="shared" si="19"/>
        <v>489.5</v>
      </c>
      <c r="Y65" s="2"/>
      <c r="Z65" s="6">
        <f t="shared" si="20"/>
        <v>0</v>
      </c>
    </row>
    <row r="66" spans="1:26" s="27" customFormat="1" outlineLevel="1" collapsed="1" x14ac:dyDescent="0.25">
      <c r="A66" s="26"/>
      <c r="B66" s="13" t="str">
        <f>CONCATENATE("     ","*Payroll                                          ")</f>
        <v xml:space="preserve">     *Payroll                                          </v>
      </c>
      <c r="C66" s="13"/>
      <c r="D66" s="1">
        <f>SUM(OSRRefD22_1x_0)</f>
        <v>12412.369999999999</v>
      </c>
      <c r="E66" s="1"/>
      <c r="F66" s="5">
        <f t="shared" ref="F66:F76" si="21">IF(D$12=0,0,D66/D$12)</f>
        <v>0.16545264585711567</v>
      </c>
      <c r="G66" s="1"/>
      <c r="H66" s="1">
        <f>SUM(OSRRefH22_1x_0)</f>
        <v>10460.35221153846</v>
      </c>
      <c r="I66" s="1"/>
      <c r="J66" s="5">
        <f t="shared" ref="J66:J76" si="22">IF(H$12=0,0,H66/H$12)</f>
        <v>0.28134802656486463</v>
      </c>
      <c r="K66" s="1"/>
      <c r="L66" s="1">
        <f t="shared" ref="L66:L76" si="23">+D66-H66</f>
        <v>1952.0177884615387</v>
      </c>
      <c r="M66" s="1"/>
      <c r="N66" s="5">
        <f t="shared" ref="N66:N76" si="24">IF(H66=0,0,L66/H66)</f>
        <v>0.18661109578206497</v>
      </c>
      <c r="O66" s="13"/>
      <c r="P66" s="1">
        <f>SUM(OSRRefP22_1x_0)</f>
        <v>78541.320000000007</v>
      </c>
      <c r="Q66" s="1"/>
      <c r="R66" s="5">
        <f t="shared" ref="R66:R76" si="25">IF(P$12=0,0,P66/P$12)</f>
        <v>0.21854440851257068</v>
      </c>
      <c r="S66" s="1"/>
      <c r="T66" s="1">
        <f>SUM(OSRRefT22_1x_0)</f>
        <v>66164.019711538451</v>
      </c>
      <c r="U66" s="1"/>
      <c r="V66" s="5">
        <f t="shared" ref="V66:V76" si="26">IF(T$12=0,0,T66/T$12)</f>
        <v>0.19695490044965927</v>
      </c>
      <c r="W66" s="1"/>
      <c r="X66" s="1">
        <f t="shared" ref="X66:X76" si="27">+P66-T66</f>
        <v>12377.300288461556</v>
      </c>
      <c r="Y66" s="1"/>
      <c r="Z66" s="5">
        <f t="shared" ref="Z66:Z76" si="28">IF(T66=0,0,X66/T66)</f>
        <v>0.18706995648728789</v>
      </c>
    </row>
    <row r="67" spans="1:26" s="24" customFormat="1" hidden="1" outlineLevel="2" x14ac:dyDescent="0.25">
      <c r="A67" s="25"/>
      <c r="B67" s="11" t="str">
        <f>CONCATENATE("          ", "6001", " - ", "ADMINISTRATIVE SALARIES")</f>
        <v xml:space="preserve">          6001 - ADMINISTRATIVE SALARIES</v>
      </c>
      <c r="C67" s="11"/>
      <c r="D67" s="7"/>
      <c r="E67" s="2"/>
      <c r="F67" s="6">
        <f t="shared" si="21"/>
        <v>0</v>
      </c>
      <c r="G67" s="2"/>
      <c r="H67" s="7">
        <v>0</v>
      </c>
      <c r="I67" s="2"/>
      <c r="J67" s="6">
        <f t="shared" si="22"/>
        <v>0</v>
      </c>
      <c r="K67" s="2"/>
      <c r="L67" s="7">
        <f t="shared" si="23"/>
        <v>0</v>
      </c>
      <c r="M67" s="2"/>
      <c r="N67" s="6">
        <f t="shared" si="24"/>
        <v>0</v>
      </c>
      <c r="O67" s="11"/>
      <c r="P67" s="7"/>
      <c r="Q67" s="2"/>
      <c r="R67" s="6">
        <f t="shared" si="25"/>
        <v>0</v>
      </c>
      <c r="S67" s="2"/>
      <c r="T67" s="7">
        <v>0</v>
      </c>
      <c r="U67" s="2"/>
      <c r="V67" s="6">
        <f t="shared" si="26"/>
        <v>0</v>
      </c>
      <c r="W67" s="2"/>
      <c r="X67" s="7">
        <f t="shared" si="27"/>
        <v>0</v>
      </c>
      <c r="Y67" s="2"/>
      <c r="Z67" s="6">
        <f t="shared" si="28"/>
        <v>0</v>
      </c>
    </row>
    <row r="68" spans="1:26" s="24" customFormat="1" hidden="1" outlineLevel="2" x14ac:dyDescent="0.25">
      <c r="A68" s="25"/>
      <c r="B68" s="11" t="str">
        <f>CONCATENATE("          ", "6002", " - ", "STAFF SALARIES")</f>
        <v xml:space="preserve">          6002 - STAFF SALARIES</v>
      </c>
      <c r="C68" s="11"/>
      <c r="D68" s="7">
        <v>2007.69</v>
      </c>
      <c r="E68" s="2"/>
      <c r="F68" s="6">
        <f t="shared" si="21"/>
        <v>2.6761820873924366E-2</v>
      </c>
      <c r="G68" s="2"/>
      <c r="H68" s="7">
        <v>2382.4447115384601</v>
      </c>
      <c r="I68" s="2"/>
      <c r="J68" s="6">
        <f t="shared" si="22"/>
        <v>6.407968913817863E-2</v>
      </c>
      <c r="K68" s="2"/>
      <c r="L68" s="7">
        <f t="shared" si="23"/>
        <v>-374.75471153846001</v>
      </c>
      <c r="M68" s="2"/>
      <c r="N68" s="6">
        <f t="shared" si="24"/>
        <v>-0.15729838754430642</v>
      </c>
      <c r="O68" s="11"/>
      <c r="P68" s="7">
        <v>13664.19</v>
      </c>
      <c r="Q68" s="2"/>
      <c r="R68" s="6">
        <f t="shared" si="25"/>
        <v>3.8021162890480867E-2</v>
      </c>
      <c r="S68" s="2"/>
      <c r="T68" s="7">
        <v>14771.157211538461</v>
      </c>
      <c r="U68" s="2"/>
      <c r="V68" s="6">
        <f t="shared" si="26"/>
        <v>4.3970300033289465E-2</v>
      </c>
      <c r="W68" s="2"/>
      <c r="X68" s="7">
        <f t="shared" si="27"/>
        <v>-1106.9672115384601</v>
      </c>
      <c r="Y68" s="2"/>
      <c r="Z68" s="6">
        <f t="shared" si="28"/>
        <v>-7.4941129911863288E-2</v>
      </c>
    </row>
    <row r="69" spans="1:26" s="24" customFormat="1" hidden="1" outlineLevel="2" x14ac:dyDescent="0.25">
      <c r="A69" s="25"/>
      <c r="B69" s="11" t="str">
        <f>CONCATENATE("          ", "6003", " - ", "STAFF HOURLY-9 MONTH")</f>
        <v xml:space="preserve">          6003 - STAFF HOURLY-9 MONTH</v>
      </c>
      <c r="C69" s="11"/>
      <c r="D69" s="7"/>
      <c r="E69" s="2"/>
      <c r="F69" s="6">
        <f t="shared" si="21"/>
        <v>0</v>
      </c>
      <c r="G69" s="2"/>
      <c r="H69" s="7">
        <v>0</v>
      </c>
      <c r="I69" s="2"/>
      <c r="J69" s="6">
        <f t="shared" si="22"/>
        <v>0</v>
      </c>
      <c r="K69" s="2"/>
      <c r="L69" s="7">
        <f t="shared" si="23"/>
        <v>0</v>
      </c>
      <c r="M69" s="2"/>
      <c r="N69" s="6">
        <f t="shared" si="24"/>
        <v>0</v>
      </c>
      <c r="O69" s="11"/>
      <c r="P69" s="7"/>
      <c r="Q69" s="2"/>
      <c r="R69" s="6">
        <f t="shared" si="25"/>
        <v>0</v>
      </c>
      <c r="S69" s="2"/>
      <c r="T69" s="7">
        <v>0</v>
      </c>
      <c r="U69" s="2"/>
      <c r="V69" s="6">
        <f t="shared" si="26"/>
        <v>0</v>
      </c>
      <c r="W69" s="2"/>
      <c r="X69" s="7">
        <f t="shared" si="27"/>
        <v>0</v>
      </c>
      <c r="Y69" s="2"/>
      <c r="Z69" s="6">
        <f t="shared" si="28"/>
        <v>0</v>
      </c>
    </row>
    <row r="70" spans="1:26" s="24" customFormat="1" hidden="1" outlineLevel="2" x14ac:dyDescent="0.25">
      <c r="A70" s="25"/>
      <c r="B70" s="11" t="str">
        <f>CONCATENATE("          ", "6004", " - ", "STAFF HOURLY")</f>
        <v xml:space="preserve">          6004 - STAFF HOURLY</v>
      </c>
      <c r="C70" s="11"/>
      <c r="D70" s="7"/>
      <c r="E70" s="2"/>
      <c r="F70" s="6">
        <f t="shared" si="21"/>
        <v>0</v>
      </c>
      <c r="G70" s="2"/>
      <c r="H70" s="7">
        <v>2277.5875000000001</v>
      </c>
      <c r="I70" s="2"/>
      <c r="J70" s="6">
        <f t="shared" si="22"/>
        <v>6.1259385486749161E-2</v>
      </c>
      <c r="K70" s="2"/>
      <c r="L70" s="7">
        <f t="shared" si="23"/>
        <v>-2277.5875000000001</v>
      </c>
      <c r="M70" s="2"/>
      <c r="N70" s="6">
        <f t="shared" si="24"/>
        <v>-1</v>
      </c>
      <c r="O70" s="11"/>
      <c r="P70" s="7"/>
      <c r="Q70" s="2"/>
      <c r="R70" s="6">
        <f t="shared" si="25"/>
        <v>0</v>
      </c>
      <c r="S70" s="2"/>
      <c r="T70" s="7">
        <v>14121.0425</v>
      </c>
      <c r="U70" s="2"/>
      <c r="V70" s="6">
        <f t="shared" si="26"/>
        <v>4.2035059719140497E-2</v>
      </c>
      <c r="W70" s="2"/>
      <c r="X70" s="7">
        <f t="shared" si="27"/>
        <v>-14121.0425</v>
      </c>
      <c r="Y70" s="2"/>
      <c r="Z70" s="6">
        <f t="shared" si="28"/>
        <v>-1</v>
      </c>
    </row>
    <row r="71" spans="1:26" s="24" customFormat="1" hidden="1" outlineLevel="2" x14ac:dyDescent="0.25">
      <c r="A71" s="25"/>
      <c r="B71" s="11" t="str">
        <f>CONCATENATE("          ", "6005", " - ", "TEMPORARY WAGES-HOURLY")</f>
        <v xml:space="preserve">          6005 - TEMPORARY WAGES-HOURLY</v>
      </c>
      <c r="C71" s="11"/>
      <c r="D71" s="7">
        <v>1690.01</v>
      </c>
      <c r="E71" s="2"/>
      <c r="F71" s="6">
        <f t="shared" si="21"/>
        <v>2.2527255151512892E-2</v>
      </c>
      <c r="G71" s="2"/>
      <c r="H71" s="7">
        <v>0</v>
      </c>
      <c r="I71" s="2"/>
      <c r="J71" s="6">
        <f t="shared" si="22"/>
        <v>0</v>
      </c>
      <c r="K71" s="2"/>
      <c r="L71" s="7">
        <f t="shared" si="23"/>
        <v>1690.01</v>
      </c>
      <c r="M71" s="2"/>
      <c r="N71" s="6">
        <f t="shared" si="24"/>
        <v>0</v>
      </c>
      <c r="O71" s="11"/>
      <c r="P71" s="7">
        <v>6047.03</v>
      </c>
      <c r="Q71" s="2"/>
      <c r="R71" s="6">
        <f t="shared" si="25"/>
        <v>1.6826106240737614E-2</v>
      </c>
      <c r="S71" s="2"/>
      <c r="T71" s="7">
        <v>0</v>
      </c>
      <c r="U71" s="2"/>
      <c r="V71" s="6">
        <f t="shared" si="26"/>
        <v>0</v>
      </c>
      <c r="W71" s="2"/>
      <c r="X71" s="7">
        <f t="shared" si="27"/>
        <v>6047.03</v>
      </c>
      <c r="Y71" s="2"/>
      <c r="Z71" s="6">
        <f t="shared" si="28"/>
        <v>0</v>
      </c>
    </row>
    <row r="72" spans="1:26" s="24" customFormat="1" hidden="1" outlineLevel="2" x14ac:dyDescent="0.25">
      <c r="A72" s="25"/>
      <c r="B72" s="11" t="str">
        <f>CONCATENATE("          ", "6006", " - ", "TEMPORARY PART TIME")</f>
        <v xml:space="preserve">          6006 - TEMPORARY PART TIME</v>
      </c>
      <c r="C72" s="11"/>
      <c r="D72" s="7"/>
      <c r="E72" s="2"/>
      <c r="F72" s="6">
        <f t="shared" si="21"/>
        <v>0</v>
      </c>
      <c r="G72" s="2"/>
      <c r="H72" s="7">
        <v>0</v>
      </c>
      <c r="I72" s="2"/>
      <c r="J72" s="6">
        <f t="shared" si="22"/>
        <v>0</v>
      </c>
      <c r="K72" s="2"/>
      <c r="L72" s="7">
        <f t="shared" si="23"/>
        <v>0</v>
      </c>
      <c r="M72" s="2"/>
      <c r="N72" s="6">
        <f t="shared" si="24"/>
        <v>0</v>
      </c>
      <c r="O72" s="11"/>
      <c r="P72" s="7"/>
      <c r="Q72" s="2"/>
      <c r="R72" s="6">
        <f t="shared" si="25"/>
        <v>0</v>
      </c>
      <c r="S72" s="2"/>
      <c r="T72" s="7">
        <v>0</v>
      </c>
      <c r="U72" s="2"/>
      <c r="V72" s="6">
        <f t="shared" si="26"/>
        <v>0</v>
      </c>
      <c r="W72" s="2"/>
      <c r="X72" s="7">
        <f t="shared" si="27"/>
        <v>0</v>
      </c>
      <c r="Y72" s="2"/>
      <c r="Z72" s="6">
        <f t="shared" si="28"/>
        <v>0</v>
      </c>
    </row>
    <row r="73" spans="1:26" s="24" customFormat="1" hidden="1" outlineLevel="2" x14ac:dyDescent="0.25">
      <c r="A73" s="25"/>
      <c r="B73" s="11" t="str">
        <f>CONCATENATE("          ", "6007", " - ", "STUDENT HOURLY")</f>
        <v xml:space="preserve">          6007 - STUDENT HOURLY</v>
      </c>
      <c r="C73" s="11"/>
      <c r="D73" s="7">
        <v>8714.67</v>
      </c>
      <c r="E73" s="2"/>
      <c r="F73" s="6">
        <f t="shared" si="21"/>
        <v>0.11616356983167843</v>
      </c>
      <c r="G73" s="2"/>
      <c r="H73" s="7">
        <v>0</v>
      </c>
      <c r="I73" s="2"/>
      <c r="J73" s="6">
        <f t="shared" si="22"/>
        <v>0</v>
      </c>
      <c r="K73" s="2"/>
      <c r="L73" s="7">
        <f t="shared" si="23"/>
        <v>8714.67</v>
      </c>
      <c r="M73" s="2"/>
      <c r="N73" s="6">
        <f t="shared" si="24"/>
        <v>0</v>
      </c>
      <c r="O73" s="11"/>
      <c r="P73" s="7">
        <v>58830.1</v>
      </c>
      <c r="Q73" s="2"/>
      <c r="R73" s="6">
        <f t="shared" si="25"/>
        <v>0.16369713938135216</v>
      </c>
      <c r="S73" s="2"/>
      <c r="T73" s="7">
        <v>13015.5</v>
      </c>
      <c r="U73" s="2"/>
      <c r="V73" s="6">
        <f t="shared" si="26"/>
        <v>3.8744116787020021E-2</v>
      </c>
      <c r="W73" s="2"/>
      <c r="X73" s="7">
        <f t="shared" si="27"/>
        <v>45814.6</v>
      </c>
      <c r="Y73" s="2"/>
      <c r="Z73" s="6">
        <f t="shared" si="28"/>
        <v>3.5200030732588066</v>
      </c>
    </row>
    <row r="74" spans="1:26" s="24" customFormat="1" hidden="1" outlineLevel="2" x14ac:dyDescent="0.25">
      <c r="A74" s="25"/>
      <c r="B74" s="11" t="str">
        <f>CONCATENATE("          ", "6008", " - ", "STUDENT HOURLY-FICA EXEMPT")</f>
        <v xml:space="preserve">          6008 - STUDENT HOURLY-FICA EXEMPT</v>
      </c>
      <c r="C74" s="11"/>
      <c r="D74" s="7"/>
      <c r="E74" s="2"/>
      <c r="F74" s="6">
        <f t="shared" si="21"/>
        <v>0</v>
      </c>
      <c r="G74" s="2"/>
      <c r="H74" s="7">
        <v>5800.32</v>
      </c>
      <c r="I74" s="2"/>
      <c r="J74" s="6">
        <f t="shared" si="22"/>
        <v>0.15600895193993683</v>
      </c>
      <c r="K74" s="2"/>
      <c r="L74" s="7">
        <f t="shared" si="23"/>
        <v>-5800.32</v>
      </c>
      <c r="M74" s="2"/>
      <c r="N74" s="6">
        <f t="shared" si="24"/>
        <v>-1</v>
      </c>
      <c r="O74" s="11"/>
      <c r="P74" s="7"/>
      <c r="Q74" s="2"/>
      <c r="R74" s="6">
        <f t="shared" si="25"/>
        <v>0</v>
      </c>
      <c r="S74" s="2"/>
      <c r="T74" s="7">
        <v>24256.32</v>
      </c>
      <c r="U74" s="2"/>
      <c r="V74" s="6">
        <f t="shared" si="26"/>
        <v>7.2205423910209315E-2</v>
      </c>
      <c r="W74" s="2"/>
      <c r="X74" s="7">
        <f t="shared" si="27"/>
        <v>-24256.32</v>
      </c>
      <c r="Y74" s="2"/>
      <c r="Z74" s="6">
        <f t="shared" si="28"/>
        <v>-1</v>
      </c>
    </row>
    <row r="75" spans="1:26" s="24" customFormat="1" hidden="1" outlineLevel="2" x14ac:dyDescent="0.25">
      <c r="A75" s="25"/>
      <c r="B75" s="11" t="str">
        <f>CONCATENATE("          ", "6009", " - ", "TEMPORARY-SEASONAL")</f>
        <v xml:space="preserve">          6009 - TEMPORARY-SEASONAL</v>
      </c>
      <c r="C75" s="11"/>
      <c r="D75" s="7"/>
      <c r="E75" s="2"/>
      <c r="F75" s="6">
        <f t="shared" si="21"/>
        <v>0</v>
      </c>
      <c r="G75" s="2"/>
      <c r="H75" s="7">
        <v>0</v>
      </c>
      <c r="I75" s="2"/>
      <c r="J75" s="6">
        <f t="shared" si="22"/>
        <v>0</v>
      </c>
      <c r="K75" s="2"/>
      <c r="L75" s="7">
        <f t="shared" si="23"/>
        <v>0</v>
      </c>
      <c r="M75" s="2"/>
      <c r="N75" s="6">
        <f t="shared" si="24"/>
        <v>0</v>
      </c>
      <c r="O75" s="11"/>
      <c r="P75" s="7"/>
      <c r="Q75" s="2"/>
      <c r="R75" s="6">
        <f t="shared" si="25"/>
        <v>0</v>
      </c>
      <c r="S75" s="2"/>
      <c r="T75" s="7">
        <v>0</v>
      </c>
      <c r="U75" s="2"/>
      <c r="V75" s="6">
        <f t="shared" si="26"/>
        <v>0</v>
      </c>
      <c r="W75" s="2"/>
      <c r="X75" s="7">
        <f t="shared" si="27"/>
        <v>0</v>
      </c>
      <c r="Y75" s="2"/>
      <c r="Z75" s="6">
        <f t="shared" si="28"/>
        <v>0</v>
      </c>
    </row>
    <row r="76" spans="1:26" s="24" customFormat="1" hidden="1" outlineLevel="2" x14ac:dyDescent="0.25">
      <c r="A76" s="25"/>
      <c r="B76" s="11" t="str">
        <f>CONCATENATE("          ", "6010", " - ", "GRATUITY")</f>
        <v xml:space="preserve">          6010 - GRATUITY</v>
      </c>
      <c r="C76" s="11"/>
      <c r="D76" s="7"/>
      <c r="E76" s="2"/>
      <c r="F76" s="6">
        <f t="shared" si="21"/>
        <v>0</v>
      </c>
      <c r="G76" s="2"/>
      <c r="H76" s="7">
        <v>0</v>
      </c>
      <c r="I76" s="2"/>
      <c r="J76" s="6">
        <f t="shared" si="22"/>
        <v>0</v>
      </c>
      <c r="K76" s="2"/>
      <c r="L76" s="7">
        <f t="shared" si="23"/>
        <v>0</v>
      </c>
      <c r="M76" s="2"/>
      <c r="N76" s="6">
        <f t="shared" si="24"/>
        <v>0</v>
      </c>
      <c r="O76" s="11"/>
      <c r="P76" s="7"/>
      <c r="Q76" s="2"/>
      <c r="R76" s="6">
        <f t="shared" si="25"/>
        <v>0</v>
      </c>
      <c r="S76" s="2"/>
      <c r="T76" s="7">
        <v>0</v>
      </c>
      <c r="U76" s="2"/>
      <c r="V76" s="6">
        <f t="shared" si="26"/>
        <v>0</v>
      </c>
      <c r="W76" s="2"/>
      <c r="X76" s="7">
        <f t="shared" si="27"/>
        <v>0</v>
      </c>
      <c r="Y76" s="2"/>
      <c r="Z76" s="6">
        <f t="shared" si="28"/>
        <v>0</v>
      </c>
    </row>
    <row r="77" spans="1:26" s="27" customFormat="1" outlineLevel="1" collapsed="1" x14ac:dyDescent="0.25">
      <c r="A77" s="26"/>
      <c r="B77" s="13" t="str">
        <f>CONCATENATE("     ","Advertising/Promo                                 ")</f>
        <v xml:space="preserve">     Advertising/Promo                                 </v>
      </c>
      <c r="C77" s="13"/>
      <c r="D77" s="1">
        <f>SUM(OSRRefD22_2x_0)</f>
        <v>471.1</v>
      </c>
      <c r="E77" s="1"/>
      <c r="F77" s="5">
        <f t="shared" ref="F77:F81" si="29">IF(D$12=0,0,D77/D$12)</f>
        <v>6.2796018377865954E-3</v>
      </c>
      <c r="G77" s="1"/>
      <c r="H77" s="1">
        <f>SUM(OSRRefH22_2x_0)</f>
        <v>1250</v>
      </c>
      <c r="I77" s="1"/>
      <c r="J77" s="5">
        <f t="shared" ref="J77:J81" si="30">IF(H$12=0,0,H77/H$12)</f>
        <v>3.3620764013868376E-2</v>
      </c>
      <c r="K77" s="1"/>
      <c r="L77" s="1">
        <f t="shared" ref="L77:L81" si="31">+D77-H77</f>
        <v>-778.9</v>
      </c>
      <c r="M77" s="1"/>
      <c r="N77" s="5">
        <f t="shared" ref="N77:N81" si="32">IF(H77=0,0,L77/H77)</f>
        <v>-0.62312000000000001</v>
      </c>
      <c r="O77" s="13"/>
      <c r="P77" s="1">
        <f>SUM(OSRRefP22_2x_0)</f>
        <v>2816.48</v>
      </c>
      <c r="Q77" s="1"/>
      <c r="R77" s="5">
        <f t="shared" ref="R77:R81" si="33">IF(P$12=0,0,P77/P$12)</f>
        <v>7.8369698355908075E-3</v>
      </c>
      <c r="S77" s="1"/>
      <c r="T77" s="1">
        <f>SUM(OSRRefT22_2x_0)</f>
        <v>4650</v>
      </c>
      <c r="U77" s="1"/>
      <c r="V77" s="5">
        <f t="shared" ref="V77:V81" si="34">IF(T$12=0,0,T77/T$12)</f>
        <v>1.3841968657342637E-2</v>
      </c>
      <c r="W77" s="1"/>
      <c r="X77" s="1">
        <f t="shared" ref="X77:X81" si="35">+P77-T77</f>
        <v>-1833.52</v>
      </c>
      <c r="Y77" s="1"/>
      <c r="Z77" s="5">
        <f t="shared" ref="Z77:Z81" si="36">IF(T77=0,0,X77/T77)</f>
        <v>-0.39430537634408602</v>
      </c>
    </row>
    <row r="78" spans="1:26" s="24" customFormat="1" hidden="1" outlineLevel="2" x14ac:dyDescent="0.25">
      <c r="A78" s="25"/>
      <c r="B78" s="11" t="str">
        <f>CONCATENATE("          ", "6362", " - ", "ADVERTISING EXPENSE")</f>
        <v xml:space="preserve">          6362 - ADVERTISING EXPENSE</v>
      </c>
      <c r="C78" s="11"/>
      <c r="D78" s="7">
        <v>471.1</v>
      </c>
      <c r="E78" s="2"/>
      <c r="F78" s="6">
        <f t="shared" si="29"/>
        <v>6.2796018377865954E-3</v>
      </c>
      <c r="G78" s="2"/>
      <c r="H78" s="7">
        <v>1250</v>
      </c>
      <c r="I78" s="2"/>
      <c r="J78" s="6">
        <f t="shared" si="30"/>
        <v>3.3620764013868376E-2</v>
      </c>
      <c r="K78" s="2"/>
      <c r="L78" s="7">
        <f t="shared" si="31"/>
        <v>-778.9</v>
      </c>
      <c r="M78" s="2"/>
      <c r="N78" s="6">
        <f t="shared" si="32"/>
        <v>-0.62312000000000001</v>
      </c>
      <c r="O78" s="11"/>
      <c r="P78" s="7">
        <v>2816.48</v>
      </c>
      <c r="Q78" s="2"/>
      <c r="R78" s="6">
        <f t="shared" si="33"/>
        <v>7.8369698355908075E-3</v>
      </c>
      <c r="S78" s="2"/>
      <c r="T78" s="7">
        <v>4650</v>
      </c>
      <c r="U78" s="2"/>
      <c r="V78" s="6">
        <f t="shared" si="34"/>
        <v>1.3841968657342637E-2</v>
      </c>
      <c r="W78" s="2"/>
      <c r="X78" s="7">
        <f t="shared" si="35"/>
        <v>-1833.52</v>
      </c>
      <c r="Y78" s="2"/>
      <c r="Z78" s="6">
        <f t="shared" si="36"/>
        <v>-0.39430537634408602</v>
      </c>
    </row>
    <row r="79" spans="1:26" s="27" customFormat="1" outlineLevel="1" collapsed="1" x14ac:dyDescent="0.25">
      <c r="A79" s="26"/>
      <c r="B79" s="13" t="str">
        <f>CONCATENATE("     ","Bad Debts/Over/Short                              ")</f>
        <v xml:space="preserve">     Bad Debts/Over/Short                              </v>
      </c>
      <c r="C79" s="13"/>
      <c r="D79" s="1">
        <f>SUM(OSRRefD22_3x_0)</f>
        <v>-0.13</v>
      </c>
      <c r="E79" s="1"/>
      <c r="F79" s="5">
        <f t="shared" si="29"/>
        <v>-1.7328555273026054E-6</v>
      </c>
      <c r="G79" s="1"/>
      <c r="H79" s="1">
        <f>SUM(OSRRefH22_3x_0)</f>
        <v>10</v>
      </c>
      <c r="I79" s="1"/>
      <c r="J79" s="5">
        <f t="shared" si="30"/>
        <v>2.6896611211094703E-4</v>
      </c>
      <c r="K79" s="1"/>
      <c r="L79" s="1">
        <f t="shared" si="31"/>
        <v>-10.130000000000001</v>
      </c>
      <c r="M79" s="1"/>
      <c r="N79" s="5">
        <f t="shared" si="32"/>
        <v>-1.0130000000000001</v>
      </c>
      <c r="O79" s="13"/>
      <c r="P79" s="1">
        <f>SUM(OSRRefP22_3x_0)</f>
        <v>45.81</v>
      </c>
      <c r="Q79" s="1"/>
      <c r="R79" s="5">
        <f t="shared" si="33"/>
        <v>1.2746818303997008E-4</v>
      </c>
      <c r="S79" s="1"/>
      <c r="T79" s="1">
        <f>SUM(OSRRefT22_3x_0)</f>
        <v>70</v>
      </c>
      <c r="U79" s="1"/>
      <c r="V79" s="5">
        <f t="shared" si="34"/>
        <v>2.0837372172343753E-4</v>
      </c>
      <c r="W79" s="1"/>
      <c r="X79" s="1">
        <f t="shared" si="35"/>
        <v>-24.189999999999998</v>
      </c>
      <c r="Y79" s="1"/>
      <c r="Z79" s="5">
        <f t="shared" si="36"/>
        <v>-0.34557142857142853</v>
      </c>
    </row>
    <row r="80" spans="1:26" s="24" customFormat="1" hidden="1" outlineLevel="2" x14ac:dyDescent="0.25">
      <c r="A80" s="25"/>
      <c r="B80" s="11" t="str">
        <f>CONCATENATE("          ", "6272", " - ", "CASH (OVER/SHORT)")</f>
        <v xml:space="preserve">          6272 - CASH (OVER/SHORT)</v>
      </c>
      <c r="C80" s="11"/>
      <c r="D80" s="7">
        <v>-0.13</v>
      </c>
      <c r="E80" s="2"/>
      <c r="F80" s="6">
        <f t="shared" si="29"/>
        <v>-1.7328555273026054E-6</v>
      </c>
      <c r="G80" s="2"/>
      <c r="H80" s="7"/>
      <c r="I80" s="2"/>
      <c r="J80" s="6">
        <f t="shared" si="30"/>
        <v>0</v>
      </c>
      <c r="K80" s="2"/>
      <c r="L80" s="7">
        <f t="shared" si="31"/>
        <v>-0.13</v>
      </c>
      <c r="M80" s="2"/>
      <c r="N80" s="6">
        <f t="shared" si="32"/>
        <v>0</v>
      </c>
      <c r="O80" s="11"/>
      <c r="P80" s="7">
        <v>45.81</v>
      </c>
      <c r="Q80" s="2"/>
      <c r="R80" s="6">
        <f t="shared" si="33"/>
        <v>1.2746818303997008E-4</v>
      </c>
      <c r="S80" s="2"/>
      <c r="T80" s="7"/>
      <c r="U80" s="2"/>
      <c r="V80" s="6">
        <f t="shared" si="34"/>
        <v>0</v>
      </c>
      <c r="W80" s="2"/>
      <c r="X80" s="7">
        <f t="shared" si="35"/>
        <v>45.81</v>
      </c>
      <c r="Y80" s="2"/>
      <c r="Z80" s="6">
        <f t="shared" si="36"/>
        <v>0</v>
      </c>
    </row>
    <row r="81" spans="1:26" s="24" customFormat="1" hidden="1" outlineLevel="2" x14ac:dyDescent="0.25">
      <c r="A81" s="25"/>
      <c r="B81" s="11" t="str">
        <f>CONCATENATE("          ", "6342", " - ", "BAD DEBT")</f>
        <v xml:space="preserve">          6342 - BAD DEBT</v>
      </c>
      <c r="C81" s="11"/>
      <c r="D81" s="7"/>
      <c r="E81" s="2"/>
      <c r="F81" s="6">
        <f t="shared" si="29"/>
        <v>0</v>
      </c>
      <c r="G81" s="2"/>
      <c r="H81" s="7">
        <v>10</v>
      </c>
      <c r="I81" s="2"/>
      <c r="J81" s="6">
        <f t="shared" si="30"/>
        <v>2.6896611211094703E-4</v>
      </c>
      <c r="K81" s="2"/>
      <c r="L81" s="7">
        <f t="shared" si="31"/>
        <v>-10</v>
      </c>
      <c r="M81" s="2"/>
      <c r="N81" s="6">
        <f t="shared" si="32"/>
        <v>-1</v>
      </c>
      <c r="O81" s="11"/>
      <c r="P81" s="7"/>
      <c r="Q81" s="2"/>
      <c r="R81" s="6">
        <f t="shared" si="33"/>
        <v>0</v>
      </c>
      <c r="S81" s="2"/>
      <c r="T81" s="7">
        <v>70</v>
      </c>
      <c r="U81" s="2"/>
      <c r="V81" s="6">
        <f t="shared" si="34"/>
        <v>2.0837372172343753E-4</v>
      </c>
      <c r="W81" s="2"/>
      <c r="X81" s="7">
        <f t="shared" si="35"/>
        <v>-70</v>
      </c>
      <c r="Y81" s="2"/>
      <c r="Z81" s="6">
        <f t="shared" si="36"/>
        <v>-1</v>
      </c>
    </row>
    <row r="82" spans="1:26" s="27" customFormat="1" outlineLevel="1" collapsed="1" x14ac:dyDescent="0.25">
      <c r="A82" s="26"/>
      <c r="B82" s="13" t="str">
        <f>CONCATENATE("     ","Bank/card Fees                                    ")</f>
        <v xml:space="preserve">     Bank/card Fees                                    </v>
      </c>
      <c r="C82" s="13"/>
      <c r="D82" s="1">
        <f>SUM(OSRRefD22_4x_0)</f>
        <v>489.58</v>
      </c>
      <c r="E82" s="1"/>
      <c r="F82" s="5">
        <f t="shared" ref="F82:F102" si="37">IF(D$12=0,0,D82/D$12)</f>
        <v>6.5259339158216115E-3</v>
      </c>
      <c r="G82" s="1"/>
      <c r="H82" s="1">
        <f>SUM(OSRRefH22_4x_0)</f>
        <v>490</v>
      </c>
      <c r="I82" s="1"/>
      <c r="J82" s="5">
        <f t="shared" ref="J82:J102" si="38">IF(H$12=0,0,H82/H$12)</f>
        <v>1.3179339493436405E-2</v>
      </c>
      <c r="K82" s="1"/>
      <c r="L82" s="1">
        <f t="shared" ref="L82:L102" si="39">+D82-H82</f>
        <v>-0.42000000000001592</v>
      </c>
      <c r="M82" s="1"/>
      <c r="N82" s="5">
        <f t="shared" ref="N82:N102" si="40">IF(H82=0,0,L82/H82)</f>
        <v>-8.5714285714288962E-4</v>
      </c>
      <c r="O82" s="13"/>
      <c r="P82" s="1">
        <f>SUM(OSRRefP22_4x_0)</f>
        <v>5174.05</v>
      </c>
      <c r="Q82" s="1"/>
      <c r="R82" s="5">
        <f t="shared" ref="R82:R102" si="41">IF(P$12=0,0,P82/P$12)</f>
        <v>1.4397003982928556E-2</v>
      </c>
      <c r="S82" s="1"/>
      <c r="T82" s="1">
        <f>SUM(OSRRefT22_4x_0)</f>
        <v>4985</v>
      </c>
      <c r="U82" s="1"/>
      <c r="V82" s="5">
        <f t="shared" ref="V82:V102" si="42">IF(T$12=0,0,T82/T$12)</f>
        <v>1.4839185754161944E-2</v>
      </c>
      <c r="W82" s="1"/>
      <c r="X82" s="1">
        <f t="shared" ref="X82:X102" si="43">+P82-T82</f>
        <v>189.05000000000018</v>
      </c>
      <c r="Y82" s="1"/>
      <c r="Z82" s="5">
        <f t="shared" ref="Z82:Z102" si="44">IF(T82=0,0,X82/T82)</f>
        <v>3.7923771313941861E-2</v>
      </c>
    </row>
    <row r="83" spans="1:26" s="24" customFormat="1" hidden="1" outlineLevel="2" x14ac:dyDescent="0.25">
      <c r="A83" s="25"/>
      <c r="B83" s="11" t="str">
        <f>CONCATENATE("          ", "6381", " - ", "BANK/CREDIT CARD FEES")</f>
        <v xml:space="preserve">          6381 - BANK/CREDIT CARD FEES</v>
      </c>
      <c r="C83" s="11"/>
      <c r="D83" s="7">
        <v>489.58</v>
      </c>
      <c r="E83" s="2"/>
      <c r="F83" s="6">
        <f t="shared" si="37"/>
        <v>6.5259339158216115E-3</v>
      </c>
      <c r="G83" s="2"/>
      <c r="H83" s="7">
        <v>490</v>
      </c>
      <c r="I83" s="2"/>
      <c r="J83" s="6">
        <f t="shared" si="38"/>
        <v>1.3179339493436405E-2</v>
      </c>
      <c r="K83" s="2"/>
      <c r="L83" s="7">
        <f t="shared" si="39"/>
        <v>-0.42000000000001592</v>
      </c>
      <c r="M83" s="2"/>
      <c r="N83" s="6">
        <f t="shared" si="40"/>
        <v>-8.5714285714288962E-4</v>
      </c>
      <c r="O83" s="11"/>
      <c r="P83" s="7">
        <v>5174.05</v>
      </c>
      <c r="Q83" s="2"/>
      <c r="R83" s="6">
        <f t="shared" si="41"/>
        <v>1.4397003982928556E-2</v>
      </c>
      <c r="S83" s="2"/>
      <c r="T83" s="7">
        <v>4985</v>
      </c>
      <c r="U83" s="2"/>
      <c r="V83" s="6">
        <f t="shared" si="42"/>
        <v>1.4839185754161944E-2</v>
      </c>
      <c r="W83" s="2"/>
      <c r="X83" s="7">
        <f t="shared" si="43"/>
        <v>189.05000000000018</v>
      </c>
      <c r="Y83" s="2"/>
      <c r="Z83" s="6">
        <f t="shared" si="44"/>
        <v>3.7923771313941861E-2</v>
      </c>
    </row>
    <row r="84" spans="1:26" s="27" customFormat="1" outlineLevel="1" collapsed="1" x14ac:dyDescent="0.25">
      <c r="A84" s="26"/>
      <c r="B84" s="13" t="str">
        <f>CONCATENATE("     ","Discounts and Markdowns                           ")</f>
        <v xml:space="preserve">     Discounts and Markdowns                           </v>
      </c>
      <c r="C84" s="13"/>
      <c r="D84" s="1">
        <f>SUM(OSRRefD22_5x_0)</f>
        <v>10777.77</v>
      </c>
      <c r="E84" s="1"/>
      <c r="F84" s="5">
        <f t="shared" si="37"/>
        <v>0.14366398704997077</v>
      </c>
      <c r="G84" s="1"/>
      <c r="H84" s="1">
        <f>SUM(OSRRefH22_5x_0)</f>
        <v>4000</v>
      </c>
      <c r="I84" s="1"/>
      <c r="J84" s="5">
        <f t="shared" si="38"/>
        <v>0.10758644484437881</v>
      </c>
      <c r="K84" s="1"/>
      <c r="L84" s="1">
        <f t="shared" si="39"/>
        <v>6777.77</v>
      </c>
      <c r="M84" s="1"/>
      <c r="N84" s="5">
        <f t="shared" si="40"/>
        <v>1.6944425000000001</v>
      </c>
      <c r="O84" s="13"/>
      <c r="P84" s="1">
        <f>SUM(OSRRefP22_5x_0)</f>
        <v>59207.13</v>
      </c>
      <c r="Q84" s="1"/>
      <c r="R84" s="5">
        <f t="shared" si="41"/>
        <v>0.16474624064857679</v>
      </c>
      <c r="S84" s="1"/>
      <c r="T84" s="1">
        <f>SUM(OSRRefT22_5x_0)</f>
        <v>32000</v>
      </c>
      <c r="U84" s="1"/>
      <c r="V84" s="5">
        <f t="shared" si="42"/>
        <v>9.5256558502142874E-2</v>
      </c>
      <c r="W84" s="1"/>
      <c r="X84" s="1">
        <f t="shared" si="43"/>
        <v>27207.129999999997</v>
      </c>
      <c r="Y84" s="1"/>
      <c r="Z84" s="5">
        <f t="shared" si="44"/>
        <v>0.85022281249999987</v>
      </c>
    </row>
    <row r="85" spans="1:26" s="24" customFormat="1" hidden="1" outlineLevel="2" x14ac:dyDescent="0.25">
      <c r="A85" s="25"/>
      <c r="B85" s="11" t="str">
        <f>CONCATENATE("          ", "6382", " - ", "DISCOUNTS/MARK DOWNS")</f>
        <v xml:space="preserve">          6382 - DISCOUNTS/MARK DOWNS</v>
      </c>
      <c r="C85" s="11"/>
      <c r="D85" s="7">
        <v>10777.77</v>
      </c>
      <c r="E85" s="2"/>
      <c r="F85" s="6">
        <f t="shared" si="37"/>
        <v>0.14366398704997077</v>
      </c>
      <c r="G85" s="2"/>
      <c r="H85" s="7">
        <v>4000</v>
      </c>
      <c r="I85" s="2"/>
      <c r="J85" s="6">
        <f t="shared" si="38"/>
        <v>0.10758644484437881</v>
      </c>
      <c r="K85" s="2"/>
      <c r="L85" s="7">
        <f t="shared" si="39"/>
        <v>6777.77</v>
      </c>
      <c r="M85" s="2"/>
      <c r="N85" s="6">
        <f t="shared" si="40"/>
        <v>1.6944425000000001</v>
      </c>
      <c r="O85" s="11"/>
      <c r="P85" s="7">
        <v>59207.13</v>
      </c>
      <c r="Q85" s="2"/>
      <c r="R85" s="6">
        <f t="shared" si="41"/>
        <v>0.16474624064857679</v>
      </c>
      <c r="S85" s="2"/>
      <c r="T85" s="7">
        <v>32000</v>
      </c>
      <c r="U85" s="2"/>
      <c r="V85" s="6">
        <f t="shared" si="42"/>
        <v>9.5256558502142874E-2</v>
      </c>
      <c r="W85" s="2"/>
      <c r="X85" s="7">
        <f t="shared" si="43"/>
        <v>27207.129999999997</v>
      </c>
      <c r="Y85" s="2"/>
      <c r="Z85" s="6">
        <f t="shared" si="44"/>
        <v>0.85022281249999987</v>
      </c>
    </row>
    <row r="86" spans="1:26" s="27" customFormat="1" outlineLevel="1" collapsed="1" x14ac:dyDescent="0.25">
      <c r="A86" s="26"/>
      <c r="B86" s="13" t="str">
        <f>CONCATENATE("     ","Donations                                         ")</f>
        <v xml:space="preserve">     Donations                                         </v>
      </c>
      <c r="C86" s="13"/>
      <c r="D86" s="1">
        <f>SUM(OSRRefD22_6x_0)</f>
        <v>0</v>
      </c>
      <c r="E86" s="1"/>
      <c r="F86" s="5">
        <f t="shared" si="37"/>
        <v>0</v>
      </c>
      <c r="G86" s="1"/>
      <c r="H86" s="1">
        <f>SUM(OSRRefH22_6x_0)</f>
        <v>25</v>
      </c>
      <c r="I86" s="1"/>
      <c r="J86" s="5">
        <f t="shared" si="38"/>
        <v>6.724152802773676E-4</v>
      </c>
      <c r="K86" s="1"/>
      <c r="L86" s="1">
        <f t="shared" si="39"/>
        <v>-25</v>
      </c>
      <c r="M86" s="1"/>
      <c r="N86" s="5">
        <f t="shared" si="40"/>
        <v>-1</v>
      </c>
      <c r="O86" s="13"/>
      <c r="P86" s="1">
        <f>SUM(OSRRefP22_6x_0)</f>
        <v>0</v>
      </c>
      <c r="Q86" s="1"/>
      <c r="R86" s="5">
        <f t="shared" si="41"/>
        <v>0</v>
      </c>
      <c r="S86" s="1"/>
      <c r="T86" s="1">
        <f>SUM(OSRRefT22_6x_0)</f>
        <v>250</v>
      </c>
      <c r="U86" s="1"/>
      <c r="V86" s="5">
        <f t="shared" si="42"/>
        <v>7.441918632979912E-4</v>
      </c>
      <c r="W86" s="1"/>
      <c r="X86" s="1">
        <f t="shared" si="43"/>
        <v>-250</v>
      </c>
      <c r="Y86" s="1"/>
      <c r="Z86" s="5">
        <f t="shared" si="44"/>
        <v>-1</v>
      </c>
    </row>
    <row r="87" spans="1:26" s="24" customFormat="1" hidden="1" outlineLevel="2" x14ac:dyDescent="0.25">
      <c r="A87" s="25"/>
      <c r="B87" s="11" t="str">
        <f>CONCATENATE("          ", "6395", " - ", "DONATION-OFF CAMPUS")</f>
        <v xml:space="preserve">          6395 - DONATION-OFF CAMPUS</v>
      </c>
      <c r="C87" s="11"/>
      <c r="D87" s="7"/>
      <c r="E87" s="2"/>
      <c r="F87" s="6">
        <f t="shared" si="37"/>
        <v>0</v>
      </c>
      <c r="G87" s="2"/>
      <c r="H87" s="7">
        <v>25</v>
      </c>
      <c r="I87" s="2"/>
      <c r="J87" s="6">
        <f t="shared" si="38"/>
        <v>6.724152802773676E-4</v>
      </c>
      <c r="K87" s="2"/>
      <c r="L87" s="7">
        <f t="shared" si="39"/>
        <v>-25</v>
      </c>
      <c r="M87" s="2"/>
      <c r="N87" s="6">
        <f t="shared" si="40"/>
        <v>-1</v>
      </c>
      <c r="O87" s="11"/>
      <c r="P87" s="7"/>
      <c r="Q87" s="2"/>
      <c r="R87" s="6">
        <f t="shared" si="41"/>
        <v>0</v>
      </c>
      <c r="S87" s="2"/>
      <c r="T87" s="7">
        <v>250</v>
      </c>
      <c r="U87" s="2"/>
      <c r="V87" s="6">
        <f t="shared" si="42"/>
        <v>7.441918632979912E-4</v>
      </c>
      <c r="W87" s="2"/>
      <c r="X87" s="7">
        <f t="shared" si="43"/>
        <v>-250</v>
      </c>
      <c r="Y87" s="2"/>
      <c r="Z87" s="6">
        <f t="shared" si="44"/>
        <v>-1</v>
      </c>
    </row>
    <row r="88" spans="1:26" s="27" customFormat="1" outlineLevel="1" collapsed="1" x14ac:dyDescent="0.25">
      <c r="A88" s="26"/>
      <c r="B88" s="13" t="str">
        <f>CONCATENATE("     ","Employees' Appreciation                           ")</f>
        <v xml:space="preserve">     Employees' Appreciation                           </v>
      </c>
      <c r="C88" s="13"/>
      <c r="D88" s="1">
        <f>SUM(OSRRefD22_7x_0)</f>
        <v>0</v>
      </c>
      <c r="E88" s="1"/>
      <c r="F88" s="5">
        <f t="shared" si="37"/>
        <v>0</v>
      </c>
      <c r="G88" s="1"/>
      <c r="H88" s="1">
        <f>SUM(OSRRefH22_7x_0)</f>
        <v>50</v>
      </c>
      <c r="I88" s="1"/>
      <c r="J88" s="5">
        <f t="shared" si="38"/>
        <v>1.3448305605547352E-3</v>
      </c>
      <c r="K88" s="1"/>
      <c r="L88" s="1">
        <f t="shared" si="39"/>
        <v>-50</v>
      </c>
      <c r="M88" s="1"/>
      <c r="N88" s="5">
        <f t="shared" si="40"/>
        <v>-1</v>
      </c>
      <c r="O88" s="13"/>
      <c r="P88" s="1">
        <f>SUM(OSRRefP22_7x_0)</f>
        <v>120.93</v>
      </c>
      <c r="Q88" s="1"/>
      <c r="R88" s="5">
        <f t="shared" si="41"/>
        <v>3.3649262988481952E-4</v>
      </c>
      <c r="S88" s="1"/>
      <c r="T88" s="1">
        <f>SUM(OSRRefT22_7x_0)</f>
        <v>350</v>
      </c>
      <c r="U88" s="1"/>
      <c r="V88" s="5">
        <f t="shared" si="42"/>
        <v>1.0418686086171877E-3</v>
      </c>
      <c r="W88" s="1"/>
      <c r="X88" s="1">
        <f t="shared" si="43"/>
        <v>-229.07</v>
      </c>
      <c r="Y88" s="1"/>
      <c r="Z88" s="5">
        <f t="shared" si="44"/>
        <v>-0.65448571428571423</v>
      </c>
    </row>
    <row r="89" spans="1:26" s="24" customFormat="1" hidden="1" outlineLevel="2" x14ac:dyDescent="0.25">
      <c r="A89" s="25"/>
      <c r="B89" s="11" t="str">
        <f>CONCATENATE("          ", "6277", " - ", "EMPLOYEE APPRECIATION")</f>
        <v xml:space="preserve">          6277 - EMPLOYEE APPRECIATION</v>
      </c>
      <c r="C89" s="11"/>
      <c r="D89" s="7"/>
      <c r="E89" s="2"/>
      <c r="F89" s="6">
        <f t="shared" si="37"/>
        <v>0</v>
      </c>
      <c r="G89" s="2"/>
      <c r="H89" s="7">
        <v>50</v>
      </c>
      <c r="I89" s="2"/>
      <c r="J89" s="6">
        <f t="shared" si="38"/>
        <v>1.3448305605547352E-3</v>
      </c>
      <c r="K89" s="2"/>
      <c r="L89" s="7">
        <f t="shared" si="39"/>
        <v>-50</v>
      </c>
      <c r="M89" s="2"/>
      <c r="N89" s="6">
        <f t="shared" si="40"/>
        <v>-1</v>
      </c>
      <c r="O89" s="11"/>
      <c r="P89" s="7">
        <v>120.93</v>
      </c>
      <c r="Q89" s="2"/>
      <c r="R89" s="6">
        <f t="shared" si="41"/>
        <v>3.3649262988481952E-4</v>
      </c>
      <c r="S89" s="2"/>
      <c r="T89" s="7">
        <v>350</v>
      </c>
      <c r="U89" s="2"/>
      <c r="V89" s="6">
        <f t="shared" si="42"/>
        <v>1.0418686086171877E-3</v>
      </c>
      <c r="W89" s="2"/>
      <c r="X89" s="7">
        <f t="shared" si="43"/>
        <v>-229.07</v>
      </c>
      <c r="Y89" s="2"/>
      <c r="Z89" s="6">
        <f t="shared" si="44"/>
        <v>-0.65448571428571423</v>
      </c>
    </row>
    <row r="90" spans="1:26" s="27" customFormat="1" outlineLevel="1" collapsed="1" x14ac:dyDescent="0.25">
      <c r="A90" s="26"/>
      <c r="B90" s="13" t="str">
        <f>CONCATENATE("     ","General                                           ")</f>
        <v xml:space="preserve">     General                                           </v>
      </c>
      <c r="C90" s="13"/>
      <c r="D90" s="1">
        <f>SUM(OSRRefD22_8x_0)</f>
        <v>0</v>
      </c>
      <c r="E90" s="1"/>
      <c r="F90" s="5">
        <f t="shared" si="37"/>
        <v>0</v>
      </c>
      <c r="G90" s="1"/>
      <c r="H90" s="1">
        <f>SUM(OSRRefH22_8x_0)</f>
        <v>600</v>
      </c>
      <c r="I90" s="1"/>
      <c r="J90" s="5">
        <f t="shared" si="38"/>
        <v>1.6137966726656822E-2</v>
      </c>
      <c r="K90" s="1"/>
      <c r="L90" s="1">
        <f t="shared" si="39"/>
        <v>-600</v>
      </c>
      <c r="M90" s="1"/>
      <c r="N90" s="5">
        <f t="shared" si="40"/>
        <v>-1</v>
      </c>
      <c r="O90" s="13"/>
      <c r="P90" s="1">
        <f>SUM(OSRRefP22_8x_0)</f>
        <v>1271.44</v>
      </c>
      <c r="Q90" s="1"/>
      <c r="R90" s="5">
        <f t="shared" si="41"/>
        <v>3.5378333692281062E-3</v>
      </c>
      <c r="S90" s="1"/>
      <c r="T90" s="1">
        <f>SUM(OSRRefT22_8x_0)</f>
        <v>1615</v>
      </c>
      <c r="U90" s="1"/>
      <c r="V90" s="5">
        <f t="shared" si="42"/>
        <v>4.8074794369050234E-3</v>
      </c>
      <c r="W90" s="1"/>
      <c r="X90" s="1">
        <f t="shared" si="43"/>
        <v>-343.55999999999995</v>
      </c>
      <c r="Y90" s="1"/>
      <c r="Z90" s="5">
        <f t="shared" si="44"/>
        <v>-0.21273065015479872</v>
      </c>
    </row>
    <row r="91" spans="1:26" s="24" customFormat="1" hidden="1" outlineLevel="2" x14ac:dyDescent="0.25">
      <c r="A91" s="25"/>
      <c r="B91" s="11" t="str">
        <f>CONCATENATE("          ", "6279", " - ", "GENERAL EXPENSE")</f>
        <v xml:space="preserve">          6279 - GENERAL EXPENSE</v>
      </c>
      <c r="C91" s="11"/>
      <c r="D91" s="7"/>
      <c r="E91" s="2"/>
      <c r="F91" s="6">
        <f t="shared" si="37"/>
        <v>0</v>
      </c>
      <c r="G91" s="2"/>
      <c r="H91" s="7">
        <v>600</v>
      </c>
      <c r="I91" s="2"/>
      <c r="J91" s="6">
        <f t="shared" si="38"/>
        <v>1.6137966726656822E-2</v>
      </c>
      <c r="K91" s="2"/>
      <c r="L91" s="7">
        <f t="shared" si="39"/>
        <v>-600</v>
      </c>
      <c r="M91" s="2"/>
      <c r="N91" s="6">
        <f t="shared" si="40"/>
        <v>-1</v>
      </c>
      <c r="O91" s="11"/>
      <c r="P91" s="7">
        <v>1271.44</v>
      </c>
      <c r="Q91" s="2"/>
      <c r="R91" s="6">
        <f t="shared" si="41"/>
        <v>3.5378333692281062E-3</v>
      </c>
      <c r="S91" s="2"/>
      <c r="T91" s="7">
        <v>1615</v>
      </c>
      <c r="U91" s="2"/>
      <c r="V91" s="6">
        <f t="shared" si="42"/>
        <v>4.8074794369050234E-3</v>
      </c>
      <c r="W91" s="2"/>
      <c r="X91" s="7">
        <f t="shared" si="43"/>
        <v>-343.55999999999995</v>
      </c>
      <c r="Y91" s="2"/>
      <c r="Z91" s="6">
        <f t="shared" si="44"/>
        <v>-0.21273065015479872</v>
      </c>
    </row>
    <row r="92" spans="1:26" s="27" customFormat="1" outlineLevel="1" collapsed="1" x14ac:dyDescent="0.25">
      <c r="A92" s="26"/>
      <c r="B92" s="13" t="str">
        <f>CONCATENATE("     ","Insurance                                         ")</f>
        <v xml:space="preserve">     Insurance                                         </v>
      </c>
      <c r="C92" s="13"/>
      <c r="D92" s="1">
        <f>SUM(OSRRefD22_9x_0)</f>
        <v>161.18</v>
      </c>
      <c r="E92" s="1"/>
      <c r="F92" s="5">
        <f t="shared" si="37"/>
        <v>2.1484742606971839E-3</v>
      </c>
      <c r="G92" s="1"/>
      <c r="H92" s="1">
        <f>SUM(OSRRefH22_9x_0)</f>
        <v>155</v>
      </c>
      <c r="I92" s="1"/>
      <c r="J92" s="5">
        <f t="shared" si="38"/>
        <v>4.1689747377196794E-3</v>
      </c>
      <c r="K92" s="1"/>
      <c r="L92" s="1">
        <f t="shared" si="39"/>
        <v>6.1800000000000068</v>
      </c>
      <c r="M92" s="1"/>
      <c r="N92" s="5">
        <f t="shared" si="40"/>
        <v>3.9870967741935527E-2</v>
      </c>
      <c r="O92" s="13"/>
      <c r="P92" s="1">
        <f>SUM(OSRRefP22_9x_0)</f>
        <v>1128.26</v>
      </c>
      <c r="Q92" s="1"/>
      <c r="R92" s="5">
        <f t="shared" si="41"/>
        <v>3.1394292118899067E-3</v>
      </c>
      <c r="S92" s="1"/>
      <c r="T92" s="1">
        <f>SUM(OSRRefT22_9x_0)</f>
        <v>1085</v>
      </c>
      <c r="U92" s="1"/>
      <c r="V92" s="5">
        <f t="shared" si="42"/>
        <v>3.2297926867132817E-3</v>
      </c>
      <c r="W92" s="1"/>
      <c r="X92" s="1">
        <f t="shared" si="43"/>
        <v>43.259999999999991</v>
      </c>
      <c r="Y92" s="1"/>
      <c r="Z92" s="5">
        <f t="shared" si="44"/>
        <v>3.9870967741935479E-2</v>
      </c>
    </row>
    <row r="93" spans="1:26" s="24" customFormat="1" hidden="1" outlineLevel="2" x14ac:dyDescent="0.25">
      <c r="A93" s="25"/>
      <c r="B93" s="11" t="str">
        <f>CONCATENATE("          ", "6314", " - ", "LIABILITY INSURANCE")</f>
        <v xml:space="preserve">          6314 - LIABILITY INSURANCE</v>
      </c>
      <c r="C93" s="11"/>
      <c r="D93" s="7">
        <v>161.18</v>
      </c>
      <c r="E93" s="2"/>
      <c r="F93" s="6">
        <f t="shared" si="37"/>
        <v>2.1484742606971839E-3</v>
      </c>
      <c r="G93" s="2"/>
      <c r="H93" s="7">
        <v>155</v>
      </c>
      <c r="I93" s="2"/>
      <c r="J93" s="6">
        <f t="shared" si="38"/>
        <v>4.1689747377196794E-3</v>
      </c>
      <c r="K93" s="2"/>
      <c r="L93" s="7">
        <f t="shared" si="39"/>
        <v>6.1800000000000068</v>
      </c>
      <c r="M93" s="2"/>
      <c r="N93" s="6">
        <f t="shared" si="40"/>
        <v>3.9870967741935527E-2</v>
      </c>
      <c r="O93" s="11"/>
      <c r="P93" s="7">
        <v>1128.26</v>
      </c>
      <c r="Q93" s="2"/>
      <c r="R93" s="6">
        <f t="shared" si="41"/>
        <v>3.1394292118899067E-3</v>
      </c>
      <c r="S93" s="2"/>
      <c r="T93" s="7">
        <v>1085</v>
      </c>
      <c r="U93" s="2"/>
      <c r="V93" s="6">
        <f t="shared" si="42"/>
        <v>3.2297926867132817E-3</v>
      </c>
      <c r="W93" s="2"/>
      <c r="X93" s="7">
        <f t="shared" si="43"/>
        <v>43.259999999999991</v>
      </c>
      <c r="Y93" s="2"/>
      <c r="Z93" s="6">
        <f t="shared" si="44"/>
        <v>3.9870967741935479E-2</v>
      </c>
    </row>
    <row r="94" spans="1:26" s="27" customFormat="1" outlineLevel="1" collapsed="1" x14ac:dyDescent="0.25">
      <c r="A94" s="26"/>
      <c r="B94" s="13" t="str">
        <f>CONCATENATE("     ","Inventory Adjustment                              ")</f>
        <v xml:space="preserve">     Inventory Adjustment                              </v>
      </c>
      <c r="C94" s="13"/>
      <c r="D94" s="1">
        <f>SUM(OSRRefD22_10x_0)</f>
        <v>300</v>
      </c>
      <c r="E94" s="1"/>
      <c r="F94" s="5">
        <f t="shared" si="37"/>
        <v>3.9988973706983197E-3</v>
      </c>
      <c r="G94" s="1"/>
      <c r="H94" s="1">
        <f>SUM(OSRRefH22_10x_0)</f>
        <v>300</v>
      </c>
      <c r="I94" s="1"/>
      <c r="J94" s="5">
        <f t="shared" si="38"/>
        <v>8.0689833633284108E-3</v>
      </c>
      <c r="K94" s="1"/>
      <c r="L94" s="1">
        <f t="shared" si="39"/>
        <v>0</v>
      </c>
      <c r="M94" s="1"/>
      <c r="N94" s="5">
        <f t="shared" si="40"/>
        <v>0</v>
      </c>
      <c r="O94" s="13"/>
      <c r="P94" s="1">
        <f>SUM(OSRRefP22_10x_0)</f>
        <v>2100</v>
      </c>
      <c r="Q94" s="1"/>
      <c r="R94" s="5">
        <f t="shared" si="41"/>
        <v>5.843335175375183E-3</v>
      </c>
      <c r="S94" s="1"/>
      <c r="T94" s="1">
        <f>SUM(OSRRefT22_10x_0)</f>
        <v>2100</v>
      </c>
      <c r="U94" s="1"/>
      <c r="V94" s="5">
        <f t="shared" si="42"/>
        <v>6.2512116517031259E-3</v>
      </c>
      <c r="W94" s="1"/>
      <c r="X94" s="1">
        <f t="shared" si="43"/>
        <v>0</v>
      </c>
      <c r="Y94" s="1"/>
      <c r="Z94" s="5">
        <f t="shared" si="44"/>
        <v>0</v>
      </c>
    </row>
    <row r="95" spans="1:26" s="24" customFormat="1" hidden="1" outlineLevel="2" x14ac:dyDescent="0.25">
      <c r="A95" s="25"/>
      <c r="B95" s="11" t="str">
        <f>CONCATENATE("          ", "6408", " - ", "INVENTORY ADJUSTMENT")</f>
        <v xml:space="preserve">          6408 - INVENTORY ADJUSTMENT</v>
      </c>
      <c r="C95" s="11"/>
      <c r="D95" s="7">
        <v>300</v>
      </c>
      <c r="E95" s="2"/>
      <c r="F95" s="6">
        <f t="shared" si="37"/>
        <v>3.9988973706983197E-3</v>
      </c>
      <c r="G95" s="2"/>
      <c r="H95" s="7">
        <v>300</v>
      </c>
      <c r="I95" s="2"/>
      <c r="J95" s="6">
        <f t="shared" si="38"/>
        <v>8.0689833633284108E-3</v>
      </c>
      <c r="K95" s="2"/>
      <c r="L95" s="7">
        <f t="shared" si="39"/>
        <v>0</v>
      </c>
      <c r="M95" s="2"/>
      <c r="N95" s="6">
        <f t="shared" si="40"/>
        <v>0</v>
      </c>
      <c r="O95" s="11"/>
      <c r="P95" s="7">
        <v>2100</v>
      </c>
      <c r="Q95" s="2"/>
      <c r="R95" s="6">
        <f t="shared" si="41"/>
        <v>5.843335175375183E-3</v>
      </c>
      <c r="S95" s="2"/>
      <c r="T95" s="7">
        <v>2100</v>
      </c>
      <c r="U95" s="2"/>
      <c r="V95" s="6">
        <f t="shared" si="42"/>
        <v>6.2512116517031259E-3</v>
      </c>
      <c r="W95" s="2"/>
      <c r="X95" s="7">
        <f t="shared" si="43"/>
        <v>0</v>
      </c>
      <c r="Y95" s="2"/>
      <c r="Z95" s="6">
        <f t="shared" si="44"/>
        <v>0</v>
      </c>
    </row>
    <row r="96" spans="1:26" s="27" customFormat="1" outlineLevel="1" collapsed="1" x14ac:dyDescent="0.25">
      <c r="A96" s="26"/>
      <c r="B96" s="13" t="str">
        <f>CONCATENATE("     ","Professional Services                             ")</f>
        <v xml:space="preserve">     Professional Services                             </v>
      </c>
      <c r="C96" s="13"/>
      <c r="D96" s="1">
        <f>SUM(OSRRefD22_11x_0)</f>
        <v>0</v>
      </c>
      <c r="E96" s="1"/>
      <c r="F96" s="5">
        <f t="shared" si="37"/>
        <v>0</v>
      </c>
      <c r="G96" s="1"/>
      <c r="H96" s="1">
        <f>SUM(OSRRefH22_11x_0)</f>
        <v>0</v>
      </c>
      <c r="I96" s="1"/>
      <c r="J96" s="5">
        <f t="shared" si="38"/>
        <v>0</v>
      </c>
      <c r="K96" s="1"/>
      <c r="L96" s="1">
        <f t="shared" si="39"/>
        <v>0</v>
      </c>
      <c r="M96" s="1"/>
      <c r="N96" s="5">
        <f t="shared" si="40"/>
        <v>0</v>
      </c>
      <c r="O96" s="13"/>
      <c r="P96" s="1">
        <f>SUM(OSRRefP22_11x_0)</f>
        <v>750</v>
      </c>
      <c r="Q96" s="1"/>
      <c r="R96" s="5">
        <f t="shared" si="41"/>
        <v>2.0869054197768513E-3</v>
      </c>
      <c r="S96" s="1"/>
      <c r="T96" s="1">
        <f>SUM(OSRRefT22_11x_0)</f>
        <v>900</v>
      </c>
      <c r="U96" s="1"/>
      <c r="V96" s="5">
        <f t="shared" si="42"/>
        <v>2.6790907078727685E-3</v>
      </c>
      <c r="W96" s="1"/>
      <c r="X96" s="1">
        <f t="shared" si="43"/>
        <v>-150</v>
      </c>
      <c r="Y96" s="1"/>
      <c r="Z96" s="5">
        <f t="shared" si="44"/>
        <v>-0.16666666666666666</v>
      </c>
    </row>
    <row r="97" spans="1:26" s="24" customFormat="1" hidden="1" outlineLevel="2" x14ac:dyDescent="0.25">
      <c r="A97" s="25"/>
      <c r="B97" s="11" t="str">
        <f>CONCATENATE("          ", "6336", " - ", "PROFESSIONAL SERVICES")</f>
        <v xml:space="preserve">          6336 - PROFESSIONAL SERVICES</v>
      </c>
      <c r="C97" s="11"/>
      <c r="D97" s="7"/>
      <c r="E97" s="2"/>
      <c r="F97" s="6">
        <f t="shared" si="37"/>
        <v>0</v>
      </c>
      <c r="G97" s="2"/>
      <c r="H97" s="7">
        <v>0</v>
      </c>
      <c r="I97" s="2"/>
      <c r="J97" s="6">
        <f t="shared" si="38"/>
        <v>0</v>
      </c>
      <c r="K97" s="2"/>
      <c r="L97" s="7">
        <f t="shared" si="39"/>
        <v>0</v>
      </c>
      <c r="M97" s="2"/>
      <c r="N97" s="6">
        <f t="shared" si="40"/>
        <v>0</v>
      </c>
      <c r="O97" s="11"/>
      <c r="P97" s="7">
        <v>750</v>
      </c>
      <c r="Q97" s="2"/>
      <c r="R97" s="6">
        <f t="shared" si="41"/>
        <v>2.0869054197768513E-3</v>
      </c>
      <c r="S97" s="2"/>
      <c r="T97" s="7">
        <v>900</v>
      </c>
      <c r="U97" s="2"/>
      <c r="V97" s="6">
        <f t="shared" si="42"/>
        <v>2.6790907078727685E-3</v>
      </c>
      <c r="W97" s="2"/>
      <c r="X97" s="7">
        <f t="shared" si="43"/>
        <v>-150</v>
      </c>
      <c r="Y97" s="2"/>
      <c r="Z97" s="6">
        <f t="shared" si="44"/>
        <v>-0.16666666666666666</v>
      </c>
    </row>
    <row r="98" spans="1:26" s="27" customFormat="1" outlineLevel="1" collapsed="1" x14ac:dyDescent="0.25">
      <c r="A98" s="26"/>
      <c r="B98" s="13" t="str">
        <f>CONCATENATE("     ","Rent                                              ")</f>
        <v xml:space="preserve">     Rent                                              </v>
      </c>
      <c r="C98" s="13"/>
      <c r="D98" s="1">
        <f>SUM(OSRRefD22_12x_0)</f>
        <v>6900</v>
      </c>
      <c r="E98" s="1"/>
      <c r="F98" s="5">
        <f t="shared" si="37"/>
        <v>9.1974639526061358E-2</v>
      </c>
      <c r="G98" s="1"/>
      <c r="H98" s="1">
        <f>SUM(OSRRefH22_12x_0)</f>
        <v>7200</v>
      </c>
      <c r="I98" s="1"/>
      <c r="J98" s="5">
        <f t="shared" si="38"/>
        <v>0.19365560071988186</v>
      </c>
      <c r="K98" s="1"/>
      <c r="L98" s="1">
        <f t="shared" si="39"/>
        <v>-300</v>
      </c>
      <c r="M98" s="1"/>
      <c r="N98" s="5">
        <f t="shared" si="40"/>
        <v>-4.1666666666666664E-2</v>
      </c>
      <c r="O98" s="13"/>
      <c r="P98" s="1">
        <f>SUM(OSRRefP22_12x_0)</f>
        <v>48300</v>
      </c>
      <c r="Q98" s="1"/>
      <c r="R98" s="5">
        <f t="shared" si="41"/>
        <v>0.13439670903362921</v>
      </c>
      <c r="S98" s="1"/>
      <c r="T98" s="1">
        <f>SUM(OSRRefT22_12x_0)</f>
        <v>50400</v>
      </c>
      <c r="U98" s="1"/>
      <c r="V98" s="5">
        <f t="shared" si="42"/>
        <v>0.15002907964087503</v>
      </c>
      <c r="W98" s="1"/>
      <c r="X98" s="1">
        <f t="shared" si="43"/>
        <v>-2100</v>
      </c>
      <c r="Y98" s="1"/>
      <c r="Z98" s="5">
        <f t="shared" si="44"/>
        <v>-4.1666666666666664E-2</v>
      </c>
    </row>
    <row r="99" spans="1:26" s="24" customFormat="1" hidden="1" outlineLevel="2" x14ac:dyDescent="0.25">
      <c r="A99" s="25"/>
      <c r="B99" s="11" t="str">
        <f>CONCATENATE("          ", "6273", " - ", "RENT")</f>
        <v xml:space="preserve">          6273 - RENT</v>
      </c>
      <c r="C99" s="11"/>
      <c r="D99" s="7">
        <v>6900</v>
      </c>
      <c r="E99" s="2"/>
      <c r="F99" s="6">
        <f t="shared" si="37"/>
        <v>9.1974639526061358E-2</v>
      </c>
      <c r="G99" s="2"/>
      <c r="H99" s="7">
        <v>7200</v>
      </c>
      <c r="I99" s="2"/>
      <c r="J99" s="6">
        <f t="shared" si="38"/>
        <v>0.19365560071988186</v>
      </c>
      <c r="K99" s="2"/>
      <c r="L99" s="7">
        <f t="shared" si="39"/>
        <v>-300</v>
      </c>
      <c r="M99" s="2"/>
      <c r="N99" s="6">
        <f t="shared" si="40"/>
        <v>-4.1666666666666664E-2</v>
      </c>
      <c r="O99" s="11"/>
      <c r="P99" s="7">
        <v>48300</v>
      </c>
      <c r="Q99" s="2"/>
      <c r="R99" s="6">
        <f t="shared" si="41"/>
        <v>0.13439670903362921</v>
      </c>
      <c r="S99" s="2"/>
      <c r="T99" s="7">
        <v>50400</v>
      </c>
      <c r="U99" s="2"/>
      <c r="V99" s="6">
        <f t="shared" si="42"/>
        <v>0.15002907964087503</v>
      </c>
      <c r="W99" s="2"/>
      <c r="X99" s="7">
        <f t="shared" si="43"/>
        <v>-2100</v>
      </c>
      <c r="Y99" s="2"/>
      <c r="Z99" s="6">
        <f t="shared" si="44"/>
        <v>-4.1666666666666664E-2</v>
      </c>
    </row>
    <row r="100" spans="1:26" s="27" customFormat="1" outlineLevel="1" collapsed="1" x14ac:dyDescent="0.25">
      <c r="A100" s="26"/>
      <c r="B100" s="13" t="str">
        <f>CONCATENATE("     ","Repair and Maintenance                            ")</f>
        <v xml:space="preserve">     Repair and Maintenance                            </v>
      </c>
      <c r="C100" s="13"/>
      <c r="D100" s="1">
        <f>SUM(OSRRefD22_13x_0)</f>
        <v>0</v>
      </c>
      <c r="E100" s="1"/>
      <c r="F100" s="5">
        <f t="shared" si="37"/>
        <v>0</v>
      </c>
      <c r="G100" s="1"/>
      <c r="H100" s="1">
        <f>SUM(OSRRefH22_13x_0)</f>
        <v>100</v>
      </c>
      <c r="I100" s="1"/>
      <c r="J100" s="5">
        <f t="shared" si="38"/>
        <v>2.6896611211094704E-3</v>
      </c>
      <c r="K100" s="1"/>
      <c r="L100" s="1">
        <f t="shared" si="39"/>
        <v>-100</v>
      </c>
      <c r="M100" s="1"/>
      <c r="N100" s="5">
        <f t="shared" si="40"/>
        <v>-1</v>
      </c>
      <c r="O100" s="13"/>
      <c r="P100" s="1">
        <f>SUM(OSRRefP22_13x_0)</f>
        <v>275.75</v>
      </c>
      <c r="Q100" s="1"/>
      <c r="R100" s="5">
        <f t="shared" si="41"/>
        <v>7.6728555933795555E-4</v>
      </c>
      <c r="S100" s="1"/>
      <c r="T100" s="1">
        <f>SUM(OSRRefT22_13x_0)</f>
        <v>1050</v>
      </c>
      <c r="U100" s="1"/>
      <c r="V100" s="5">
        <f t="shared" si="42"/>
        <v>3.125605825851563E-3</v>
      </c>
      <c r="W100" s="1"/>
      <c r="X100" s="1">
        <f t="shared" si="43"/>
        <v>-774.25</v>
      </c>
      <c r="Y100" s="1"/>
      <c r="Z100" s="5">
        <f t="shared" si="44"/>
        <v>-0.73738095238095236</v>
      </c>
    </row>
    <row r="101" spans="1:26" s="24" customFormat="1" hidden="1" outlineLevel="2" x14ac:dyDescent="0.25">
      <c r="A101" s="25"/>
      <c r="B101" s="11" t="str">
        <f>CONCATENATE("          ", "6373", " - ", "MAINTENANCE CONTRACTS")</f>
        <v xml:space="preserve">          6373 - MAINTENANCE CONTRACTS</v>
      </c>
      <c r="C101" s="11"/>
      <c r="D101" s="7"/>
      <c r="E101" s="2"/>
      <c r="F101" s="6">
        <f t="shared" si="37"/>
        <v>0</v>
      </c>
      <c r="G101" s="2"/>
      <c r="H101" s="7">
        <v>0</v>
      </c>
      <c r="I101" s="2"/>
      <c r="J101" s="6">
        <f t="shared" si="38"/>
        <v>0</v>
      </c>
      <c r="K101" s="2"/>
      <c r="L101" s="7">
        <f t="shared" si="39"/>
        <v>0</v>
      </c>
      <c r="M101" s="2"/>
      <c r="N101" s="6">
        <f t="shared" si="40"/>
        <v>0</v>
      </c>
      <c r="O101" s="11"/>
      <c r="P101" s="7">
        <v>93.22</v>
      </c>
      <c r="Q101" s="2"/>
      <c r="R101" s="6">
        <f t="shared" si="41"/>
        <v>2.5938843097546407E-4</v>
      </c>
      <c r="S101" s="2"/>
      <c r="T101" s="7">
        <v>75</v>
      </c>
      <c r="U101" s="2"/>
      <c r="V101" s="6">
        <f t="shared" si="42"/>
        <v>2.2325755898939737E-4</v>
      </c>
      <c r="W101" s="2"/>
      <c r="X101" s="7">
        <f t="shared" si="43"/>
        <v>18.22</v>
      </c>
      <c r="Y101" s="2"/>
      <c r="Z101" s="6">
        <f t="shared" si="44"/>
        <v>0.24293333333333331</v>
      </c>
    </row>
    <row r="102" spans="1:26" s="24" customFormat="1" hidden="1" outlineLevel="2" x14ac:dyDescent="0.25">
      <c r="A102" s="25"/>
      <c r="B102" s="11" t="str">
        <f>CONCATENATE("          ", "6375", " - ", "OUTSIDE REPAIRS &amp; MAINTENANCE")</f>
        <v xml:space="preserve">          6375 - OUTSIDE REPAIRS &amp; MAINTENANCE</v>
      </c>
      <c r="C102" s="11"/>
      <c r="D102" s="7"/>
      <c r="E102" s="2"/>
      <c r="F102" s="6">
        <f t="shared" si="37"/>
        <v>0</v>
      </c>
      <c r="G102" s="2"/>
      <c r="H102" s="7">
        <v>100</v>
      </c>
      <c r="I102" s="2"/>
      <c r="J102" s="6">
        <f t="shared" si="38"/>
        <v>2.6896611211094704E-3</v>
      </c>
      <c r="K102" s="2"/>
      <c r="L102" s="7">
        <f t="shared" si="39"/>
        <v>-100</v>
      </c>
      <c r="M102" s="2"/>
      <c r="N102" s="6">
        <f t="shared" si="40"/>
        <v>-1</v>
      </c>
      <c r="O102" s="11"/>
      <c r="P102" s="7">
        <v>182.53</v>
      </c>
      <c r="Q102" s="2"/>
      <c r="R102" s="6">
        <f t="shared" si="41"/>
        <v>5.0789712836249153E-4</v>
      </c>
      <c r="S102" s="2"/>
      <c r="T102" s="7">
        <v>975</v>
      </c>
      <c r="U102" s="2"/>
      <c r="V102" s="6">
        <f t="shared" si="42"/>
        <v>2.9023482668621655E-3</v>
      </c>
      <c r="W102" s="2"/>
      <c r="X102" s="7">
        <f t="shared" si="43"/>
        <v>-792.47</v>
      </c>
      <c r="Y102" s="2"/>
      <c r="Z102" s="6">
        <f t="shared" si="44"/>
        <v>-0.81278974358974365</v>
      </c>
    </row>
    <row r="103" spans="1:26" s="27" customFormat="1" outlineLevel="1" collapsed="1" x14ac:dyDescent="0.25">
      <c r="A103" s="26"/>
      <c r="B103" s="13" t="str">
        <f>CONCATENATE("     ","Services                                          ")</f>
        <v xml:space="preserve">     Services                                          </v>
      </c>
      <c r="C103" s="13"/>
      <c r="D103" s="1">
        <f>SUM(OSRRefD22_14x_0)</f>
        <v>189.45</v>
      </c>
      <c r="E103" s="1"/>
      <c r="F103" s="5">
        <f t="shared" ref="F103:F106" si="45">IF(D$12=0,0,D103/D$12)</f>
        <v>2.5253036895959888E-3</v>
      </c>
      <c r="G103" s="1"/>
      <c r="H103" s="1">
        <f>SUM(OSRRefH22_14x_0)</f>
        <v>567.5</v>
      </c>
      <c r="I103" s="1"/>
      <c r="J103" s="5">
        <f t="shared" ref="J103:J106" si="46">IF(H$12=0,0,H103/H$12)</f>
        <v>1.5263826862296244E-2</v>
      </c>
      <c r="K103" s="1"/>
      <c r="L103" s="1">
        <f t="shared" ref="L103:L106" si="47">+D103-H103</f>
        <v>-378.05</v>
      </c>
      <c r="M103" s="1"/>
      <c r="N103" s="5">
        <f t="shared" ref="N103:N106" si="48">IF(H103=0,0,L103/H103)</f>
        <v>-0.6661674008810573</v>
      </c>
      <c r="O103" s="13"/>
      <c r="P103" s="1">
        <f>SUM(OSRRefP22_14x_0)</f>
        <v>2191.73</v>
      </c>
      <c r="Q103" s="1"/>
      <c r="R103" s="5">
        <f t="shared" ref="R103:R106" si="49">IF(P$12=0,0,P103/P$12)</f>
        <v>6.0985776209166905E-3</v>
      </c>
      <c r="S103" s="1"/>
      <c r="T103" s="1">
        <f>SUM(OSRRefT22_14x_0)</f>
        <v>1962.5</v>
      </c>
      <c r="U103" s="1"/>
      <c r="V103" s="5">
        <f t="shared" ref="V103:V106" si="50">IF(T$12=0,0,T103/T$12)</f>
        <v>5.8419061268892309E-3</v>
      </c>
      <c r="W103" s="1"/>
      <c r="X103" s="1">
        <f t="shared" ref="X103:X106" si="51">+P103-T103</f>
        <v>229.23000000000002</v>
      </c>
      <c r="Y103" s="1"/>
      <c r="Z103" s="5">
        <f t="shared" ref="Z103:Z106" si="52">IF(T103=0,0,X103/T103)</f>
        <v>0.11680509554140128</v>
      </c>
    </row>
    <row r="104" spans="1:26" s="24" customFormat="1" hidden="1" outlineLevel="2" x14ac:dyDescent="0.25">
      <c r="A104" s="25"/>
      <c r="B104" s="11" t="str">
        <f>CONCATENATE("          ", "6283", " - ", "PLANT SERVICE")</f>
        <v xml:space="preserve">          6283 - PLANT SERVICE</v>
      </c>
      <c r="C104" s="11"/>
      <c r="D104" s="7"/>
      <c r="E104" s="2"/>
      <c r="F104" s="6">
        <f t="shared" si="45"/>
        <v>0</v>
      </c>
      <c r="G104" s="2"/>
      <c r="H104" s="7">
        <v>60</v>
      </c>
      <c r="I104" s="2"/>
      <c r="J104" s="6">
        <f t="shared" si="46"/>
        <v>1.6137966726656823E-3</v>
      </c>
      <c r="K104" s="2"/>
      <c r="L104" s="7">
        <f t="shared" si="47"/>
        <v>-60</v>
      </c>
      <c r="M104" s="2"/>
      <c r="N104" s="6">
        <f t="shared" si="48"/>
        <v>-1</v>
      </c>
      <c r="O104" s="11"/>
      <c r="P104" s="7">
        <v>178.65</v>
      </c>
      <c r="Q104" s="2"/>
      <c r="R104" s="6">
        <f t="shared" si="49"/>
        <v>4.9710087099084596E-4</v>
      </c>
      <c r="S104" s="2"/>
      <c r="T104" s="7">
        <v>420</v>
      </c>
      <c r="U104" s="2"/>
      <c r="V104" s="6">
        <f t="shared" si="50"/>
        <v>1.2502423303406252E-3</v>
      </c>
      <c r="W104" s="2"/>
      <c r="X104" s="7">
        <f t="shared" si="51"/>
        <v>-241.35</v>
      </c>
      <c r="Y104" s="2"/>
      <c r="Z104" s="6">
        <f t="shared" si="52"/>
        <v>-0.57464285714285712</v>
      </c>
    </row>
    <row r="105" spans="1:26" s="24" customFormat="1" hidden="1" outlineLevel="2" x14ac:dyDescent="0.25">
      <c r="A105" s="25"/>
      <c r="B105" s="11" t="str">
        <f>CONCATENATE("          ", "6284", " - ", "TRASH REMOVAL EXPENSE")</f>
        <v xml:space="preserve">          6284 - TRASH REMOVAL EXPENSE</v>
      </c>
      <c r="C105" s="11"/>
      <c r="D105" s="7">
        <v>134.82</v>
      </c>
      <c r="E105" s="2"/>
      <c r="F105" s="6">
        <f t="shared" si="45"/>
        <v>1.7971044783918247E-3</v>
      </c>
      <c r="G105" s="2"/>
      <c r="H105" s="7">
        <v>62.5</v>
      </c>
      <c r="I105" s="2"/>
      <c r="J105" s="6">
        <f t="shared" si="46"/>
        <v>1.6810382006934188E-3</v>
      </c>
      <c r="K105" s="2"/>
      <c r="L105" s="7">
        <f t="shared" si="47"/>
        <v>72.319999999999993</v>
      </c>
      <c r="M105" s="2"/>
      <c r="N105" s="6">
        <f t="shared" si="48"/>
        <v>1.1571199999999999</v>
      </c>
      <c r="O105" s="11"/>
      <c r="P105" s="7">
        <v>943.74</v>
      </c>
      <c r="Q105" s="2"/>
      <c r="R105" s="6">
        <f t="shared" si="49"/>
        <v>2.6259948278136071E-3</v>
      </c>
      <c r="S105" s="2"/>
      <c r="T105" s="7">
        <v>437.5</v>
      </c>
      <c r="U105" s="2"/>
      <c r="V105" s="6">
        <f t="shared" si="50"/>
        <v>1.3023357607714846E-3</v>
      </c>
      <c r="W105" s="2"/>
      <c r="X105" s="7">
        <f t="shared" si="51"/>
        <v>506.24</v>
      </c>
      <c r="Y105" s="2"/>
      <c r="Z105" s="6">
        <f t="shared" si="52"/>
        <v>1.1571199999999999</v>
      </c>
    </row>
    <row r="106" spans="1:26" s="24" customFormat="1" hidden="1" outlineLevel="2" x14ac:dyDescent="0.25">
      <c r="A106" s="25"/>
      <c r="B106" s="11" t="str">
        <f>CONCATENATE("          ", "6285", " - ", "JANITORIAL SERVICES")</f>
        <v xml:space="preserve">          6285 - JANITORIAL SERVICES</v>
      </c>
      <c r="C106" s="11"/>
      <c r="D106" s="7">
        <v>54.63</v>
      </c>
      <c r="E106" s="2"/>
      <c r="F106" s="6">
        <f t="shared" si="45"/>
        <v>7.2819921120416409E-4</v>
      </c>
      <c r="G106" s="2"/>
      <c r="H106" s="7">
        <v>445</v>
      </c>
      <c r="I106" s="2"/>
      <c r="J106" s="6">
        <f t="shared" si="46"/>
        <v>1.1968991988937142E-2</v>
      </c>
      <c r="K106" s="2"/>
      <c r="L106" s="7">
        <f t="shared" si="47"/>
        <v>-390.37</v>
      </c>
      <c r="M106" s="2"/>
      <c r="N106" s="6">
        <f t="shared" si="48"/>
        <v>-0.87723595505617979</v>
      </c>
      <c r="O106" s="11"/>
      <c r="P106" s="7">
        <v>1069.3399999999999</v>
      </c>
      <c r="Q106" s="2"/>
      <c r="R106" s="6">
        <f t="shared" si="49"/>
        <v>2.9754819221122371E-3</v>
      </c>
      <c r="S106" s="2"/>
      <c r="T106" s="7">
        <v>1105</v>
      </c>
      <c r="U106" s="2"/>
      <c r="V106" s="6">
        <f t="shared" si="50"/>
        <v>3.2893280357771211E-3</v>
      </c>
      <c r="W106" s="2"/>
      <c r="X106" s="7">
        <f t="shared" si="51"/>
        <v>-35.660000000000082</v>
      </c>
      <c r="Y106" s="2"/>
      <c r="Z106" s="6">
        <f t="shared" si="52"/>
        <v>-3.2271493212669755E-2</v>
      </c>
    </row>
    <row r="107" spans="1:26" s="27" customFormat="1" outlineLevel="1" collapsed="1" x14ac:dyDescent="0.25">
      <c r="A107" s="26"/>
      <c r="B107" s="13" t="str">
        <f>CONCATENATE("     ","Subscriptions &amp; Dues                              ")</f>
        <v xml:space="preserve">     Subscriptions &amp; Dues                              </v>
      </c>
      <c r="C107" s="13"/>
      <c r="D107" s="1">
        <f>SUM(OSRRefD22_15x_0)</f>
        <v>75</v>
      </c>
      <c r="E107" s="1"/>
      <c r="F107" s="5">
        <f t="shared" ref="F107:F109" si="53">IF(D$12=0,0,D107/D$12)</f>
        <v>9.9972434267457991E-4</v>
      </c>
      <c r="G107" s="1"/>
      <c r="H107" s="1">
        <f>SUM(OSRRefH22_15x_0)</f>
        <v>290</v>
      </c>
      <c r="I107" s="1"/>
      <c r="J107" s="5">
        <f t="shared" ref="J107:J109" si="54">IF(H$12=0,0,H107/H$12)</f>
        <v>7.8000172512174637E-3</v>
      </c>
      <c r="K107" s="1"/>
      <c r="L107" s="1">
        <f t="shared" ref="L107:L109" si="55">+D107-H107</f>
        <v>-215</v>
      </c>
      <c r="M107" s="1"/>
      <c r="N107" s="5">
        <f t="shared" ref="N107:N109" si="56">IF(H107=0,0,L107/H107)</f>
        <v>-0.74137931034482762</v>
      </c>
      <c r="O107" s="13"/>
      <c r="P107" s="1">
        <f>SUM(OSRRefP22_15x_0)</f>
        <v>163.41999999999999</v>
      </c>
      <c r="Q107" s="1"/>
      <c r="R107" s="5">
        <f t="shared" ref="R107:R109" si="57">IF(P$12=0,0,P107/P$12)</f>
        <v>4.5472277826657728E-4</v>
      </c>
      <c r="S107" s="1"/>
      <c r="T107" s="1">
        <f>SUM(OSRRefT22_15x_0)</f>
        <v>2125</v>
      </c>
      <c r="U107" s="1"/>
      <c r="V107" s="5">
        <f t="shared" ref="V107:V109" si="58">IF(T$12=0,0,T107/T$12)</f>
        <v>6.3256308380329257E-3</v>
      </c>
      <c r="W107" s="1"/>
      <c r="X107" s="1">
        <f t="shared" ref="X107:X109" si="59">+P107-T107</f>
        <v>-1961.58</v>
      </c>
      <c r="Y107" s="1"/>
      <c r="Z107" s="5">
        <f t="shared" ref="Z107:Z109" si="60">IF(T107=0,0,X107/T107)</f>
        <v>-0.9230964705882353</v>
      </c>
    </row>
    <row r="108" spans="1:26" s="24" customFormat="1" hidden="1" outlineLevel="2" x14ac:dyDescent="0.25">
      <c r="A108" s="25"/>
      <c r="B108" s="11" t="str">
        <f>CONCATENATE("          ", "6258", " - ", "MEMBERSHIP DUES")</f>
        <v xml:space="preserve">          6258 - MEMBERSHIP DUES</v>
      </c>
      <c r="C108" s="11"/>
      <c r="D108" s="7"/>
      <c r="E108" s="2"/>
      <c r="F108" s="6">
        <f t="shared" si="53"/>
        <v>0</v>
      </c>
      <c r="G108" s="2"/>
      <c r="H108" s="7">
        <v>0</v>
      </c>
      <c r="I108" s="2"/>
      <c r="J108" s="6">
        <f t="shared" si="54"/>
        <v>0</v>
      </c>
      <c r="K108" s="2"/>
      <c r="L108" s="7">
        <f t="shared" si="55"/>
        <v>0</v>
      </c>
      <c r="M108" s="2"/>
      <c r="N108" s="6">
        <f t="shared" si="56"/>
        <v>0</v>
      </c>
      <c r="O108" s="11"/>
      <c r="P108" s="7"/>
      <c r="Q108" s="2"/>
      <c r="R108" s="6">
        <f t="shared" si="57"/>
        <v>0</v>
      </c>
      <c r="S108" s="2"/>
      <c r="T108" s="7">
        <v>395</v>
      </c>
      <c r="U108" s="2"/>
      <c r="V108" s="6">
        <f t="shared" si="58"/>
        <v>1.1758231440108262E-3</v>
      </c>
      <c r="W108" s="2"/>
      <c r="X108" s="7">
        <f t="shared" si="59"/>
        <v>-395</v>
      </c>
      <c r="Y108" s="2"/>
      <c r="Z108" s="6">
        <f t="shared" si="60"/>
        <v>-1</v>
      </c>
    </row>
    <row r="109" spans="1:26" s="24" customFormat="1" hidden="1" outlineLevel="2" x14ac:dyDescent="0.25">
      <c r="A109" s="25"/>
      <c r="B109" s="11" t="str">
        <f>CONCATENATE("          ", "6275", " - ", "SUBSCRIPTIONS")</f>
        <v xml:space="preserve">          6275 - SUBSCRIPTIONS</v>
      </c>
      <c r="C109" s="11"/>
      <c r="D109" s="7">
        <v>75</v>
      </c>
      <c r="E109" s="2"/>
      <c r="F109" s="6">
        <f t="shared" si="53"/>
        <v>9.9972434267457991E-4</v>
      </c>
      <c r="G109" s="2"/>
      <c r="H109" s="7">
        <v>290</v>
      </c>
      <c r="I109" s="2"/>
      <c r="J109" s="6">
        <f t="shared" si="54"/>
        <v>7.8000172512174637E-3</v>
      </c>
      <c r="K109" s="2"/>
      <c r="L109" s="7">
        <f t="shared" si="55"/>
        <v>-215</v>
      </c>
      <c r="M109" s="2"/>
      <c r="N109" s="6">
        <f t="shared" si="56"/>
        <v>-0.74137931034482762</v>
      </c>
      <c r="O109" s="11"/>
      <c r="P109" s="7">
        <v>163.41999999999999</v>
      </c>
      <c r="Q109" s="2"/>
      <c r="R109" s="6">
        <f t="shared" si="57"/>
        <v>4.5472277826657728E-4</v>
      </c>
      <c r="S109" s="2"/>
      <c r="T109" s="7">
        <v>1730</v>
      </c>
      <c r="U109" s="2"/>
      <c r="V109" s="6">
        <f t="shared" si="58"/>
        <v>5.1498076940220995E-3</v>
      </c>
      <c r="W109" s="2"/>
      <c r="X109" s="7">
        <f t="shared" si="59"/>
        <v>-1566.58</v>
      </c>
      <c r="Y109" s="2"/>
      <c r="Z109" s="6">
        <f t="shared" si="60"/>
        <v>-0.90553757225433518</v>
      </c>
    </row>
    <row r="110" spans="1:26" s="27" customFormat="1" outlineLevel="1" collapsed="1" x14ac:dyDescent="0.25">
      <c r="A110" s="26"/>
      <c r="B110" s="13" t="str">
        <f>CONCATENATE("     ","Supplies                                          ")</f>
        <v xml:space="preserve">     Supplies                                          </v>
      </c>
      <c r="C110" s="13"/>
      <c r="D110" s="1">
        <f>SUM(OSRRefD22_16x_0)</f>
        <v>552.6099999999999</v>
      </c>
      <c r="E110" s="1"/>
      <c r="F110" s="5">
        <f t="shared" ref="F110:F116" si="61">IF(D$12=0,0,D110/D$12)</f>
        <v>7.3661022534053273E-3</v>
      </c>
      <c r="G110" s="1"/>
      <c r="H110" s="1">
        <f>SUM(OSRRefH22_16x_0)</f>
        <v>345</v>
      </c>
      <c r="I110" s="1"/>
      <c r="J110" s="5">
        <f t="shared" ref="J110:J116" si="62">IF(H$12=0,0,H110/H$12)</f>
        <v>9.2793308678276731E-3</v>
      </c>
      <c r="K110" s="1"/>
      <c r="L110" s="1">
        <f t="shared" ref="L110:L116" si="63">+D110-H110</f>
        <v>207.6099999999999</v>
      </c>
      <c r="M110" s="1"/>
      <c r="N110" s="5">
        <f t="shared" ref="N110:N116" si="64">IF(H110=0,0,L110/H110)</f>
        <v>0.60176811594202873</v>
      </c>
      <c r="O110" s="13"/>
      <c r="P110" s="1">
        <f>SUM(OSRRefP22_16x_0)</f>
        <v>2656.2000000000003</v>
      </c>
      <c r="Q110" s="1"/>
      <c r="R110" s="5">
        <f t="shared" ref="R110:R116" si="65">IF(P$12=0,0,P110/P$12)</f>
        <v>7.3909842346816966E-3</v>
      </c>
      <c r="S110" s="1"/>
      <c r="T110" s="1">
        <f>SUM(OSRRefT22_16x_0)</f>
        <v>3455</v>
      </c>
      <c r="U110" s="1"/>
      <c r="V110" s="5">
        <f t="shared" ref="V110:V116" si="66">IF(T$12=0,0,T110/T$12)</f>
        <v>1.0284731550778239E-2</v>
      </c>
      <c r="W110" s="1"/>
      <c r="X110" s="1">
        <f t="shared" ref="X110:X116" si="67">+P110-T110</f>
        <v>-798.79999999999973</v>
      </c>
      <c r="Y110" s="1"/>
      <c r="Z110" s="5">
        <f t="shared" ref="Z110:Z116" si="68">IF(T110=0,0,X110/T110)</f>
        <v>-0.23120115774240224</v>
      </c>
    </row>
    <row r="111" spans="1:26" s="24" customFormat="1" hidden="1" outlineLevel="2" x14ac:dyDescent="0.25">
      <c r="A111" s="25"/>
      <c r="B111" s="11" t="str">
        <f>CONCATENATE("          ", "6234", " - ", "EXPENDABLE SUPPLIES &amp; EQUIPMEN")</f>
        <v xml:space="preserve">          6234 - EXPENDABLE SUPPLIES &amp; EQUIPMEN</v>
      </c>
      <c r="C111" s="11"/>
      <c r="D111" s="7">
        <v>303.86</v>
      </c>
      <c r="E111" s="2"/>
      <c r="F111" s="6">
        <f t="shared" si="61"/>
        <v>4.0503498502013052E-3</v>
      </c>
      <c r="G111" s="2"/>
      <c r="H111" s="7">
        <v>100</v>
      </c>
      <c r="I111" s="2"/>
      <c r="J111" s="6">
        <f t="shared" si="62"/>
        <v>2.6896611211094704E-3</v>
      </c>
      <c r="K111" s="2"/>
      <c r="L111" s="7">
        <f t="shared" si="63"/>
        <v>203.86</v>
      </c>
      <c r="M111" s="2"/>
      <c r="N111" s="6">
        <f t="shared" si="64"/>
        <v>2.0386000000000002</v>
      </c>
      <c r="O111" s="11"/>
      <c r="P111" s="7">
        <v>303.86</v>
      </c>
      <c r="Q111" s="2"/>
      <c r="R111" s="6">
        <f t="shared" si="65"/>
        <v>8.4550277447119197E-4</v>
      </c>
      <c r="S111" s="2"/>
      <c r="T111" s="7">
        <v>1150</v>
      </c>
      <c r="U111" s="2"/>
      <c r="V111" s="6">
        <f t="shared" si="66"/>
        <v>3.4232825711707597E-3</v>
      </c>
      <c r="W111" s="2"/>
      <c r="X111" s="7">
        <f t="shared" si="67"/>
        <v>-846.14</v>
      </c>
      <c r="Y111" s="2"/>
      <c r="Z111" s="6">
        <f t="shared" si="68"/>
        <v>-0.73577391304347828</v>
      </c>
    </row>
    <row r="112" spans="1:26" s="24" customFormat="1" hidden="1" outlineLevel="2" x14ac:dyDescent="0.25">
      <c r="A112" s="25"/>
      <c r="B112" s="11" t="str">
        <f>CONCATENATE("          ", "6237", " - ", "JANITORIAL SUPPLIES")</f>
        <v xml:space="preserve">          6237 - JANITORIAL SUPPLIES</v>
      </c>
      <c r="C112" s="11"/>
      <c r="D112" s="7"/>
      <c r="E112" s="2"/>
      <c r="F112" s="6">
        <f t="shared" si="61"/>
        <v>0</v>
      </c>
      <c r="G112" s="2"/>
      <c r="H112" s="7">
        <v>20</v>
      </c>
      <c r="I112" s="2"/>
      <c r="J112" s="6">
        <f t="shared" si="62"/>
        <v>5.3793222422189406E-4</v>
      </c>
      <c r="K112" s="2"/>
      <c r="L112" s="7">
        <f t="shared" si="63"/>
        <v>-20</v>
      </c>
      <c r="M112" s="2"/>
      <c r="N112" s="6">
        <f t="shared" si="64"/>
        <v>-1</v>
      </c>
      <c r="O112" s="11"/>
      <c r="P112" s="7">
        <v>287.72000000000003</v>
      </c>
      <c r="Q112" s="2"/>
      <c r="R112" s="6">
        <f t="shared" si="65"/>
        <v>8.0059256983759425E-4</v>
      </c>
      <c r="S112" s="2"/>
      <c r="T112" s="7">
        <v>130</v>
      </c>
      <c r="U112" s="2"/>
      <c r="V112" s="6">
        <f t="shared" si="66"/>
        <v>3.8697976891495544E-4</v>
      </c>
      <c r="W112" s="2"/>
      <c r="X112" s="7">
        <f t="shared" si="67"/>
        <v>157.72000000000003</v>
      </c>
      <c r="Y112" s="2"/>
      <c r="Z112" s="6">
        <f t="shared" si="68"/>
        <v>1.2132307692307693</v>
      </c>
    </row>
    <row r="113" spans="1:26" s="24" customFormat="1" hidden="1" outlineLevel="2" x14ac:dyDescent="0.25">
      <c r="A113" s="25"/>
      <c r="B113" s="11" t="str">
        <f>CONCATENATE("          ", "6241", " - ", "OFFICE EXPENSE")</f>
        <v xml:space="preserve">          6241 - OFFICE EXPENSE</v>
      </c>
      <c r="C113" s="11"/>
      <c r="D113" s="7">
        <v>226.7</v>
      </c>
      <c r="E113" s="2"/>
      <c r="F113" s="6">
        <f t="shared" si="61"/>
        <v>3.021833446457697E-3</v>
      </c>
      <c r="G113" s="2"/>
      <c r="H113" s="7">
        <v>200</v>
      </c>
      <c r="I113" s="2"/>
      <c r="J113" s="6">
        <f t="shared" si="62"/>
        <v>5.3793222422189408E-3</v>
      </c>
      <c r="K113" s="2"/>
      <c r="L113" s="7">
        <f t="shared" si="63"/>
        <v>26.699999999999989</v>
      </c>
      <c r="M113" s="2"/>
      <c r="N113" s="6">
        <f t="shared" si="64"/>
        <v>0.13349999999999995</v>
      </c>
      <c r="O113" s="11"/>
      <c r="P113" s="7">
        <v>2022.45</v>
      </c>
      <c r="Q113" s="2"/>
      <c r="R113" s="6">
        <f t="shared" si="65"/>
        <v>5.627549154970257E-3</v>
      </c>
      <c r="S113" s="2"/>
      <c r="T113" s="7">
        <v>1500</v>
      </c>
      <c r="U113" s="2"/>
      <c r="V113" s="6">
        <f t="shared" si="66"/>
        <v>4.4651511797879472E-3</v>
      </c>
      <c r="W113" s="2"/>
      <c r="X113" s="7">
        <f t="shared" si="67"/>
        <v>522.45000000000005</v>
      </c>
      <c r="Y113" s="2"/>
      <c r="Z113" s="6">
        <f t="shared" si="68"/>
        <v>0.34830000000000005</v>
      </c>
    </row>
    <row r="114" spans="1:26" s="24" customFormat="1" hidden="1" outlineLevel="2" x14ac:dyDescent="0.25">
      <c r="A114" s="25"/>
      <c r="B114" s="11" t="str">
        <f>CONCATENATE("          ", "6245", " - ", "PRINTING")</f>
        <v xml:space="preserve">          6245 - PRINTING</v>
      </c>
      <c r="C114" s="11"/>
      <c r="D114" s="7">
        <v>22.05</v>
      </c>
      <c r="E114" s="2"/>
      <c r="F114" s="6">
        <f t="shared" si="61"/>
        <v>2.9391895674632653E-4</v>
      </c>
      <c r="G114" s="2"/>
      <c r="H114" s="7"/>
      <c r="I114" s="2"/>
      <c r="J114" s="6">
        <f t="shared" si="62"/>
        <v>0</v>
      </c>
      <c r="K114" s="2"/>
      <c r="L114" s="7">
        <f t="shared" si="63"/>
        <v>22.05</v>
      </c>
      <c r="M114" s="2"/>
      <c r="N114" s="6">
        <f t="shared" si="64"/>
        <v>0</v>
      </c>
      <c r="O114" s="11"/>
      <c r="P114" s="7">
        <v>22.05</v>
      </c>
      <c r="Q114" s="2"/>
      <c r="R114" s="6">
        <f t="shared" si="65"/>
        <v>6.1355019341439418E-5</v>
      </c>
      <c r="S114" s="2"/>
      <c r="T114" s="7"/>
      <c r="U114" s="2"/>
      <c r="V114" s="6">
        <f t="shared" si="66"/>
        <v>0</v>
      </c>
      <c r="W114" s="2"/>
      <c r="X114" s="7">
        <f t="shared" si="67"/>
        <v>22.05</v>
      </c>
      <c r="Y114" s="2"/>
      <c r="Z114" s="6">
        <f t="shared" si="68"/>
        <v>0</v>
      </c>
    </row>
    <row r="115" spans="1:26" s="24" customFormat="1" hidden="1" outlineLevel="2" x14ac:dyDescent="0.25">
      <c r="A115" s="25"/>
      <c r="B115" s="11" t="str">
        <f>CONCATENATE("          ", "6247", " - ", "STORE SUPPLIES")</f>
        <v xml:space="preserve">          6247 - STORE SUPPLIES</v>
      </c>
      <c r="C115" s="11"/>
      <c r="D115" s="7"/>
      <c r="E115" s="2"/>
      <c r="F115" s="6">
        <f t="shared" si="61"/>
        <v>0</v>
      </c>
      <c r="G115" s="2"/>
      <c r="H115" s="7">
        <v>25</v>
      </c>
      <c r="I115" s="2"/>
      <c r="J115" s="6">
        <f t="shared" si="62"/>
        <v>6.724152802773676E-4</v>
      </c>
      <c r="K115" s="2"/>
      <c r="L115" s="7">
        <f t="shared" si="63"/>
        <v>-25</v>
      </c>
      <c r="M115" s="2"/>
      <c r="N115" s="6">
        <f t="shared" si="64"/>
        <v>-1</v>
      </c>
      <c r="O115" s="11"/>
      <c r="P115" s="7">
        <v>20.12</v>
      </c>
      <c r="Q115" s="2"/>
      <c r="R115" s="6">
        <f t="shared" si="65"/>
        <v>5.5984716061213665E-5</v>
      </c>
      <c r="S115" s="2"/>
      <c r="T115" s="7">
        <v>175</v>
      </c>
      <c r="U115" s="2"/>
      <c r="V115" s="6">
        <f t="shared" si="66"/>
        <v>5.2093430430859386E-4</v>
      </c>
      <c r="W115" s="2"/>
      <c r="X115" s="7">
        <f t="shared" si="67"/>
        <v>-154.88</v>
      </c>
      <c r="Y115" s="2"/>
      <c r="Z115" s="6">
        <f t="shared" si="68"/>
        <v>-0.88502857142857139</v>
      </c>
    </row>
    <row r="116" spans="1:26" s="24" customFormat="1" hidden="1" outlineLevel="2" x14ac:dyDescent="0.25">
      <c r="A116" s="25"/>
      <c r="B116" s="11" t="str">
        <f>CONCATENATE("          ", "6248", " - ", "UNIFORMS")</f>
        <v xml:space="preserve">          6248 - UNIFORMS</v>
      </c>
      <c r="C116" s="11"/>
      <c r="D116" s="7"/>
      <c r="E116" s="2"/>
      <c r="F116" s="6">
        <f t="shared" si="61"/>
        <v>0</v>
      </c>
      <c r="G116" s="2"/>
      <c r="H116" s="7">
        <v>0</v>
      </c>
      <c r="I116" s="2"/>
      <c r="J116" s="6">
        <f t="shared" si="62"/>
        <v>0</v>
      </c>
      <c r="K116" s="2"/>
      <c r="L116" s="7">
        <f t="shared" si="63"/>
        <v>0</v>
      </c>
      <c r="M116" s="2"/>
      <c r="N116" s="6">
        <f t="shared" si="64"/>
        <v>0</v>
      </c>
      <c r="O116" s="11"/>
      <c r="P116" s="7"/>
      <c r="Q116" s="2"/>
      <c r="R116" s="6">
        <f t="shared" si="65"/>
        <v>0</v>
      </c>
      <c r="S116" s="2"/>
      <c r="T116" s="7">
        <v>500</v>
      </c>
      <c r="U116" s="2"/>
      <c r="V116" s="6">
        <f t="shared" si="66"/>
        <v>1.4883837265959824E-3</v>
      </c>
      <c r="W116" s="2"/>
      <c r="X116" s="7">
        <f t="shared" si="67"/>
        <v>-500</v>
      </c>
      <c r="Y116" s="2"/>
      <c r="Z116" s="6">
        <f t="shared" si="68"/>
        <v>-1</v>
      </c>
    </row>
    <row r="117" spans="1:26" s="27" customFormat="1" outlineLevel="1" collapsed="1" x14ac:dyDescent="0.25">
      <c r="A117" s="26"/>
      <c r="B117" s="13" t="str">
        <f>CONCATENATE("     ","Telephone/Data Lines                              ")</f>
        <v xml:space="preserve">     Telephone/Data Lines                              </v>
      </c>
      <c r="C117" s="13"/>
      <c r="D117" s="1">
        <f>SUM(OSRRefD22_17x_0)</f>
        <v>228.32</v>
      </c>
      <c r="E117" s="1"/>
      <c r="F117" s="5">
        <f t="shared" ref="F117:F119" si="69">IF(D$12=0,0,D117/D$12)</f>
        <v>3.043427492259468E-3</v>
      </c>
      <c r="G117" s="1"/>
      <c r="H117" s="1">
        <f>SUM(OSRRefH22_17x_0)</f>
        <v>400</v>
      </c>
      <c r="I117" s="1"/>
      <c r="J117" s="5">
        <f t="shared" ref="J117:J119" si="70">IF(H$12=0,0,H117/H$12)</f>
        <v>1.0758644484437882E-2</v>
      </c>
      <c r="K117" s="1"/>
      <c r="L117" s="1">
        <f t="shared" ref="L117:L119" si="71">+D117-H117</f>
        <v>-171.68</v>
      </c>
      <c r="M117" s="1"/>
      <c r="N117" s="5">
        <f t="shared" ref="N117:N119" si="72">IF(H117=0,0,L117/H117)</f>
        <v>-0.42920000000000003</v>
      </c>
      <c r="O117" s="13"/>
      <c r="P117" s="1">
        <f>SUM(OSRRefP22_17x_0)</f>
        <v>1974.1</v>
      </c>
      <c r="Q117" s="1"/>
      <c r="R117" s="5">
        <f t="shared" ref="R117:R119" si="73">IF(P$12=0,0,P117/P$12)</f>
        <v>5.4930133189086423E-3</v>
      </c>
      <c r="S117" s="1"/>
      <c r="T117" s="1">
        <f>SUM(OSRRefT22_17x_0)</f>
        <v>3875</v>
      </c>
      <c r="U117" s="1"/>
      <c r="V117" s="5">
        <f t="shared" ref="V117:V119" si="74">IF(T$12=0,0,T117/T$12)</f>
        <v>1.1534973881118864E-2</v>
      </c>
      <c r="W117" s="1"/>
      <c r="X117" s="1">
        <f t="shared" ref="X117:X119" si="75">+P117-T117</f>
        <v>-1900.9</v>
      </c>
      <c r="Y117" s="1"/>
      <c r="Z117" s="5">
        <f t="shared" ref="Z117:Z119" si="76">IF(T117=0,0,X117/T117)</f>
        <v>-0.49055483870967742</v>
      </c>
    </row>
    <row r="118" spans="1:26" s="24" customFormat="1" hidden="1" outlineLevel="2" x14ac:dyDescent="0.25">
      <c r="A118" s="25"/>
      <c r="B118" s="11" t="str">
        <f>CONCATENATE("          ", "6303", " - ", "DATA PHONE LINES")</f>
        <v xml:space="preserve">          6303 - DATA PHONE LINES</v>
      </c>
      <c r="C118" s="11"/>
      <c r="D118" s="7"/>
      <c r="E118" s="2"/>
      <c r="F118" s="6">
        <f t="shared" si="69"/>
        <v>0</v>
      </c>
      <c r="G118" s="2"/>
      <c r="H118" s="7">
        <v>400</v>
      </c>
      <c r="I118" s="2"/>
      <c r="J118" s="6">
        <f t="shared" si="70"/>
        <v>1.0758644484437882E-2</v>
      </c>
      <c r="K118" s="2"/>
      <c r="L118" s="7">
        <f t="shared" si="71"/>
        <v>-400</v>
      </c>
      <c r="M118" s="2"/>
      <c r="N118" s="6">
        <f t="shared" si="72"/>
        <v>-1</v>
      </c>
      <c r="O118" s="11"/>
      <c r="P118" s="7"/>
      <c r="Q118" s="2"/>
      <c r="R118" s="6">
        <f t="shared" si="73"/>
        <v>0</v>
      </c>
      <c r="S118" s="2"/>
      <c r="T118" s="7">
        <v>3875</v>
      </c>
      <c r="U118" s="2"/>
      <c r="V118" s="6">
        <f t="shared" si="74"/>
        <v>1.1534973881118864E-2</v>
      </c>
      <c r="W118" s="2"/>
      <c r="X118" s="7">
        <f t="shared" si="75"/>
        <v>-3875</v>
      </c>
      <c r="Y118" s="2"/>
      <c r="Z118" s="6">
        <f t="shared" si="76"/>
        <v>-1</v>
      </c>
    </row>
    <row r="119" spans="1:26" s="24" customFormat="1" hidden="1" outlineLevel="2" x14ac:dyDescent="0.25">
      <c r="A119" s="25"/>
      <c r="B119" s="11" t="str">
        <f>CONCATENATE("          ", "6309", " - ", "TELEPHONE")</f>
        <v xml:space="preserve">          6309 - TELEPHONE</v>
      </c>
      <c r="C119" s="11"/>
      <c r="D119" s="7">
        <v>228.32</v>
      </c>
      <c r="E119" s="2"/>
      <c r="F119" s="6">
        <f t="shared" si="69"/>
        <v>3.043427492259468E-3</v>
      </c>
      <c r="G119" s="2"/>
      <c r="H119" s="7"/>
      <c r="I119" s="2"/>
      <c r="J119" s="6">
        <f t="shared" si="70"/>
        <v>0</v>
      </c>
      <c r="K119" s="2"/>
      <c r="L119" s="7">
        <f t="shared" si="71"/>
        <v>228.32</v>
      </c>
      <c r="M119" s="2"/>
      <c r="N119" s="6">
        <f t="shared" si="72"/>
        <v>0</v>
      </c>
      <c r="O119" s="11"/>
      <c r="P119" s="7">
        <v>1974.1</v>
      </c>
      <c r="Q119" s="2"/>
      <c r="R119" s="6">
        <f t="shared" si="73"/>
        <v>5.4930133189086423E-3</v>
      </c>
      <c r="S119" s="2"/>
      <c r="T119" s="7"/>
      <c r="U119" s="2"/>
      <c r="V119" s="6">
        <f t="shared" si="74"/>
        <v>0</v>
      </c>
      <c r="W119" s="2"/>
      <c r="X119" s="7">
        <f t="shared" si="75"/>
        <v>1974.1</v>
      </c>
      <c r="Y119" s="2"/>
      <c r="Z119" s="6">
        <f t="shared" si="76"/>
        <v>0</v>
      </c>
    </row>
    <row r="120" spans="1:26" s="27" customFormat="1" outlineLevel="1" collapsed="1" x14ac:dyDescent="0.25">
      <c r="A120" s="26"/>
      <c r="B120" s="13" t="str">
        <f>CONCATENATE("     ","Training                                          ")</f>
        <v xml:space="preserve">     Training                                          </v>
      </c>
      <c r="C120" s="13"/>
      <c r="D120" s="1">
        <f>SUM(OSRRefD22_18x_0)</f>
        <v>0</v>
      </c>
      <c r="E120" s="1"/>
      <c r="F120" s="5">
        <f t="shared" ref="F120:F125" si="77">IF(D$12=0,0,D120/D$12)</f>
        <v>0</v>
      </c>
      <c r="G120" s="1"/>
      <c r="H120" s="1">
        <f>SUM(OSRRefH22_18x_0)</f>
        <v>0</v>
      </c>
      <c r="I120" s="1"/>
      <c r="J120" s="5">
        <f t="shared" ref="J120:J125" si="78">IF(H$12=0,0,H120/H$12)</f>
        <v>0</v>
      </c>
      <c r="K120" s="1"/>
      <c r="L120" s="1">
        <f t="shared" ref="L120:L125" si="79">+D120-H120</f>
        <v>0</v>
      </c>
      <c r="M120" s="1"/>
      <c r="N120" s="5">
        <f t="shared" ref="N120:N125" si="80">IF(H120=0,0,L120/H120)</f>
        <v>0</v>
      </c>
      <c r="O120" s="13"/>
      <c r="P120" s="1">
        <f>SUM(OSRRefP22_18x_0)</f>
        <v>0</v>
      </c>
      <c r="Q120" s="1"/>
      <c r="R120" s="5">
        <f t="shared" ref="R120:R125" si="81">IF(P$12=0,0,P120/P$12)</f>
        <v>0</v>
      </c>
      <c r="S120" s="1"/>
      <c r="T120" s="1">
        <f>SUM(OSRRefT22_18x_0)</f>
        <v>100</v>
      </c>
      <c r="U120" s="1"/>
      <c r="V120" s="5">
        <f t="shared" ref="V120:V125" si="82">IF(T$12=0,0,T120/T$12)</f>
        <v>2.9767674531919647E-4</v>
      </c>
      <c r="W120" s="1"/>
      <c r="X120" s="1">
        <f t="shared" ref="X120:X125" si="83">+P120-T120</f>
        <v>-100</v>
      </c>
      <c r="Y120" s="1"/>
      <c r="Z120" s="5">
        <f t="shared" ref="Z120:Z125" si="84">IF(T120=0,0,X120/T120)</f>
        <v>-1</v>
      </c>
    </row>
    <row r="121" spans="1:26" s="24" customFormat="1" hidden="1" outlineLevel="2" x14ac:dyDescent="0.25">
      <c r="A121" s="25"/>
      <c r="B121" s="11" t="str">
        <f>CONCATENATE("          ", "6376", " - ", "TRAINING")</f>
        <v xml:space="preserve">          6376 - TRAINING</v>
      </c>
      <c r="C121" s="11"/>
      <c r="D121" s="7"/>
      <c r="E121" s="2"/>
      <c r="F121" s="6">
        <f t="shared" si="77"/>
        <v>0</v>
      </c>
      <c r="G121" s="2"/>
      <c r="H121" s="7">
        <v>0</v>
      </c>
      <c r="I121" s="2"/>
      <c r="J121" s="6">
        <f t="shared" si="78"/>
        <v>0</v>
      </c>
      <c r="K121" s="2"/>
      <c r="L121" s="7">
        <f t="shared" si="79"/>
        <v>0</v>
      </c>
      <c r="M121" s="2"/>
      <c r="N121" s="6">
        <f t="shared" si="80"/>
        <v>0</v>
      </c>
      <c r="O121" s="11"/>
      <c r="P121" s="7"/>
      <c r="Q121" s="2"/>
      <c r="R121" s="6">
        <f t="shared" si="81"/>
        <v>0</v>
      </c>
      <c r="S121" s="2"/>
      <c r="T121" s="7">
        <v>100</v>
      </c>
      <c r="U121" s="2"/>
      <c r="V121" s="6">
        <f t="shared" si="82"/>
        <v>2.9767674531919647E-4</v>
      </c>
      <c r="W121" s="2"/>
      <c r="X121" s="7">
        <f t="shared" si="83"/>
        <v>-100</v>
      </c>
      <c r="Y121" s="2"/>
      <c r="Z121" s="6">
        <f t="shared" si="84"/>
        <v>-1</v>
      </c>
    </row>
    <row r="122" spans="1:26" s="27" customFormat="1" outlineLevel="1" collapsed="1" x14ac:dyDescent="0.25">
      <c r="A122" s="26"/>
      <c r="B122" s="13" t="str">
        <f>CONCATENATE("     ","Travel                                            ")</f>
        <v xml:space="preserve">     Travel                                            </v>
      </c>
      <c r="C122" s="13"/>
      <c r="D122" s="1">
        <f>SUM(OSRRefD22_19x_0)</f>
        <v>72.25</v>
      </c>
      <c r="E122" s="1"/>
      <c r="F122" s="5">
        <f t="shared" si="77"/>
        <v>9.6306778344317867E-4</v>
      </c>
      <c r="G122" s="1"/>
      <c r="H122" s="1">
        <f>SUM(OSRRefH22_19x_0)</f>
        <v>50</v>
      </c>
      <c r="I122" s="1"/>
      <c r="J122" s="5">
        <f t="shared" si="78"/>
        <v>1.3448305605547352E-3</v>
      </c>
      <c r="K122" s="1"/>
      <c r="L122" s="1">
        <f t="shared" si="79"/>
        <v>22.25</v>
      </c>
      <c r="M122" s="1"/>
      <c r="N122" s="5">
        <f t="shared" si="80"/>
        <v>0.44500000000000001</v>
      </c>
      <c r="O122" s="13"/>
      <c r="P122" s="1">
        <f>SUM(OSRRefP22_19x_0)</f>
        <v>662.72</v>
      </c>
      <c r="Q122" s="1"/>
      <c r="R122" s="5">
        <f t="shared" si="81"/>
        <v>1.8440452797260198E-3</v>
      </c>
      <c r="S122" s="1"/>
      <c r="T122" s="1">
        <f>SUM(OSRRefT22_19x_0)</f>
        <v>360</v>
      </c>
      <c r="U122" s="1"/>
      <c r="V122" s="5">
        <f t="shared" si="82"/>
        <v>1.0716362831491074E-3</v>
      </c>
      <c r="W122" s="1"/>
      <c r="X122" s="1">
        <f t="shared" si="83"/>
        <v>302.72000000000003</v>
      </c>
      <c r="Y122" s="1"/>
      <c r="Z122" s="5">
        <f t="shared" si="84"/>
        <v>0.84088888888888902</v>
      </c>
    </row>
    <row r="123" spans="1:26" s="24" customFormat="1" hidden="1" outlineLevel="2" x14ac:dyDescent="0.25">
      <c r="A123" s="25"/>
      <c r="B123" s="11" t="str">
        <f>CONCATENATE("          ", "6294", " - ", "TRAVEL OPERATIONAL")</f>
        <v xml:space="preserve">          6294 - TRAVEL OPERATIONAL</v>
      </c>
      <c r="C123" s="11"/>
      <c r="D123" s="7">
        <v>72.25</v>
      </c>
      <c r="E123" s="2"/>
      <c r="F123" s="6">
        <f t="shared" si="77"/>
        <v>9.6306778344317867E-4</v>
      </c>
      <c r="G123" s="2"/>
      <c r="H123" s="7">
        <v>50</v>
      </c>
      <c r="I123" s="2"/>
      <c r="J123" s="6">
        <f t="shared" si="78"/>
        <v>1.3448305605547352E-3</v>
      </c>
      <c r="K123" s="2"/>
      <c r="L123" s="7">
        <f t="shared" si="79"/>
        <v>22.25</v>
      </c>
      <c r="M123" s="2"/>
      <c r="N123" s="6">
        <f t="shared" si="80"/>
        <v>0.44500000000000001</v>
      </c>
      <c r="O123" s="11"/>
      <c r="P123" s="7">
        <v>662.72</v>
      </c>
      <c r="Q123" s="2"/>
      <c r="R123" s="6">
        <f t="shared" si="81"/>
        <v>1.8440452797260198E-3</v>
      </c>
      <c r="S123" s="2"/>
      <c r="T123" s="7">
        <v>360</v>
      </c>
      <c r="U123" s="2"/>
      <c r="V123" s="6">
        <f t="shared" si="82"/>
        <v>1.0716362831491074E-3</v>
      </c>
      <c r="W123" s="2"/>
      <c r="X123" s="7">
        <f t="shared" si="83"/>
        <v>302.72000000000003</v>
      </c>
      <c r="Y123" s="2"/>
      <c r="Z123" s="6">
        <f t="shared" si="84"/>
        <v>0.84088888888888902</v>
      </c>
    </row>
    <row r="124" spans="1:26" s="27" customFormat="1" outlineLevel="1" collapsed="1" x14ac:dyDescent="0.25">
      <c r="A124" s="26"/>
      <c r="B124" s="13" t="str">
        <f>CONCATENATE("     ","Utilities                                         ")</f>
        <v xml:space="preserve">     Utilities                                         </v>
      </c>
      <c r="C124" s="13"/>
      <c r="D124" s="1">
        <f>SUM(OSRRefD22_20x_0)</f>
        <v>163.13999999999999</v>
      </c>
      <c r="E124" s="1"/>
      <c r="F124" s="5">
        <f t="shared" si="77"/>
        <v>2.1746003901857462E-3</v>
      </c>
      <c r="G124" s="1"/>
      <c r="H124" s="1">
        <f>SUM(OSRRefH22_20x_0)</f>
        <v>150</v>
      </c>
      <c r="I124" s="1"/>
      <c r="J124" s="5">
        <f t="shared" si="78"/>
        <v>4.0344916816642054E-3</v>
      </c>
      <c r="K124" s="1"/>
      <c r="L124" s="1">
        <f t="shared" si="79"/>
        <v>13.139999999999986</v>
      </c>
      <c r="M124" s="1"/>
      <c r="N124" s="5">
        <f t="shared" si="80"/>
        <v>8.7599999999999914E-2</v>
      </c>
      <c r="O124" s="13"/>
      <c r="P124" s="1">
        <f>SUM(OSRRefP22_20x_0)</f>
        <v>460.82</v>
      </c>
      <c r="Q124" s="1"/>
      <c r="R124" s="5">
        <f t="shared" si="81"/>
        <v>1.2822503407220914E-3</v>
      </c>
      <c r="S124" s="1"/>
      <c r="T124" s="1">
        <f>SUM(OSRRefT22_20x_0)</f>
        <v>675</v>
      </c>
      <c r="U124" s="1"/>
      <c r="V124" s="5">
        <f t="shared" si="82"/>
        <v>2.0093180309045762E-3</v>
      </c>
      <c r="W124" s="1"/>
      <c r="X124" s="1">
        <f t="shared" si="83"/>
        <v>-214.18</v>
      </c>
      <c r="Y124" s="1"/>
      <c r="Z124" s="5">
        <f t="shared" si="84"/>
        <v>-0.3173037037037037</v>
      </c>
    </row>
    <row r="125" spans="1:26" s="24" customFormat="1" hidden="1" outlineLevel="2" x14ac:dyDescent="0.25">
      <c r="A125" s="25"/>
      <c r="B125" s="11" t="str">
        <f>CONCATENATE("          ", "6274", " - ", "UTILITIES")</f>
        <v xml:space="preserve">          6274 - UTILITIES</v>
      </c>
      <c r="C125" s="11"/>
      <c r="D125" s="7">
        <v>163.13999999999999</v>
      </c>
      <c r="E125" s="2"/>
      <c r="F125" s="6">
        <f t="shared" si="77"/>
        <v>2.1746003901857462E-3</v>
      </c>
      <c r="G125" s="2"/>
      <c r="H125" s="7">
        <v>150</v>
      </c>
      <c r="I125" s="2"/>
      <c r="J125" s="6">
        <f t="shared" si="78"/>
        <v>4.0344916816642054E-3</v>
      </c>
      <c r="K125" s="2"/>
      <c r="L125" s="7">
        <f t="shared" si="79"/>
        <v>13.139999999999986</v>
      </c>
      <c r="M125" s="2"/>
      <c r="N125" s="6">
        <f t="shared" si="80"/>
        <v>8.7599999999999914E-2</v>
      </c>
      <c r="O125" s="11"/>
      <c r="P125" s="7">
        <v>460.82</v>
      </c>
      <c r="Q125" s="2"/>
      <c r="R125" s="6">
        <f t="shared" si="81"/>
        <v>1.2822503407220914E-3</v>
      </c>
      <c r="S125" s="2"/>
      <c r="T125" s="7">
        <v>675</v>
      </c>
      <c r="U125" s="2"/>
      <c r="V125" s="6">
        <f t="shared" si="82"/>
        <v>2.0093180309045762E-3</v>
      </c>
      <c r="W125" s="2"/>
      <c r="X125" s="7">
        <f t="shared" si="83"/>
        <v>-214.18</v>
      </c>
      <c r="Y125" s="2"/>
      <c r="Z125" s="6">
        <f t="shared" si="84"/>
        <v>-0.3173037037037037</v>
      </c>
    </row>
    <row r="126" spans="1:26" s="53" customFormat="1" x14ac:dyDescent="0.25">
      <c r="A126" s="36"/>
      <c r="B126" s="36"/>
      <c r="C126" s="36"/>
      <c r="D126" s="1"/>
      <c r="E126" s="1"/>
      <c r="F126" s="5"/>
      <c r="G126" s="1"/>
      <c r="H126" s="1"/>
      <c r="I126" s="1"/>
      <c r="J126" s="5"/>
      <c r="K126" s="1"/>
      <c r="L126" s="1"/>
      <c r="M126" s="1"/>
      <c r="N126" s="5"/>
      <c r="O126" s="36"/>
      <c r="P126" s="1"/>
      <c r="Q126" s="1"/>
      <c r="R126" s="5"/>
      <c r="S126" s="1"/>
      <c r="T126" s="1"/>
      <c r="U126" s="1"/>
      <c r="V126" s="5"/>
      <c r="W126" s="1"/>
      <c r="X126" s="1"/>
      <c r="Y126" s="1"/>
      <c r="Z126" s="5"/>
    </row>
    <row r="127" spans="1:26" s="23" customFormat="1" x14ac:dyDescent="0.25">
      <c r="A127" s="10"/>
      <c r="B127" s="28" t="s">
        <v>0</v>
      </c>
      <c r="C127" s="10"/>
      <c r="D127" s="4">
        <f>SUM(0)</f>
        <v>0</v>
      </c>
      <c r="E127" s="4"/>
      <c r="F127" s="12">
        <f>IF(D$12=0,0,D127/D$12)</f>
        <v>0</v>
      </c>
      <c r="G127" s="4"/>
      <c r="H127" s="4">
        <f>SUM(0)</f>
        <v>0</v>
      </c>
      <c r="I127" s="4"/>
      <c r="J127" s="12">
        <f>IF(H$12=0,0,H127/H$12)</f>
        <v>0</v>
      </c>
      <c r="K127" s="4"/>
      <c r="L127" s="4">
        <f>+D127-H127</f>
        <v>0</v>
      </c>
      <c r="M127" s="4"/>
      <c r="N127" s="12">
        <f>IF(H127=0,0,L127/H127)</f>
        <v>0</v>
      </c>
      <c r="O127" s="10"/>
      <c r="P127" s="4">
        <f>SUM(0)</f>
        <v>0</v>
      </c>
      <c r="Q127" s="4"/>
      <c r="R127" s="12">
        <f>IF(P$12=0,0,P127/P$12)</f>
        <v>0</v>
      </c>
      <c r="S127" s="4"/>
      <c r="T127" s="4">
        <f>SUM(0)</f>
        <v>0</v>
      </c>
      <c r="U127" s="4"/>
      <c r="V127" s="12">
        <f>IF(T$12=0,0,T127/T$12)</f>
        <v>0</v>
      </c>
      <c r="W127" s="4"/>
      <c r="X127" s="4">
        <f>+P127-T127</f>
        <v>0</v>
      </c>
      <c r="Y127" s="4"/>
      <c r="Z127" s="12">
        <f>IF(T127=0,0,X127/T127)</f>
        <v>0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10"/>
      <c r="B129" s="29" t="s">
        <v>3</v>
      </c>
      <c r="C129" s="29"/>
      <c r="D129" s="21">
        <f>+D53-D55+D127</f>
        <v>16141.989999999991</v>
      </c>
      <c r="E129" s="14"/>
      <c r="F129" s="20">
        <f>IF(D$12=0,0,D129/D$12)</f>
        <v>0.21516720456279512</v>
      </c>
      <c r="G129" s="14"/>
      <c r="H129" s="21">
        <f>+H53-H55+H127</f>
        <v>-7212.9482686634547</v>
      </c>
      <c r="I129" s="14"/>
      <c r="J129" s="20">
        <f>IF(H$12=0,0,H129/H$12)</f>
        <v>-0.19400386526797961</v>
      </c>
      <c r="K129" s="16"/>
      <c r="L129" s="21">
        <f>+D129-H129</f>
        <v>23354.938268663445</v>
      </c>
      <c r="M129" s="16"/>
      <c r="N129" s="20">
        <f>IF(H129=0,0,L129/H129)</f>
        <v>-3.2379184487054515</v>
      </c>
      <c r="O129" s="28"/>
      <c r="P129" s="21">
        <f>+P53-P55+P127</f>
        <v>-8236.5199999999022</v>
      </c>
      <c r="Q129" s="14"/>
      <c r="R129" s="20">
        <f>IF(P$12=0,0,P129/P$12)</f>
        <v>-2.2918450970800301E-2</v>
      </c>
      <c r="S129" s="14"/>
      <c r="T129" s="21">
        <f>+T53-T55+T127</f>
        <v>-98.193550313502783</v>
      </c>
      <c r="U129" s="14"/>
      <c r="V129" s="20">
        <f>IF(T$12=0,0,T129/T$12)</f>
        <v>-2.9229936468660274E-4</v>
      </c>
      <c r="W129" s="16"/>
      <c r="X129" s="21">
        <f>+P129-T129</f>
        <v>-8138.3264496863994</v>
      </c>
      <c r="Y129" s="16"/>
      <c r="Z129" s="20">
        <f>IF(T129=0,0,X129/T129)</f>
        <v>82.880458275550126</v>
      </c>
    </row>
    <row r="130" spans="1:26" x14ac:dyDescent="0.25">
      <c r="A130" s="9"/>
      <c r="B130" s="10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x14ac:dyDescent="0.25">
      <c r="A131" s="52"/>
      <c r="B131" s="10" t="s">
        <v>14</v>
      </c>
      <c r="C131" s="10"/>
      <c r="D131" s="4">
        <v>6765.23</v>
      </c>
      <c r="E131" s="4"/>
      <c r="F131" s="12">
        <f>IF(D$12=0,0,D131/D$12)</f>
        <v>9.0178201530564647E-2</v>
      </c>
      <c r="G131" s="4"/>
      <c r="H131" s="4">
        <v>2878</v>
      </c>
      <c r="I131" s="4"/>
      <c r="J131" s="12">
        <f>IF(H$12=0,0,H131/H$12)</f>
        <v>7.7408447065530558E-2</v>
      </c>
      <c r="K131" s="4"/>
      <c r="L131" s="4">
        <f>+D131-H131</f>
        <v>3887.2299999999996</v>
      </c>
      <c r="M131" s="4"/>
      <c r="N131" s="12">
        <f>IF(H131=0,0,L131/H131)</f>
        <v>1.3506706045865182</v>
      </c>
      <c r="O131" s="10"/>
      <c r="P131" s="4">
        <v>37478.639999999999</v>
      </c>
      <c r="Q131" s="4"/>
      <c r="R131" s="12">
        <f>IF(P$12=0,0,P131/P$12)</f>
        <v>0.1042858359224873</v>
      </c>
      <c r="S131" s="4"/>
      <c r="T131" s="4">
        <v>41363</v>
      </c>
      <c r="U131" s="4"/>
      <c r="V131" s="12">
        <f>IF(T$12=0,0,T131/T$12)</f>
        <v>0.12312803216637924</v>
      </c>
      <c r="W131" s="4"/>
      <c r="X131" s="4">
        <f>+P131-T131</f>
        <v>-3884.3600000000006</v>
      </c>
      <c r="Y131" s="4"/>
      <c r="Z131" s="12">
        <f>IF(T131=0,0,X131/T131)</f>
        <v>-9.3909049150206717E-2</v>
      </c>
    </row>
    <row r="132" spans="1:26" x14ac:dyDescent="0.25">
      <c r="A132" s="9"/>
      <c r="B132" s="10"/>
      <c r="C132" s="10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0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9" t="s">
        <v>4</v>
      </c>
      <c r="C133" s="29"/>
      <c r="D133" s="34">
        <f>+D129-D131</f>
        <v>9376.7599999999911</v>
      </c>
      <c r="E133" s="14"/>
      <c r="F133" s="32">
        <f>IF(D$12=0,0,D133/D$12)</f>
        <v>0.12498900303223047</v>
      </c>
      <c r="G133" s="14"/>
      <c r="H133" s="34">
        <f>+H129-H131</f>
        <v>-10090.948268663455</v>
      </c>
      <c r="I133" s="14"/>
      <c r="J133" s="32">
        <f>IF(H$12=0,0,H133/H$12)</f>
        <v>-0.27141231233351015</v>
      </c>
      <c r="K133" s="16"/>
      <c r="L133" s="34">
        <f>D133-H133</f>
        <v>19467.708268663446</v>
      </c>
      <c r="M133" s="16"/>
      <c r="N133" s="32">
        <f>IF(H133=0,0,L133/H133)</f>
        <v>-1.9292248607713793</v>
      </c>
      <c r="O133" s="28"/>
      <c r="P133" s="34">
        <f>+P129-P131</f>
        <v>-45715.159999999902</v>
      </c>
      <c r="Q133" s="14"/>
      <c r="R133" s="32">
        <f>IF(P$12=0,0,P133/P$12)</f>
        <v>-0.12720428689328761</v>
      </c>
      <c r="S133" s="14"/>
      <c r="T133" s="34">
        <f>+T129-T131</f>
        <v>-41461.193550313503</v>
      </c>
      <c r="U133" s="14"/>
      <c r="V133" s="32">
        <f>IF(T$12=0,0,T133/T$12)</f>
        <v>-0.12342033153106584</v>
      </c>
      <c r="W133" s="16"/>
      <c r="X133" s="34">
        <f>P133-T133</f>
        <v>-4253.9664496863988</v>
      </c>
      <c r="Y133" s="16"/>
      <c r="Z133" s="32">
        <f>IF(T133=0,0,X133/T133)</f>
        <v>0.10260115750223581</v>
      </c>
    </row>
    <row r="134" spans="1:26" ht="15.75" thickTop="1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9" t="s">
        <v>5</v>
      </c>
      <c r="C136" s="29"/>
      <c r="D136" s="31">
        <f>SUM(D133:D135)</f>
        <v>9376.7599999999911</v>
      </c>
      <c r="E136" s="14"/>
      <c r="F136" s="30">
        <f>IF(D$12=0,0,D136/D$12)</f>
        <v>0.12498900303223047</v>
      </c>
      <c r="G136" s="14"/>
      <c r="H136" s="31">
        <f>SUM(H133:H135)</f>
        <v>-10090.948268663455</v>
      </c>
      <c r="I136" s="14"/>
      <c r="J136" s="30">
        <f>IF(H$12=0,0,H136/H$12)</f>
        <v>-0.27141231233351015</v>
      </c>
      <c r="K136" s="16"/>
      <c r="L136" s="31">
        <f>+D136-H136</f>
        <v>19467.708268663446</v>
      </c>
      <c r="M136" s="16"/>
      <c r="N136" s="30">
        <f>IF(H136=0,0,L136/H136)</f>
        <v>-1.9292248607713793</v>
      </c>
      <c r="O136" s="28"/>
      <c r="P136" s="31">
        <f>SUM(P133:P135)</f>
        <v>-45715.159999999902</v>
      </c>
      <c r="Q136" s="14"/>
      <c r="R136" s="30">
        <f>IF(P$12=0,0,P136/P$12)</f>
        <v>-0.12720428689328761</v>
      </c>
      <c r="S136" s="14"/>
      <c r="T136" s="31">
        <f>SUM(T133:T135)</f>
        <v>-41461.193550313503</v>
      </c>
      <c r="U136" s="14"/>
      <c r="V136" s="30">
        <f>IF(T$12=0,0,T136/T$12)</f>
        <v>-0.12342033153106584</v>
      </c>
      <c r="W136" s="16"/>
      <c r="X136" s="31">
        <f>+P136-T136</f>
        <v>-4253.9664496863988</v>
      </c>
      <c r="Y136" s="16"/>
      <c r="Z136" s="30">
        <f>IF(T136=0,0,X136/T136)</f>
        <v>0.10260115750223581</v>
      </c>
    </row>
    <row r="137" spans="1:26" ht="15.75" thickTop="1" x14ac:dyDescent="0.25">
      <c r="A137" s="9"/>
      <c r="C137" s="9"/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A138" s="9"/>
      <c r="B138" s="63">
        <v>43879.546394942132</v>
      </c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25">
      <c r="A139" s="9"/>
      <c r="B139" s="57" t="s">
        <v>314</v>
      </c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  <row r="140" spans="1:26" x14ac:dyDescent="0.25">
      <c r="A140" s="9"/>
      <c r="B140" s="60"/>
      <c r="D140" s="18"/>
      <c r="E140" s="18"/>
      <c r="G140" s="18"/>
      <c r="H140" s="18"/>
      <c r="I140" s="18"/>
      <c r="J140" s="43"/>
      <c r="K140" s="18"/>
      <c r="L140" s="18"/>
      <c r="M140" s="18"/>
      <c r="P140" s="18"/>
      <c r="Q140" s="18"/>
      <c r="R140" s="43"/>
      <c r="S140" s="18"/>
      <c r="T140" s="18"/>
      <c r="U140" s="18"/>
      <c r="V140" s="43"/>
      <c r="W140" s="18"/>
      <c r="X140" s="18"/>
    </row>
    <row r="141" spans="1:26" x14ac:dyDescent="0.25">
      <c r="D141" s="18"/>
      <c r="E141" s="18"/>
      <c r="G141" s="18"/>
      <c r="H141" s="18"/>
      <c r="I141" s="18"/>
      <c r="J141" s="43"/>
      <c r="K141" s="18"/>
      <c r="L141" s="18"/>
      <c r="M141" s="18"/>
      <c r="P141" s="18"/>
      <c r="Q141" s="18"/>
      <c r="R141" s="43"/>
      <c r="S141" s="18"/>
      <c r="T141" s="18"/>
      <c r="U141" s="18"/>
      <c r="V141" s="43"/>
      <c r="W141" s="18"/>
      <c r="X141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305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92505.27</v>
      </c>
      <c r="E12" s="4"/>
      <c r="F12" s="12"/>
      <c r="G12" s="4"/>
      <c r="H12" s="4">
        <f>SUM(OSRRefH13x_0)</f>
        <v>90915</v>
      </c>
      <c r="I12" s="4"/>
      <c r="J12" s="12"/>
      <c r="K12" s="4"/>
      <c r="L12" s="4">
        <f t="shared" ref="L12:L29" si="0">+D12-H12</f>
        <v>1590.2700000000041</v>
      </c>
      <c r="M12" s="4"/>
      <c r="N12" s="12">
        <f t="shared" ref="N12:N29" si="1">IF(H12=0,0,L12/H12)</f>
        <v>1.7491833030853041E-2</v>
      </c>
      <c r="O12" s="10"/>
      <c r="P12" s="4">
        <f>SUM(OSRRefP13x_0)</f>
        <v>400149.87000000005</v>
      </c>
      <c r="Q12" s="4"/>
      <c r="R12" s="12"/>
      <c r="S12" s="4"/>
      <c r="T12" s="4">
        <f>SUM(OSRRefT13x_0)</f>
        <v>447027.5</v>
      </c>
      <c r="U12" s="4"/>
      <c r="V12" s="12"/>
      <c r="W12" s="4"/>
      <c r="X12" s="4">
        <f t="shared" ref="X12:X29" si="2">+P12-T12</f>
        <v>-46877.629999999946</v>
      </c>
      <c r="Y12" s="4"/>
      <c r="Z12" s="12">
        <f t="shared" ref="Z12:Z29" si="3">IF(T12=0,0,X12/T12)</f>
        <v>-0.10486520404225678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88825</v>
      </c>
      <c r="I13" s="2"/>
      <c r="J13" s="19"/>
      <c r="K13" s="2"/>
      <c r="L13" s="2">
        <f t="shared" si="0"/>
        <v>-88825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379962.5</v>
      </c>
      <c r="U13" s="2"/>
      <c r="V13" s="19"/>
      <c r="W13" s="2"/>
      <c r="X13" s="2">
        <f t="shared" si="2"/>
        <v>-379962.5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--67657.65</f>
        <v>67657.649999999994</v>
      </c>
      <c r="E14" s="2"/>
      <c r="F14" s="19"/>
      <c r="G14" s="2"/>
      <c r="H14" s="2"/>
      <c r="I14" s="2"/>
      <c r="J14" s="19"/>
      <c r="K14" s="2"/>
      <c r="L14" s="2">
        <f t="shared" si="0"/>
        <v>67657.649999999994</v>
      </c>
      <c r="M14" s="2"/>
      <c r="N14" s="19">
        <f t="shared" si="1"/>
        <v>0</v>
      </c>
      <c r="O14" s="11"/>
      <c r="P14" s="2">
        <f>--164722.53</f>
        <v>164722.53</v>
      </c>
      <c r="Q14" s="2"/>
      <c r="R14" s="19"/>
      <c r="S14" s="2"/>
      <c r="T14" s="2"/>
      <c r="U14" s="2"/>
      <c r="V14" s="19"/>
      <c r="W14" s="2"/>
      <c r="X14" s="2">
        <f t="shared" si="2"/>
        <v>164722.53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--5786.57</f>
        <v>5786.57</v>
      </c>
      <c r="E15" s="2"/>
      <c r="F15" s="19"/>
      <c r="G15" s="2"/>
      <c r="H15" s="2"/>
      <c r="I15" s="2"/>
      <c r="J15" s="19"/>
      <c r="K15" s="2"/>
      <c r="L15" s="2">
        <f t="shared" si="0"/>
        <v>5786.57</v>
      </c>
      <c r="M15" s="2"/>
      <c r="N15" s="19">
        <f t="shared" si="1"/>
        <v>0</v>
      </c>
      <c r="O15" s="11"/>
      <c r="P15" s="2">
        <f>--53893.51</f>
        <v>53893.51</v>
      </c>
      <c r="Q15" s="2"/>
      <c r="R15" s="19"/>
      <c r="S15" s="2"/>
      <c r="T15" s="2"/>
      <c r="U15" s="2"/>
      <c r="V15" s="19"/>
      <c r="W15" s="2"/>
      <c r="X15" s="2">
        <f t="shared" si="2"/>
        <v>53893.51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--85</f>
        <v>85</v>
      </c>
      <c r="E16" s="2"/>
      <c r="F16" s="19"/>
      <c r="G16" s="2"/>
      <c r="H16" s="2"/>
      <c r="I16" s="2"/>
      <c r="J16" s="19"/>
      <c r="K16" s="2"/>
      <c r="L16" s="2">
        <f t="shared" si="0"/>
        <v>85</v>
      </c>
      <c r="M16" s="2"/>
      <c r="N16" s="19">
        <f t="shared" si="1"/>
        <v>0</v>
      </c>
      <c r="O16" s="11"/>
      <c r="P16" s="2">
        <f>--189.06</f>
        <v>189.06</v>
      </c>
      <c r="Q16" s="2"/>
      <c r="R16" s="19"/>
      <c r="S16" s="2"/>
      <c r="T16" s="2"/>
      <c r="U16" s="2"/>
      <c r="V16" s="19"/>
      <c r="W16" s="2"/>
      <c r="X16" s="2">
        <f t="shared" si="2"/>
        <v>189.06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>--183.1</f>
        <v>183.1</v>
      </c>
      <c r="E17" s="2"/>
      <c r="F17" s="19"/>
      <c r="G17" s="2"/>
      <c r="H17" s="2"/>
      <c r="I17" s="2"/>
      <c r="J17" s="19"/>
      <c r="K17" s="2"/>
      <c r="L17" s="2">
        <f t="shared" si="0"/>
        <v>183.1</v>
      </c>
      <c r="M17" s="2"/>
      <c r="N17" s="19">
        <f t="shared" si="1"/>
        <v>0</v>
      </c>
      <c r="O17" s="11"/>
      <c r="P17" s="2">
        <f>--1977.04</f>
        <v>1977.04</v>
      </c>
      <c r="Q17" s="2"/>
      <c r="R17" s="19"/>
      <c r="S17" s="2"/>
      <c r="T17" s="2"/>
      <c r="U17" s="2"/>
      <c r="V17" s="19"/>
      <c r="W17" s="2"/>
      <c r="X17" s="2">
        <f t="shared" si="2"/>
        <v>1977.04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"4092", " - ", "TAXABLE SALES-GRAD MERCH")</f>
        <v xml:space="preserve">          4092 - TAXABLE SALES-GRAD MERCH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--7699.32</f>
        <v>7699.32</v>
      </c>
      <c r="Q18" s="2"/>
      <c r="R18" s="19"/>
      <c r="S18" s="2"/>
      <c r="T18" s="2"/>
      <c r="U18" s="2"/>
      <c r="V18" s="19"/>
      <c r="W18" s="2"/>
      <c r="X18" s="2">
        <f t="shared" si="2"/>
        <v>7699.32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"4095", " - ", "TAXABLE SALES-CUSTOMER SERVICE")</f>
        <v xml:space="preserve">          4095 - TAXABLE SALES-CUSTOMER SERVICE</v>
      </c>
      <c r="C19" s="11"/>
      <c r="D19" s="2">
        <f>--10.94</f>
        <v>10.94</v>
      </c>
      <c r="E19" s="2"/>
      <c r="F19" s="19"/>
      <c r="G19" s="2"/>
      <c r="H19" s="2"/>
      <c r="I19" s="2"/>
      <c r="J19" s="19"/>
      <c r="K19" s="2"/>
      <c r="L19" s="2">
        <f t="shared" si="0"/>
        <v>10.94</v>
      </c>
      <c r="M19" s="2"/>
      <c r="N19" s="19">
        <f t="shared" si="1"/>
        <v>0</v>
      </c>
      <c r="O19" s="11"/>
      <c r="P19" s="2">
        <f>--279.56</f>
        <v>279.56</v>
      </c>
      <c r="Q19" s="2"/>
      <c r="R19" s="19"/>
      <c r="S19" s="2"/>
      <c r="T19" s="2"/>
      <c r="U19" s="2"/>
      <c r="V19" s="19"/>
      <c r="W19" s="2"/>
      <c r="X19" s="2">
        <f t="shared" si="2"/>
        <v>279.56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>0</f>
        <v>0</v>
      </c>
      <c r="E20" s="2"/>
      <c r="F20" s="19"/>
      <c r="G20" s="2"/>
      <c r="H20" s="2">
        <v>2090</v>
      </c>
      <c r="I20" s="2"/>
      <c r="J20" s="19"/>
      <c r="K20" s="2"/>
      <c r="L20" s="2">
        <f t="shared" si="0"/>
        <v>-2090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v>67065</v>
      </c>
      <c r="U20" s="2"/>
      <c r="V20" s="19"/>
      <c r="W20" s="2"/>
      <c r="X20" s="2">
        <f t="shared" si="2"/>
        <v>-67065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--698.4</f>
        <v>698.4</v>
      </c>
      <c r="E21" s="2"/>
      <c r="F21" s="19"/>
      <c r="G21" s="2"/>
      <c r="H21" s="2"/>
      <c r="I21" s="2"/>
      <c r="J21" s="19"/>
      <c r="K21" s="2"/>
      <c r="L21" s="2">
        <f t="shared" si="0"/>
        <v>698.4</v>
      </c>
      <c r="M21" s="2"/>
      <c r="N21" s="19">
        <f t="shared" si="1"/>
        <v>0</v>
      </c>
      <c r="O21" s="11"/>
      <c r="P21" s="2">
        <f>--851.15</f>
        <v>851.15</v>
      </c>
      <c r="Q21" s="2"/>
      <c r="R21" s="19"/>
      <c r="S21" s="2"/>
      <c r="T21" s="2"/>
      <c r="U21" s="2"/>
      <c r="V21" s="19"/>
      <c r="W21" s="2"/>
      <c r="X21" s="2">
        <f t="shared" si="2"/>
        <v>851.15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--1402.33</f>
        <v>1402.33</v>
      </c>
      <c r="E22" s="2"/>
      <c r="F22" s="19"/>
      <c r="G22" s="2"/>
      <c r="H22" s="2"/>
      <c r="I22" s="2"/>
      <c r="J22" s="19"/>
      <c r="K22" s="2"/>
      <c r="L22" s="2">
        <f t="shared" si="0"/>
        <v>1402.33</v>
      </c>
      <c r="M22" s="2"/>
      <c r="N22" s="19">
        <f t="shared" si="1"/>
        <v>0</v>
      </c>
      <c r="O22" s="11"/>
      <c r="P22" s="2">
        <f>--8159.22</f>
        <v>8159.22</v>
      </c>
      <c r="Q22" s="2"/>
      <c r="R22" s="19"/>
      <c r="S22" s="2"/>
      <c r="T22" s="2"/>
      <c r="U22" s="2"/>
      <c r="V22" s="19"/>
      <c r="W22" s="2"/>
      <c r="X22" s="2">
        <f t="shared" si="2"/>
        <v>8159.22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"4146", " - ", "NON-TAXABLE SALES-COIN OP MACH")</f>
        <v xml:space="preserve">          4146 - NON-TAXABLE SALES-COIN OP MACH</v>
      </c>
      <c r="C23" s="11"/>
      <c r="D23" s="2">
        <f>--17086.55</f>
        <v>17086.55</v>
      </c>
      <c r="E23" s="2"/>
      <c r="F23" s="19"/>
      <c r="G23" s="2"/>
      <c r="H23" s="2"/>
      <c r="I23" s="2"/>
      <c r="J23" s="19"/>
      <c r="K23" s="2"/>
      <c r="L23" s="2">
        <f t="shared" si="0"/>
        <v>17086.55</v>
      </c>
      <c r="M23" s="2"/>
      <c r="N23" s="19">
        <f t="shared" si="1"/>
        <v>0</v>
      </c>
      <c r="O23" s="11"/>
      <c r="P23" s="2">
        <f>--163554.5</f>
        <v>163554.5</v>
      </c>
      <c r="Q23" s="2"/>
      <c r="R23" s="19"/>
      <c r="S23" s="2"/>
      <c r="T23" s="2"/>
      <c r="U23" s="2"/>
      <c r="V23" s="19"/>
      <c r="W23" s="2"/>
      <c r="X23" s="2">
        <f t="shared" si="2"/>
        <v>163554.5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"4147", " - ", "NON-TAXABLE SALES-MISC")</f>
        <v xml:space="preserve">          4147 - NON-TAXABLE SALES-MISC</v>
      </c>
      <c r="C24" s="11"/>
      <c r="D24" s="2">
        <f>--11.5</f>
        <v>11.5</v>
      </c>
      <c r="E24" s="2"/>
      <c r="F24" s="19"/>
      <c r="G24" s="2"/>
      <c r="H24" s="2"/>
      <c r="I24" s="2"/>
      <c r="J24" s="19"/>
      <c r="K24" s="2"/>
      <c r="L24" s="2">
        <f t="shared" si="0"/>
        <v>11.5</v>
      </c>
      <c r="M24" s="2"/>
      <c r="N24" s="19">
        <f t="shared" si="1"/>
        <v>0</v>
      </c>
      <c r="O24" s="11"/>
      <c r="P24" s="2">
        <f>--318.9</f>
        <v>318.89999999999998</v>
      </c>
      <c r="Q24" s="2"/>
      <c r="R24" s="19"/>
      <c r="S24" s="2"/>
      <c r="T24" s="2"/>
      <c r="U24" s="2"/>
      <c r="V24" s="19"/>
      <c r="W24" s="2"/>
      <c r="X24" s="2">
        <f t="shared" si="2"/>
        <v>318.89999999999998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"4241", " - ", "SALES RETURN TAXABLE-LOGO GIFT")</f>
        <v xml:space="preserve">          4241 - SALES RETURN TAXABLE-LOGO GIFT</v>
      </c>
      <c r="C25" s="11"/>
      <c r="D25" s="2">
        <f>-323.35</f>
        <v>-323.35000000000002</v>
      </c>
      <c r="E25" s="2"/>
      <c r="F25" s="19"/>
      <c r="G25" s="2"/>
      <c r="H25" s="2"/>
      <c r="I25" s="2"/>
      <c r="J25" s="19"/>
      <c r="K25" s="2"/>
      <c r="L25" s="2">
        <f t="shared" si="0"/>
        <v>-323.35000000000002</v>
      </c>
      <c r="M25" s="2"/>
      <c r="N25" s="19">
        <f t="shared" si="1"/>
        <v>0</v>
      </c>
      <c r="O25" s="11"/>
      <c r="P25" s="2">
        <f>-958.1</f>
        <v>-958.1</v>
      </c>
      <c r="Q25" s="2"/>
      <c r="R25" s="19"/>
      <c r="S25" s="2"/>
      <c r="T25" s="2"/>
      <c r="U25" s="2"/>
      <c r="V25" s="19"/>
      <c r="W25" s="2"/>
      <c r="X25" s="2">
        <f t="shared" si="2"/>
        <v>-958.1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"4242", " - ", "SALES RETURN TAXABLE-EVERYDAY")</f>
        <v xml:space="preserve">          4242 - SALES RETURN TAXABLE-EVERYDAY</v>
      </c>
      <c r="C26" s="11"/>
      <c r="D26" s="2">
        <f>-54</f>
        <v>-54</v>
      </c>
      <c r="E26" s="2"/>
      <c r="F26" s="19"/>
      <c r="G26" s="2"/>
      <c r="H26" s="2"/>
      <c r="I26" s="2"/>
      <c r="J26" s="19"/>
      <c r="K26" s="2"/>
      <c r="L26" s="2">
        <f t="shared" si="0"/>
        <v>-54</v>
      </c>
      <c r="M26" s="2"/>
      <c r="N26" s="19">
        <f t="shared" si="1"/>
        <v>0</v>
      </c>
      <c r="O26" s="11"/>
      <c r="P26" s="2">
        <f>-70.2</f>
        <v>-70.2</v>
      </c>
      <c r="Q26" s="2"/>
      <c r="R26" s="19"/>
      <c r="S26" s="2"/>
      <c r="T26" s="2"/>
      <c r="U26" s="2"/>
      <c r="V26" s="19"/>
      <c r="W26" s="2"/>
      <c r="X26" s="2">
        <f t="shared" si="2"/>
        <v>-70.2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"4292", " - ", "SALES RETURN TAXABLE-GRAD MERC")</f>
        <v xml:space="preserve">          4292 - SALES RETURN TAXABLE-GRAD MERC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-419.05</f>
        <v>-419.05</v>
      </c>
      <c r="Q27" s="2"/>
      <c r="R27" s="19"/>
      <c r="S27" s="2"/>
      <c r="T27" s="2"/>
      <c r="U27" s="2"/>
      <c r="V27" s="19"/>
      <c r="W27" s="2"/>
      <c r="X27" s="2">
        <f t="shared" si="2"/>
        <v>-419.05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"4342", " - ", "SALES RETURN NON TAXABLE-EVERY")</f>
        <v xml:space="preserve">          4342 - SALES RETURN NON TAXABLE-EVERY</v>
      </c>
      <c r="C28" s="11"/>
      <c r="D28" s="2">
        <f>-39.42</f>
        <v>-39.42</v>
      </c>
      <c r="E28" s="2"/>
      <c r="F28" s="19"/>
      <c r="G28" s="2"/>
      <c r="H28" s="2"/>
      <c r="I28" s="2"/>
      <c r="J28" s="19"/>
      <c r="K28" s="2"/>
      <c r="L28" s="2">
        <f t="shared" si="0"/>
        <v>-39.42</v>
      </c>
      <c r="M28" s="2"/>
      <c r="N28" s="19">
        <f t="shared" si="1"/>
        <v>0</v>
      </c>
      <c r="O28" s="11"/>
      <c r="P28" s="2">
        <f>-39.42</f>
        <v>-39.42</v>
      </c>
      <c r="Q28" s="2"/>
      <c r="R28" s="19"/>
      <c r="S28" s="2"/>
      <c r="T28" s="2"/>
      <c r="U28" s="2"/>
      <c r="V28" s="19"/>
      <c r="W28" s="2"/>
      <c r="X28" s="2">
        <f t="shared" si="2"/>
        <v>-39.42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"4346", " - ", "SALES RETURN NON TAXABLE-COIN-")</f>
        <v xml:space="preserve">          4346 - SALES RETURN NON TAXABLE-COIN-</v>
      </c>
      <c r="C29" s="11"/>
      <c r="D29" s="2">
        <f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-8.15</f>
        <v>-8.15</v>
      </c>
      <c r="Q29" s="2"/>
      <c r="R29" s="19"/>
      <c r="S29" s="2"/>
      <c r="T29" s="2"/>
      <c r="U29" s="2"/>
      <c r="V29" s="19"/>
      <c r="W29" s="2"/>
      <c r="X29" s="2">
        <f t="shared" si="2"/>
        <v>-8.15</v>
      </c>
      <c r="Y29" s="2"/>
      <c r="Z29" s="19">
        <f t="shared" si="3"/>
        <v>0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collapsed="1" x14ac:dyDescent="0.25">
      <c r="A31" s="10"/>
      <c r="B31" s="28" t="s">
        <v>8</v>
      </c>
      <c r="C31" s="10"/>
      <c r="D31" s="4">
        <f>SUM(OSRRefD16x_0)</f>
        <v>0.71999999999999886</v>
      </c>
      <c r="E31" s="4"/>
      <c r="F31" s="12">
        <f t="shared" ref="F31:F37" si="4">IF(D$12=0,0,D31/D$12)</f>
        <v>7.7833403437447283E-6</v>
      </c>
      <c r="G31" s="4"/>
      <c r="H31" s="4">
        <f>SUM(OSRRefH16x_0)</f>
        <v>0</v>
      </c>
      <c r="I31" s="4"/>
      <c r="J31" s="12">
        <f t="shared" ref="J31:J37" si="5">IF(H$12=0,0,H31/H$12)</f>
        <v>0</v>
      </c>
      <c r="K31" s="4"/>
      <c r="L31" s="4">
        <f t="shared" ref="L31:L37" si="6">+D31-H31</f>
        <v>0.71999999999999886</v>
      </c>
      <c r="M31" s="4"/>
      <c r="N31" s="12">
        <f t="shared" ref="N31:N37" si="7">IF(H31=0,0,L31/H31)</f>
        <v>0</v>
      </c>
      <c r="O31" s="10"/>
      <c r="P31" s="4">
        <f>SUM(OSRRefP16x_0)</f>
        <v>3803.84</v>
      </c>
      <c r="Q31" s="4"/>
      <c r="R31" s="12">
        <f t="shared" ref="R31:R37" si="8">IF(P$12=0,0,P31/P$12)</f>
        <v>9.5060383250905461E-3</v>
      </c>
      <c r="S31" s="4"/>
      <c r="T31" s="4">
        <f>SUM(OSRRefT16x_0)</f>
        <v>4611.5</v>
      </c>
      <c r="U31" s="4"/>
      <c r="V31" s="12">
        <f t="shared" ref="V31:V37" si="9">IF(T$12=0,0,T31/T$12)</f>
        <v>1.0315920161511316E-2</v>
      </c>
      <c r="W31" s="4"/>
      <c r="X31" s="4">
        <f t="shared" ref="X31:X37" si="10">+P31-T31</f>
        <v>-807.65999999999985</v>
      </c>
      <c r="Y31" s="4"/>
      <c r="Z31" s="12">
        <f t="shared" ref="Z31:Z37" si="11">IF(T31=0,0,X31/T31)</f>
        <v>-0.1751404098449528</v>
      </c>
    </row>
    <row r="32" spans="1:26" s="24" customFormat="1" hidden="1" outlineLevel="1" x14ac:dyDescent="0.25">
      <c r="A32" s="44"/>
      <c r="B32" s="11" t="str">
        <f>CONCATENATE("          ", "5000", " - ", "PURCHASES @ COST")</f>
        <v xml:space="preserve">          5000 - PURCHASES @ COST</v>
      </c>
      <c r="C32" s="11"/>
      <c r="D32" s="2"/>
      <c r="E32" s="2"/>
      <c r="F32" s="19">
        <f t="shared" si="4"/>
        <v>0</v>
      </c>
      <c r="G32" s="2"/>
      <c r="H32" s="2"/>
      <c r="I32" s="2"/>
      <c r="J32" s="19">
        <f t="shared" si="5"/>
        <v>0</v>
      </c>
      <c r="K32" s="2"/>
      <c r="L32" s="2">
        <f t="shared" si="6"/>
        <v>0</v>
      </c>
      <c r="M32" s="2"/>
      <c r="N32" s="19">
        <f t="shared" si="7"/>
        <v>0</v>
      </c>
      <c r="O32" s="11"/>
      <c r="P32" s="2"/>
      <c r="Q32" s="2"/>
      <c r="R32" s="19">
        <f t="shared" si="8"/>
        <v>0</v>
      </c>
      <c r="S32" s="2"/>
      <c r="T32" s="2">
        <v>4611.5</v>
      </c>
      <c r="U32" s="2"/>
      <c r="V32" s="19">
        <f t="shared" si="9"/>
        <v>1.0315920161511316E-2</v>
      </c>
      <c r="W32" s="2"/>
      <c r="X32" s="2">
        <f t="shared" si="10"/>
        <v>-4611.5</v>
      </c>
      <c r="Y32" s="2"/>
      <c r="Z32" s="19">
        <f t="shared" si="11"/>
        <v>-1</v>
      </c>
    </row>
    <row r="33" spans="1:26" s="24" customFormat="1" hidden="1" outlineLevel="1" x14ac:dyDescent="0.25">
      <c r="A33" s="44"/>
      <c r="B33" s="11" t="str">
        <f>CONCATENATE("          ", "5092", " - ", "PURCHASES @ COST-GRAD MERCH")</f>
        <v xml:space="preserve">          5092 - PURCHASES @ COST-GRAD MERCH</v>
      </c>
      <c r="C33" s="11"/>
      <c r="D33" s="2">
        <v>122.72</v>
      </c>
      <c r="E33" s="2"/>
      <c r="F33" s="19">
        <f t="shared" si="4"/>
        <v>1.3266271208116035E-3</v>
      </c>
      <c r="G33" s="2"/>
      <c r="H33" s="2"/>
      <c r="I33" s="2"/>
      <c r="J33" s="19">
        <f t="shared" si="5"/>
        <v>0</v>
      </c>
      <c r="K33" s="2"/>
      <c r="L33" s="2">
        <f t="shared" si="6"/>
        <v>122.72</v>
      </c>
      <c r="M33" s="2"/>
      <c r="N33" s="19">
        <f t="shared" si="7"/>
        <v>0</v>
      </c>
      <c r="O33" s="11"/>
      <c r="P33" s="2">
        <v>2107.21</v>
      </c>
      <c r="Q33" s="2"/>
      <c r="R33" s="19">
        <f t="shared" si="8"/>
        <v>5.2660519419886346E-3</v>
      </c>
      <c r="S33" s="2"/>
      <c r="T33" s="2"/>
      <c r="U33" s="2"/>
      <c r="V33" s="19">
        <f t="shared" si="9"/>
        <v>0</v>
      </c>
      <c r="W33" s="2"/>
      <c r="X33" s="2">
        <f t="shared" si="10"/>
        <v>2107.21</v>
      </c>
      <c r="Y33" s="2"/>
      <c r="Z33" s="19">
        <f t="shared" si="11"/>
        <v>0</v>
      </c>
    </row>
    <row r="34" spans="1:26" s="24" customFormat="1" hidden="1" outlineLevel="1" x14ac:dyDescent="0.25">
      <c r="A34" s="44"/>
      <c r="B34" s="11" t="str">
        <f>CONCATENATE("          ", "5095", " - ", "PURCHASES @ COST-CUSTOMER SERV")</f>
        <v xml:space="preserve">          5095 - PURCHASES @ COST-CUSTOMER SERV</v>
      </c>
      <c r="C34" s="11"/>
      <c r="D34" s="2"/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11.85</v>
      </c>
      <c r="Q34" s="2"/>
      <c r="R34" s="19">
        <f t="shared" si="8"/>
        <v>2.9613904410365042E-5</v>
      </c>
      <c r="S34" s="2"/>
      <c r="T34" s="2"/>
      <c r="U34" s="2"/>
      <c r="V34" s="19">
        <f t="shared" si="9"/>
        <v>0</v>
      </c>
      <c r="W34" s="2"/>
      <c r="X34" s="2">
        <f t="shared" si="10"/>
        <v>11.85</v>
      </c>
      <c r="Y34" s="2"/>
      <c r="Z34" s="19">
        <f t="shared" si="11"/>
        <v>0</v>
      </c>
    </row>
    <row r="35" spans="1:26" s="24" customFormat="1" hidden="1" outlineLevel="1" x14ac:dyDescent="0.25">
      <c r="A35" s="44"/>
      <c r="B35" s="11" t="str">
        <f>CONCATENATE("          ", "5200", " - ", "PURCHASES OFFSET")</f>
        <v xml:space="preserve">          5200 - PURCHASES OFFSET</v>
      </c>
      <c r="C35" s="11"/>
      <c r="D35" s="2">
        <v>-123</v>
      </c>
      <c r="E35" s="2"/>
      <c r="F35" s="19">
        <f t="shared" si="4"/>
        <v>-1.3296539753897263E-3</v>
      </c>
      <c r="G35" s="2"/>
      <c r="H35" s="2"/>
      <c r="I35" s="2"/>
      <c r="J35" s="19">
        <f t="shared" si="5"/>
        <v>0</v>
      </c>
      <c r="K35" s="2"/>
      <c r="L35" s="2">
        <f t="shared" si="6"/>
        <v>-123</v>
      </c>
      <c r="M35" s="2"/>
      <c r="N35" s="19">
        <f t="shared" si="7"/>
        <v>0</v>
      </c>
      <c r="O35" s="11"/>
      <c r="P35" s="2">
        <v>-2226</v>
      </c>
      <c r="Q35" s="2"/>
      <c r="R35" s="19">
        <f t="shared" si="8"/>
        <v>-5.5629157145546488E-3</v>
      </c>
      <c r="S35" s="2"/>
      <c r="T35" s="2"/>
      <c r="U35" s="2"/>
      <c r="V35" s="19">
        <f t="shared" si="9"/>
        <v>0</v>
      </c>
      <c r="W35" s="2"/>
      <c r="X35" s="2">
        <f t="shared" si="10"/>
        <v>-2226</v>
      </c>
      <c r="Y35" s="2"/>
      <c r="Z35" s="19">
        <f t="shared" si="11"/>
        <v>0</v>
      </c>
    </row>
    <row r="36" spans="1:26" s="24" customFormat="1" hidden="1" outlineLevel="1" x14ac:dyDescent="0.25">
      <c r="A36" s="44"/>
      <c r="B36" s="11" t="str">
        <f>CONCATENATE("          ", "5300", " - ", "COG$ OFFSET")</f>
        <v xml:space="preserve">          5300 - COG$ OFFSET</v>
      </c>
      <c r="C36" s="11"/>
      <c r="D36" s="2">
        <v>1</v>
      </c>
      <c r="E36" s="2"/>
      <c r="F36" s="19">
        <f t="shared" si="4"/>
        <v>1.0810194921867694E-5</v>
      </c>
      <c r="G36" s="2"/>
      <c r="H36" s="2"/>
      <c r="I36" s="2"/>
      <c r="J36" s="19">
        <f t="shared" si="5"/>
        <v>0</v>
      </c>
      <c r="K36" s="2"/>
      <c r="L36" s="2">
        <f t="shared" si="6"/>
        <v>1</v>
      </c>
      <c r="M36" s="2"/>
      <c r="N36" s="19">
        <f t="shared" si="7"/>
        <v>0</v>
      </c>
      <c r="O36" s="11"/>
      <c r="P36" s="2">
        <v>3805</v>
      </c>
      <c r="Q36" s="2"/>
      <c r="R36" s="19">
        <f t="shared" si="8"/>
        <v>9.5089372389399983E-3</v>
      </c>
      <c r="S36" s="2"/>
      <c r="T36" s="2"/>
      <c r="U36" s="2"/>
      <c r="V36" s="19">
        <f t="shared" si="9"/>
        <v>0</v>
      </c>
      <c r="W36" s="2"/>
      <c r="X36" s="2">
        <f t="shared" si="10"/>
        <v>3805</v>
      </c>
      <c r="Y36" s="2"/>
      <c r="Z36" s="19">
        <f t="shared" si="11"/>
        <v>0</v>
      </c>
    </row>
    <row r="37" spans="1:26" s="24" customFormat="1" hidden="1" outlineLevel="1" x14ac:dyDescent="0.25">
      <c r="A37" s="44"/>
      <c r="B37" s="11" t="str">
        <f>CONCATENATE("          ", "5592", " - ", "FREIGHT-IN-GRAD MERCH")</f>
        <v xml:space="preserve">          5592 - FREIGHT-IN-GRAD MERCH</v>
      </c>
      <c r="C37" s="11"/>
      <c r="D37" s="2"/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105.78</v>
      </c>
      <c r="Q37" s="2"/>
      <c r="R37" s="19">
        <f t="shared" si="8"/>
        <v>2.6435095430619532E-4</v>
      </c>
      <c r="S37" s="2"/>
      <c r="T37" s="2"/>
      <c r="U37" s="2"/>
      <c r="V37" s="19">
        <f t="shared" si="9"/>
        <v>0</v>
      </c>
      <c r="W37" s="2"/>
      <c r="X37" s="2">
        <f t="shared" si="10"/>
        <v>105.78</v>
      </c>
      <c r="Y37" s="2"/>
      <c r="Z37" s="19">
        <f t="shared" si="11"/>
        <v>0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10"/>
      <c r="B39" s="29" t="s">
        <v>6</v>
      </c>
      <c r="C39" s="29"/>
      <c r="D39" s="21">
        <f>D12-D31</f>
        <v>92504.55</v>
      </c>
      <c r="E39" s="14"/>
      <c r="F39" s="20">
        <f>IF(D$12=0,0,D39/D$12)</f>
        <v>0.99999221665965621</v>
      </c>
      <c r="G39" s="14"/>
      <c r="H39" s="21">
        <f>H12-H31</f>
        <v>90915</v>
      </c>
      <c r="I39" s="14"/>
      <c r="J39" s="20">
        <f>IF(H$12=0,0,H39/H$12)</f>
        <v>1</v>
      </c>
      <c r="K39" s="16"/>
      <c r="L39" s="21">
        <f>+D39-H39</f>
        <v>1589.5500000000029</v>
      </c>
      <c r="M39" s="16"/>
      <c r="N39" s="20">
        <f>IF(H39=0,0,L39/H39)</f>
        <v>1.7483913545619567E-2</v>
      </c>
      <c r="O39" s="28"/>
      <c r="P39" s="21">
        <f>P12-P31</f>
        <v>396346.03</v>
      </c>
      <c r="Q39" s="14"/>
      <c r="R39" s="20">
        <f>IF(P$12=0,0,P39/P$12)</f>
        <v>0.99049396167490944</v>
      </c>
      <c r="S39" s="14"/>
      <c r="T39" s="21">
        <f>T12-T31</f>
        <v>442416</v>
      </c>
      <c r="U39" s="14"/>
      <c r="V39" s="20">
        <f>IF(T$12=0,0,T39/T$12)</f>
        <v>0.98968407983848872</v>
      </c>
      <c r="W39" s="16"/>
      <c r="X39" s="21">
        <f>+P39-T39</f>
        <v>-46069.969999999972</v>
      </c>
      <c r="Y39" s="16"/>
      <c r="Z39" s="20">
        <f>IF(T39=0,0,X39/T39)</f>
        <v>-0.10413269411594511</v>
      </c>
    </row>
    <row r="40" spans="1:26" x14ac:dyDescent="0.25">
      <c r="A40" s="9"/>
      <c r="B40" s="10"/>
      <c r="C40" s="9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6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25">
      <c r="A41" s="10"/>
      <c r="B41" s="28" t="s">
        <v>9</v>
      </c>
      <c r="C41" s="10"/>
      <c r="D41" s="22">
        <f>SUM(OSRRefD22x_0)</f>
        <v>42449.7</v>
      </c>
      <c r="E41" s="22"/>
      <c r="F41" s="35">
        <f t="shared" ref="F41:F51" si="12">IF(D$12=0,0,D41/D$12)</f>
        <v>0.45888953137480704</v>
      </c>
      <c r="G41" s="22"/>
      <c r="H41" s="22">
        <f>SUM(OSRRefH22x_0)</f>
        <v>41001.682425914238</v>
      </c>
      <c r="I41" s="22"/>
      <c r="J41" s="35">
        <f t="shared" ref="J41:J51" si="13">IF(H$12=0,0,H41/H$12)</f>
        <v>0.45098919238755142</v>
      </c>
      <c r="K41" s="4"/>
      <c r="L41" s="22">
        <f t="shared" ref="L41:L51" si="14">+D41-H41</f>
        <v>1448.0175740857594</v>
      </c>
      <c r="M41" s="4"/>
      <c r="N41" s="35">
        <f t="shared" ref="N41:N51" si="15">IF(H41=0,0,L41/H41)</f>
        <v>3.5316052620576632E-2</v>
      </c>
      <c r="O41" s="10"/>
      <c r="P41" s="22">
        <f>SUM(OSRRefP22x_0)</f>
        <v>317412.26000000007</v>
      </c>
      <c r="Q41" s="22"/>
      <c r="R41" s="35">
        <f t="shared" ref="R41:R51" si="16">IF(P$12=0,0,P41/P$12)</f>
        <v>0.79323344525889772</v>
      </c>
      <c r="S41" s="22"/>
      <c r="T41" s="22">
        <f>SUM(OSRRefT22x_0)</f>
        <v>335425.98775872943</v>
      </c>
      <c r="U41" s="22"/>
      <c r="V41" s="35">
        <f t="shared" ref="V41:V51" si="17">IF(T$12=0,0,T41/T$12)</f>
        <v>0.75034754631142253</v>
      </c>
      <c r="W41" s="4"/>
      <c r="X41" s="22">
        <f t="shared" ref="X41:X51" si="18">+P41-T41</f>
        <v>-18013.727758729365</v>
      </c>
      <c r="Y41" s="4"/>
      <c r="Z41" s="35">
        <f t="shared" ref="Z41:Z51" si="19">IF(T41=0,0,X41/T41)</f>
        <v>-5.3704031339654477E-2</v>
      </c>
    </row>
    <row r="42" spans="1:26" s="27" customFormat="1" outlineLevel="1" collapsed="1" x14ac:dyDescent="0.25">
      <c r="A42" s="26"/>
      <c r="B42" s="13" t="str">
        <f>CONCATENATE("     ","*Benefits                                         ")</f>
        <v xml:space="preserve">     *Benefits                                         </v>
      </c>
      <c r="C42" s="13"/>
      <c r="D42" s="1">
        <f>SUM(OSRRefD22_0x_0)</f>
        <v>8275.4700000000012</v>
      </c>
      <c r="E42" s="1"/>
      <c r="F42" s="5">
        <f t="shared" si="12"/>
        <v>8.9459443770068453E-2</v>
      </c>
      <c r="G42" s="1"/>
      <c r="H42" s="1">
        <f>SUM(OSRRefH22_0x_0)</f>
        <v>7519.9713187996458</v>
      </c>
      <c r="I42" s="1"/>
      <c r="J42" s="5">
        <f t="shared" si="13"/>
        <v>8.2714308076771118E-2</v>
      </c>
      <c r="K42" s="1"/>
      <c r="L42" s="1">
        <f t="shared" si="14"/>
        <v>755.49868120035535</v>
      </c>
      <c r="M42" s="1"/>
      <c r="N42" s="5">
        <f t="shared" si="15"/>
        <v>0.1004656333344832</v>
      </c>
      <c r="O42" s="13"/>
      <c r="P42" s="1">
        <f>SUM(OSRRefP22_0x_0)</f>
        <v>56378.12000000001</v>
      </c>
      <c r="Q42" s="1"/>
      <c r="R42" s="5">
        <f t="shared" si="16"/>
        <v>0.1408925110984042</v>
      </c>
      <c r="S42" s="1"/>
      <c r="T42" s="1">
        <f>SUM(OSRRefT22_0x_0)</f>
        <v>49272.08174689483</v>
      </c>
      <c r="U42" s="1"/>
      <c r="V42" s="5">
        <f t="shared" si="17"/>
        <v>0.110221589828131</v>
      </c>
      <c r="W42" s="1"/>
      <c r="X42" s="1">
        <f t="shared" si="18"/>
        <v>7106.03825310518</v>
      </c>
      <c r="Y42" s="1"/>
      <c r="Z42" s="5">
        <f t="shared" si="19"/>
        <v>0.14422037797404427</v>
      </c>
    </row>
    <row r="43" spans="1:26" s="24" customFormat="1" hidden="1" outlineLevel="2" x14ac:dyDescent="0.25">
      <c r="A43" s="25"/>
      <c r="B43" s="11" t="str">
        <f>CONCATENATE("          ", "6111", " - ", "F.I.C.A.")</f>
        <v xml:space="preserve">          6111 - F.I.C.A.</v>
      </c>
      <c r="C43" s="11"/>
      <c r="D43" s="7">
        <v>1152.92</v>
      </c>
      <c r="E43" s="2"/>
      <c r="F43" s="6">
        <f t="shared" si="12"/>
        <v>1.2463289929319703E-2</v>
      </c>
      <c r="G43" s="2"/>
      <c r="H43" s="7">
        <v>1454.0595507115409</v>
      </c>
      <c r="I43" s="2"/>
      <c r="J43" s="6">
        <f t="shared" si="13"/>
        <v>1.5993615472821215E-2</v>
      </c>
      <c r="K43" s="2"/>
      <c r="L43" s="7">
        <f t="shared" si="14"/>
        <v>-301.13955071154078</v>
      </c>
      <c r="M43" s="2"/>
      <c r="N43" s="6">
        <f t="shared" si="15"/>
        <v>-0.20710262558653722</v>
      </c>
      <c r="O43" s="11"/>
      <c r="P43" s="7">
        <v>9206.74</v>
      </c>
      <c r="Q43" s="2"/>
      <c r="R43" s="6">
        <f t="shared" si="16"/>
        <v>2.3008229391652681E-2</v>
      </c>
      <c r="S43" s="2"/>
      <c r="T43" s="7">
        <v>9365.1360342872522</v>
      </c>
      <c r="U43" s="2"/>
      <c r="V43" s="6">
        <f t="shared" si="17"/>
        <v>2.0949798467179877E-2</v>
      </c>
      <c r="W43" s="2"/>
      <c r="X43" s="7">
        <f t="shared" si="18"/>
        <v>-158.39603428725241</v>
      </c>
      <c r="Y43" s="2"/>
      <c r="Z43" s="6">
        <f t="shared" si="19"/>
        <v>-1.6913372502795405E-2</v>
      </c>
    </row>
    <row r="44" spans="1:26" s="24" customFormat="1" hidden="1" outlineLevel="2" x14ac:dyDescent="0.25">
      <c r="A44" s="25"/>
      <c r="B44" s="11" t="str">
        <f>CONCATENATE("          ", "6112", " - ", "COMPENSATION INSURANCE")</f>
        <v xml:space="preserve">          6112 - COMPENSATION INSURANCE</v>
      </c>
      <c r="C44" s="11"/>
      <c r="D44" s="7">
        <v>237.16</v>
      </c>
      <c r="E44" s="2"/>
      <c r="F44" s="6">
        <f t="shared" si="12"/>
        <v>2.5637458276701421E-3</v>
      </c>
      <c r="G44" s="2"/>
      <c r="H44" s="7">
        <v>299.81740576923062</v>
      </c>
      <c r="I44" s="2"/>
      <c r="J44" s="6">
        <f t="shared" si="13"/>
        <v>3.29777710794952E-3</v>
      </c>
      <c r="K44" s="2"/>
      <c r="L44" s="7">
        <f t="shared" si="14"/>
        <v>-62.657405769230621</v>
      </c>
      <c r="M44" s="2"/>
      <c r="N44" s="6">
        <f t="shared" si="15"/>
        <v>-0.20898521754756963</v>
      </c>
      <c r="O44" s="11"/>
      <c r="P44" s="7">
        <v>1452.57</v>
      </c>
      <c r="Q44" s="2"/>
      <c r="R44" s="6">
        <f t="shared" si="16"/>
        <v>3.6300649054315567E-3</v>
      </c>
      <c r="S44" s="2"/>
      <c r="T44" s="7">
        <v>1849.3831157692305</v>
      </c>
      <c r="U44" s="2"/>
      <c r="V44" s="6">
        <f t="shared" si="17"/>
        <v>4.1370678890431363E-3</v>
      </c>
      <c r="W44" s="2"/>
      <c r="X44" s="7">
        <f t="shared" si="18"/>
        <v>-396.81311576923054</v>
      </c>
      <c r="Y44" s="2"/>
      <c r="Z44" s="6">
        <f t="shared" si="19"/>
        <v>-0.21456512303248779</v>
      </c>
    </row>
    <row r="45" spans="1:26" s="24" customFormat="1" hidden="1" outlineLevel="2" x14ac:dyDescent="0.25">
      <c r="A45" s="25"/>
      <c r="B45" s="11" t="str">
        <f>CONCATENATE("          ", "6113", " - ", "GROUP INSURANCE")</f>
        <v xml:space="preserve">          6113 - GROUP INSURANCE</v>
      </c>
      <c r="C45" s="11"/>
      <c r="D45" s="7">
        <v>3218.03</v>
      </c>
      <c r="E45" s="2"/>
      <c r="F45" s="6">
        <f t="shared" si="12"/>
        <v>3.4787531564417898E-2</v>
      </c>
      <c r="G45" s="2"/>
      <c r="H45" s="7">
        <v>2704</v>
      </c>
      <c r="I45" s="2"/>
      <c r="J45" s="6">
        <f t="shared" si="13"/>
        <v>2.9742066765660231E-2</v>
      </c>
      <c r="K45" s="2"/>
      <c r="L45" s="7">
        <f t="shared" si="14"/>
        <v>514.0300000000002</v>
      </c>
      <c r="M45" s="2"/>
      <c r="N45" s="6">
        <f t="shared" si="15"/>
        <v>0.19009985207100599</v>
      </c>
      <c r="O45" s="11"/>
      <c r="P45" s="7">
        <v>20906.73</v>
      </c>
      <c r="Q45" s="2"/>
      <c r="R45" s="6">
        <f t="shared" si="16"/>
        <v>5.2247249261882796E-2</v>
      </c>
      <c r="S45" s="2"/>
      <c r="T45" s="7">
        <v>18928</v>
      </c>
      <c r="U45" s="2"/>
      <c r="V45" s="6">
        <f t="shared" si="17"/>
        <v>4.2341914088059457E-2</v>
      </c>
      <c r="W45" s="2"/>
      <c r="X45" s="7">
        <f t="shared" si="18"/>
        <v>1978.7299999999996</v>
      </c>
      <c r="Y45" s="2"/>
      <c r="Z45" s="6">
        <f t="shared" si="19"/>
        <v>0.10453983516483514</v>
      </c>
    </row>
    <row r="46" spans="1:26" s="24" customFormat="1" hidden="1" outlineLevel="2" x14ac:dyDescent="0.25">
      <c r="A46" s="25"/>
      <c r="B46" s="11" t="str">
        <f>CONCATENATE("          ", "6114", " - ", "STATE UNEMPLOYMENT INSURANCE")</f>
        <v xml:space="preserve">          6114 - STATE UNEMPLOYMENT INSURANCE</v>
      </c>
      <c r="C46" s="11"/>
      <c r="D46" s="7">
        <v>46.79</v>
      </c>
      <c r="E46" s="2"/>
      <c r="F46" s="6">
        <f t="shared" si="12"/>
        <v>5.0580902039418945E-4</v>
      </c>
      <c r="G46" s="2"/>
      <c r="H46" s="7">
        <v>61.994660478497892</v>
      </c>
      <c r="I46" s="2"/>
      <c r="J46" s="6">
        <f t="shared" si="13"/>
        <v>6.8189694196224928E-4</v>
      </c>
      <c r="K46" s="2"/>
      <c r="L46" s="7">
        <f t="shared" si="14"/>
        <v>-15.204660478497892</v>
      </c>
      <c r="M46" s="2"/>
      <c r="N46" s="6">
        <f t="shared" si="15"/>
        <v>-0.2452575812359106</v>
      </c>
      <c r="O46" s="11"/>
      <c r="P46" s="7">
        <v>363.79</v>
      </c>
      <c r="Q46" s="2"/>
      <c r="R46" s="6">
        <f t="shared" si="16"/>
        <v>9.0913437007989026E-4</v>
      </c>
      <c r="S46" s="2"/>
      <c r="T46" s="7">
        <v>380.74603395076991</v>
      </c>
      <c r="U46" s="2"/>
      <c r="V46" s="6">
        <f t="shared" si="17"/>
        <v>8.5172843717840605E-4</v>
      </c>
      <c r="W46" s="2"/>
      <c r="X46" s="7">
        <f t="shared" si="18"/>
        <v>-16.956033950769893</v>
      </c>
      <c r="Y46" s="2"/>
      <c r="Z46" s="6">
        <f t="shared" si="19"/>
        <v>-4.4533711289983631E-2</v>
      </c>
    </row>
    <row r="47" spans="1:26" s="24" customFormat="1" hidden="1" outlineLevel="2" x14ac:dyDescent="0.25">
      <c r="A47" s="25"/>
      <c r="B47" s="11" t="str">
        <f>CONCATENATE("          ", "6115", " - ", "P.E.R.S.")</f>
        <v xml:space="preserve">          6115 - P.E.R.S.</v>
      </c>
      <c r="C47" s="11"/>
      <c r="D47" s="7">
        <v>1781.63</v>
      </c>
      <c r="E47" s="2"/>
      <c r="F47" s="6">
        <f t="shared" si="12"/>
        <v>1.9259767578647141E-2</v>
      </c>
      <c r="G47" s="2"/>
      <c r="H47" s="7">
        <v>1357.0682576923061</v>
      </c>
      <c r="I47" s="2"/>
      <c r="J47" s="6">
        <f t="shared" si="13"/>
        <v>1.4926780593876766E-2</v>
      </c>
      <c r="K47" s="2"/>
      <c r="L47" s="7">
        <f t="shared" si="14"/>
        <v>424.56174230769398</v>
      </c>
      <c r="M47" s="2"/>
      <c r="N47" s="6">
        <f t="shared" si="15"/>
        <v>0.31285216487906142</v>
      </c>
      <c r="O47" s="11"/>
      <c r="P47" s="7">
        <v>9737.16</v>
      </c>
      <c r="Q47" s="2"/>
      <c r="R47" s="6">
        <f t="shared" si="16"/>
        <v>2.4333782739951904E-2</v>
      </c>
      <c r="S47" s="2"/>
      <c r="T47" s="7">
        <v>8370.8919976923025</v>
      </c>
      <c r="U47" s="2"/>
      <c r="V47" s="6">
        <f t="shared" si="17"/>
        <v>1.8725675708300502E-2</v>
      </c>
      <c r="W47" s="2"/>
      <c r="X47" s="7">
        <f t="shared" si="18"/>
        <v>1366.2680023076973</v>
      </c>
      <c r="Y47" s="2"/>
      <c r="Z47" s="6">
        <f t="shared" si="19"/>
        <v>0.1632165368618245</v>
      </c>
    </row>
    <row r="48" spans="1:26" s="24" customFormat="1" hidden="1" outlineLevel="2" x14ac:dyDescent="0.25">
      <c r="A48" s="25"/>
      <c r="B48" s="11" t="str">
        <f>CONCATENATE("          ", "6116", " - ", "EDUCATIONAL BENEFITS")</f>
        <v xml:space="preserve">          6116 - EDUCATIONAL BENEFITS</v>
      </c>
      <c r="C48" s="11"/>
      <c r="D48" s="7"/>
      <c r="E48" s="2"/>
      <c r="F48" s="6">
        <f t="shared" si="12"/>
        <v>0</v>
      </c>
      <c r="G48" s="2"/>
      <c r="H48" s="7">
        <v>0</v>
      </c>
      <c r="I48" s="2"/>
      <c r="J48" s="6">
        <f t="shared" si="13"/>
        <v>0</v>
      </c>
      <c r="K48" s="2"/>
      <c r="L48" s="7">
        <f t="shared" si="14"/>
        <v>0</v>
      </c>
      <c r="M48" s="2"/>
      <c r="N48" s="6">
        <f t="shared" si="15"/>
        <v>0</v>
      </c>
      <c r="O48" s="11"/>
      <c r="P48" s="7"/>
      <c r="Q48" s="2"/>
      <c r="R48" s="6">
        <f t="shared" si="16"/>
        <v>0</v>
      </c>
      <c r="S48" s="2"/>
      <c r="T48" s="7">
        <v>0</v>
      </c>
      <c r="U48" s="2"/>
      <c r="V48" s="6">
        <f t="shared" si="17"/>
        <v>0</v>
      </c>
      <c r="W48" s="2"/>
      <c r="X48" s="7">
        <f t="shared" si="18"/>
        <v>0</v>
      </c>
      <c r="Y48" s="2"/>
      <c r="Z48" s="6">
        <f t="shared" si="19"/>
        <v>0</v>
      </c>
    </row>
    <row r="49" spans="1:26" s="24" customFormat="1" hidden="1" outlineLevel="2" x14ac:dyDescent="0.25">
      <c r="A49" s="25"/>
      <c r="B49" s="11" t="str">
        <f>CONCATENATE("          ", "6118", " - ", "VACATION")</f>
        <v xml:space="preserve">          6118 - VACATION</v>
      </c>
      <c r="C49" s="11"/>
      <c r="D49" s="7">
        <v>969.46</v>
      </c>
      <c r="E49" s="2"/>
      <c r="F49" s="6">
        <f t="shared" si="12"/>
        <v>1.0480051568953855E-2</v>
      </c>
      <c r="G49" s="2"/>
      <c r="H49" s="7">
        <v>788.99317307692297</v>
      </c>
      <c r="I49" s="2"/>
      <c r="J49" s="6">
        <f t="shared" si="13"/>
        <v>8.6783608103934776E-3</v>
      </c>
      <c r="K49" s="2"/>
      <c r="L49" s="7">
        <f t="shared" si="14"/>
        <v>180.46682692307706</v>
      </c>
      <c r="M49" s="2"/>
      <c r="N49" s="6">
        <f t="shared" si="15"/>
        <v>0.22873053035337534</v>
      </c>
      <c r="O49" s="11"/>
      <c r="P49" s="7">
        <v>7990.51</v>
      </c>
      <c r="Q49" s="2"/>
      <c r="R49" s="6">
        <f t="shared" si="16"/>
        <v>1.9968793192410631E-2</v>
      </c>
      <c r="S49" s="2"/>
      <c r="T49" s="7">
        <v>4866.7976730769242</v>
      </c>
      <c r="U49" s="2"/>
      <c r="V49" s="6">
        <f t="shared" si="17"/>
        <v>1.0887020760639837E-2</v>
      </c>
      <c r="W49" s="2"/>
      <c r="X49" s="7">
        <f t="shared" si="18"/>
        <v>3123.712326923076</v>
      </c>
      <c r="Y49" s="2"/>
      <c r="Z49" s="6">
        <f t="shared" si="19"/>
        <v>0.64184141950330531</v>
      </c>
    </row>
    <row r="50" spans="1:26" s="24" customFormat="1" hidden="1" outlineLevel="2" x14ac:dyDescent="0.25">
      <c r="A50" s="25"/>
      <c r="B50" s="11" t="str">
        <f>CONCATENATE("          ", "6119", " - ", "SICK LEAVE")</f>
        <v xml:space="preserve">          6119 - SICK LEAVE</v>
      </c>
      <c r="C50" s="11"/>
      <c r="D50" s="7">
        <v>556.53</v>
      </c>
      <c r="E50" s="2"/>
      <c r="F50" s="6">
        <f t="shared" si="12"/>
        <v>6.0161977798670278E-3</v>
      </c>
      <c r="G50" s="2"/>
      <c r="H50" s="7">
        <v>554.03827107114614</v>
      </c>
      <c r="I50" s="2"/>
      <c r="J50" s="6">
        <f t="shared" si="13"/>
        <v>6.0940248701660468E-3</v>
      </c>
      <c r="K50" s="2"/>
      <c r="L50" s="7">
        <f t="shared" si="14"/>
        <v>2.4917289288538313</v>
      </c>
      <c r="M50" s="2"/>
      <c r="N50" s="6">
        <f t="shared" si="15"/>
        <v>4.4973949616088143E-3</v>
      </c>
      <c r="O50" s="11"/>
      <c r="P50" s="7">
        <v>4741.3900000000003</v>
      </c>
      <c r="Q50" s="2"/>
      <c r="R50" s="6">
        <f t="shared" si="16"/>
        <v>1.1849035462638035E-2</v>
      </c>
      <c r="S50" s="2"/>
      <c r="T50" s="7">
        <v>3411.1268921183482</v>
      </c>
      <c r="U50" s="2"/>
      <c r="V50" s="6">
        <f t="shared" si="17"/>
        <v>7.6306869087882697E-3</v>
      </c>
      <c r="W50" s="2"/>
      <c r="X50" s="7">
        <f t="shared" si="18"/>
        <v>1330.2631078816521</v>
      </c>
      <c r="Y50" s="2"/>
      <c r="Z50" s="6">
        <f t="shared" si="19"/>
        <v>0.3899776085595994</v>
      </c>
    </row>
    <row r="51" spans="1:26" s="24" customFormat="1" hidden="1" outlineLevel="2" x14ac:dyDescent="0.25">
      <c r="A51" s="25"/>
      <c r="B51" s="11" t="str">
        <f>CONCATENATE("          ", "6156", " - ", "EMPLOYEE MEALS")</f>
        <v xml:space="preserve">          6156 - EMPLOYEE MEALS</v>
      </c>
      <c r="C51" s="11"/>
      <c r="D51" s="7">
        <v>312.95</v>
      </c>
      <c r="E51" s="2"/>
      <c r="F51" s="6">
        <f t="shared" si="12"/>
        <v>3.383050500798495E-3</v>
      </c>
      <c r="G51" s="2"/>
      <c r="H51" s="7">
        <v>300</v>
      </c>
      <c r="I51" s="2"/>
      <c r="J51" s="6">
        <f t="shared" si="13"/>
        <v>3.2997855139415937E-3</v>
      </c>
      <c r="K51" s="2"/>
      <c r="L51" s="7">
        <f t="shared" si="14"/>
        <v>12.949999999999989</v>
      </c>
      <c r="M51" s="2"/>
      <c r="N51" s="6">
        <f t="shared" si="15"/>
        <v>4.3166666666666631E-2</v>
      </c>
      <c r="O51" s="11"/>
      <c r="P51" s="7">
        <v>1979.23</v>
      </c>
      <c r="Q51" s="2"/>
      <c r="R51" s="6">
        <f t="shared" si="16"/>
        <v>4.9462217743566923E-3</v>
      </c>
      <c r="S51" s="2"/>
      <c r="T51" s="7">
        <v>2100</v>
      </c>
      <c r="U51" s="2"/>
      <c r="V51" s="6">
        <f t="shared" si="17"/>
        <v>4.6976975689415083E-3</v>
      </c>
      <c r="W51" s="2"/>
      <c r="X51" s="7">
        <f t="shared" si="18"/>
        <v>-120.76999999999998</v>
      </c>
      <c r="Y51" s="2"/>
      <c r="Z51" s="6">
        <f t="shared" si="19"/>
        <v>-5.7509523809523802E-2</v>
      </c>
    </row>
    <row r="52" spans="1:26" s="27" customFormat="1" outlineLevel="1" collapsed="1" x14ac:dyDescent="0.25">
      <c r="A52" s="26"/>
      <c r="B52" s="13" t="str">
        <f>CONCATENATE("     ","*Payroll                                          ")</f>
        <v xml:space="preserve">     *Payroll                                          </v>
      </c>
      <c r="C52" s="13"/>
      <c r="D52" s="1">
        <f>SUM(OSRRefD22_1x_0)</f>
        <v>22550.149999999998</v>
      </c>
      <c r="E52" s="1"/>
      <c r="F52" s="5">
        <f t="shared" ref="F52:F62" si="20">IF(D$12=0,0,D52/D$12)</f>
        <v>0.24377151701735475</v>
      </c>
      <c r="G52" s="1"/>
      <c r="H52" s="1">
        <f>SUM(OSRRefH22_1x_0)</f>
        <v>22581.711107114592</v>
      </c>
      <c r="I52" s="1"/>
      <c r="J52" s="5">
        <f t="shared" ref="J52:J62" si="21">IF(H$12=0,0,H52/H$12)</f>
        <v>0.24838267730423574</v>
      </c>
      <c r="K52" s="1"/>
      <c r="L52" s="1">
        <f t="shared" ref="L52:L62" si="22">+D52-H52</f>
        <v>-31.561107114594051</v>
      </c>
      <c r="M52" s="1"/>
      <c r="N52" s="5">
        <f t="shared" ref="N52:N62" si="23">IF(H52=0,0,L52/H52)</f>
        <v>-1.3976401949739943E-3</v>
      </c>
      <c r="O52" s="13"/>
      <c r="P52" s="1">
        <f>SUM(OSRRefP22_1x_0)</f>
        <v>126397.31999999999</v>
      </c>
      <c r="Q52" s="1"/>
      <c r="R52" s="5">
        <f t="shared" ref="R52:R62" si="24">IF(P$12=0,0,P52/P$12)</f>
        <v>0.31587494955327605</v>
      </c>
      <c r="S52" s="1"/>
      <c r="T52" s="1">
        <f>SUM(OSRRefT22_1x_0)</f>
        <v>138653.90601183462</v>
      </c>
      <c r="U52" s="1"/>
      <c r="V52" s="5">
        <f t="shared" ref="V52:V62" si="25">IF(T$12=0,0,T52/T$12)</f>
        <v>0.31016862723620947</v>
      </c>
      <c r="W52" s="1"/>
      <c r="X52" s="1">
        <f t="shared" ref="X52:X62" si="26">+P52-T52</f>
        <v>-12256.586011834632</v>
      </c>
      <c r="Y52" s="1"/>
      <c r="Z52" s="5">
        <f t="shared" ref="Z52:Z62" si="27">IF(T52=0,0,X52/T52)</f>
        <v>-8.8396976070681241E-2</v>
      </c>
    </row>
    <row r="53" spans="1:26" s="24" customFormat="1" hidden="1" outlineLevel="2" x14ac:dyDescent="0.25">
      <c r="A53" s="25"/>
      <c r="B53" s="11" t="str">
        <f>CONCATENATE("          ", "6001", " - ", "ADMINISTRATIVE SALARIES")</f>
        <v xml:space="preserve">          6001 - ADMINISTRATIVE SALARIES</v>
      </c>
      <c r="C53" s="11"/>
      <c r="D53" s="7"/>
      <c r="E53" s="2"/>
      <c r="F53" s="6">
        <f t="shared" si="20"/>
        <v>0</v>
      </c>
      <c r="G53" s="2"/>
      <c r="H53" s="7">
        <v>7488.179000000001</v>
      </c>
      <c r="I53" s="2"/>
      <c r="J53" s="6">
        <f t="shared" si="21"/>
        <v>8.2364615300005509E-2</v>
      </c>
      <c r="K53" s="2"/>
      <c r="L53" s="7">
        <f t="shared" si="22"/>
        <v>-7488.179000000001</v>
      </c>
      <c r="M53" s="2"/>
      <c r="N53" s="6">
        <f t="shared" si="23"/>
        <v>-1</v>
      </c>
      <c r="O53" s="11"/>
      <c r="P53" s="7"/>
      <c r="Q53" s="2"/>
      <c r="R53" s="6">
        <f t="shared" si="24"/>
        <v>0</v>
      </c>
      <c r="S53" s="2"/>
      <c r="T53" s="7">
        <v>46426.709800000004</v>
      </c>
      <c r="U53" s="2"/>
      <c r="V53" s="6">
        <f t="shared" si="25"/>
        <v>0.10385649607686329</v>
      </c>
      <c r="W53" s="2"/>
      <c r="X53" s="7">
        <f t="shared" si="26"/>
        <v>-46426.709800000004</v>
      </c>
      <c r="Y53" s="2"/>
      <c r="Z53" s="6">
        <f t="shared" si="27"/>
        <v>-1</v>
      </c>
    </row>
    <row r="54" spans="1:26" s="24" customFormat="1" hidden="1" outlineLevel="2" x14ac:dyDescent="0.25">
      <c r="A54" s="25"/>
      <c r="B54" s="11" t="str">
        <f>CONCATENATE("          ", "6002", " - ", "STAFF SALARIES")</f>
        <v xml:space="preserve">          6002 - STAFF SALARIES</v>
      </c>
      <c r="C54" s="11"/>
      <c r="D54" s="7">
        <v>14900.849999999999</v>
      </c>
      <c r="E54" s="2"/>
      <c r="F54" s="6">
        <f t="shared" si="20"/>
        <v>0.16108109300151222</v>
      </c>
      <c r="G54" s="2"/>
      <c r="H54" s="7">
        <v>7029.2953846153905</v>
      </c>
      <c r="I54" s="2"/>
      <c r="J54" s="6">
        <f t="shared" si="21"/>
        <v>7.7317223611234567E-2</v>
      </c>
      <c r="K54" s="2"/>
      <c r="L54" s="7">
        <f t="shared" si="22"/>
        <v>7871.554615384608</v>
      </c>
      <c r="M54" s="2"/>
      <c r="N54" s="6">
        <f t="shared" si="23"/>
        <v>1.1198212885764656</v>
      </c>
      <c r="O54" s="11"/>
      <c r="P54" s="7">
        <v>84366.61</v>
      </c>
      <c r="Q54" s="2"/>
      <c r="R54" s="6">
        <f t="shared" si="24"/>
        <v>0.2108375294486538</v>
      </c>
      <c r="S54" s="2"/>
      <c r="T54" s="7">
        <v>43122.367384615405</v>
      </c>
      <c r="U54" s="2"/>
      <c r="V54" s="6">
        <f t="shared" si="25"/>
        <v>9.6464685918909693E-2</v>
      </c>
      <c r="W54" s="2"/>
      <c r="X54" s="7">
        <f t="shared" si="26"/>
        <v>41244.242615384595</v>
      </c>
      <c r="Y54" s="2"/>
      <c r="Z54" s="6">
        <f t="shared" si="27"/>
        <v>0.95644662194727137</v>
      </c>
    </row>
    <row r="55" spans="1:26" s="24" customFormat="1" hidden="1" outlineLevel="2" x14ac:dyDescent="0.25">
      <c r="A55" s="25"/>
      <c r="B55" s="11" t="str">
        <f>CONCATENATE("          ", "6003", " - ", "STAFF HOURLY-9 MONTH")</f>
        <v xml:space="preserve">          6003 - STAFF HOURLY-9 MONTH</v>
      </c>
      <c r="C55" s="11"/>
      <c r="D55" s="7"/>
      <c r="E55" s="2"/>
      <c r="F55" s="6">
        <f t="shared" si="20"/>
        <v>0</v>
      </c>
      <c r="G55" s="2"/>
      <c r="H55" s="7">
        <v>0</v>
      </c>
      <c r="I55" s="2"/>
      <c r="J55" s="6">
        <f t="shared" si="21"/>
        <v>0</v>
      </c>
      <c r="K55" s="2"/>
      <c r="L55" s="7">
        <f t="shared" si="22"/>
        <v>0</v>
      </c>
      <c r="M55" s="2"/>
      <c r="N55" s="6">
        <f t="shared" si="23"/>
        <v>0</v>
      </c>
      <c r="O55" s="11"/>
      <c r="P55" s="7"/>
      <c r="Q55" s="2"/>
      <c r="R55" s="6">
        <f t="shared" si="24"/>
        <v>0</v>
      </c>
      <c r="S55" s="2"/>
      <c r="T55" s="7">
        <v>0</v>
      </c>
      <c r="U55" s="2"/>
      <c r="V55" s="6">
        <f t="shared" si="25"/>
        <v>0</v>
      </c>
      <c r="W55" s="2"/>
      <c r="X55" s="7">
        <f t="shared" si="26"/>
        <v>0</v>
      </c>
      <c r="Y55" s="2"/>
      <c r="Z55" s="6">
        <f t="shared" si="27"/>
        <v>0</v>
      </c>
    </row>
    <row r="56" spans="1:26" s="24" customFormat="1" hidden="1" outlineLevel="2" x14ac:dyDescent="0.25">
      <c r="A56" s="25"/>
      <c r="B56" s="11" t="str">
        <f>CONCATENATE("          ", "6004", " - ", "STAFF HOURLY")</f>
        <v xml:space="preserve">          6004 - STAFF HOURLY</v>
      </c>
      <c r="C56" s="11"/>
      <c r="D56" s="7"/>
      <c r="E56" s="2"/>
      <c r="F56" s="6">
        <f t="shared" si="20"/>
        <v>0</v>
      </c>
      <c r="G56" s="2"/>
      <c r="H56" s="7">
        <v>3220</v>
      </c>
      <c r="I56" s="2"/>
      <c r="J56" s="6">
        <f t="shared" si="21"/>
        <v>3.5417697849639773E-2</v>
      </c>
      <c r="K56" s="2"/>
      <c r="L56" s="7">
        <f t="shared" si="22"/>
        <v>-3220</v>
      </c>
      <c r="M56" s="2"/>
      <c r="N56" s="6">
        <f t="shared" si="23"/>
        <v>-1</v>
      </c>
      <c r="O56" s="11"/>
      <c r="P56" s="7"/>
      <c r="Q56" s="2"/>
      <c r="R56" s="6">
        <f t="shared" si="24"/>
        <v>0</v>
      </c>
      <c r="S56" s="2"/>
      <c r="T56" s="7">
        <v>21280</v>
      </c>
      <c r="U56" s="2"/>
      <c r="V56" s="6">
        <f t="shared" si="25"/>
        <v>4.7603335365273947E-2</v>
      </c>
      <c r="W56" s="2"/>
      <c r="X56" s="7">
        <f t="shared" si="26"/>
        <v>-21280</v>
      </c>
      <c r="Y56" s="2"/>
      <c r="Z56" s="6">
        <f t="shared" si="27"/>
        <v>-1</v>
      </c>
    </row>
    <row r="57" spans="1:26" s="24" customFormat="1" hidden="1" outlineLevel="2" x14ac:dyDescent="0.25">
      <c r="A57" s="25"/>
      <c r="B57" s="11" t="str">
        <f>CONCATENATE("          ", "6005", " - ", "TEMPORARY WAGES-HOURLY")</f>
        <v xml:space="preserve">          6005 - TEMPORARY WAGES-HOURLY</v>
      </c>
      <c r="C57" s="11"/>
      <c r="D57" s="7">
        <v>2285.92</v>
      </c>
      <c r="E57" s="2"/>
      <c r="F57" s="6">
        <f t="shared" si="20"/>
        <v>2.4711240775795801E-2</v>
      </c>
      <c r="G57" s="2"/>
      <c r="H57" s="7">
        <v>0</v>
      </c>
      <c r="I57" s="2"/>
      <c r="J57" s="6">
        <f t="shared" si="21"/>
        <v>0</v>
      </c>
      <c r="K57" s="2"/>
      <c r="L57" s="7">
        <f t="shared" si="22"/>
        <v>2285.92</v>
      </c>
      <c r="M57" s="2"/>
      <c r="N57" s="6">
        <f t="shared" si="23"/>
        <v>0</v>
      </c>
      <c r="O57" s="11"/>
      <c r="P57" s="7">
        <v>14143.92</v>
      </c>
      <c r="Q57" s="2"/>
      <c r="R57" s="6">
        <f t="shared" si="24"/>
        <v>3.5346556528932517E-2</v>
      </c>
      <c r="S57" s="2"/>
      <c r="T57" s="7">
        <v>0</v>
      </c>
      <c r="U57" s="2"/>
      <c r="V57" s="6">
        <f t="shared" si="25"/>
        <v>0</v>
      </c>
      <c r="W57" s="2"/>
      <c r="X57" s="7">
        <f t="shared" si="26"/>
        <v>14143.92</v>
      </c>
      <c r="Y57" s="2"/>
      <c r="Z57" s="6">
        <f t="shared" si="27"/>
        <v>0</v>
      </c>
    </row>
    <row r="58" spans="1:26" s="24" customFormat="1" hidden="1" outlineLevel="2" x14ac:dyDescent="0.25">
      <c r="A58" s="25"/>
      <c r="B58" s="11" t="str">
        <f>CONCATENATE("          ", "6006", " - ", "TEMPORARY PART TIME")</f>
        <v xml:space="preserve">          6006 - TEMPORARY PART TIME</v>
      </c>
      <c r="C58" s="11"/>
      <c r="D58" s="7">
        <v>120.31</v>
      </c>
      <c r="E58" s="2"/>
      <c r="F58" s="6">
        <f t="shared" si="20"/>
        <v>1.3005745510499024E-3</v>
      </c>
      <c r="G58" s="2"/>
      <c r="H58" s="7">
        <v>0</v>
      </c>
      <c r="I58" s="2"/>
      <c r="J58" s="6">
        <f t="shared" si="21"/>
        <v>0</v>
      </c>
      <c r="K58" s="2"/>
      <c r="L58" s="7">
        <f t="shared" si="22"/>
        <v>120.31</v>
      </c>
      <c r="M58" s="2"/>
      <c r="N58" s="6">
        <f t="shared" si="23"/>
        <v>0</v>
      </c>
      <c r="O58" s="11"/>
      <c r="P58" s="7">
        <v>177.68</v>
      </c>
      <c r="Q58" s="2"/>
      <c r="R58" s="6">
        <f t="shared" si="24"/>
        <v>4.440336316990431E-4</v>
      </c>
      <c r="S58" s="2"/>
      <c r="T58" s="7">
        <v>0</v>
      </c>
      <c r="U58" s="2"/>
      <c r="V58" s="6">
        <f t="shared" si="25"/>
        <v>0</v>
      </c>
      <c r="W58" s="2"/>
      <c r="X58" s="7">
        <f t="shared" si="26"/>
        <v>177.68</v>
      </c>
      <c r="Y58" s="2"/>
      <c r="Z58" s="6">
        <f t="shared" si="27"/>
        <v>0</v>
      </c>
    </row>
    <row r="59" spans="1:26" s="24" customFormat="1" hidden="1" outlineLevel="2" x14ac:dyDescent="0.25">
      <c r="A59" s="25"/>
      <c r="B59" s="11" t="str">
        <f>CONCATENATE("          ", "6007", " - ", "STUDENT HOURLY")</f>
        <v xml:space="preserve">          6007 - STUDENT HOURLY</v>
      </c>
      <c r="C59" s="11"/>
      <c r="D59" s="7">
        <v>5243.07</v>
      </c>
      <c r="E59" s="2"/>
      <c r="F59" s="6">
        <f t="shared" si="20"/>
        <v>5.6678608688996851E-2</v>
      </c>
      <c r="G59" s="2"/>
      <c r="H59" s="7">
        <v>0</v>
      </c>
      <c r="I59" s="2"/>
      <c r="J59" s="6">
        <f t="shared" si="21"/>
        <v>0</v>
      </c>
      <c r="K59" s="2"/>
      <c r="L59" s="7">
        <f t="shared" si="22"/>
        <v>5243.07</v>
      </c>
      <c r="M59" s="2"/>
      <c r="N59" s="6">
        <f t="shared" si="23"/>
        <v>0</v>
      </c>
      <c r="O59" s="11"/>
      <c r="P59" s="7">
        <v>27709.11</v>
      </c>
      <c r="Q59" s="2"/>
      <c r="R59" s="6">
        <f t="shared" si="24"/>
        <v>6.9246829943990729E-2</v>
      </c>
      <c r="S59" s="2"/>
      <c r="T59" s="7">
        <v>3756.1363631999998</v>
      </c>
      <c r="U59" s="2"/>
      <c r="V59" s="6">
        <f t="shared" si="25"/>
        <v>8.4024726961987786E-3</v>
      </c>
      <c r="W59" s="2"/>
      <c r="X59" s="7">
        <f t="shared" si="26"/>
        <v>23952.973636800001</v>
      </c>
      <c r="Y59" s="2"/>
      <c r="Z59" s="6">
        <f t="shared" si="27"/>
        <v>6.3770245062118898</v>
      </c>
    </row>
    <row r="60" spans="1:26" s="24" customFormat="1" hidden="1" outlineLevel="2" x14ac:dyDescent="0.25">
      <c r="A60" s="25"/>
      <c r="B60" s="11" t="str">
        <f>CONCATENATE("          ", "6008", " - ", "STUDENT HOURLY-FICA EXEMPT")</f>
        <v xml:space="preserve">          6008 - STUDENT HOURLY-FICA EXEMPT</v>
      </c>
      <c r="C60" s="11"/>
      <c r="D60" s="7"/>
      <c r="E60" s="2"/>
      <c r="F60" s="6">
        <f t="shared" si="20"/>
        <v>0</v>
      </c>
      <c r="G60" s="2"/>
      <c r="H60" s="7">
        <v>4844.2367224991995</v>
      </c>
      <c r="I60" s="2"/>
      <c r="J60" s="6">
        <f t="shared" si="21"/>
        <v>5.3283140543355874E-2</v>
      </c>
      <c r="K60" s="2"/>
      <c r="L60" s="7">
        <f t="shared" si="22"/>
        <v>-4844.2367224991995</v>
      </c>
      <c r="M60" s="2"/>
      <c r="N60" s="6">
        <f t="shared" si="23"/>
        <v>-1</v>
      </c>
      <c r="O60" s="11"/>
      <c r="P60" s="7"/>
      <c r="Q60" s="2"/>
      <c r="R60" s="6">
        <f t="shared" si="24"/>
        <v>0</v>
      </c>
      <c r="S60" s="2"/>
      <c r="T60" s="7">
        <v>24068.692464019201</v>
      </c>
      <c r="U60" s="2"/>
      <c r="V60" s="6">
        <f t="shared" si="25"/>
        <v>5.384163717896371E-2</v>
      </c>
      <c r="W60" s="2"/>
      <c r="X60" s="7">
        <f t="shared" si="26"/>
        <v>-24068.692464019201</v>
      </c>
      <c r="Y60" s="2"/>
      <c r="Z60" s="6">
        <f t="shared" si="27"/>
        <v>-1</v>
      </c>
    </row>
    <row r="61" spans="1:26" s="24" customFormat="1" hidden="1" outlineLevel="2" x14ac:dyDescent="0.25">
      <c r="A61" s="25"/>
      <c r="B61" s="11" t="str">
        <f>CONCATENATE("          ", "6009", " - ", "TEMPORARY-SEASONAL")</f>
        <v xml:space="preserve">          6009 - TEMPORARY-SEASONAL</v>
      </c>
      <c r="C61" s="11"/>
      <c r="D61" s="7"/>
      <c r="E61" s="2"/>
      <c r="F61" s="6">
        <f t="shared" si="20"/>
        <v>0</v>
      </c>
      <c r="G61" s="2"/>
      <c r="H61" s="7">
        <v>0</v>
      </c>
      <c r="I61" s="2"/>
      <c r="J61" s="6">
        <f t="shared" si="21"/>
        <v>0</v>
      </c>
      <c r="K61" s="2"/>
      <c r="L61" s="7">
        <f t="shared" si="22"/>
        <v>0</v>
      </c>
      <c r="M61" s="2"/>
      <c r="N61" s="6">
        <f t="shared" si="23"/>
        <v>0</v>
      </c>
      <c r="O61" s="11"/>
      <c r="P61" s="7"/>
      <c r="Q61" s="2"/>
      <c r="R61" s="6">
        <f t="shared" si="24"/>
        <v>0</v>
      </c>
      <c r="S61" s="2"/>
      <c r="T61" s="7">
        <v>0</v>
      </c>
      <c r="U61" s="2"/>
      <c r="V61" s="6">
        <f t="shared" si="25"/>
        <v>0</v>
      </c>
      <c r="W61" s="2"/>
      <c r="X61" s="7">
        <f t="shared" si="26"/>
        <v>0</v>
      </c>
      <c r="Y61" s="2"/>
      <c r="Z61" s="6">
        <f t="shared" si="27"/>
        <v>0</v>
      </c>
    </row>
    <row r="62" spans="1:26" s="24" customFormat="1" hidden="1" outlineLevel="2" x14ac:dyDescent="0.25">
      <c r="A62" s="25"/>
      <c r="B62" s="11" t="str">
        <f>CONCATENATE("          ", "6010", " - ", "GRATUITY")</f>
        <v xml:space="preserve">          6010 - GRATUITY</v>
      </c>
      <c r="C62" s="11"/>
      <c r="D62" s="7"/>
      <c r="E62" s="2"/>
      <c r="F62" s="6">
        <f t="shared" si="20"/>
        <v>0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0</v>
      </c>
      <c r="M62" s="2"/>
      <c r="N62" s="6">
        <f t="shared" si="23"/>
        <v>0</v>
      </c>
      <c r="O62" s="11"/>
      <c r="P62" s="7"/>
      <c r="Q62" s="2"/>
      <c r="R62" s="6">
        <f t="shared" si="24"/>
        <v>0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0</v>
      </c>
      <c r="Y62" s="2"/>
      <c r="Z62" s="6">
        <f t="shared" si="27"/>
        <v>0</v>
      </c>
    </row>
    <row r="63" spans="1:26" s="27" customFormat="1" outlineLevel="1" collapsed="1" x14ac:dyDescent="0.25">
      <c r="A63" s="26"/>
      <c r="B63" s="13" t="str">
        <f>CONCATENATE("     ","Advertising/Promo                                 ")</f>
        <v xml:space="preserve">     Advertising/Promo                                 </v>
      </c>
      <c r="C63" s="13"/>
      <c r="D63" s="1">
        <f>SUM(OSRRefD22_2x_0)</f>
        <v>353.5</v>
      </c>
      <c r="E63" s="1"/>
      <c r="F63" s="5">
        <f t="shared" ref="F63:F75" si="28">IF(D$12=0,0,D63/D$12)</f>
        <v>3.8214039048802299E-3</v>
      </c>
      <c r="G63" s="1"/>
      <c r="H63" s="1">
        <f>SUM(OSRRefH22_2x_0)</f>
        <v>100</v>
      </c>
      <c r="I63" s="1"/>
      <c r="J63" s="5">
        <f t="shared" ref="J63:J75" si="29">IF(H$12=0,0,H63/H$12)</f>
        <v>1.099928504647198E-3</v>
      </c>
      <c r="K63" s="1"/>
      <c r="L63" s="1">
        <f t="shared" ref="L63:L75" si="30">+D63-H63</f>
        <v>253.5</v>
      </c>
      <c r="M63" s="1"/>
      <c r="N63" s="5">
        <f t="shared" ref="N63:N75" si="31">IF(H63=0,0,L63/H63)</f>
        <v>2.5350000000000001</v>
      </c>
      <c r="O63" s="13"/>
      <c r="P63" s="1">
        <f>SUM(OSRRefP22_2x_0)</f>
        <v>-106.46</v>
      </c>
      <c r="Q63" s="1"/>
      <c r="R63" s="5">
        <f t="shared" ref="R63:R75" si="32">IF(P$12=0,0,P63/P$12)</f>
        <v>-2.660503175972542E-4</v>
      </c>
      <c r="S63" s="1"/>
      <c r="T63" s="1">
        <f>SUM(OSRRefT22_2x_0)</f>
        <v>1700</v>
      </c>
      <c r="U63" s="1"/>
      <c r="V63" s="5">
        <f t="shared" ref="V63:V75" si="33">IF(T$12=0,0,T63/T$12)</f>
        <v>3.8028980320002686E-3</v>
      </c>
      <c r="W63" s="1"/>
      <c r="X63" s="1">
        <f t="shared" ref="X63:X75" si="34">+P63-T63</f>
        <v>-1806.46</v>
      </c>
      <c r="Y63" s="1"/>
      <c r="Z63" s="5">
        <f t="shared" ref="Z63:Z75" si="35">IF(T63=0,0,X63/T63)</f>
        <v>-1.0626235294117647</v>
      </c>
    </row>
    <row r="64" spans="1:26" s="24" customFormat="1" hidden="1" outlineLevel="2" x14ac:dyDescent="0.25">
      <c r="A64" s="25"/>
      <c r="B64" s="11" t="str">
        <f>CONCATENATE("          ", "6362", " - ", "ADVERTISING EXPENSE")</f>
        <v xml:space="preserve">          6362 - ADVERTISING EXPENSE</v>
      </c>
      <c r="C64" s="11"/>
      <c r="D64" s="7">
        <v>353.5</v>
      </c>
      <c r="E64" s="2"/>
      <c r="F64" s="6">
        <f t="shared" si="28"/>
        <v>3.8214039048802299E-3</v>
      </c>
      <c r="G64" s="2"/>
      <c r="H64" s="7">
        <v>100</v>
      </c>
      <c r="I64" s="2"/>
      <c r="J64" s="6">
        <f t="shared" si="29"/>
        <v>1.099928504647198E-3</v>
      </c>
      <c r="K64" s="2"/>
      <c r="L64" s="7">
        <f t="shared" si="30"/>
        <v>253.5</v>
      </c>
      <c r="M64" s="2"/>
      <c r="N64" s="6">
        <f t="shared" si="31"/>
        <v>2.5350000000000001</v>
      </c>
      <c r="O64" s="11"/>
      <c r="P64" s="7">
        <v>-106.46</v>
      </c>
      <c r="Q64" s="2"/>
      <c r="R64" s="6">
        <f t="shared" si="32"/>
        <v>-2.660503175972542E-4</v>
      </c>
      <c r="S64" s="2"/>
      <c r="T64" s="7">
        <v>1700</v>
      </c>
      <c r="U64" s="2"/>
      <c r="V64" s="6">
        <f t="shared" si="33"/>
        <v>3.8028980320002686E-3</v>
      </c>
      <c r="W64" s="2"/>
      <c r="X64" s="7">
        <f t="shared" si="34"/>
        <v>-1806.46</v>
      </c>
      <c r="Y64" s="2"/>
      <c r="Z64" s="6">
        <f t="shared" si="35"/>
        <v>-1.0626235294117647</v>
      </c>
    </row>
    <row r="65" spans="1:26" s="27" customFormat="1" outlineLevel="1" collapsed="1" x14ac:dyDescent="0.25">
      <c r="A65" s="26"/>
      <c r="B65" s="13" t="str">
        <f>CONCATENATE("     ","Depreciation                                      ")</f>
        <v xml:space="preserve">     Depreciation                                      </v>
      </c>
      <c r="C65" s="13"/>
      <c r="D65" s="1">
        <f>SUM(OSRRefD22_3x_0)</f>
        <v>169.88</v>
      </c>
      <c r="E65" s="1"/>
      <c r="F65" s="5">
        <f t="shared" si="28"/>
        <v>1.8364359133268839E-3</v>
      </c>
      <c r="G65" s="1"/>
      <c r="H65" s="1">
        <f>SUM(OSRRefH22_3x_0)</f>
        <v>0</v>
      </c>
      <c r="I65" s="1"/>
      <c r="J65" s="5">
        <f t="shared" si="29"/>
        <v>0</v>
      </c>
      <c r="K65" s="1"/>
      <c r="L65" s="1">
        <f t="shared" si="30"/>
        <v>169.88</v>
      </c>
      <c r="M65" s="1"/>
      <c r="N65" s="5">
        <f t="shared" si="31"/>
        <v>0</v>
      </c>
      <c r="O65" s="13"/>
      <c r="P65" s="1">
        <f>SUM(OSRRefP22_3x_0)</f>
        <v>339.76</v>
      </c>
      <c r="Q65" s="1"/>
      <c r="R65" s="5">
        <f t="shared" si="32"/>
        <v>8.490818702502639E-4</v>
      </c>
      <c r="S65" s="1"/>
      <c r="T65" s="1">
        <f>SUM(OSRRefT22_3x_0)</f>
        <v>0</v>
      </c>
      <c r="U65" s="1"/>
      <c r="V65" s="5">
        <f t="shared" si="33"/>
        <v>0</v>
      </c>
      <c r="W65" s="1"/>
      <c r="X65" s="1">
        <f t="shared" si="34"/>
        <v>339.76</v>
      </c>
      <c r="Y65" s="1"/>
      <c r="Z65" s="5">
        <f t="shared" si="35"/>
        <v>0</v>
      </c>
    </row>
    <row r="66" spans="1:26" s="24" customFormat="1" hidden="1" outlineLevel="2" x14ac:dyDescent="0.25">
      <c r="A66" s="25"/>
      <c r="B66" s="11" t="str">
        <f>CONCATENATE("          ", "6322", " - ", "EQUIPMENT DEPRECIATION EXPENSE")</f>
        <v xml:space="preserve">          6322 - EQUIPMENT DEPRECIATION EXPENSE</v>
      </c>
      <c r="C66" s="11"/>
      <c r="D66" s="7">
        <v>169.88</v>
      </c>
      <c r="E66" s="2"/>
      <c r="F66" s="6">
        <f t="shared" si="28"/>
        <v>1.8364359133268839E-3</v>
      </c>
      <c r="G66" s="2"/>
      <c r="H66" s="7">
        <v>0</v>
      </c>
      <c r="I66" s="2"/>
      <c r="J66" s="6">
        <f t="shared" si="29"/>
        <v>0</v>
      </c>
      <c r="K66" s="2"/>
      <c r="L66" s="7">
        <f t="shared" si="30"/>
        <v>169.88</v>
      </c>
      <c r="M66" s="2"/>
      <c r="N66" s="6">
        <f t="shared" si="31"/>
        <v>0</v>
      </c>
      <c r="O66" s="11"/>
      <c r="P66" s="7">
        <v>339.76</v>
      </c>
      <c r="Q66" s="2"/>
      <c r="R66" s="6">
        <f t="shared" si="32"/>
        <v>8.490818702502639E-4</v>
      </c>
      <c r="S66" s="2"/>
      <c r="T66" s="7">
        <v>0</v>
      </c>
      <c r="U66" s="2"/>
      <c r="V66" s="6">
        <f t="shared" si="33"/>
        <v>0</v>
      </c>
      <c r="W66" s="2"/>
      <c r="X66" s="7">
        <f t="shared" si="34"/>
        <v>339.76</v>
      </c>
      <c r="Y66" s="2"/>
      <c r="Z66" s="6">
        <f t="shared" si="35"/>
        <v>0</v>
      </c>
    </row>
    <row r="67" spans="1:26" s="27" customFormat="1" outlineLevel="1" collapsed="1" x14ac:dyDescent="0.25">
      <c r="A67" s="26"/>
      <c r="B67" s="13" t="str">
        <f>CONCATENATE("     ","Discounts and Markdowns                           ")</f>
        <v xml:space="preserve">     Discounts and Markdowns                           </v>
      </c>
      <c r="C67" s="13"/>
      <c r="D67" s="1">
        <f>SUM(OSRRefD22_4x_0)</f>
        <v>170.62</v>
      </c>
      <c r="E67" s="1"/>
      <c r="F67" s="5">
        <f t="shared" si="28"/>
        <v>1.8444354575690659E-3</v>
      </c>
      <c r="G67" s="1"/>
      <c r="H67" s="1">
        <f>SUM(OSRRefH22_4x_0)</f>
        <v>900</v>
      </c>
      <c r="I67" s="1"/>
      <c r="J67" s="5">
        <f t="shared" si="29"/>
        <v>9.899356541824781E-3</v>
      </c>
      <c r="K67" s="1"/>
      <c r="L67" s="1">
        <f t="shared" si="30"/>
        <v>-729.38</v>
      </c>
      <c r="M67" s="1"/>
      <c r="N67" s="5">
        <f t="shared" si="31"/>
        <v>-0.81042222222222227</v>
      </c>
      <c r="O67" s="13"/>
      <c r="P67" s="1">
        <f>SUM(OSRRefP22_4x_0)</f>
        <v>922.18</v>
      </c>
      <c r="Q67" s="1"/>
      <c r="R67" s="5">
        <f t="shared" si="32"/>
        <v>2.3045865290422306E-3</v>
      </c>
      <c r="S67" s="1"/>
      <c r="T67" s="1">
        <f>SUM(OSRRefT22_4x_0)</f>
        <v>5500</v>
      </c>
      <c r="U67" s="1"/>
      <c r="V67" s="5">
        <f t="shared" si="33"/>
        <v>1.2303493632942045E-2</v>
      </c>
      <c r="W67" s="1"/>
      <c r="X67" s="1">
        <f t="shared" si="34"/>
        <v>-4577.82</v>
      </c>
      <c r="Y67" s="1"/>
      <c r="Z67" s="5">
        <f t="shared" si="35"/>
        <v>-0.83233090909090901</v>
      </c>
    </row>
    <row r="68" spans="1:26" s="24" customFormat="1" hidden="1" outlineLevel="2" x14ac:dyDescent="0.25">
      <c r="A68" s="25"/>
      <c r="B68" s="11" t="str">
        <f>CONCATENATE("          ", "6382", " - ", "DISCOUNTS/MARK DOWNS")</f>
        <v xml:space="preserve">          6382 - DISCOUNTS/MARK DOWNS</v>
      </c>
      <c r="C68" s="11"/>
      <c r="D68" s="7">
        <v>170.62</v>
      </c>
      <c r="E68" s="2"/>
      <c r="F68" s="6">
        <f t="shared" si="28"/>
        <v>1.8444354575690659E-3</v>
      </c>
      <c r="G68" s="2"/>
      <c r="H68" s="7">
        <v>900</v>
      </c>
      <c r="I68" s="2"/>
      <c r="J68" s="6">
        <f t="shared" si="29"/>
        <v>9.899356541824781E-3</v>
      </c>
      <c r="K68" s="2"/>
      <c r="L68" s="7">
        <f t="shared" si="30"/>
        <v>-729.38</v>
      </c>
      <c r="M68" s="2"/>
      <c r="N68" s="6">
        <f t="shared" si="31"/>
        <v>-0.81042222222222227</v>
      </c>
      <c r="O68" s="11"/>
      <c r="P68" s="7">
        <v>922.18</v>
      </c>
      <c r="Q68" s="2"/>
      <c r="R68" s="6">
        <f t="shared" si="32"/>
        <v>2.3045865290422306E-3</v>
      </c>
      <c r="S68" s="2"/>
      <c r="T68" s="7">
        <v>5500</v>
      </c>
      <c r="U68" s="2"/>
      <c r="V68" s="6">
        <f t="shared" si="33"/>
        <v>1.2303493632942045E-2</v>
      </c>
      <c r="W68" s="2"/>
      <c r="X68" s="7">
        <f t="shared" si="34"/>
        <v>-4577.82</v>
      </c>
      <c r="Y68" s="2"/>
      <c r="Z68" s="6">
        <f t="shared" si="35"/>
        <v>-0.83233090909090901</v>
      </c>
    </row>
    <row r="69" spans="1:26" s="27" customFormat="1" outlineLevel="1" collapsed="1" x14ac:dyDescent="0.25">
      <c r="A69" s="26"/>
      <c r="B69" s="13" t="str">
        <f>CONCATENATE("     ","Employees' Appreciation                           ")</f>
        <v xml:space="preserve">     Employees' Appreciation                           </v>
      </c>
      <c r="C69" s="13"/>
      <c r="D69" s="1">
        <f>SUM(OSRRefD22_5x_0)</f>
        <v>0</v>
      </c>
      <c r="E69" s="1"/>
      <c r="F69" s="5">
        <f t="shared" si="28"/>
        <v>0</v>
      </c>
      <c r="G69" s="1"/>
      <c r="H69" s="1">
        <f>SUM(OSRRefH22_5x_0)</f>
        <v>100</v>
      </c>
      <c r="I69" s="1"/>
      <c r="J69" s="5">
        <f t="shared" si="29"/>
        <v>1.099928504647198E-3</v>
      </c>
      <c r="K69" s="1"/>
      <c r="L69" s="1">
        <f t="shared" si="30"/>
        <v>-100</v>
      </c>
      <c r="M69" s="1"/>
      <c r="N69" s="5">
        <f t="shared" si="31"/>
        <v>-1</v>
      </c>
      <c r="O69" s="13"/>
      <c r="P69" s="1">
        <f>SUM(OSRRefP22_5x_0)</f>
        <v>0</v>
      </c>
      <c r="Q69" s="1"/>
      <c r="R69" s="5">
        <f t="shared" si="32"/>
        <v>0</v>
      </c>
      <c r="S69" s="1"/>
      <c r="T69" s="1">
        <f>SUM(OSRRefT22_5x_0)</f>
        <v>700</v>
      </c>
      <c r="U69" s="1"/>
      <c r="V69" s="5">
        <f t="shared" si="33"/>
        <v>1.5658991896471694E-3</v>
      </c>
      <c r="W69" s="1"/>
      <c r="X69" s="1">
        <f t="shared" si="34"/>
        <v>-700</v>
      </c>
      <c r="Y69" s="1"/>
      <c r="Z69" s="5">
        <f t="shared" si="35"/>
        <v>-1</v>
      </c>
    </row>
    <row r="70" spans="1:26" s="24" customFormat="1" hidden="1" outlineLevel="2" x14ac:dyDescent="0.25">
      <c r="A70" s="25"/>
      <c r="B70" s="11" t="str">
        <f>CONCATENATE("          ", "6277", " - ", "EMPLOYEE APPRECIATION")</f>
        <v xml:space="preserve">          6277 - EMPLOYEE APPRECIATION</v>
      </c>
      <c r="C70" s="11"/>
      <c r="D70" s="7"/>
      <c r="E70" s="2"/>
      <c r="F70" s="6">
        <f t="shared" si="28"/>
        <v>0</v>
      </c>
      <c r="G70" s="2"/>
      <c r="H70" s="7">
        <v>100</v>
      </c>
      <c r="I70" s="2"/>
      <c r="J70" s="6">
        <f t="shared" si="29"/>
        <v>1.099928504647198E-3</v>
      </c>
      <c r="K70" s="2"/>
      <c r="L70" s="7">
        <f t="shared" si="30"/>
        <v>-100</v>
      </c>
      <c r="M70" s="2"/>
      <c r="N70" s="6">
        <f t="shared" si="31"/>
        <v>-1</v>
      </c>
      <c r="O70" s="11"/>
      <c r="P70" s="7"/>
      <c r="Q70" s="2"/>
      <c r="R70" s="6">
        <f t="shared" si="32"/>
        <v>0</v>
      </c>
      <c r="S70" s="2"/>
      <c r="T70" s="7">
        <v>700</v>
      </c>
      <c r="U70" s="2"/>
      <c r="V70" s="6">
        <f t="shared" si="33"/>
        <v>1.5658991896471694E-3</v>
      </c>
      <c r="W70" s="2"/>
      <c r="X70" s="7">
        <f t="shared" si="34"/>
        <v>-700</v>
      </c>
      <c r="Y70" s="2"/>
      <c r="Z70" s="6">
        <f t="shared" si="35"/>
        <v>-1</v>
      </c>
    </row>
    <row r="71" spans="1:26" s="27" customFormat="1" outlineLevel="1" collapsed="1" x14ac:dyDescent="0.25">
      <c r="A71" s="26"/>
      <c r="B71" s="13" t="str">
        <f>CONCATENATE("     ","Equipment Rental                                  ")</f>
        <v xml:space="preserve">     Equipment Rental                                  </v>
      </c>
      <c r="C71" s="13"/>
      <c r="D71" s="1">
        <f>SUM(OSRRefD22_6x_0)</f>
        <v>1205.6400000000001</v>
      </c>
      <c r="E71" s="1"/>
      <c r="F71" s="5">
        <f t="shared" si="28"/>
        <v>1.3033203405600567E-2</v>
      </c>
      <c r="G71" s="1"/>
      <c r="H71" s="1">
        <f>SUM(OSRRefH22_6x_0)</f>
        <v>3000</v>
      </c>
      <c r="I71" s="1"/>
      <c r="J71" s="5">
        <f t="shared" si="29"/>
        <v>3.2997855139415937E-2</v>
      </c>
      <c r="K71" s="1"/>
      <c r="L71" s="1">
        <f t="shared" si="30"/>
        <v>-1794.36</v>
      </c>
      <c r="M71" s="1"/>
      <c r="N71" s="5">
        <f t="shared" si="31"/>
        <v>-0.59811999999999999</v>
      </c>
      <c r="O71" s="13"/>
      <c r="P71" s="1">
        <f>SUM(OSRRefP22_6x_0)</f>
        <v>11137.8</v>
      </c>
      <c r="Q71" s="1"/>
      <c r="R71" s="5">
        <f t="shared" si="32"/>
        <v>2.7834071269347151E-2</v>
      </c>
      <c r="S71" s="1"/>
      <c r="T71" s="1">
        <f>SUM(OSRRefT22_6x_0)</f>
        <v>21000</v>
      </c>
      <c r="U71" s="1"/>
      <c r="V71" s="5">
        <f t="shared" si="33"/>
        <v>4.6976975689415078E-2</v>
      </c>
      <c r="W71" s="1"/>
      <c r="X71" s="1">
        <f t="shared" si="34"/>
        <v>-9862.2000000000007</v>
      </c>
      <c r="Y71" s="1"/>
      <c r="Z71" s="5">
        <f t="shared" si="35"/>
        <v>-0.46962857142857145</v>
      </c>
    </row>
    <row r="72" spans="1:26" s="24" customFormat="1" hidden="1" outlineLevel="2" x14ac:dyDescent="0.25">
      <c r="A72" s="25"/>
      <c r="B72" s="11" t="str">
        <f>CONCATENATE("          ", "6351", " - ", "EQUIPMENT RENTAL")</f>
        <v xml:space="preserve">          6351 - EQUIPMENT RENTAL</v>
      </c>
      <c r="C72" s="11"/>
      <c r="D72" s="7">
        <v>1205.6400000000001</v>
      </c>
      <c r="E72" s="2"/>
      <c r="F72" s="6">
        <f t="shared" si="28"/>
        <v>1.3033203405600567E-2</v>
      </c>
      <c r="G72" s="2"/>
      <c r="H72" s="7">
        <v>3000</v>
      </c>
      <c r="I72" s="2"/>
      <c r="J72" s="6">
        <f t="shared" si="29"/>
        <v>3.2997855139415937E-2</v>
      </c>
      <c r="K72" s="2"/>
      <c r="L72" s="7">
        <f t="shared" si="30"/>
        <v>-1794.36</v>
      </c>
      <c r="M72" s="2"/>
      <c r="N72" s="6">
        <f t="shared" si="31"/>
        <v>-0.59811999999999999</v>
      </c>
      <c r="O72" s="11"/>
      <c r="P72" s="7">
        <v>11137.8</v>
      </c>
      <c r="Q72" s="2"/>
      <c r="R72" s="6">
        <f t="shared" si="32"/>
        <v>2.7834071269347151E-2</v>
      </c>
      <c r="S72" s="2"/>
      <c r="T72" s="7">
        <v>21000</v>
      </c>
      <c r="U72" s="2"/>
      <c r="V72" s="6">
        <f t="shared" si="33"/>
        <v>4.6976975689415078E-2</v>
      </c>
      <c r="W72" s="2"/>
      <c r="X72" s="7">
        <f t="shared" si="34"/>
        <v>-9862.2000000000007</v>
      </c>
      <c r="Y72" s="2"/>
      <c r="Z72" s="6">
        <f t="shared" si="35"/>
        <v>-0.46962857142857145</v>
      </c>
    </row>
    <row r="73" spans="1:26" s="27" customFormat="1" outlineLevel="1" collapsed="1" x14ac:dyDescent="0.25">
      <c r="A73" s="26"/>
      <c r="B73" s="13" t="str">
        <f>CONCATENATE("     ","Freight out/Postage                               ")</f>
        <v xml:space="preserve">     Freight out/Postage                               </v>
      </c>
      <c r="C73" s="13"/>
      <c r="D73" s="1">
        <f>SUM(OSRRefD22_7x_0)</f>
        <v>-13804.1</v>
      </c>
      <c r="E73" s="1"/>
      <c r="F73" s="5">
        <f t="shared" si="28"/>
        <v>-0.14922501172095384</v>
      </c>
      <c r="G73" s="1"/>
      <c r="H73" s="1">
        <f>SUM(OSRRefH22_7x_0)</f>
        <v>-25300</v>
      </c>
      <c r="I73" s="1"/>
      <c r="J73" s="5">
        <f t="shared" si="29"/>
        <v>-0.27828191167574107</v>
      </c>
      <c r="K73" s="1"/>
      <c r="L73" s="1">
        <f t="shared" si="30"/>
        <v>11495.9</v>
      </c>
      <c r="M73" s="1"/>
      <c r="N73" s="5">
        <f t="shared" si="31"/>
        <v>-0.45438339920948617</v>
      </c>
      <c r="O73" s="13"/>
      <c r="P73" s="1">
        <f>SUM(OSRRefP22_7x_0)</f>
        <v>-19688.419999999998</v>
      </c>
      <c r="Q73" s="1"/>
      <c r="R73" s="5">
        <f t="shared" si="32"/>
        <v>-4.9202615010221037E-2</v>
      </c>
      <c r="S73" s="1"/>
      <c r="T73" s="1">
        <f>SUM(OSRRefT22_7x_0)</f>
        <v>-69600</v>
      </c>
      <c r="U73" s="1"/>
      <c r="V73" s="5">
        <f t="shared" si="33"/>
        <v>-0.1556951194277757</v>
      </c>
      <c r="W73" s="1"/>
      <c r="X73" s="1">
        <f t="shared" si="34"/>
        <v>49911.58</v>
      </c>
      <c r="Y73" s="1"/>
      <c r="Z73" s="5">
        <f t="shared" si="35"/>
        <v>-0.71712040229885055</v>
      </c>
    </row>
    <row r="74" spans="1:26" s="24" customFormat="1" hidden="1" outlineLevel="2" x14ac:dyDescent="0.25">
      <c r="A74" s="25"/>
      <c r="B74" s="11" t="str">
        <f>CONCATENATE("          ", "6305", " - ", "FREIGHT OUT")</f>
        <v xml:space="preserve">          6305 - FREIGHT OUT</v>
      </c>
      <c r="C74" s="11"/>
      <c r="D74" s="7">
        <v>2286.77</v>
      </c>
      <c r="E74" s="2"/>
      <c r="F74" s="6">
        <f t="shared" si="28"/>
        <v>2.4720429441479386E-2</v>
      </c>
      <c r="G74" s="2"/>
      <c r="H74" s="7">
        <v>-25300</v>
      </c>
      <c r="I74" s="2"/>
      <c r="J74" s="6">
        <f t="shared" si="29"/>
        <v>-0.27828191167574107</v>
      </c>
      <c r="K74" s="2"/>
      <c r="L74" s="7">
        <f t="shared" si="30"/>
        <v>27586.77</v>
      </c>
      <c r="M74" s="2"/>
      <c r="N74" s="6">
        <f t="shared" si="31"/>
        <v>-1.0903861660079051</v>
      </c>
      <c r="O74" s="11"/>
      <c r="P74" s="7">
        <v>24971.68</v>
      </c>
      <c r="Q74" s="2"/>
      <c r="R74" s="6">
        <f t="shared" si="32"/>
        <v>6.2405818100103337E-2</v>
      </c>
      <c r="S74" s="2"/>
      <c r="T74" s="7">
        <v>-69600</v>
      </c>
      <c r="U74" s="2"/>
      <c r="V74" s="6">
        <f t="shared" si="33"/>
        <v>-0.1556951194277757</v>
      </c>
      <c r="W74" s="2"/>
      <c r="X74" s="7">
        <f t="shared" si="34"/>
        <v>94571.68</v>
      </c>
      <c r="Y74" s="2"/>
      <c r="Z74" s="6">
        <f t="shared" si="35"/>
        <v>-1.3587885057471263</v>
      </c>
    </row>
    <row r="75" spans="1:26" s="24" customFormat="1" hidden="1" outlineLevel="2" x14ac:dyDescent="0.25">
      <c r="A75" s="25"/>
      <c r="B75" s="11" t="str">
        <f>CONCATENATE("          ", "6307", " - ", "POSTAGE")</f>
        <v xml:space="preserve">          6307 - POSTAGE</v>
      </c>
      <c r="C75" s="11"/>
      <c r="D75" s="7">
        <v>-16090.87</v>
      </c>
      <c r="E75" s="2"/>
      <c r="F75" s="6">
        <f t="shared" si="28"/>
        <v>-0.17394544116243324</v>
      </c>
      <c r="G75" s="2"/>
      <c r="H75" s="7"/>
      <c r="I75" s="2"/>
      <c r="J75" s="6">
        <f t="shared" si="29"/>
        <v>0</v>
      </c>
      <c r="K75" s="2"/>
      <c r="L75" s="7">
        <f t="shared" si="30"/>
        <v>-16090.87</v>
      </c>
      <c r="M75" s="2"/>
      <c r="N75" s="6">
        <f t="shared" si="31"/>
        <v>0</v>
      </c>
      <c r="O75" s="11"/>
      <c r="P75" s="7">
        <v>-44660.1</v>
      </c>
      <c r="Q75" s="2"/>
      <c r="R75" s="6">
        <f t="shared" si="32"/>
        <v>-0.11160843311032437</v>
      </c>
      <c r="S75" s="2"/>
      <c r="T75" s="7"/>
      <c r="U75" s="2"/>
      <c r="V75" s="6">
        <f t="shared" si="33"/>
        <v>0</v>
      </c>
      <c r="W75" s="2"/>
      <c r="X75" s="7">
        <f t="shared" si="34"/>
        <v>-44660.1</v>
      </c>
      <c r="Y75" s="2"/>
      <c r="Z75" s="6">
        <f t="shared" si="35"/>
        <v>0</v>
      </c>
    </row>
    <row r="76" spans="1:26" s="27" customFormat="1" outlineLevel="1" collapsed="1" x14ac:dyDescent="0.25">
      <c r="A76" s="26"/>
      <c r="B76" s="13" t="str">
        <f>CONCATENATE("     ","General                                           ")</f>
        <v xml:space="preserve">     General                                           </v>
      </c>
      <c r="C76" s="13"/>
      <c r="D76" s="1">
        <f>SUM(OSRRefD22_8x_0)</f>
        <v>0</v>
      </c>
      <c r="E76" s="1"/>
      <c r="F76" s="5">
        <f t="shared" ref="F76:F82" si="36">IF(D$12=0,0,D76/D$12)</f>
        <v>0</v>
      </c>
      <c r="G76" s="1"/>
      <c r="H76" s="1">
        <f>SUM(OSRRefH22_8x_0)</f>
        <v>300</v>
      </c>
      <c r="I76" s="1"/>
      <c r="J76" s="5">
        <f t="shared" ref="J76:J82" si="37">IF(H$12=0,0,H76/H$12)</f>
        <v>3.2997855139415937E-3</v>
      </c>
      <c r="K76" s="1"/>
      <c r="L76" s="1">
        <f t="shared" ref="L76:L82" si="38">+D76-H76</f>
        <v>-300</v>
      </c>
      <c r="M76" s="1"/>
      <c r="N76" s="5">
        <f t="shared" ref="N76:N82" si="39">IF(H76=0,0,L76/H76)</f>
        <v>-1</v>
      </c>
      <c r="O76" s="13"/>
      <c r="P76" s="1">
        <f>SUM(OSRRefP22_8x_0)</f>
        <v>155.16999999999999</v>
      </c>
      <c r="Q76" s="1"/>
      <c r="R76" s="5">
        <f t="shared" ref="R76:R82" si="40">IF(P$12=0,0,P76/P$12)</f>
        <v>3.8777970863766611E-4</v>
      </c>
      <c r="S76" s="1"/>
      <c r="T76" s="1">
        <f>SUM(OSRRefT22_8x_0)</f>
        <v>2000</v>
      </c>
      <c r="U76" s="1"/>
      <c r="V76" s="5">
        <f t="shared" ref="V76:V82" si="41">IF(T$12=0,0,T76/T$12)</f>
        <v>4.4739976847061984E-3</v>
      </c>
      <c r="W76" s="1"/>
      <c r="X76" s="1">
        <f t="shared" ref="X76:X82" si="42">+P76-T76</f>
        <v>-1844.83</v>
      </c>
      <c r="Y76" s="1"/>
      <c r="Z76" s="5">
        <f t="shared" ref="Z76:Z82" si="43">IF(T76=0,0,X76/T76)</f>
        <v>-0.92241499999999998</v>
      </c>
    </row>
    <row r="77" spans="1:26" s="24" customFormat="1" hidden="1" outlineLevel="2" x14ac:dyDescent="0.25">
      <c r="A77" s="25"/>
      <c r="B77" s="11" t="str">
        <f>CONCATENATE("          ", "6279", " - ", "GENERAL EXPENSE")</f>
        <v xml:space="preserve">          6279 - GENERAL EXPENSE</v>
      </c>
      <c r="C77" s="11"/>
      <c r="D77" s="7"/>
      <c r="E77" s="2"/>
      <c r="F77" s="6">
        <f t="shared" si="36"/>
        <v>0</v>
      </c>
      <c r="G77" s="2"/>
      <c r="H77" s="7">
        <v>300</v>
      </c>
      <c r="I77" s="2"/>
      <c r="J77" s="6">
        <f t="shared" si="37"/>
        <v>3.2997855139415937E-3</v>
      </c>
      <c r="K77" s="2"/>
      <c r="L77" s="7">
        <f t="shared" si="38"/>
        <v>-300</v>
      </c>
      <c r="M77" s="2"/>
      <c r="N77" s="6">
        <f t="shared" si="39"/>
        <v>-1</v>
      </c>
      <c r="O77" s="11"/>
      <c r="P77" s="7">
        <v>155.16999999999999</v>
      </c>
      <c r="Q77" s="2"/>
      <c r="R77" s="6">
        <f t="shared" si="40"/>
        <v>3.8777970863766611E-4</v>
      </c>
      <c r="S77" s="2"/>
      <c r="T77" s="7">
        <v>2000</v>
      </c>
      <c r="U77" s="2"/>
      <c r="V77" s="6">
        <f t="shared" si="41"/>
        <v>4.4739976847061984E-3</v>
      </c>
      <c r="W77" s="2"/>
      <c r="X77" s="7">
        <f t="shared" si="42"/>
        <v>-1844.83</v>
      </c>
      <c r="Y77" s="2"/>
      <c r="Z77" s="6">
        <f t="shared" si="43"/>
        <v>-0.92241499999999998</v>
      </c>
    </row>
    <row r="78" spans="1:26" s="27" customFormat="1" outlineLevel="1" collapsed="1" x14ac:dyDescent="0.25">
      <c r="A78" s="26"/>
      <c r="B78" s="13" t="str">
        <f>CONCATENATE("     ","Inventory Adjustment                              ")</f>
        <v xml:space="preserve">     Inventory Adjustment                              </v>
      </c>
      <c r="C78" s="13"/>
      <c r="D78" s="1">
        <f>SUM(OSRRefD22_9x_0)</f>
        <v>100</v>
      </c>
      <c r="E78" s="1"/>
      <c r="F78" s="5">
        <f t="shared" si="36"/>
        <v>1.0810194921867693E-3</v>
      </c>
      <c r="G78" s="1"/>
      <c r="H78" s="1">
        <f>SUM(OSRRefH22_9x_0)</f>
        <v>100</v>
      </c>
      <c r="I78" s="1"/>
      <c r="J78" s="5">
        <f t="shared" si="37"/>
        <v>1.099928504647198E-3</v>
      </c>
      <c r="K78" s="1"/>
      <c r="L78" s="1">
        <f t="shared" si="38"/>
        <v>0</v>
      </c>
      <c r="M78" s="1"/>
      <c r="N78" s="5">
        <f t="shared" si="39"/>
        <v>0</v>
      </c>
      <c r="O78" s="13"/>
      <c r="P78" s="1">
        <f>SUM(OSRRefP22_9x_0)</f>
        <v>600</v>
      </c>
      <c r="Q78" s="1"/>
      <c r="R78" s="5">
        <f t="shared" si="40"/>
        <v>1.4994381979931666E-3</v>
      </c>
      <c r="S78" s="1"/>
      <c r="T78" s="1">
        <f>SUM(OSRRefT22_9x_0)</f>
        <v>600</v>
      </c>
      <c r="U78" s="1"/>
      <c r="V78" s="5">
        <f t="shared" si="41"/>
        <v>1.3421993054118595E-3</v>
      </c>
      <c r="W78" s="1"/>
      <c r="X78" s="1">
        <f t="shared" si="42"/>
        <v>0</v>
      </c>
      <c r="Y78" s="1"/>
      <c r="Z78" s="5">
        <f t="shared" si="43"/>
        <v>0</v>
      </c>
    </row>
    <row r="79" spans="1:26" s="24" customFormat="1" hidden="1" outlineLevel="2" x14ac:dyDescent="0.25">
      <c r="A79" s="25"/>
      <c r="B79" s="11" t="str">
        <f>CONCATENATE("          ", "6408", " - ", "INVENTORY ADJUSTMENT")</f>
        <v xml:space="preserve">          6408 - INVENTORY ADJUSTMENT</v>
      </c>
      <c r="C79" s="11"/>
      <c r="D79" s="7">
        <v>100</v>
      </c>
      <c r="E79" s="2"/>
      <c r="F79" s="6">
        <f t="shared" si="36"/>
        <v>1.0810194921867693E-3</v>
      </c>
      <c r="G79" s="2"/>
      <c r="H79" s="7">
        <v>100</v>
      </c>
      <c r="I79" s="2"/>
      <c r="J79" s="6">
        <f t="shared" si="37"/>
        <v>1.099928504647198E-3</v>
      </c>
      <c r="K79" s="2"/>
      <c r="L79" s="7">
        <f t="shared" si="38"/>
        <v>0</v>
      </c>
      <c r="M79" s="2"/>
      <c r="N79" s="6">
        <f t="shared" si="39"/>
        <v>0</v>
      </c>
      <c r="O79" s="11"/>
      <c r="P79" s="7">
        <v>600</v>
      </c>
      <c r="Q79" s="2"/>
      <c r="R79" s="6">
        <f t="shared" si="40"/>
        <v>1.4994381979931666E-3</v>
      </c>
      <c r="S79" s="2"/>
      <c r="T79" s="7">
        <v>600</v>
      </c>
      <c r="U79" s="2"/>
      <c r="V79" s="6">
        <f t="shared" si="41"/>
        <v>1.3421993054118595E-3</v>
      </c>
      <c r="W79" s="2"/>
      <c r="X79" s="7">
        <f t="shared" si="42"/>
        <v>0</v>
      </c>
      <c r="Y79" s="2"/>
      <c r="Z79" s="6">
        <f t="shared" si="43"/>
        <v>0</v>
      </c>
    </row>
    <row r="80" spans="1:26" s="27" customFormat="1" outlineLevel="1" collapsed="1" x14ac:dyDescent="0.25">
      <c r="A80" s="26"/>
      <c r="B80" s="13" t="str">
        <f>CONCATENATE("     ","Repair and Maintenance                            ")</f>
        <v xml:space="preserve">     Repair and Maintenance                            </v>
      </c>
      <c r="C80" s="13"/>
      <c r="D80" s="1">
        <f>SUM(OSRRefD22_10x_0)</f>
        <v>9249.09</v>
      </c>
      <c r="E80" s="1"/>
      <c r="F80" s="5">
        <f t="shared" si="36"/>
        <v>9.9984465749897278E-2</v>
      </c>
      <c r="G80" s="1"/>
      <c r="H80" s="1">
        <f>SUM(OSRRefH22_10x_0)</f>
        <v>7000</v>
      </c>
      <c r="I80" s="1"/>
      <c r="J80" s="5">
        <f t="shared" si="37"/>
        <v>7.699499532530385E-2</v>
      </c>
      <c r="K80" s="1"/>
      <c r="L80" s="1">
        <f t="shared" si="38"/>
        <v>2249.09</v>
      </c>
      <c r="M80" s="1"/>
      <c r="N80" s="5">
        <f t="shared" si="39"/>
        <v>0.32129857142857143</v>
      </c>
      <c r="O80" s="13"/>
      <c r="P80" s="1">
        <f>SUM(OSRRefP22_10x_0)</f>
        <v>45765.26</v>
      </c>
      <c r="Q80" s="1"/>
      <c r="R80" s="5">
        <f t="shared" si="40"/>
        <v>0.11437029830848126</v>
      </c>
      <c r="S80" s="1"/>
      <c r="T80" s="1">
        <f>SUM(OSRRefT22_10x_0)</f>
        <v>49000</v>
      </c>
      <c r="U80" s="1"/>
      <c r="V80" s="5">
        <f t="shared" si="41"/>
        <v>0.10961294327530186</v>
      </c>
      <c r="W80" s="1"/>
      <c r="X80" s="1">
        <f t="shared" si="42"/>
        <v>-3234.739999999998</v>
      </c>
      <c r="Y80" s="1"/>
      <c r="Z80" s="5">
        <f t="shared" si="43"/>
        <v>-6.6015102040816287E-2</v>
      </c>
    </row>
    <row r="81" spans="1:26" s="24" customFormat="1" hidden="1" outlineLevel="2" x14ac:dyDescent="0.25">
      <c r="A81" s="25"/>
      <c r="B81" s="11" t="str">
        <f>CONCATENATE("          ", "6373", " - ", "MAINTENANCE CONTRACTS")</f>
        <v xml:space="preserve">          6373 - MAINTENANCE CONTRACTS</v>
      </c>
      <c r="C81" s="11"/>
      <c r="D81" s="7">
        <v>8733.11</v>
      </c>
      <c r="E81" s="2"/>
      <c r="F81" s="6">
        <f t="shared" si="36"/>
        <v>9.4406621374111988E-2</v>
      </c>
      <c r="G81" s="2"/>
      <c r="H81" s="7">
        <v>7000</v>
      </c>
      <c r="I81" s="2"/>
      <c r="J81" s="6">
        <f t="shared" si="37"/>
        <v>7.699499532530385E-2</v>
      </c>
      <c r="K81" s="2"/>
      <c r="L81" s="7">
        <f t="shared" si="38"/>
        <v>1733.1100000000006</v>
      </c>
      <c r="M81" s="2"/>
      <c r="N81" s="6">
        <f t="shared" si="39"/>
        <v>0.24758714285714295</v>
      </c>
      <c r="O81" s="11"/>
      <c r="P81" s="7">
        <v>44879.8</v>
      </c>
      <c r="Q81" s="2"/>
      <c r="R81" s="6">
        <f t="shared" si="40"/>
        <v>0.11215747739715622</v>
      </c>
      <c r="S81" s="2"/>
      <c r="T81" s="7">
        <v>49000</v>
      </c>
      <c r="U81" s="2"/>
      <c r="V81" s="6">
        <f t="shared" si="41"/>
        <v>0.10961294327530186</v>
      </c>
      <c r="W81" s="2"/>
      <c r="X81" s="7">
        <f t="shared" si="42"/>
        <v>-4120.1999999999971</v>
      </c>
      <c r="Y81" s="2"/>
      <c r="Z81" s="6">
        <f t="shared" si="43"/>
        <v>-8.4085714285714222E-2</v>
      </c>
    </row>
    <row r="82" spans="1:26" s="24" customFormat="1" hidden="1" outlineLevel="2" x14ac:dyDescent="0.25">
      <c r="A82" s="25"/>
      <c r="B82" s="11" t="str">
        <f>CONCATENATE("          ", "6375", " - ", "OUTSIDE REPAIRS &amp; MAINTENANCE")</f>
        <v xml:space="preserve">          6375 - OUTSIDE REPAIRS &amp; MAINTENANCE</v>
      </c>
      <c r="C82" s="11"/>
      <c r="D82" s="7">
        <v>515.98</v>
      </c>
      <c r="E82" s="2"/>
      <c r="F82" s="6">
        <f t="shared" si="36"/>
        <v>5.5778443757852928E-3</v>
      </c>
      <c r="G82" s="2"/>
      <c r="H82" s="7"/>
      <c r="I82" s="2"/>
      <c r="J82" s="6">
        <f t="shared" si="37"/>
        <v>0</v>
      </c>
      <c r="K82" s="2"/>
      <c r="L82" s="7">
        <f t="shared" si="38"/>
        <v>515.98</v>
      </c>
      <c r="M82" s="2"/>
      <c r="N82" s="6">
        <f t="shared" si="39"/>
        <v>0</v>
      </c>
      <c r="O82" s="11"/>
      <c r="P82" s="7">
        <v>885.46</v>
      </c>
      <c r="Q82" s="2"/>
      <c r="R82" s="6">
        <f t="shared" si="40"/>
        <v>2.2128209113250492E-3</v>
      </c>
      <c r="S82" s="2"/>
      <c r="T82" s="7"/>
      <c r="U82" s="2"/>
      <c r="V82" s="6">
        <f t="shared" si="41"/>
        <v>0</v>
      </c>
      <c r="W82" s="2"/>
      <c r="X82" s="7">
        <f t="shared" si="42"/>
        <v>885.46</v>
      </c>
      <c r="Y82" s="2"/>
      <c r="Z82" s="6">
        <f t="shared" si="43"/>
        <v>0</v>
      </c>
    </row>
    <row r="83" spans="1:26" s="27" customFormat="1" outlineLevel="1" collapsed="1" x14ac:dyDescent="0.25">
      <c r="A83" s="26"/>
      <c r="B83" s="13" t="str">
        <f>CONCATENATE("     ","Royalty &amp; Commissions                             ")</f>
        <v xml:space="preserve">     Royalty &amp; Commissions                             </v>
      </c>
      <c r="C83" s="13"/>
      <c r="D83" s="1">
        <f>SUM(OSRRefD22_11x_0)</f>
        <v>7840.58</v>
      </c>
      <c r="E83" s="1"/>
      <c r="F83" s="5">
        <f t="shared" ref="F83:F85" si="44">IF(D$12=0,0,D83/D$12)</f>
        <v>8.4758198100497409E-2</v>
      </c>
      <c r="G83" s="1"/>
      <c r="H83" s="1">
        <f>SUM(OSRRefH22_11x_0)</f>
        <v>11000</v>
      </c>
      <c r="I83" s="1"/>
      <c r="J83" s="5">
        <f t="shared" ref="J83:J85" si="45">IF(H$12=0,0,H83/H$12)</f>
        <v>0.12099213551119177</v>
      </c>
      <c r="K83" s="1"/>
      <c r="L83" s="1">
        <f t="shared" ref="L83:L85" si="46">+D83-H83</f>
        <v>-3159.42</v>
      </c>
      <c r="M83" s="1"/>
      <c r="N83" s="5">
        <f t="shared" ref="N83:N85" si="47">IF(H83=0,0,L83/H83)</f>
        <v>-0.28722000000000003</v>
      </c>
      <c r="O83" s="13"/>
      <c r="P83" s="1">
        <f>SUM(OSRRefP22_11x_0)</f>
        <v>64400.56</v>
      </c>
      <c r="Q83" s="1"/>
      <c r="R83" s="5">
        <f t="shared" ref="R83:R85" si="48">IF(P$12=0,0,P83/P$12)</f>
        <v>0.16094109939358467</v>
      </c>
      <c r="S83" s="1"/>
      <c r="T83" s="1">
        <f>SUM(OSRRefT22_11x_0)</f>
        <v>77000</v>
      </c>
      <c r="U83" s="1"/>
      <c r="V83" s="5">
        <f t="shared" ref="V83:V85" si="49">IF(T$12=0,0,T83/T$12)</f>
        <v>0.17224891086118863</v>
      </c>
      <c r="W83" s="1"/>
      <c r="X83" s="1">
        <f t="shared" ref="X83:X85" si="50">+P83-T83</f>
        <v>-12599.440000000002</v>
      </c>
      <c r="Y83" s="1"/>
      <c r="Z83" s="5">
        <f t="shared" ref="Z83:Z85" si="51">IF(T83=0,0,X83/T83)</f>
        <v>-0.16362909090909095</v>
      </c>
    </row>
    <row r="84" spans="1:26" s="24" customFormat="1" hidden="1" outlineLevel="2" x14ac:dyDescent="0.25">
      <c r="A84" s="25"/>
      <c r="B84" s="11" t="str">
        <f>CONCATENATE("          ", "6254", " - ", "ROYALTY &amp; COMMISSIONS")</f>
        <v xml:space="preserve">          6254 - ROYALTY &amp; COMMISSIONS</v>
      </c>
      <c r="C84" s="11"/>
      <c r="D84" s="7"/>
      <c r="E84" s="2"/>
      <c r="F84" s="6">
        <f t="shared" si="44"/>
        <v>0</v>
      </c>
      <c r="G84" s="2"/>
      <c r="H84" s="7">
        <v>11000</v>
      </c>
      <c r="I84" s="2"/>
      <c r="J84" s="6">
        <f t="shared" si="45"/>
        <v>0.12099213551119177</v>
      </c>
      <c r="K84" s="2"/>
      <c r="L84" s="7">
        <f t="shared" si="46"/>
        <v>-11000</v>
      </c>
      <c r="M84" s="2"/>
      <c r="N84" s="6">
        <f t="shared" si="47"/>
        <v>-1</v>
      </c>
      <c r="O84" s="11"/>
      <c r="P84" s="7"/>
      <c r="Q84" s="2"/>
      <c r="R84" s="6">
        <f t="shared" si="48"/>
        <v>0</v>
      </c>
      <c r="S84" s="2"/>
      <c r="T84" s="7">
        <v>77000</v>
      </c>
      <c r="U84" s="2"/>
      <c r="V84" s="6">
        <f t="shared" si="49"/>
        <v>0.17224891086118863</v>
      </c>
      <c r="W84" s="2"/>
      <c r="X84" s="7">
        <f t="shared" si="50"/>
        <v>-77000</v>
      </c>
      <c r="Y84" s="2"/>
      <c r="Z84" s="6">
        <f t="shared" si="51"/>
        <v>-1</v>
      </c>
    </row>
    <row r="85" spans="1:26" s="24" customFormat="1" hidden="1" outlineLevel="2" x14ac:dyDescent="0.25">
      <c r="A85" s="25"/>
      <c r="B85" s="11" t="str">
        <f>CONCATENATE("          ", "6259", " - ", "ROYALTY &amp; COMMISSIONS")</f>
        <v xml:space="preserve">          6259 - ROYALTY &amp; COMMISSIONS</v>
      </c>
      <c r="C85" s="11"/>
      <c r="D85" s="7">
        <v>7840.58</v>
      </c>
      <c r="E85" s="2"/>
      <c r="F85" s="6">
        <f t="shared" si="44"/>
        <v>8.4758198100497409E-2</v>
      </c>
      <c r="G85" s="2"/>
      <c r="H85" s="7"/>
      <c r="I85" s="2"/>
      <c r="J85" s="6">
        <f t="shared" si="45"/>
        <v>0</v>
      </c>
      <c r="K85" s="2"/>
      <c r="L85" s="7">
        <f t="shared" si="46"/>
        <v>7840.58</v>
      </c>
      <c r="M85" s="2"/>
      <c r="N85" s="6">
        <f t="shared" si="47"/>
        <v>0</v>
      </c>
      <c r="O85" s="11"/>
      <c r="P85" s="7">
        <v>64400.56</v>
      </c>
      <c r="Q85" s="2"/>
      <c r="R85" s="6">
        <f t="shared" si="48"/>
        <v>0.16094109939358467</v>
      </c>
      <c r="S85" s="2"/>
      <c r="T85" s="7"/>
      <c r="U85" s="2"/>
      <c r="V85" s="6">
        <f t="shared" si="49"/>
        <v>0</v>
      </c>
      <c r="W85" s="2"/>
      <c r="X85" s="7">
        <f t="shared" si="50"/>
        <v>64400.56</v>
      </c>
      <c r="Y85" s="2"/>
      <c r="Z85" s="6">
        <f t="shared" si="51"/>
        <v>0</v>
      </c>
    </row>
    <row r="86" spans="1:26" s="27" customFormat="1" outlineLevel="1" collapsed="1" x14ac:dyDescent="0.25">
      <c r="A86" s="26"/>
      <c r="B86" s="13" t="str">
        <f>CONCATENATE("     ","Supplies                                          ")</f>
        <v xml:space="preserve">     Supplies                                          </v>
      </c>
      <c r="C86" s="13"/>
      <c r="D86" s="1">
        <f>SUM(OSRRefD22_12x_0)</f>
        <v>6148.22</v>
      </c>
      <c r="E86" s="1"/>
      <c r="F86" s="5">
        <f t="shared" ref="F86:F91" si="52">IF(D$12=0,0,D86/D$12)</f>
        <v>6.6463456622525396E-2</v>
      </c>
      <c r="G86" s="1"/>
      <c r="H86" s="1">
        <f>SUM(OSRRefH22_12x_0)</f>
        <v>13500</v>
      </c>
      <c r="I86" s="1"/>
      <c r="J86" s="5">
        <f t="shared" ref="J86:J91" si="53">IF(H$12=0,0,H86/H$12)</f>
        <v>0.14849034812737172</v>
      </c>
      <c r="K86" s="1"/>
      <c r="L86" s="1">
        <f t="shared" ref="L86:L91" si="54">+D86-H86</f>
        <v>-7351.78</v>
      </c>
      <c r="M86" s="1"/>
      <c r="N86" s="5">
        <f t="shared" ref="N86:N91" si="55">IF(H86=0,0,L86/H86)</f>
        <v>-0.54457629629629623</v>
      </c>
      <c r="O86" s="13"/>
      <c r="P86" s="1">
        <f>SUM(OSRRefP22_12x_0)</f>
        <v>29596.760000000002</v>
      </c>
      <c r="Q86" s="1"/>
      <c r="R86" s="5">
        <f t="shared" ref="R86:R91" si="56">IF(P$12=0,0,P86/P$12)</f>
        <v>7.3964187468060397E-2</v>
      </c>
      <c r="S86" s="1"/>
      <c r="T86" s="1">
        <f>SUM(OSRRefT22_12x_0)</f>
        <v>58200</v>
      </c>
      <c r="U86" s="1"/>
      <c r="V86" s="5">
        <f t="shared" ref="V86:V91" si="57">IF(T$12=0,0,T86/T$12)</f>
        <v>0.13019333262495036</v>
      </c>
      <c r="W86" s="1"/>
      <c r="X86" s="1">
        <f t="shared" ref="X86:X91" si="58">+P86-T86</f>
        <v>-28603.239999999998</v>
      </c>
      <c r="Y86" s="1"/>
      <c r="Z86" s="5">
        <f t="shared" ref="Z86:Z91" si="59">IF(T86=0,0,X86/T86)</f>
        <v>-0.49146460481099652</v>
      </c>
    </row>
    <row r="87" spans="1:26" s="24" customFormat="1" hidden="1" outlineLevel="2" x14ac:dyDescent="0.25">
      <c r="A87" s="25"/>
      <c r="B87" s="11" t="str">
        <f>CONCATENATE("          ", "6234", " - ", "EXPENDABLE SUPPLIES &amp; EQUIPMEN")</f>
        <v xml:space="preserve">          6234 - EXPENDABLE SUPPLIES &amp; EQUIPMEN</v>
      </c>
      <c r="C87" s="11"/>
      <c r="D87" s="7"/>
      <c r="E87" s="2"/>
      <c r="F87" s="6">
        <f t="shared" si="52"/>
        <v>0</v>
      </c>
      <c r="G87" s="2"/>
      <c r="H87" s="7"/>
      <c r="I87" s="2"/>
      <c r="J87" s="6">
        <f t="shared" si="53"/>
        <v>0</v>
      </c>
      <c r="K87" s="2"/>
      <c r="L87" s="7">
        <f t="shared" si="54"/>
        <v>0</v>
      </c>
      <c r="M87" s="2"/>
      <c r="N87" s="6">
        <f t="shared" si="55"/>
        <v>0</v>
      </c>
      <c r="O87" s="11"/>
      <c r="P87" s="7">
        <v>1017.27</v>
      </c>
      <c r="Q87" s="2"/>
      <c r="R87" s="6">
        <f t="shared" si="56"/>
        <v>2.5422224927875146E-3</v>
      </c>
      <c r="S87" s="2"/>
      <c r="T87" s="7"/>
      <c r="U87" s="2"/>
      <c r="V87" s="6">
        <f t="shared" si="57"/>
        <v>0</v>
      </c>
      <c r="W87" s="2"/>
      <c r="X87" s="7">
        <f t="shared" si="58"/>
        <v>1017.27</v>
      </c>
      <c r="Y87" s="2"/>
      <c r="Z87" s="6">
        <f t="shared" si="59"/>
        <v>0</v>
      </c>
    </row>
    <row r="88" spans="1:26" s="24" customFormat="1" hidden="1" outlineLevel="2" x14ac:dyDescent="0.25">
      <c r="A88" s="25"/>
      <c r="B88" s="11" t="str">
        <f>CONCATENATE("          ", "6241", " - ", "OFFICE EXPENSE")</f>
        <v xml:space="preserve">          6241 - OFFICE EXPENSE</v>
      </c>
      <c r="C88" s="11"/>
      <c r="D88" s="7">
        <v>1524.87</v>
      </c>
      <c r="E88" s="2"/>
      <c r="F88" s="6">
        <f t="shared" si="52"/>
        <v>1.648414193050839E-2</v>
      </c>
      <c r="G88" s="2"/>
      <c r="H88" s="7"/>
      <c r="I88" s="2"/>
      <c r="J88" s="6">
        <f t="shared" si="53"/>
        <v>0</v>
      </c>
      <c r="K88" s="2"/>
      <c r="L88" s="7">
        <f t="shared" si="54"/>
        <v>1524.87</v>
      </c>
      <c r="M88" s="2"/>
      <c r="N88" s="6">
        <f t="shared" si="55"/>
        <v>0</v>
      </c>
      <c r="O88" s="11"/>
      <c r="P88" s="7">
        <v>1694.29</v>
      </c>
      <c r="Q88" s="2"/>
      <c r="R88" s="6">
        <f t="shared" si="56"/>
        <v>4.2341385741297369E-3</v>
      </c>
      <c r="S88" s="2"/>
      <c r="T88" s="7"/>
      <c r="U88" s="2"/>
      <c r="V88" s="6">
        <f t="shared" si="57"/>
        <v>0</v>
      </c>
      <c r="W88" s="2"/>
      <c r="X88" s="7">
        <f t="shared" si="58"/>
        <v>1694.29</v>
      </c>
      <c r="Y88" s="2"/>
      <c r="Z88" s="6">
        <f t="shared" si="59"/>
        <v>0</v>
      </c>
    </row>
    <row r="89" spans="1:26" s="24" customFormat="1" hidden="1" outlineLevel="2" x14ac:dyDescent="0.25">
      <c r="A89" s="25"/>
      <c r="B89" s="11" t="str">
        <f>CONCATENATE("          ", "6243", " - ", "PAPER SUPPLIES")</f>
        <v xml:space="preserve">          6243 - PAPER SUPPLIES</v>
      </c>
      <c r="C89" s="11"/>
      <c r="D89" s="7">
        <v>2294.33</v>
      </c>
      <c r="E89" s="2"/>
      <c r="F89" s="6">
        <f t="shared" si="52"/>
        <v>2.4802154515088708E-2</v>
      </c>
      <c r="G89" s="2"/>
      <c r="H89" s="7">
        <v>250</v>
      </c>
      <c r="I89" s="2"/>
      <c r="J89" s="6">
        <f t="shared" si="53"/>
        <v>2.749821261617995E-3</v>
      </c>
      <c r="K89" s="2"/>
      <c r="L89" s="7">
        <f t="shared" si="54"/>
        <v>2044.33</v>
      </c>
      <c r="M89" s="2"/>
      <c r="N89" s="6">
        <f t="shared" si="55"/>
        <v>8.1773199999999999</v>
      </c>
      <c r="O89" s="11"/>
      <c r="P89" s="7">
        <v>11852.83</v>
      </c>
      <c r="Q89" s="2"/>
      <c r="R89" s="6">
        <f t="shared" si="56"/>
        <v>2.9620976760532245E-2</v>
      </c>
      <c r="S89" s="2"/>
      <c r="T89" s="7">
        <v>1750</v>
      </c>
      <c r="U89" s="2"/>
      <c r="V89" s="6">
        <f t="shared" si="57"/>
        <v>3.9147479741179231E-3</v>
      </c>
      <c r="W89" s="2"/>
      <c r="X89" s="7">
        <f t="shared" si="58"/>
        <v>10102.83</v>
      </c>
      <c r="Y89" s="2"/>
      <c r="Z89" s="6">
        <f t="shared" si="59"/>
        <v>5.7730457142857139</v>
      </c>
    </row>
    <row r="90" spans="1:26" s="24" customFormat="1" hidden="1" outlineLevel="2" x14ac:dyDescent="0.25">
      <c r="A90" s="25"/>
      <c r="B90" s="11" t="str">
        <f>CONCATENATE("          ", "6245", " - ", "PRINTING")</f>
        <v xml:space="preserve">          6245 - PRINTING</v>
      </c>
      <c r="C90" s="11"/>
      <c r="D90" s="7">
        <v>794.09</v>
      </c>
      <c r="E90" s="2"/>
      <c r="F90" s="6">
        <f t="shared" si="52"/>
        <v>8.5842676855059172E-3</v>
      </c>
      <c r="G90" s="2"/>
      <c r="H90" s="7"/>
      <c r="I90" s="2"/>
      <c r="J90" s="6">
        <f t="shared" si="53"/>
        <v>0</v>
      </c>
      <c r="K90" s="2"/>
      <c r="L90" s="7">
        <f t="shared" si="54"/>
        <v>794.09</v>
      </c>
      <c r="M90" s="2"/>
      <c r="N90" s="6">
        <f t="shared" si="55"/>
        <v>0</v>
      </c>
      <c r="O90" s="11"/>
      <c r="P90" s="7">
        <v>2007.27</v>
      </c>
      <c r="Q90" s="2"/>
      <c r="R90" s="6">
        <f t="shared" si="56"/>
        <v>5.0162955194762394E-3</v>
      </c>
      <c r="S90" s="2"/>
      <c r="T90" s="7"/>
      <c r="U90" s="2"/>
      <c r="V90" s="6">
        <f t="shared" si="57"/>
        <v>0</v>
      </c>
      <c r="W90" s="2"/>
      <c r="X90" s="7">
        <f t="shared" si="58"/>
        <v>2007.27</v>
      </c>
      <c r="Y90" s="2"/>
      <c r="Z90" s="6">
        <f t="shared" si="59"/>
        <v>0</v>
      </c>
    </row>
    <row r="91" spans="1:26" s="24" customFormat="1" hidden="1" outlineLevel="2" x14ac:dyDescent="0.25">
      <c r="A91" s="25"/>
      <c r="B91" s="11" t="str">
        <f>CONCATENATE("          ", "6247", " - ", "STORE SUPPLIES")</f>
        <v xml:space="preserve">          6247 - STORE SUPPLIES</v>
      </c>
      <c r="C91" s="11"/>
      <c r="D91" s="7">
        <v>1534.93</v>
      </c>
      <c r="E91" s="2"/>
      <c r="F91" s="6">
        <f t="shared" si="52"/>
        <v>1.659289249142238E-2</v>
      </c>
      <c r="G91" s="2"/>
      <c r="H91" s="7">
        <v>13250</v>
      </c>
      <c r="I91" s="2"/>
      <c r="J91" s="6">
        <f t="shared" si="53"/>
        <v>0.14574052686575373</v>
      </c>
      <c r="K91" s="2"/>
      <c r="L91" s="7">
        <f t="shared" si="54"/>
        <v>-11715.07</v>
      </c>
      <c r="M91" s="2"/>
      <c r="N91" s="6">
        <f t="shared" si="55"/>
        <v>-0.88415622641509428</v>
      </c>
      <c r="O91" s="11"/>
      <c r="P91" s="7">
        <v>13025.1</v>
      </c>
      <c r="Q91" s="2"/>
      <c r="R91" s="6">
        <f t="shared" si="56"/>
        <v>3.255055412113466E-2</v>
      </c>
      <c r="S91" s="2"/>
      <c r="T91" s="7">
        <v>56450</v>
      </c>
      <c r="U91" s="2"/>
      <c r="V91" s="6">
        <f t="shared" si="57"/>
        <v>0.12627858465083244</v>
      </c>
      <c r="W91" s="2"/>
      <c r="X91" s="7">
        <f t="shared" si="58"/>
        <v>-43424.9</v>
      </c>
      <c r="Y91" s="2"/>
      <c r="Z91" s="6">
        <f t="shared" si="59"/>
        <v>-0.7692630646589903</v>
      </c>
    </row>
    <row r="92" spans="1:26" s="27" customFormat="1" outlineLevel="1" collapsed="1" x14ac:dyDescent="0.25">
      <c r="A92" s="26"/>
      <c r="B92" s="13" t="str">
        <f>CONCATENATE("     ","Telephone/Data Lines                              ")</f>
        <v xml:space="preserve">     Telephone/Data Lines                              </v>
      </c>
      <c r="C92" s="13"/>
      <c r="D92" s="1">
        <f>SUM(OSRRefD22_13x_0)</f>
        <v>190.65</v>
      </c>
      <c r="E92" s="1"/>
      <c r="F92" s="5">
        <f t="shared" ref="F92:F94" si="60">IF(D$12=0,0,D92/D$12)</f>
        <v>2.0609636618540762E-3</v>
      </c>
      <c r="G92" s="1"/>
      <c r="H92" s="1">
        <f>SUM(OSRRefH22_13x_0)</f>
        <v>200</v>
      </c>
      <c r="I92" s="1"/>
      <c r="J92" s="5">
        <f t="shared" ref="J92:J94" si="61">IF(H$12=0,0,H92/H$12)</f>
        <v>2.1998570092943959E-3</v>
      </c>
      <c r="K92" s="1"/>
      <c r="L92" s="1">
        <f t="shared" ref="L92:L94" si="62">+D92-H92</f>
        <v>-9.3499999999999943</v>
      </c>
      <c r="M92" s="1"/>
      <c r="N92" s="5">
        <f t="shared" ref="N92:N94" si="63">IF(H92=0,0,L92/H92)</f>
        <v>-4.6749999999999972E-2</v>
      </c>
      <c r="O92" s="13"/>
      <c r="P92" s="1">
        <f>SUM(OSRRefP22_13x_0)</f>
        <v>1416.5</v>
      </c>
      <c r="Q92" s="1"/>
      <c r="R92" s="5">
        <f t="shared" ref="R92:R94" si="64">IF(P$12=0,0,P92/P$12)</f>
        <v>3.5399236790955345E-3</v>
      </c>
      <c r="S92" s="1"/>
      <c r="T92" s="1">
        <f>SUM(OSRRefT22_13x_0)</f>
        <v>1400</v>
      </c>
      <c r="U92" s="1"/>
      <c r="V92" s="5">
        <f t="shared" ref="V92:V94" si="65">IF(T$12=0,0,T92/T$12)</f>
        <v>3.1317983792943389E-3</v>
      </c>
      <c r="W92" s="1"/>
      <c r="X92" s="1">
        <f t="shared" ref="X92:X94" si="66">+P92-T92</f>
        <v>16.5</v>
      </c>
      <c r="Y92" s="1"/>
      <c r="Z92" s="5">
        <f t="shared" ref="Z92:Z94" si="67">IF(T92=0,0,X92/T92)</f>
        <v>1.1785714285714287E-2</v>
      </c>
    </row>
    <row r="93" spans="1:26" s="24" customFormat="1" hidden="1" outlineLevel="2" x14ac:dyDescent="0.25">
      <c r="A93" s="25"/>
      <c r="B93" s="11" t="str">
        <f>CONCATENATE("          ", "6303", " - ", "DATA PHONE LINES")</f>
        <v xml:space="preserve">          6303 - DATA PHONE LINES</v>
      </c>
      <c r="C93" s="11"/>
      <c r="D93" s="7"/>
      <c r="E93" s="2"/>
      <c r="F93" s="6">
        <f t="shared" si="60"/>
        <v>0</v>
      </c>
      <c r="G93" s="2"/>
      <c r="H93" s="7">
        <v>200</v>
      </c>
      <c r="I93" s="2"/>
      <c r="J93" s="6">
        <f t="shared" si="61"/>
        <v>2.1998570092943959E-3</v>
      </c>
      <c r="K93" s="2"/>
      <c r="L93" s="7">
        <f t="shared" si="62"/>
        <v>-200</v>
      </c>
      <c r="M93" s="2"/>
      <c r="N93" s="6">
        <f t="shared" si="63"/>
        <v>-1</v>
      </c>
      <c r="O93" s="11"/>
      <c r="P93" s="7"/>
      <c r="Q93" s="2"/>
      <c r="R93" s="6">
        <f t="shared" si="64"/>
        <v>0</v>
      </c>
      <c r="S93" s="2"/>
      <c r="T93" s="7">
        <v>1400</v>
      </c>
      <c r="U93" s="2"/>
      <c r="V93" s="6">
        <f t="shared" si="65"/>
        <v>3.1317983792943389E-3</v>
      </c>
      <c r="W93" s="2"/>
      <c r="X93" s="7">
        <f t="shared" si="66"/>
        <v>-1400</v>
      </c>
      <c r="Y93" s="2"/>
      <c r="Z93" s="6">
        <f t="shared" si="67"/>
        <v>-1</v>
      </c>
    </row>
    <row r="94" spans="1:26" s="24" customFormat="1" hidden="1" outlineLevel="2" x14ac:dyDescent="0.25">
      <c r="A94" s="25"/>
      <c r="B94" s="11" t="str">
        <f>CONCATENATE("          ", "6309", " - ", "TELEPHONE")</f>
        <v xml:space="preserve">          6309 - TELEPHONE</v>
      </c>
      <c r="C94" s="11"/>
      <c r="D94" s="7">
        <v>190.65</v>
      </c>
      <c r="E94" s="2"/>
      <c r="F94" s="6">
        <f t="shared" si="60"/>
        <v>2.0609636618540762E-3</v>
      </c>
      <c r="G94" s="2"/>
      <c r="H94" s="7"/>
      <c r="I94" s="2"/>
      <c r="J94" s="6">
        <f t="shared" si="61"/>
        <v>0</v>
      </c>
      <c r="K94" s="2"/>
      <c r="L94" s="7">
        <f t="shared" si="62"/>
        <v>190.65</v>
      </c>
      <c r="M94" s="2"/>
      <c r="N94" s="6">
        <f t="shared" si="63"/>
        <v>0</v>
      </c>
      <c r="O94" s="11"/>
      <c r="P94" s="7">
        <v>1416.5</v>
      </c>
      <c r="Q94" s="2"/>
      <c r="R94" s="6">
        <f t="shared" si="64"/>
        <v>3.5399236790955345E-3</v>
      </c>
      <c r="S94" s="2"/>
      <c r="T94" s="7"/>
      <c r="U94" s="2"/>
      <c r="V94" s="6">
        <f t="shared" si="65"/>
        <v>0</v>
      </c>
      <c r="W94" s="2"/>
      <c r="X94" s="7">
        <f t="shared" si="66"/>
        <v>1416.5</v>
      </c>
      <c r="Y94" s="2"/>
      <c r="Z94" s="6">
        <f t="shared" si="67"/>
        <v>0</v>
      </c>
    </row>
    <row r="95" spans="1:26" s="27" customFormat="1" outlineLevel="1" collapsed="1" x14ac:dyDescent="0.25">
      <c r="A95" s="26"/>
      <c r="B95" s="13" t="str">
        <f>CONCATENATE("     ","Training                                          ")</f>
        <v xml:space="preserve">     Training                                          </v>
      </c>
      <c r="C95" s="13"/>
      <c r="D95" s="1">
        <f>SUM(OSRRefD22_14x_0)</f>
        <v>0</v>
      </c>
      <c r="E95" s="1"/>
      <c r="F95" s="5">
        <f t="shared" ref="F95:F96" si="68">IF(D$12=0,0,D95/D$12)</f>
        <v>0</v>
      </c>
      <c r="G95" s="1"/>
      <c r="H95" s="1">
        <f>SUM(OSRRefH22_14x_0)</f>
        <v>0</v>
      </c>
      <c r="I95" s="1"/>
      <c r="J95" s="5">
        <f t="shared" ref="J95:J96" si="69">IF(H$12=0,0,H95/H$12)</f>
        <v>0</v>
      </c>
      <c r="K95" s="1"/>
      <c r="L95" s="1">
        <f t="shared" ref="L95:L96" si="70">+D95-H95</f>
        <v>0</v>
      </c>
      <c r="M95" s="1"/>
      <c r="N95" s="5">
        <f t="shared" ref="N95:N96" si="71">IF(H95=0,0,L95/H95)</f>
        <v>0</v>
      </c>
      <c r="O95" s="13"/>
      <c r="P95" s="1">
        <f>SUM(OSRRefP22_14x_0)</f>
        <v>97.71</v>
      </c>
      <c r="Q95" s="1"/>
      <c r="R95" s="5">
        <f t="shared" ref="R95:R96" si="72">IF(P$12=0,0,P95/P$12)</f>
        <v>2.4418351054318718E-4</v>
      </c>
      <c r="S95" s="1"/>
      <c r="T95" s="1">
        <f>SUM(OSRRefT22_14x_0)</f>
        <v>0</v>
      </c>
      <c r="U95" s="1"/>
      <c r="V95" s="5">
        <f t="shared" ref="V95:V96" si="73">IF(T$12=0,0,T95/T$12)</f>
        <v>0</v>
      </c>
      <c r="W95" s="1"/>
      <c r="X95" s="1">
        <f t="shared" ref="X95:X96" si="74">+P95-T95</f>
        <v>97.71</v>
      </c>
      <c r="Y95" s="1"/>
      <c r="Z95" s="5">
        <f t="shared" ref="Z95:Z96" si="75">IF(T95=0,0,X95/T95)</f>
        <v>0</v>
      </c>
    </row>
    <row r="96" spans="1:26" s="24" customFormat="1" hidden="1" outlineLevel="2" x14ac:dyDescent="0.25">
      <c r="A96" s="25"/>
      <c r="B96" s="11" t="str">
        <f>CONCATENATE("          ", "6376", " - ", "TRAINING")</f>
        <v xml:space="preserve">          6376 - TRAINING</v>
      </c>
      <c r="C96" s="11"/>
      <c r="D96" s="7"/>
      <c r="E96" s="2"/>
      <c r="F96" s="6">
        <f t="shared" si="68"/>
        <v>0</v>
      </c>
      <c r="G96" s="2"/>
      <c r="H96" s="7"/>
      <c r="I96" s="2"/>
      <c r="J96" s="6">
        <f t="shared" si="69"/>
        <v>0</v>
      </c>
      <c r="K96" s="2"/>
      <c r="L96" s="7">
        <f t="shared" si="70"/>
        <v>0</v>
      </c>
      <c r="M96" s="2"/>
      <c r="N96" s="6">
        <f t="shared" si="71"/>
        <v>0</v>
      </c>
      <c r="O96" s="11"/>
      <c r="P96" s="7">
        <v>97.71</v>
      </c>
      <c r="Q96" s="2"/>
      <c r="R96" s="6">
        <f t="shared" si="72"/>
        <v>2.4418351054318718E-4</v>
      </c>
      <c r="S96" s="2"/>
      <c r="T96" s="7"/>
      <c r="U96" s="2"/>
      <c r="V96" s="6">
        <f t="shared" si="73"/>
        <v>0</v>
      </c>
      <c r="W96" s="2"/>
      <c r="X96" s="7">
        <f t="shared" si="74"/>
        <v>97.71</v>
      </c>
      <c r="Y96" s="2"/>
      <c r="Z96" s="6">
        <f t="shared" si="75"/>
        <v>0</v>
      </c>
    </row>
    <row r="97" spans="1:26" s="53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25">
      <c r="A98" s="10"/>
      <c r="B98" s="28" t="s">
        <v>0</v>
      </c>
      <c r="C98" s="10"/>
      <c r="D98" s="4">
        <f>SUM(OSRRefD25x_0)</f>
        <v>16826.099999999999</v>
      </c>
      <c r="E98" s="4"/>
      <c r="F98" s="12">
        <f t="shared" ref="F98:F105" si="76">IF(D$12=0,0,D98/D$12)</f>
        <v>0.181893420774838</v>
      </c>
      <c r="G98" s="4"/>
      <c r="H98" s="4">
        <f>SUM(OSRRefH25x_0)</f>
        <v>25750</v>
      </c>
      <c r="I98" s="4"/>
      <c r="J98" s="12">
        <f t="shared" ref="J98:J105" si="77">IF(H$12=0,0,H98/H$12)</f>
        <v>0.28323158994665348</v>
      </c>
      <c r="K98" s="4"/>
      <c r="L98" s="4">
        <f t="shared" ref="L98:L105" si="78">+D98-H98</f>
        <v>-8923.9000000000015</v>
      </c>
      <c r="M98" s="4"/>
      <c r="N98" s="12">
        <f t="shared" ref="N98:N105" si="79">IF(H98=0,0,L98/H98)</f>
        <v>-0.34655922330097094</v>
      </c>
      <c r="O98" s="10"/>
      <c r="P98" s="4">
        <f>SUM(OSRRefP25x_0)</f>
        <v>182173.5</v>
      </c>
      <c r="Q98" s="4"/>
      <c r="R98" s="12">
        <f t="shared" ref="R98:R105" si="80">IF(P$12=0,0,P98/P$12)</f>
        <v>0.45526317427018026</v>
      </c>
      <c r="S98" s="4"/>
      <c r="T98" s="4">
        <f>SUM(OSRRefT25x_0)</f>
        <v>181750</v>
      </c>
      <c r="U98" s="4"/>
      <c r="V98" s="12">
        <f t="shared" ref="V98:V105" si="81">IF(T$12=0,0,T98/T$12)</f>
        <v>0.40657453959767575</v>
      </c>
      <c r="W98" s="4"/>
      <c r="X98" s="4">
        <f t="shared" ref="X98:X105" si="82">+P98-T98</f>
        <v>423.5</v>
      </c>
      <c r="Y98" s="4"/>
      <c r="Z98" s="12">
        <f t="shared" ref="Z98:Z105" si="83">IF(T98=0,0,X98/T98)</f>
        <v>2.3301237964236587E-3</v>
      </c>
    </row>
    <row r="99" spans="1:26" s="24" customFormat="1" hidden="1" outlineLevel="1" x14ac:dyDescent="0.25">
      <c r="A99" s="44"/>
      <c r="B99" s="11" t="str">
        <f>CONCATENATE("          ", "4098", " - ", "TAXABLE SALES-GRAD RENTALS")</f>
        <v xml:space="preserve">          4098 - TAXABLE SALES-GRAD RENTALS</v>
      </c>
      <c r="C99" s="11"/>
      <c r="D99" s="2">
        <f>--320</f>
        <v>320</v>
      </c>
      <c r="E99" s="2"/>
      <c r="F99" s="19">
        <f t="shared" si="76"/>
        <v>3.4592623749976621E-3</v>
      </c>
      <c r="G99" s="2"/>
      <c r="H99" s="2"/>
      <c r="I99" s="2"/>
      <c r="J99" s="19">
        <f t="shared" si="77"/>
        <v>0</v>
      </c>
      <c r="K99" s="2"/>
      <c r="L99" s="2">
        <f t="shared" si="78"/>
        <v>320</v>
      </c>
      <c r="M99" s="2"/>
      <c r="N99" s="19">
        <f t="shared" si="79"/>
        <v>0</v>
      </c>
      <c r="O99" s="11"/>
      <c r="P99" s="2">
        <f>--1946.85</f>
        <v>1946.85</v>
      </c>
      <c r="Q99" s="2"/>
      <c r="R99" s="19">
        <f t="shared" si="80"/>
        <v>4.8653020929383273E-3</v>
      </c>
      <c r="S99" s="2"/>
      <c r="T99" s="2"/>
      <c r="U99" s="2"/>
      <c r="V99" s="19">
        <f t="shared" si="81"/>
        <v>0</v>
      </c>
      <c r="W99" s="2"/>
      <c r="X99" s="2">
        <f t="shared" si="82"/>
        <v>1946.85</v>
      </c>
      <c r="Y99" s="2"/>
      <c r="Z99" s="19">
        <f t="shared" si="83"/>
        <v>0</v>
      </c>
    </row>
    <row r="100" spans="1:26" s="24" customFormat="1" hidden="1" outlineLevel="1" x14ac:dyDescent="0.25">
      <c r="A100" s="44"/>
      <c r="B100" s="11" t="str">
        <f>CONCATENATE("          ", "4197", " - ", "NON-TAXABLE SALES-RETURNED CHE")</f>
        <v xml:space="preserve">          4197 - NON-TAXABLE SALES-RETURNED CHE</v>
      </c>
      <c r="C100" s="11"/>
      <c r="D100" s="2">
        <f>0</f>
        <v>0</v>
      </c>
      <c r="E100" s="2"/>
      <c r="F100" s="19">
        <f t="shared" si="76"/>
        <v>0</v>
      </c>
      <c r="G100" s="2"/>
      <c r="H100" s="2"/>
      <c r="I100" s="2"/>
      <c r="J100" s="19">
        <f t="shared" si="77"/>
        <v>0</v>
      </c>
      <c r="K100" s="2"/>
      <c r="L100" s="2">
        <f t="shared" si="78"/>
        <v>0</v>
      </c>
      <c r="M100" s="2"/>
      <c r="N100" s="19">
        <f t="shared" si="79"/>
        <v>0</v>
      </c>
      <c r="O100" s="11"/>
      <c r="P100" s="2">
        <f>--30</f>
        <v>30</v>
      </c>
      <c r="Q100" s="2"/>
      <c r="R100" s="19">
        <f t="shared" si="80"/>
        <v>7.4971909899658329E-5</v>
      </c>
      <c r="S100" s="2"/>
      <c r="T100" s="2"/>
      <c r="U100" s="2"/>
      <c r="V100" s="19">
        <f t="shared" si="81"/>
        <v>0</v>
      </c>
      <c r="W100" s="2"/>
      <c r="X100" s="2">
        <f t="shared" si="82"/>
        <v>30</v>
      </c>
      <c r="Y100" s="2"/>
      <c r="Z100" s="19">
        <f t="shared" si="83"/>
        <v>0</v>
      </c>
    </row>
    <row r="101" spans="1:26" s="24" customFormat="1" hidden="1" outlineLevel="1" x14ac:dyDescent="0.25">
      <c r="A101" s="44"/>
      <c r="B101" s="11" t="str">
        <f>CONCATENATE("          ", "4198", " - ", "NON-TAXABLE SALES-GRAD RENTALS")</f>
        <v xml:space="preserve">          4198 - NON-TAXABLE SALES-GRAD RENTALS</v>
      </c>
      <c r="C101" s="11"/>
      <c r="D101" s="2">
        <f>--3237.1</f>
        <v>3237.1</v>
      </c>
      <c r="E101" s="2"/>
      <c r="F101" s="19">
        <f t="shared" si="76"/>
        <v>3.4993681981577915E-2</v>
      </c>
      <c r="G101" s="2"/>
      <c r="H101" s="2"/>
      <c r="I101" s="2"/>
      <c r="J101" s="19">
        <f t="shared" si="77"/>
        <v>0</v>
      </c>
      <c r="K101" s="2"/>
      <c r="L101" s="2">
        <f t="shared" si="78"/>
        <v>3237.1</v>
      </c>
      <c r="M101" s="2"/>
      <c r="N101" s="19">
        <f t="shared" si="79"/>
        <v>0</v>
      </c>
      <c r="O101" s="11"/>
      <c r="P101" s="2">
        <f>--3732.1</f>
        <v>3732.1</v>
      </c>
      <c r="Q101" s="2"/>
      <c r="R101" s="19">
        <f t="shared" si="80"/>
        <v>9.3267554978838287E-3</v>
      </c>
      <c r="S101" s="2"/>
      <c r="T101" s="2"/>
      <c r="U101" s="2"/>
      <c r="V101" s="19">
        <f t="shared" si="81"/>
        <v>0</v>
      </c>
      <c r="W101" s="2"/>
      <c r="X101" s="2">
        <f t="shared" si="82"/>
        <v>3732.1</v>
      </c>
      <c r="Y101" s="2"/>
      <c r="Z101" s="19">
        <f t="shared" si="83"/>
        <v>0</v>
      </c>
    </row>
    <row r="102" spans="1:26" s="24" customFormat="1" hidden="1" outlineLevel="1" x14ac:dyDescent="0.25">
      <c r="A102" s="44"/>
      <c r="B102" s="11" t="str">
        <f>CONCATENATE("          ", "9150", " - ", "MISC. INCOME")</f>
        <v xml:space="preserve">          9150 - MISC. INCOME</v>
      </c>
      <c r="C102" s="11"/>
      <c r="D102" s="2">
        <f>--13269</f>
        <v>13269</v>
      </c>
      <c r="E102" s="2"/>
      <c r="F102" s="19">
        <f t="shared" si="76"/>
        <v>0.14344047641826244</v>
      </c>
      <c r="G102" s="2"/>
      <c r="H102" s="2"/>
      <c r="I102" s="2"/>
      <c r="J102" s="19">
        <f t="shared" si="77"/>
        <v>0</v>
      </c>
      <c r="K102" s="2"/>
      <c r="L102" s="2">
        <f t="shared" si="78"/>
        <v>13269</v>
      </c>
      <c r="M102" s="2"/>
      <c r="N102" s="19">
        <f t="shared" si="79"/>
        <v>0</v>
      </c>
      <c r="O102" s="11"/>
      <c r="P102" s="2">
        <f>--92883</f>
        <v>92883</v>
      </c>
      <c r="Q102" s="2"/>
      <c r="R102" s="19">
        <f t="shared" si="80"/>
        <v>0.23212053024033216</v>
      </c>
      <c r="S102" s="2"/>
      <c r="T102" s="2">
        <v>12250</v>
      </c>
      <c r="U102" s="2"/>
      <c r="V102" s="19">
        <f t="shared" si="81"/>
        <v>2.7403235818825464E-2</v>
      </c>
      <c r="W102" s="2"/>
      <c r="X102" s="2">
        <f t="shared" si="82"/>
        <v>80633</v>
      </c>
      <c r="Y102" s="2"/>
      <c r="Z102" s="19">
        <f t="shared" si="83"/>
        <v>6.5822857142857139</v>
      </c>
    </row>
    <row r="103" spans="1:26" s="24" customFormat="1" hidden="1" outlineLevel="1" x14ac:dyDescent="0.25">
      <c r="A103" s="44"/>
      <c r="B103" s="11" t="str">
        <f>CONCATENATE("          ", "9151", " - ", "MISC. INCOME")</f>
        <v xml:space="preserve">          9151 - MISC. INCOME</v>
      </c>
      <c r="C103" s="11"/>
      <c r="D103" s="2">
        <f t="shared" ref="D103:D105" si="84">0</f>
        <v>0</v>
      </c>
      <c r="E103" s="2"/>
      <c r="F103" s="19">
        <f t="shared" si="76"/>
        <v>0</v>
      </c>
      <c r="G103" s="2"/>
      <c r="H103" s="2">
        <v>12250</v>
      </c>
      <c r="I103" s="2"/>
      <c r="J103" s="19">
        <f t="shared" si="77"/>
        <v>0.13474124181928174</v>
      </c>
      <c r="K103" s="2"/>
      <c r="L103" s="2">
        <f t="shared" si="78"/>
        <v>-12250</v>
      </c>
      <c r="M103" s="2"/>
      <c r="N103" s="19">
        <f t="shared" si="79"/>
        <v>-1</v>
      </c>
      <c r="O103" s="11"/>
      <c r="P103" s="2">
        <f>0</f>
        <v>0</v>
      </c>
      <c r="Q103" s="2"/>
      <c r="R103" s="19">
        <f t="shared" si="80"/>
        <v>0</v>
      </c>
      <c r="S103" s="2"/>
      <c r="T103" s="2">
        <v>73500</v>
      </c>
      <c r="U103" s="2"/>
      <c r="V103" s="19">
        <f t="shared" si="81"/>
        <v>0.16441941491295278</v>
      </c>
      <c r="W103" s="2"/>
      <c r="X103" s="2">
        <f t="shared" si="82"/>
        <v>-73500</v>
      </c>
      <c r="Y103" s="2"/>
      <c r="Z103" s="19">
        <f t="shared" si="83"/>
        <v>-1</v>
      </c>
    </row>
    <row r="104" spans="1:26" s="24" customFormat="1" hidden="1" outlineLevel="1" x14ac:dyDescent="0.25">
      <c r="A104" s="44"/>
      <c r="B104" s="11" t="str">
        <f>CONCATENATE("          ", "9160", " - ", "MISC. INCOME")</f>
        <v xml:space="preserve">          9160 - MISC. INCOME</v>
      </c>
      <c r="C104" s="11"/>
      <c r="D104" s="2">
        <f t="shared" si="84"/>
        <v>0</v>
      </c>
      <c r="E104" s="2"/>
      <c r="F104" s="19">
        <f t="shared" si="76"/>
        <v>0</v>
      </c>
      <c r="G104" s="2"/>
      <c r="H104" s="2">
        <v>13500</v>
      </c>
      <c r="I104" s="2"/>
      <c r="J104" s="19">
        <f t="shared" si="77"/>
        <v>0.14849034812737172</v>
      </c>
      <c r="K104" s="2"/>
      <c r="L104" s="2">
        <f t="shared" si="78"/>
        <v>-13500</v>
      </c>
      <c r="M104" s="2"/>
      <c r="N104" s="19">
        <f t="shared" si="79"/>
        <v>-1</v>
      </c>
      <c r="O104" s="11"/>
      <c r="P104" s="2">
        <f>--22475</f>
        <v>22475</v>
      </c>
      <c r="Q104" s="2"/>
      <c r="R104" s="19">
        <f t="shared" si="80"/>
        <v>5.6166455833160704E-2</v>
      </c>
      <c r="S104" s="2"/>
      <c r="T104" s="2">
        <v>96000</v>
      </c>
      <c r="U104" s="2"/>
      <c r="V104" s="19">
        <f t="shared" si="81"/>
        <v>0.21475188886589752</v>
      </c>
      <c r="W104" s="2"/>
      <c r="X104" s="2">
        <f t="shared" si="82"/>
        <v>-73525</v>
      </c>
      <c r="Y104" s="2"/>
      <c r="Z104" s="19">
        <f t="shared" si="83"/>
        <v>-0.76588541666666665</v>
      </c>
    </row>
    <row r="105" spans="1:26" s="24" customFormat="1" hidden="1" outlineLevel="1" x14ac:dyDescent="0.25">
      <c r="A105" s="44"/>
      <c r="B105" s="11" t="str">
        <f>CONCATENATE("          ", "9163", " - ", "MISC. INCOME")</f>
        <v xml:space="preserve">          9163 - MISC. INCOME</v>
      </c>
      <c r="C105" s="11"/>
      <c r="D105" s="2">
        <f t="shared" si="84"/>
        <v>0</v>
      </c>
      <c r="E105" s="2"/>
      <c r="F105" s="19">
        <f t="shared" si="76"/>
        <v>0</v>
      </c>
      <c r="G105" s="2"/>
      <c r="H105" s="2"/>
      <c r="I105" s="2"/>
      <c r="J105" s="19">
        <f t="shared" si="77"/>
        <v>0</v>
      </c>
      <c r="K105" s="2"/>
      <c r="L105" s="2">
        <f t="shared" si="78"/>
        <v>0</v>
      </c>
      <c r="M105" s="2"/>
      <c r="N105" s="19">
        <f t="shared" si="79"/>
        <v>0</v>
      </c>
      <c r="O105" s="11"/>
      <c r="P105" s="2">
        <f>--61106.55</f>
        <v>61106.55</v>
      </c>
      <c r="Q105" s="2"/>
      <c r="R105" s="19">
        <f t="shared" si="80"/>
        <v>0.15270915869596557</v>
      </c>
      <c r="S105" s="2"/>
      <c r="T105" s="2"/>
      <c r="U105" s="2"/>
      <c r="V105" s="19">
        <f t="shared" si="81"/>
        <v>0</v>
      </c>
      <c r="W105" s="2"/>
      <c r="X105" s="2">
        <f t="shared" si="82"/>
        <v>61106.55</v>
      </c>
      <c r="Y105" s="2"/>
      <c r="Z105" s="19">
        <f t="shared" si="83"/>
        <v>0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9" t="s">
        <v>3</v>
      </c>
      <c r="C107" s="29"/>
      <c r="D107" s="21">
        <f>+D39-D41+D98</f>
        <v>66880.950000000012</v>
      </c>
      <c r="E107" s="14"/>
      <c r="F107" s="20">
        <f>IF(D$12=0,0,D107/D$12)</f>
        <v>0.72299610605968734</v>
      </c>
      <c r="G107" s="14"/>
      <c r="H107" s="21">
        <f>+H39-H41+H98</f>
        <v>75663.317574085755</v>
      </c>
      <c r="I107" s="14"/>
      <c r="J107" s="20">
        <f>IF(H$12=0,0,H107/H$12)</f>
        <v>0.83224239755910201</v>
      </c>
      <c r="K107" s="16"/>
      <c r="L107" s="21">
        <f>+D107-H107</f>
        <v>-8782.3675740857434</v>
      </c>
      <c r="M107" s="16"/>
      <c r="N107" s="20">
        <f>IF(H107=0,0,L107/H107)</f>
        <v>-0.1160716692799848</v>
      </c>
      <c r="O107" s="28"/>
      <c r="P107" s="21">
        <f>+P39-P41+P98</f>
        <v>261107.26999999996</v>
      </c>
      <c r="Q107" s="14"/>
      <c r="R107" s="20">
        <f>IF(P$12=0,0,P107/P$12)</f>
        <v>0.65252369068619198</v>
      </c>
      <c r="S107" s="14"/>
      <c r="T107" s="21">
        <f>+T39-T41+T98</f>
        <v>288740.01224127057</v>
      </c>
      <c r="U107" s="14"/>
      <c r="V107" s="20">
        <f>IF(T$12=0,0,T107/T$12)</f>
        <v>0.64591107312474194</v>
      </c>
      <c r="W107" s="16"/>
      <c r="X107" s="21">
        <f>+P107-T107</f>
        <v>-27632.742241270607</v>
      </c>
      <c r="Y107" s="16"/>
      <c r="Z107" s="20">
        <f>IF(T107=0,0,X107/T107)</f>
        <v>-9.5701118895086645E-2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2"/>
      <c r="B109" s="10" t="s">
        <v>14</v>
      </c>
      <c r="C109" s="10"/>
      <c r="D109" s="4">
        <v>8501.9699999999993</v>
      </c>
      <c r="E109" s="4"/>
      <c r="F109" s="12">
        <f>IF(D$12=0,0,D109/D$12)</f>
        <v>9.1907952919871472E-2</v>
      </c>
      <c r="G109" s="4"/>
      <c r="H109" s="4">
        <v>9168</v>
      </c>
      <c r="I109" s="4"/>
      <c r="J109" s="12">
        <f>IF(H$12=0,0,H109/H$12)</f>
        <v>0.1008414453060551</v>
      </c>
      <c r="K109" s="4"/>
      <c r="L109" s="4">
        <f>+D109-H109</f>
        <v>-666.03000000000065</v>
      </c>
      <c r="M109" s="4"/>
      <c r="N109" s="12">
        <f>IF(H109=0,0,L109/H109)</f>
        <v>-7.2647251308900596E-2</v>
      </c>
      <c r="O109" s="10"/>
      <c r="P109" s="4">
        <v>41729.96</v>
      </c>
      <c r="Q109" s="4"/>
      <c r="R109" s="12">
        <f>IF(P$12=0,0,P109/P$12)</f>
        <v>0.10428582670787821</v>
      </c>
      <c r="S109" s="4"/>
      <c r="T109" s="4">
        <v>55039</v>
      </c>
      <c r="U109" s="4"/>
      <c r="V109" s="12">
        <f>IF(T$12=0,0,T109/T$12)</f>
        <v>0.12312217928427222</v>
      </c>
      <c r="W109" s="4"/>
      <c r="X109" s="4">
        <f>+P109-T109</f>
        <v>-13309.04</v>
      </c>
      <c r="Y109" s="4"/>
      <c r="Z109" s="12">
        <f>IF(T109=0,0,X109/T109)</f>
        <v>-0.24181107941641383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9" t="s">
        <v>4</v>
      </c>
      <c r="C111" s="29"/>
      <c r="D111" s="34">
        <f>+D107-D109</f>
        <v>58378.98000000001</v>
      </c>
      <c r="E111" s="14"/>
      <c r="F111" s="32">
        <f>IF(D$12=0,0,D111/D$12)</f>
        <v>0.63108815313981581</v>
      </c>
      <c r="G111" s="14"/>
      <c r="H111" s="34">
        <f>+H107-H109</f>
        <v>66495.317574085755</v>
      </c>
      <c r="I111" s="14"/>
      <c r="J111" s="32">
        <f>IF(H$12=0,0,H111/H$12)</f>
        <v>0.73140095225304691</v>
      </c>
      <c r="K111" s="16"/>
      <c r="L111" s="34">
        <f>D111-H111</f>
        <v>-8116.3375740857446</v>
      </c>
      <c r="M111" s="16"/>
      <c r="N111" s="32">
        <f>IF(H111=0,0,L111/H111)</f>
        <v>-0.12205878353829842</v>
      </c>
      <c r="O111" s="28"/>
      <c r="P111" s="34">
        <f>+P107-P109</f>
        <v>219377.30999999997</v>
      </c>
      <c r="Q111" s="14"/>
      <c r="R111" s="32">
        <f>IF(P$12=0,0,P111/P$12)</f>
        <v>0.54823786397831376</v>
      </c>
      <c r="S111" s="14"/>
      <c r="T111" s="34">
        <f>+T107-T109</f>
        <v>233701.01224127057</v>
      </c>
      <c r="U111" s="14"/>
      <c r="V111" s="32">
        <f>IF(T$12=0,0,T111/T$12)</f>
        <v>0.52278889384046967</v>
      </c>
      <c r="W111" s="16"/>
      <c r="X111" s="34">
        <f>P111-T111</f>
        <v>-14323.702241270599</v>
      </c>
      <c r="Y111" s="16"/>
      <c r="Z111" s="32">
        <f>IF(T111=0,0,X111/T111)</f>
        <v>-6.1290715448347965E-2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9" t="s">
        <v>5</v>
      </c>
      <c r="C114" s="29"/>
      <c r="D114" s="31">
        <f>SUM(D111:D113)</f>
        <v>58378.98000000001</v>
      </c>
      <c r="E114" s="14"/>
      <c r="F114" s="30">
        <f>IF(D$12=0,0,D114/D$12)</f>
        <v>0.63108815313981581</v>
      </c>
      <c r="G114" s="14"/>
      <c r="H114" s="31">
        <f>SUM(H111:H113)</f>
        <v>66495.317574085755</v>
      </c>
      <c r="I114" s="14"/>
      <c r="J114" s="30">
        <f>IF(H$12=0,0,H114/H$12)</f>
        <v>0.73140095225304691</v>
      </c>
      <c r="K114" s="16"/>
      <c r="L114" s="31">
        <f>+D114-H114</f>
        <v>-8116.3375740857446</v>
      </c>
      <c r="M114" s="16"/>
      <c r="N114" s="30">
        <f>IF(H114=0,0,L114/H114)</f>
        <v>-0.12205878353829842</v>
      </c>
      <c r="O114" s="28"/>
      <c r="P114" s="31">
        <f>SUM(P111:P113)</f>
        <v>219377.30999999997</v>
      </c>
      <c r="Q114" s="14"/>
      <c r="R114" s="30">
        <f>IF(P$12=0,0,P114/P$12)</f>
        <v>0.54823786397831376</v>
      </c>
      <c r="S114" s="14"/>
      <c r="T114" s="31">
        <f>SUM(T111:T113)</f>
        <v>233701.01224127057</v>
      </c>
      <c r="U114" s="14"/>
      <c r="V114" s="30">
        <f>IF(T$12=0,0,T114/T$12)</f>
        <v>0.52278889384046967</v>
      </c>
      <c r="W114" s="16"/>
      <c r="X114" s="31">
        <f>+P114-T114</f>
        <v>-14323.702241270599</v>
      </c>
      <c r="Y114" s="16"/>
      <c r="Z114" s="30">
        <f>IF(T114=0,0,X114/T114)</f>
        <v>-6.1290715448347965E-2</v>
      </c>
    </row>
    <row r="115" spans="1:26" ht="15.75" thickTop="1" x14ac:dyDescent="0.25">
      <c r="A115" s="9"/>
      <c r="C115" s="9"/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6" x14ac:dyDescent="0.25">
      <c r="A116" s="9"/>
      <c r="B116" s="63">
        <v>43879.545799074076</v>
      </c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57" t="s">
        <v>314</v>
      </c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A118" s="9"/>
      <c r="B118" s="60"/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25"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","316", " - ", "Campus Copy Center")</f>
        <v>Department 316 - Campus Copy Center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92494.33</v>
      </c>
      <c r="E12" s="4"/>
      <c r="F12" s="12"/>
      <c r="G12" s="4"/>
      <c r="H12" s="4">
        <f>SUM(OSRRefH13x_0)</f>
        <v>90915</v>
      </c>
      <c r="I12" s="4"/>
      <c r="J12" s="12"/>
      <c r="K12" s="4"/>
      <c r="L12" s="4">
        <f t="shared" ref="L12:L26" si="0">+D12-H12</f>
        <v>1579.3300000000017</v>
      </c>
      <c r="M12" s="4"/>
      <c r="N12" s="12">
        <f t="shared" ref="N12:N26" si="1">IF(H12=0,0,L12/H12)</f>
        <v>1.7371500852444609E-2</v>
      </c>
      <c r="O12" s="10"/>
      <c r="P12" s="4">
        <f>SUM(OSRRefP13x_0)</f>
        <v>392590.04000000004</v>
      </c>
      <c r="Q12" s="4"/>
      <c r="R12" s="12"/>
      <c r="S12" s="4"/>
      <c r="T12" s="4">
        <f>SUM(OSRRefT13x_0)</f>
        <v>435527.5</v>
      </c>
      <c r="U12" s="4"/>
      <c r="V12" s="12"/>
      <c r="W12" s="4"/>
      <c r="X12" s="4">
        <f t="shared" ref="X12:X26" si="2">+P12-T12</f>
        <v>-42937.459999999963</v>
      </c>
      <c r="Y12" s="4"/>
      <c r="Z12" s="12">
        <f t="shared" ref="Z12:Z26" si="3">IF(T12=0,0,X12/T12)</f>
        <v>-9.8587253388132692E-2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88825</v>
      </c>
      <c r="I13" s="2"/>
      <c r="J13" s="19"/>
      <c r="K13" s="2"/>
      <c r="L13" s="2">
        <f t="shared" si="0"/>
        <v>-88825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375962.5</v>
      </c>
      <c r="U13" s="2"/>
      <c r="V13" s="19"/>
      <c r="W13" s="2"/>
      <c r="X13" s="2">
        <f t="shared" si="2"/>
        <v>-375962.5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--67657.65</f>
        <v>67657.649999999994</v>
      </c>
      <c r="E14" s="2"/>
      <c r="F14" s="19"/>
      <c r="G14" s="2"/>
      <c r="H14" s="2"/>
      <c r="I14" s="2"/>
      <c r="J14" s="19"/>
      <c r="K14" s="2"/>
      <c r="L14" s="2">
        <f t="shared" si="0"/>
        <v>67657.649999999994</v>
      </c>
      <c r="M14" s="2"/>
      <c r="N14" s="19">
        <f t="shared" si="1"/>
        <v>0</v>
      </c>
      <c r="O14" s="11"/>
      <c r="P14" s="2">
        <f>--164722.53</f>
        <v>164722.53</v>
      </c>
      <c r="Q14" s="2"/>
      <c r="R14" s="19"/>
      <c r="S14" s="2"/>
      <c r="T14" s="2"/>
      <c r="U14" s="2"/>
      <c r="V14" s="19"/>
      <c r="W14" s="2"/>
      <c r="X14" s="2">
        <f t="shared" si="2"/>
        <v>164722.53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--5786.57</f>
        <v>5786.57</v>
      </c>
      <c r="E15" s="2"/>
      <c r="F15" s="19"/>
      <c r="G15" s="2"/>
      <c r="H15" s="2"/>
      <c r="I15" s="2"/>
      <c r="J15" s="19"/>
      <c r="K15" s="2"/>
      <c r="L15" s="2">
        <f t="shared" si="0"/>
        <v>5786.57</v>
      </c>
      <c r="M15" s="2"/>
      <c r="N15" s="19">
        <f t="shared" si="1"/>
        <v>0</v>
      </c>
      <c r="O15" s="11"/>
      <c r="P15" s="2">
        <f>--53893.51</f>
        <v>53893.51</v>
      </c>
      <c r="Q15" s="2"/>
      <c r="R15" s="19"/>
      <c r="S15" s="2"/>
      <c r="T15" s="2"/>
      <c r="U15" s="2"/>
      <c r="V15" s="19"/>
      <c r="W15" s="2"/>
      <c r="X15" s="2">
        <f t="shared" si="2"/>
        <v>53893.51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--85</f>
        <v>85</v>
      </c>
      <c r="E16" s="2"/>
      <c r="F16" s="19"/>
      <c r="G16" s="2"/>
      <c r="H16" s="2"/>
      <c r="I16" s="2"/>
      <c r="J16" s="19"/>
      <c r="K16" s="2"/>
      <c r="L16" s="2">
        <f t="shared" si="0"/>
        <v>85</v>
      </c>
      <c r="M16" s="2"/>
      <c r="N16" s="19">
        <f t="shared" si="1"/>
        <v>0</v>
      </c>
      <c r="O16" s="11"/>
      <c r="P16" s="2">
        <f>--189.06</f>
        <v>189.06</v>
      </c>
      <c r="Q16" s="2"/>
      <c r="R16" s="19"/>
      <c r="S16" s="2"/>
      <c r="T16" s="2"/>
      <c r="U16" s="2"/>
      <c r="V16" s="19"/>
      <c r="W16" s="2"/>
      <c r="X16" s="2">
        <f t="shared" si="2"/>
        <v>189.06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>--183.1</f>
        <v>183.1</v>
      </c>
      <c r="E17" s="2"/>
      <c r="F17" s="19"/>
      <c r="G17" s="2"/>
      <c r="H17" s="2"/>
      <c r="I17" s="2"/>
      <c r="J17" s="19"/>
      <c r="K17" s="2"/>
      <c r="L17" s="2">
        <f t="shared" si="0"/>
        <v>183.1</v>
      </c>
      <c r="M17" s="2"/>
      <c r="N17" s="19">
        <f t="shared" si="1"/>
        <v>0</v>
      </c>
      <c r="O17" s="11"/>
      <c r="P17" s="2">
        <f>--1977.04</f>
        <v>1977.04</v>
      </c>
      <c r="Q17" s="2"/>
      <c r="R17" s="19"/>
      <c r="S17" s="2"/>
      <c r="T17" s="2"/>
      <c r="U17" s="2"/>
      <c r="V17" s="19"/>
      <c r="W17" s="2"/>
      <c r="X17" s="2">
        <f t="shared" si="2"/>
        <v>1977.04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>0</f>
        <v>0</v>
      </c>
      <c r="E18" s="2"/>
      <c r="F18" s="19"/>
      <c r="G18" s="2"/>
      <c r="H18" s="2">
        <v>2090</v>
      </c>
      <c r="I18" s="2"/>
      <c r="J18" s="19"/>
      <c r="K18" s="2"/>
      <c r="L18" s="2">
        <f t="shared" si="0"/>
        <v>-2090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v>59564.999999999993</v>
      </c>
      <c r="U18" s="2"/>
      <c r="V18" s="19"/>
      <c r="W18" s="2"/>
      <c r="X18" s="2">
        <f t="shared" si="2"/>
        <v>-59564.999999999993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"4141", " - ", "NON-TAXABLE SALES-LOGO GIFTS")</f>
        <v xml:space="preserve">          4141 - NON-TAXABLE SALES-LOGO GIFTS</v>
      </c>
      <c r="C19" s="11"/>
      <c r="D19" s="2">
        <f>--698.4</f>
        <v>698.4</v>
      </c>
      <c r="E19" s="2"/>
      <c r="F19" s="19"/>
      <c r="G19" s="2"/>
      <c r="H19" s="2"/>
      <c r="I19" s="2"/>
      <c r="J19" s="19"/>
      <c r="K19" s="2"/>
      <c r="L19" s="2">
        <f t="shared" si="0"/>
        <v>698.4</v>
      </c>
      <c r="M19" s="2"/>
      <c r="N19" s="19">
        <f t="shared" si="1"/>
        <v>0</v>
      </c>
      <c r="O19" s="11"/>
      <c r="P19" s="2">
        <f>--851.15</f>
        <v>851.15</v>
      </c>
      <c r="Q19" s="2"/>
      <c r="R19" s="19"/>
      <c r="S19" s="2"/>
      <c r="T19" s="2"/>
      <c r="U19" s="2"/>
      <c r="V19" s="19"/>
      <c r="W19" s="2"/>
      <c r="X19" s="2">
        <f t="shared" si="2"/>
        <v>851.15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--1402.33</f>
        <v>1402.33</v>
      </c>
      <c r="E20" s="2"/>
      <c r="F20" s="19"/>
      <c r="G20" s="2"/>
      <c r="H20" s="2"/>
      <c r="I20" s="2"/>
      <c r="J20" s="19"/>
      <c r="K20" s="2"/>
      <c r="L20" s="2">
        <f t="shared" si="0"/>
        <v>1402.33</v>
      </c>
      <c r="M20" s="2"/>
      <c r="N20" s="19">
        <f t="shared" si="1"/>
        <v>0</v>
      </c>
      <c r="O20" s="11"/>
      <c r="P20" s="2">
        <f>--8159.22</f>
        <v>8159.22</v>
      </c>
      <c r="Q20" s="2"/>
      <c r="R20" s="19"/>
      <c r="S20" s="2"/>
      <c r="T20" s="2"/>
      <c r="U20" s="2"/>
      <c r="V20" s="19"/>
      <c r="W20" s="2"/>
      <c r="X20" s="2">
        <f t="shared" si="2"/>
        <v>8159.22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--17086.55</f>
        <v>17086.55</v>
      </c>
      <c r="E21" s="2"/>
      <c r="F21" s="19"/>
      <c r="G21" s="2"/>
      <c r="H21" s="2"/>
      <c r="I21" s="2"/>
      <c r="J21" s="19"/>
      <c r="K21" s="2"/>
      <c r="L21" s="2">
        <f t="shared" si="0"/>
        <v>17086.55</v>
      </c>
      <c r="M21" s="2"/>
      <c r="N21" s="19">
        <f t="shared" si="1"/>
        <v>0</v>
      </c>
      <c r="O21" s="11"/>
      <c r="P21" s="2">
        <f>--163554.5</f>
        <v>163554.5</v>
      </c>
      <c r="Q21" s="2"/>
      <c r="R21" s="19"/>
      <c r="S21" s="2"/>
      <c r="T21" s="2"/>
      <c r="U21" s="2"/>
      <c r="V21" s="19"/>
      <c r="W21" s="2"/>
      <c r="X21" s="2">
        <f t="shared" si="2"/>
        <v>163554.5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"4147", " - ", "NON-TAXABLE SALES-MISC")</f>
        <v xml:space="preserve">          4147 - NON-TAXABLE SALES-MISC</v>
      </c>
      <c r="C22" s="11"/>
      <c r="D22" s="2">
        <f>--11.5</f>
        <v>11.5</v>
      </c>
      <c r="E22" s="2"/>
      <c r="F22" s="19"/>
      <c r="G22" s="2"/>
      <c r="H22" s="2"/>
      <c r="I22" s="2"/>
      <c r="J22" s="19"/>
      <c r="K22" s="2"/>
      <c r="L22" s="2">
        <f t="shared" si="0"/>
        <v>11.5</v>
      </c>
      <c r="M22" s="2"/>
      <c r="N22" s="19">
        <f t="shared" si="1"/>
        <v>0</v>
      </c>
      <c r="O22" s="11"/>
      <c r="P22" s="2">
        <f>--318.9</f>
        <v>318.89999999999998</v>
      </c>
      <c r="Q22" s="2"/>
      <c r="R22" s="19"/>
      <c r="S22" s="2"/>
      <c r="T22" s="2"/>
      <c r="U22" s="2"/>
      <c r="V22" s="19"/>
      <c r="W22" s="2"/>
      <c r="X22" s="2">
        <f t="shared" si="2"/>
        <v>318.89999999999998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-323.35</f>
        <v>-323.35000000000002</v>
      </c>
      <c r="E23" s="2"/>
      <c r="F23" s="19"/>
      <c r="G23" s="2"/>
      <c r="H23" s="2"/>
      <c r="I23" s="2"/>
      <c r="J23" s="19"/>
      <c r="K23" s="2"/>
      <c r="L23" s="2">
        <f t="shared" si="0"/>
        <v>-323.35000000000002</v>
      </c>
      <c r="M23" s="2"/>
      <c r="N23" s="19">
        <f t="shared" si="1"/>
        <v>0</v>
      </c>
      <c r="O23" s="11"/>
      <c r="P23" s="2">
        <f>-958.1</f>
        <v>-958.1</v>
      </c>
      <c r="Q23" s="2"/>
      <c r="R23" s="19"/>
      <c r="S23" s="2"/>
      <c r="T23" s="2"/>
      <c r="U23" s="2"/>
      <c r="V23" s="19"/>
      <c r="W23" s="2"/>
      <c r="X23" s="2">
        <f t="shared" si="2"/>
        <v>-958.1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"4242", " - ", "SALES RETURN TAXABLE-EVERYDAY")</f>
        <v xml:space="preserve">          4242 - SALES RETURN TAXABLE-EVERYDAY</v>
      </c>
      <c r="C24" s="11"/>
      <c r="D24" s="2">
        <f>-54</f>
        <v>-54</v>
      </c>
      <c r="E24" s="2"/>
      <c r="F24" s="19"/>
      <c r="G24" s="2"/>
      <c r="H24" s="2"/>
      <c r="I24" s="2"/>
      <c r="J24" s="19"/>
      <c r="K24" s="2"/>
      <c r="L24" s="2">
        <f t="shared" si="0"/>
        <v>-54</v>
      </c>
      <c r="M24" s="2"/>
      <c r="N24" s="19">
        <f t="shared" si="1"/>
        <v>0</v>
      </c>
      <c r="O24" s="11"/>
      <c r="P24" s="2">
        <f>-70.2</f>
        <v>-70.2</v>
      </c>
      <c r="Q24" s="2"/>
      <c r="R24" s="19"/>
      <c r="S24" s="2"/>
      <c r="T24" s="2"/>
      <c r="U24" s="2"/>
      <c r="V24" s="19"/>
      <c r="W24" s="2"/>
      <c r="X24" s="2">
        <f t="shared" si="2"/>
        <v>-70.2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"4342", " - ", "SALES RETURN NON TAXABLE-EVERY")</f>
        <v xml:space="preserve">          4342 - SALES RETURN NON TAXABLE-EVERY</v>
      </c>
      <c r="C25" s="11"/>
      <c r="D25" s="2">
        <f>-39.42</f>
        <v>-39.42</v>
      </c>
      <c r="E25" s="2"/>
      <c r="F25" s="19"/>
      <c r="G25" s="2"/>
      <c r="H25" s="2"/>
      <c r="I25" s="2"/>
      <c r="J25" s="19"/>
      <c r="K25" s="2"/>
      <c r="L25" s="2">
        <f t="shared" si="0"/>
        <v>-39.42</v>
      </c>
      <c r="M25" s="2"/>
      <c r="N25" s="19">
        <f t="shared" si="1"/>
        <v>0</v>
      </c>
      <c r="O25" s="11"/>
      <c r="P25" s="2">
        <f>-39.42</f>
        <v>-39.42</v>
      </c>
      <c r="Q25" s="2"/>
      <c r="R25" s="19"/>
      <c r="S25" s="2"/>
      <c r="T25" s="2"/>
      <c r="U25" s="2"/>
      <c r="V25" s="19"/>
      <c r="W25" s="2"/>
      <c r="X25" s="2">
        <f t="shared" si="2"/>
        <v>-39.42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"4346", " - ", "SALES RETURN NON TAXABLE-COIN-")</f>
        <v xml:space="preserve">          4346 - SALES RETURN NON TAXABLE-COIN-</v>
      </c>
      <c r="C26" s="11"/>
      <c r="D26" s="2">
        <f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-8.15</f>
        <v>-8.15</v>
      </c>
      <c r="Q26" s="2"/>
      <c r="R26" s="19"/>
      <c r="S26" s="2"/>
      <c r="T26" s="2"/>
      <c r="U26" s="2"/>
      <c r="V26" s="19"/>
      <c r="W26" s="2"/>
      <c r="X26" s="2">
        <f t="shared" si="2"/>
        <v>-8.15</v>
      </c>
      <c r="Y26" s="2"/>
      <c r="Z26" s="19">
        <f t="shared" si="3"/>
        <v>0</v>
      </c>
    </row>
    <row r="27" spans="1:26" x14ac:dyDescent="0.25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8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6</v>
      </c>
      <c r="C30" s="29"/>
      <c r="D30" s="21">
        <f>D12-D28</f>
        <v>92494.33</v>
      </c>
      <c r="E30" s="14"/>
      <c r="F30" s="20">
        <f>IF(D$12=0,0,D30/D$12)</f>
        <v>1</v>
      </c>
      <c r="G30" s="14"/>
      <c r="H30" s="21">
        <f>H12-H28</f>
        <v>90915</v>
      </c>
      <c r="I30" s="14"/>
      <c r="J30" s="20">
        <f>IF(H$12=0,0,H30/H$12)</f>
        <v>1</v>
      </c>
      <c r="K30" s="16"/>
      <c r="L30" s="21">
        <f>+D30-H30</f>
        <v>1579.3300000000017</v>
      </c>
      <c r="M30" s="16"/>
      <c r="N30" s="20">
        <f>IF(H30=0,0,L30/H30)</f>
        <v>1.7371500852444609E-2</v>
      </c>
      <c r="O30" s="28"/>
      <c r="P30" s="21">
        <f>P12-P28</f>
        <v>392590.04000000004</v>
      </c>
      <c r="Q30" s="14"/>
      <c r="R30" s="20">
        <f>IF(P$12=0,0,P30/P$12)</f>
        <v>1</v>
      </c>
      <c r="S30" s="14"/>
      <c r="T30" s="21">
        <f>T12-T28</f>
        <v>435527.5</v>
      </c>
      <c r="U30" s="14"/>
      <c r="V30" s="20">
        <f>IF(T$12=0,0,T30/T$12)</f>
        <v>1</v>
      </c>
      <c r="W30" s="16"/>
      <c r="X30" s="21">
        <f>+P30-T30</f>
        <v>-42937.459999999963</v>
      </c>
      <c r="Y30" s="16"/>
      <c r="Z30" s="20">
        <f>IF(T30=0,0,X30/T30)</f>
        <v>-9.8587253388132692E-2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8" t="s">
        <v>9</v>
      </c>
      <c r="C32" s="10"/>
      <c r="D32" s="22">
        <f>SUM(OSRRefD22x_0)</f>
        <v>56114.55</v>
      </c>
      <c r="E32" s="22"/>
      <c r="F32" s="35">
        <f t="shared" ref="F32:F42" si="4">IF(D$12=0,0,D32/D$12)</f>
        <v>0.60668097168766999</v>
      </c>
      <c r="G32" s="22"/>
      <c r="H32" s="22">
        <f>SUM(OSRRefH22x_0)</f>
        <v>61272.247705770002</v>
      </c>
      <c r="I32" s="22"/>
      <c r="J32" s="35">
        <f t="shared" ref="J32:J42" si="5">IF(H$12=0,0,H32/H$12)</f>
        <v>0.67395091795380302</v>
      </c>
      <c r="K32" s="4"/>
      <c r="L32" s="22">
        <f t="shared" ref="L32:L42" si="6">+D32-H32</f>
        <v>-5157.6977057699987</v>
      </c>
      <c r="M32" s="4"/>
      <c r="N32" s="35">
        <f t="shared" ref="N32:N42" si="7">IF(H32=0,0,L32/H32)</f>
        <v>-8.4176734147853025E-2</v>
      </c>
      <c r="O32" s="10"/>
      <c r="P32" s="22">
        <f>SUM(OSRRefP22x_0)</f>
        <v>328560.95000000013</v>
      </c>
      <c r="Q32" s="22"/>
      <c r="R32" s="35">
        <f t="shared" ref="R32:R42" si="8">IF(P$12=0,0,P32/P$12)</f>
        <v>0.83690597448677018</v>
      </c>
      <c r="S32" s="22"/>
      <c r="T32" s="22">
        <f>SUM(OSRRefT22x_0)</f>
        <v>372026.61018983519</v>
      </c>
      <c r="U32" s="22"/>
      <c r="V32" s="35">
        <f t="shared" ref="V32:V42" si="9">IF(T$12=0,0,T32/T$12)</f>
        <v>0.85419774914290192</v>
      </c>
      <c r="W32" s="4"/>
      <c r="X32" s="22">
        <f t="shared" ref="X32:X42" si="10">+P32-T32</f>
        <v>-43465.660189835064</v>
      </c>
      <c r="Y32" s="4"/>
      <c r="Z32" s="35">
        <f t="shared" ref="Z32:Z42" si="11">IF(T32=0,0,X32/T32)</f>
        <v>-0.11683481503555809</v>
      </c>
    </row>
    <row r="33" spans="1:26" s="27" customFormat="1" outlineLevel="1" collapsed="1" x14ac:dyDescent="0.25">
      <c r="A33" s="26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8275.4700000000012</v>
      </c>
      <c r="E33" s="1"/>
      <c r="F33" s="5">
        <f t="shared" si="4"/>
        <v>8.9470024811250604E-2</v>
      </c>
      <c r="G33" s="1"/>
      <c r="H33" s="1">
        <f>SUM(OSRRefH22_0x_0)</f>
        <v>6186.4614063477211</v>
      </c>
      <c r="I33" s="1"/>
      <c r="J33" s="5">
        <f t="shared" si="5"/>
        <v>6.8046652437416505E-2</v>
      </c>
      <c r="K33" s="1"/>
      <c r="L33" s="1">
        <f t="shared" si="6"/>
        <v>2089.0085936522801</v>
      </c>
      <c r="M33" s="1"/>
      <c r="N33" s="5">
        <f t="shared" si="7"/>
        <v>0.33767423029727756</v>
      </c>
      <c r="O33" s="13"/>
      <c r="P33" s="1">
        <f>SUM(OSRRefP22_0x_0)</f>
        <v>55556.830000000009</v>
      </c>
      <c r="Q33" s="1"/>
      <c r="R33" s="5">
        <f t="shared" si="8"/>
        <v>0.14151360029408797</v>
      </c>
      <c r="S33" s="1"/>
      <c r="T33" s="1">
        <f>SUM(OSRRefT22_0x_0)</f>
        <v>40608.173985692905</v>
      </c>
      <c r="U33" s="1"/>
      <c r="V33" s="5">
        <f t="shared" si="9"/>
        <v>9.3239058350374895E-2</v>
      </c>
      <c r="W33" s="1"/>
      <c r="X33" s="1">
        <f t="shared" si="10"/>
        <v>14948.656014307104</v>
      </c>
      <c r="Y33" s="1"/>
      <c r="Z33" s="5">
        <f t="shared" si="11"/>
        <v>0.36811938452523923</v>
      </c>
    </row>
    <row r="34" spans="1:26" s="24" customFormat="1" hidden="1" outlineLevel="2" x14ac:dyDescent="0.25">
      <c r="A34" s="25"/>
      <c r="B34" s="11" t="str">
        <f>CONCATENATE("          ", "6111", " - ", "F.I.C.A.")</f>
        <v xml:space="preserve">          6111 - F.I.C.A.</v>
      </c>
      <c r="C34" s="11"/>
      <c r="D34" s="7">
        <v>1152.92</v>
      </c>
      <c r="E34" s="2"/>
      <c r="F34" s="6">
        <f t="shared" si="4"/>
        <v>1.2464764056348103E-2</v>
      </c>
      <c r="G34" s="2"/>
      <c r="H34" s="7">
        <v>1258.9143055673101</v>
      </c>
      <c r="I34" s="2"/>
      <c r="J34" s="6">
        <f t="shared" si="5"/>
        <v>1.384715729601617E-2</v>
      </c>
      <c r="K34" s="2"/>
      <c r="L34" s="7">
        <f t="shared" si="6"/>
        <v>-105.99430556730999</v>
      </c>
      <c r="M34" s="2"/>
      <c r="N34" s="6">
        <f t="shared" si="7"/>
        <v>-8.4195012399628996E-2</v>
      </c>
      <c r="O34" s="11"/>
      <c r="P34" s="7">
        <v>9051.08</v>
      </c>
      <c r="Q34" s="2"/>
      <c r="R34" s="6">
        <f t="shared" si="8"/>
        <v>2.3054787635468282E-2</v>
      </c>
      <c r="S34" s="2"/>
      <c r="T34" s="7">
        <v>8193.4392903930202</v>
      </c>
      <c r="U34" s="2"/>
      <c r="V34" s="6">
        <f t="shared" si="9"/>
        <v>1.8812679544674034E-2</v>
      </c>
      <c r="W34" s="2"/>
      <c r="X34" s="7">
        <f t="shared" si="10"/>
        <v>857.64070960697973</v>
      </c>
      <c r="Y34" s="2"/>
      <c r="Z34" s="6">
        <f t="shared" si="11"/>
        <v>0.10467407876111091</v>
      </c>
    </row>
    <row r="35" spans="1:26" s="24" customFormat="1" hidden="1" outlineLevel="2" x14ac:dyDescent="0.25">
      <c r="A35" s="25"/>
      <c r="B35" s="11" t="str">
        <f>CONCATENATE("          ", "6112", " - ", "COMPENSATION INSURANCE")</f>
        <v xml:space="preserve">          6112 - COMPENSATION INSURANCE</v>
      </c>
      <c r="C35" s="11"/>
      <c r="D35" s="7">
        <v>237.16</v>
      </c>
      <c r="E35" s="2"/>
      <c r="F35" s="6">
        <f t="shared" si="4"/>
        <v>2.5640490611694793E-3</v>
      </c>
      <c r="G35" s="2"/>
      <c r="H35" s="7">
        <v>251.36895865384602</v>
      </c>
      <c r="I35" s="2"/>
      <c r="J35" s="6">
        <f t="shared" si="5"/>
        <v>2.764878828068482E-3</v>
      </c>
      <c r="K35" s="2"/>
      <c r="L35" s="7">
        <f t="shared" si="6"/>
        <v>-14.208958653846025</v>
      </c>
      <c r="M35" s="2"/>
      <c r="N35" s="6">
        <f t="shared" si="7"/>
        <v>-5.6526305912787074E-2</v>
      </c>
      <c r="O35" s="11"/>
      <c r="P35" s="7">
        <v>1430.52</v>
      </c>
      <c r="Q35" s="2"/>
      <c r="R35" s="6">
        <f t="shared" si="8"/>
        <v>3.6438010500724873E-3</v>
      </c>
      <c r="S35" s="2"/>
      <c r="T35" s="7">
        <v>1558.4875436538459</v>
      </c>
      <c r="U35" s="2"/>
      <c r="V35" s="6">
        <f t="shared" si="9"/>
        <v>3.5783906725840408E-3</v>
      </c>
      <c r="W35" s="2"/>
      <c r="X35" s="7">
        <f t="shared" si="10"/>
        <v>-127.96754365384595</v>
      </c>
      <c r="Y35" s="2"/>
      <c r="Z35" s="6">
        <f t="shared" si="11"/>
        <v>-8.2110084341019726E-2</v>
      </c>
    </row>
    <row r="36" spans="1:26" s="24" customFormat="1" hidden="1" outlineLevel="2" x14ac:dyDescent="0.25">
      <c r="A36" s="25"/>
      <c r="B36" s="11" t="str">
        <f>CONCATENATE("          ", "6113", " - ", "GROUP INSURANCE")</f>
        <v xml:space="preserve">          6113 - GROUP INSURANCE</v>
      </c>
      <c r="C36" s="11"/>
      <c r="D36" s="7">
        <v>3218.03</v>
      </c>
      <c r="E36" s="2"/>
      <c r="F36" s="6">
        <f t="shared" si="4"/>
        <v>3.4791646147390873E-2</v>
      </c>
      <c r="G36" s="2"/>
      <c r="H36" s="7">
        <v>2044</v>
      </c>
      <c r="I36" s="2"/>
      <c r="J36" s="6">
        <f t="shared" si="5"/>
        <v>2.2482538634988725E-2</v>
      </c>
      <c r="K36" s="2"/>
      <c r="L36" s="7">
        <f t="shared" si="6"/>
        <v>1174.0300000000002</v>
      </c>
      <c r="M36" s="2"/>
      <c r="N36" s="6">
        <f t="shared" si="7"/>
        <v>0.57437866927592962</v>
      </c>
      <c r="O36" s="11"/>
      <c r="P36" s="7">
        <v>20601.47</v>
      </c>
      <c r="Q36" s="2"/>
      <c r="R36" s="6">
        <f t="shared" si="8"/>
        <v>5.2475783644434788E-2</v>
      </c>
      <c r="S36" s="2"/>
      <c r="T36" s="7">
        <v>14308</v>
      </c>
      <c r="U36" s="2"/>
      <c r="V36" s="6">
        <f t="shared" si="9"/>
        <v>3.2852116112070992E-2</v>
      </c>
      <c r="W36" s="2"/>
      <c r="X36" s="7">
        <f t="shared" si="10"/>
        <v>6293.4700000000012</v>
      </c>
      <c r="Y36" s="2"/>
      <c r="Z36" s="6">
        <f t="shared" si="11"/>
        <v>0.43985672351132243</v>
      </c>
    </row>
    <row r="37" spans="1:26" s="24" customFormat="1" hidden="1" outlineLevel="2" x14ac:dyDescent="0.25">
      <c r="A37" s="25"/>
      <c r="B37" s="11" t="str">
        <f>CONCATENATE("          ", "6114", " - ", "STATE UNEMPLOYMENT INSURANCE")</f>
        <v xml:space="preserve">          6114 - STATE UNEMPLOYMENT INSURANCE</v>
      </c>
      <c r="C37" s="11"/>
      <c r="D37" s="7">
        <v>46.79</v>
      </c>
      <c r="E37" s="2"/>
      <c r="F37" s="6">
        <f t="shared" si="4"/>
        <v>5.0586884623089864E-4</v>
      </c>
      <c r="G37" s="2"/>
      <c r="H37" s="7">
        <v>55.3648729784979</v>
      </c>
      <c r="I37" s="2"/>
      <c r="J37" s="6">
        <f t="shared" si="5"/>
        <v>6.0897401945221249E-4</v>
      </c>
      <c r="K37" s="2"/>
      <c r="L37" s="7">
        <f t="shared" si="6"/>
        <v>-8.5748729784979005</v>
      </c>
      <c r="M37" s="2"/>
      <c r="N37" s="6">
        <f t="shared" si="7"/>
        <v>-0.15487930373881886</v>
      </c>
      <c r="O37" s="11"/>
      <c r="P37" s="7">
        <v>358.79</v>
      </c>
      <c r="Q37" s="2"/>
      <c r="R37" s="6">
        <f t="shared" si="8"/>
        <v>9.1390499871061421E-4</v>
      </c>
      <c r="S37" s="2"/>
      <c r="T37" s="7">
        <v>340.93927145076992</v>
      </c>
      <c r="U37" s="2"/>
      <c r="V37" s="6">
        <f t="shared" si="9"/>
        <v>7.828191594119084E-4</v>
      </c>
      <c r="W37" s="2"/>
      <c r="X37" s="7">
        <f t="shared" si="10"/>
        <v>17.850728549230098</v>
      </c>
      <c r="Y37" s="2"/>
      <c r="Z37" s="6">
        <f t="shared" si="11"/>
        <v>5.2357501889622189E-2</v>
      </c>
    </row>
    <row r="38" spans="1:26" s="24" customFormat="1" hidden="1" outlineLevel="2" x14ac:dyDescent="0.25">
      <c r="A38" s="25"/>
      <c r="B38" s="11" t="str">
        <f>CONCATENATE("          ", "6115", " - ", "P.E.R.S.")</f>
        <v xml:space="preserve">          6115 - P.E.R.S.</v>
      </c>
      <c r="C38" s="11"/>
      <c r="D38" s="7">
        <v>1781.63</v>
      </c>
      <c r="E38" s="2"/>
      <c r="F38" s="6">
        <f t="shared" si="4"/>
        <v>1.9262045576199104E-2</v>
      </c>
      <c r="G38" s="2"/>
      <c r="H38" s="7">
        <v>1137.77528653846</v>
      </c>
      <c r="I38" s="2"/>
      <c r="J38" s="6">
        <f t="shared" si="5"/>
        <v>1.2514714695467855E-2</v>
      </c>
      <c r="K38" s="2"/>
      <c r="L38" s="7">
        <f t="shared" si="6"/>
        <v>643.85471346154009</v>
      </c>
      <c r="M38" s="2"/>
      <c r="N38" s="6">
        <f t="shared" si="7"/>
        <v>0.56588917080488543</v>
      </c>
      <c r="O38" s="11"/>
      <c r="P38" s="7">
        <v>9603.0400000000009</v>
      </c>
      <c r="Q38" s="2"/>
      <c r="R38" s="6">
        <f t="shared" si="8"/>
        <v>2.4460732625820054E-2</v>
      </c>
      <c r="S38" s="2"/>
      <c r="T38" s="7">
        <v>7054.2067765384563</v>
      </c>
      <c r="U38" s="2"/>
      <c r="V38" s="6">
        <f t="shared" si="9"/>
        <v>1.6196926202222493E-2</v>
      </c>
      <c r="W38" s="2"/>
      <c r="X38" s="7">
        <f t="shared" si="10"/>
        <v>2548.8332234615445</v>
      </c>
      <c r="Y38" s="2"/>
      <c r="Z38" s="6">
        <f t="shared" si="11"/>
        <v>0.3613210250568063</v>
      </c>
    </row>
    <row r="39" spans="1:26" s="24" customFormat="1" hidden="1" outlineLevel="2" x14ac:dyDescent="0.25">
      <c r="A39" s="25"/>
      <c r="B39" s="11" t="str">
        <f>CONCATENATE("          ", "6116", " - ", "EDUCATIONAL BENEFITS")</f>
        <v xml:space="preserve">          6116 - EDUCATIONAL BENEFITS</v>
      </c>
      <c r="C39" s="11"/>
      <c r="D39" s="7"/>
      <c r="E39" s="2"/>
      <c r="F39" s="6">
        <f t="shared" si="4"/>
        <v>0</v>
      </c>
      <c r="G39" s="2"/>
      <c r="H39" s="7">
        <v>0</v>
      </c>
      <c r="I39" s="2"/>
      <c r="J39" s="6">
        <f t="shared" si="5"/>
        <v>0</v>
      </c>
      <c r="K39" s="2"/>
      <c r="L39" s="7">
        <f t="shared" si="6"/>
        <v>0</v>
      </c>
      <c r="M39" s="2"/>
      <c r="N39" s="6">
        <f t="shared" si="7"/>
        <v>0</v>
      </c>
      <c r="O39" s="11"/>
      <c r="P39" s="7"/>
      <c r="Q39" s="2"/>
      <c r="R39" s="6">
        <f t="shared" si="8"/>
        <v>0</v>
      </c>
      <c r="S39" s="2"/>
      <c r="T39" s="7">
        <v>0</v>
      </c>
      <c r="U39" s="2"/>
      <c r="V39" s="6">
        <f t="shared" si="9"/>
        <v>0</v>
      </c>
      <c r="W39" s="2"/>
      <c r="X39" s="7">
        <f t="shared" si="10"/>
        <v>0</v>
      </c>
      <c r="Y39" s="2"/>
      <c r="Z39" s="6">
        <f t="shared" si="11"/>
        <v>0</v>
      </c>
    </row>
    <row r="40" spans="1:26" s="24" customFormat="1" hidden="1" outlineLevel="2" x14ac:dyDescent="0.25">
      <c r="A40" s="25"/>
      <c r="B40" s="11" t="str">
        <f>CONCATENATE("          ", "6118", " - ", "VACATION")</f>
        <v xml:space="preserve">          6118 - VACATION</v>
      </c>
      <c r="C40" s="11"/>
      <c r="D40" s="7">
        <v>969.46</v>
      </c>
      <c r="E40" s="2"/>
      <c r="F40" s="6">
        <f t="shared" si="4"/>
        <v>1.0481291123466704E-2</v>
      </c>
      <c r="G40" s="2"/>
      <c r="H40" s="7">
        <v>661.49725961538502</v>
      </c>
      <c r="I40" s="2"/>
      <c r="J40" s="6">
        <f t="shared" si="5"/>
        <v>7.2759969159696975E-3</v>
      </c>
      <c r="K40" s="2"/>
      <c r="L40" s="7">
        <f t="shared" si="6"/>
        <v>307.96274038461502</v>
      </c>
      <c r="M40" s="2"/>
      <c r="N40" s="6">
        <f t="shared" si="7"/>
        <v>0.46555406830207291</v>
      </c>
      <c r="O40" s="11"/>
      <c r="P40" s="7">
        <v>7879.87</v>
      </c>
      <c r="Q40" s="2"/>
      <c r="R40" s="6">
        <f t="shared" si="8"/>
        <v>2.0071497483736468E-2</v>
      </c>
      <c r="S40" s="2"/>
      <c r="T40" s="7">
        <v>4101.2830096153866</v>
      </c>
      <c r="U40" s="2"/>
      <c r="V40" s="6">
        <f t="shared" si="9"/>
        <v>9.4168175594316929E-3</v>
      </c>
      <c r="W40" s="2"/>
      <c r="X40" s="7">
        <f t="shared" si="10"/>
        <v>3778.5869903846133</v>
      </c>
      <c r="Y40" s="2"/>
      <c r="Z40" s="6">
        <f t="shared" si="11"/>
        <v>0.92131827565319968</v>
      </c>
    </row>
    <row r="41" spans="1:26" s="24" customFormat="1" hidden="1" outlineLevel="2" x14ac:dyDescent="0.25">
      <c r="A41" s="25"/>
      <c r="B41" s="11" t="str">
        <f>CONCATENATE("          ", "6119", " - ", "SICK LEAVE")</f>
        <v xml:space="preserve">          6119 - SICK LEAVE</v>
      </c>
      <c r="C41" s="11"/>
      <c r="D41" s="7">
        <v>556.53</v>
      </c>
      <c r="E41" s="2"/>
      <c r="F41" s="6">
        <f t="shared" si="4"/>
        <v>6.0169093608224413E-3</v>
      </c>
      <c r="G41" s="2"/>
      <c r="H41" s="7">
        <v>477.54072299422302</v>
      </c>
      <c r="I41" s="2"/>
      <c r="J41" s="6">
        <f t="shared" si="5"/>
        <v>5.2526065335117746E-3</v>
      </c>
      <c r="K41" s="2"/>
      <c r="L41" s="7">
        <f t="shared" si="6"/>
        <v>78.989277005776955</v>
      </c>
      <c r="M41" s="2"/>
      <c r="N41" s="6">
        <f t="shared" si="7"/>
        <v>0.16540846299035428</v>
      </c>
      <c r="O41" s="11"/>
      <c r="P41" s="7">
        <v>4652.83</v>
      </c>
      <c r="Q41" s="2"/>
      <c r="R41" s="6">
        <f t="shared" si="8"/>
        <v>1.1851625171132715E-2</v>
      </c>
      <c r="S41" s="2"/>
      <c r="T41" s="7">
        <v>2951.818094041425</v>
      </c>
      <c r="U41" s="2"/>
      <c r="V41" s="6">
        <f t="shared" si="9"/>
        <v>6.7775699445877125E-3</v>
      </c>
      <c r="W41" s="2"/>
      <c r="X41" s="7">
        <f t="shared" si="10"/>
        <v>1701.011905958575</v>
      </c>
      <c r="Y41" s="2"/>
      <c r="Z41" s="6">
        <f t="shared" si="11"/>
        <v>0.57625905518780363</v>
      </c>
    </row>
    <row r="42" spans="1:26" s="24" customFormat="1" hidden="1" outlineLevel="2" x14ac:dyDescent="0.25">
      <c r="A42" s="25"/>
      <c r="B42" s="11" t="str">
        <f>CONCATENATE("          ", "6156", " - ", "EMPLOYEE MEALS")</f>
        <v xml:space="preserve">          6156 - EMPLOYEE MEALS</v>
      </c>
      <c r="C42" s="11"/>
      <c r="D42" s="7">
        <v>312.95</v>
      </c>
      <c r="E42" s="2"/>
      <c r="F42" s="6">
        <f t="shared" si="4"/>
        <v>3.3834506396229909E-3</v>
      </c>
      <c r="G42" s="2"/>
      <c r="H42" s="7">
        <v>300</v>
      </c>
      <c r="I42" s="2"/>
      <c r="J42" s="6">
        <f t="shared" si="5"/>
        <v>3.2997855139415937E-3</v>
      </c>
      <c r="K42" s="2"/>
      <c r="L42" s="7">
        <f t="shared" si="6"/>
        <v>12.949999999999989</v>
      </c>
      <c r="M42" s="2"/>
      <c r="N42" s="6">
        <f t="shared" si="7"/>
        <v>4.3166666666666631E-2</v>
      </c>
      <c r="O42" s="11"/>
      <c r="P42" s="7">
        <v>1979.23</v>
      </c>
      <c r="Q42" s="2"/>
      <c r="R42" s="6">
        <f t="shared" si="8"/>
        <v>5.0414676847125306E-3</v>
      </c>
      <c r="S42" s="2"/>
      <c r="T42" s="7">
        <v>2100</v>
      </c>
      <c r="U42" s="2"/>
      <c r="V42" s="6">
        <f t="shared" si="9"/>
        <v>4.821739155392025E-3</v>
      </c>
      <c r="W42" s="2"/>
      <c r="X42" s="7">
        <f t="shared" si="10"/>
        <v>-120.76999999999998</v>
      </c>
      <c r="Y42" s="2"/>
      <c r="Z42" s="6">
        <f t="shared" si="11"/>
        <v>-5.7509523809523802E-2</v>
      </c>
    </row>
    <row r="43" spans="1:26" s="27" customFormat="1" outlineLevel="1" collapsed="1" x14ac:dyDescent="0.25">
      <c r="A43" s="26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22550.149999999998</v>
      </c>
      <c r="E43" s="1"/>
      <c r="F43" s="5">
        <f t="shared" ref="F43:F53" si="12">IF(D$12=0,0,D43/D$12)</f>
        <v>0.24380034970792261</v>
      </c>
      <c r="G43" s="1"/>
      <c r="H43" s="1">
        <f>SUM(OSRRefH22_1x_0)</f>
        <v>20235.786299422281</v>
      </c>
      <c r="I43" s="1"/>
      <c r="J43" s="5">
        <f t="shared" ref="J43:J53" si="13">IF(H$12=0,0,H43/H$12)</f>
        <v>0.22257918164683804</v>
      </c>
      <c r="K43" s="1"/>
      <c r="L43" s="1">
        <f t="shared" ref="L43:L53" si="14">+D43-H43</f>
        <v>2314.3637005777164</v>
      </c>
      <c r="M43" s="1"/>
      <c r="N43" s="5">
        <f t="shared" ref="N43:N53" si="15">IF(H43=0,0,L43/H43)</f>
        <v>0.11436984292741764</v>
      </c>
      <c r="O43" s="13"/>
      <c r="P43" s="1">
        <f>SUM(OSRRefP22_1x_0)</f>
        <v>124410.58</v>
      </c>
      <c r="Q43" s="1"/>
      <c r="R43" s="5">
        <f t="shared" ref="R43:R53" si="16">IF(P$12=0,0,P43/P$12)</f>
        <v>0.31689693401289548</v>
      </c>
      <c r="S43" s="1"/>
      <c r="T43" s="1">
        <f>SUM(OSRRefT22_1x_0)</f>
        <v>124568.43620414229</v>
      </c>
      <c r="U43" s="1"/>
      <c r="V43" s="5">
        <f t="shared" ref="V43:V53" si="17">IF(T$12=0,0,T43/T$12)</f>
        <v>0.28601738398641252</v>
      </c>
      <c r="W43" s="1"/>
      <c r="X43" s="1">
        <f t="shared" ref="X43:X53" si="18">+P43-T43</f>
        <v>-157.8562041422847</v>
      </c>
      <c r="Y43" s="1"/>
      <c r="Z43" s="5">
        <f t="shared" ref="Z43:Z53" si="19">IF(T43=0,0,X43/T43)</f>
        <v>-1.2672247396891981E-3</v>
      </c>
    </row>
    <row r="44" spans="1:26" s="24" customFormat="1" hidden="1" outlineLevel="2" x14ac:dyDescent="0.25">
      <c r="A44" s="25"/>
      <c r="B44" s="11" t="str">
        <f>CONCATENATE("          ", "6001", " - ", "ADMINISTRATIVE SALARIES")</f>
        <v xml:space="preserve">          6001 - ADMINISTRATIVE SALARIES</v>
      </c>
      <c r="C44" s="11"/>
      <c r="D44" s="7"/>
      <c r="E44" s="2"/>
      <c r="F44" s="6">
        <f t="shared" si="12"/>
        <v>0</v>
      </c>
      <c r="G44" s="2"/>
      <c r="H44" s="7">
        <v>7488.179000000001</v>
      </c>
      <c r="I44" s="2"/>
      <c r="J44" s="6">
        <f t="shared" si="13"/>
        <v>8.2364615300005509E-2</v>
      </c>
      <c r="K44" s="2"/>
      <c r="L44" s="7">
        <f t="shared" si="14"/>
        <v>-7488.179000000001</v>
      </c>
      <c r="M44" s="2"/>
      <c r="N44" s="6">
        <f t="shared" si="15"/>
        <v>-1</v>
      </c>
      <c r="O44" s="11"/>
      <c r="P44" s="7"/>
      <c r="Q44" s="2"/>
      <c r="R44" s="6">
        <f t="shared" si="16"/>
        <v>0</v>
      </c>
      <c r="S44" s="2"/>
      <c r="T44" s="7">
        <v>46426.709800000004</v>
      </c>
      <c r="U44" s="2"/>
      <c r="V44" s="6">
        <f t="shared" si="17"/>
        <v>0.10659880214222983</v>
      </c>
      <c r="W44" s="2"/>
      <c r="X44" s="7">
        <f t="shared" si="18"/>
        <v>-46426.709800000004</v>
      </c>
      <c r="Y44" s="2"/>
      <c r="Z44" s="6">
        <f t="shared" si="19"/>
        <v>-1</v>
      </c>
    </row>
    <row r="45" spans="1:26" s="24" customFormat="1" hidden="1" outlineLevel="2" x14ac:dyDescent="0.25">
      <c r="A45" s="25"/>
      <c r="B45" s="11" t="str">
        <f>CONCATENATE("          ", "6002", " - ", "STAFF SALARIES")</f>
        <v xml:space="preserve">          6002 - STAFF SALARIES</v>
      </c>
      <c r="C45" s="11"/>
      <c r="D45" s="7">
        <v>14900.849999999999</v>
      </c>
      <c r="E45" s="2"/>
      <c r="F45" s="6">
        <f t="shared" si="12"/>
        <v>0.16110014527376973</v>
      </c>
      <c r="G45" s="2"/>
      <c r="H45" s="7">
        <v>4683.3705769230792</v>
      </c>
      <c r="I45" s="2"/>
      <c r="J45" s="6">
        <f t="shared" si="13"/>
        <v>5.1513727953836873E-2</v>
      </c>
      <c r="K45" s="2"/>
      <c r="L45" s="7">
        <f t="shared" si="14"/>
        <v>10217.479423076918</v>
      </c>
      <c r="M45" s="2"/>
      <c r="N45" s="6">
        <f t="shared" si="15"/>
        <v>2.1816508549254467</v>
      </c>
      <c r="O45" s="11"/>
      <c r="P45" s="7">
        <v>82494.61</v>
      </c>
      <c r="Q45" s="2"/>
      <c r="R45" s="6">
        <f t="shared" si="16"/>
        <v>0.21012914642460107</v>
      </c>
      <c r="S45" s="2"/>
      <c r="T45" s="7">
        <v>29036.897576923082</v>
      </c>
      <c r="U45" s="2"/>
      <c r="V45" s="6">
        <f t="shared" si="17"/>
        <v>6.6670640951313254E-2</v>
      </c>
      <c r="W45" s="2"/>
      <c r="X45" s="7">
        <f t="shared" si="18"/>
        <v>53457.712423076919</v>
      </c>
      <c r="Y45" s="2"/>
      <c r="Z45" s="6">
        <f t="shared" si="19"/>
        <v>1.8410269995773292</v>
      </c>
    </row>
    <row r="46" spans="1:26" s="24" customFormat="1" hidden="1" outlineLevel="2" x14ac:dyDescent="0.25">
      <c r="A46" s="25"/>
      <c r="B46" s="11" t="str">
        <f>CONCATENATE("          ", "6003", " - ", "STAFF HOURLY-9 MONTH")</f>
        <v xml:space="preserve">          6003 - STAFF HOURLY-9 MONTH</v>
      </c>
      <c r="C46" s="11"/>
      <c r="D46" s="7"/>
      <c r="E46" s="2"/>
      <c r="F46" s="6">
        <f t="shared" si="12"/>
        <v>0</v>
      </c>
      <c r="G46" s="2"/>
      <c r="H46" s="7">
        <v>0</v>
      </c>
      <c r="I46" s="2"/>
      <c r="J46" s="6">
        <f t="shared" si="13"/>
        <v>0</v>
      </c>
      <c r="K46" s="2"/>
      <c r="L46" s="7">
        <f t="shared" si="14"/>
        <v>0</v>
      </c>
      <c r="M46" s="2"/>
      <c r="N46" s="6">
        <f t="shared" si="15"/>
        <v>0</v>
      </c>
      <c r="O46" s="11"/>
      <c r="P46" s="7"/>
      <c r="Q46" s="2"/>
      <c r="R46" s="6">
        <f t="shared" si="16"/>
        <v>0</v>
      </c>
      <c r="S46" s="2"/>
      <c r="T46" s="7">
        <v>0</v>
      </c>
      <c r="U46" s="2"/>
      <c r="V46" s="6">
        <f t="shared" si="17"/>
        <v>0</v>
      </c>
      <c r="W46" s="2"/>
      <c r="X46" s="7">
        <f t="shared" si="18"/>
        <v>0</v>
      </c>
      <c r="Y46" s="2"/>
      <c r="Z46" s="6">
        <f t="shared" si="19"/>
        <v>0</v>
      </c>
    </row>
    <row r="47" spans="1:26" s="24" customFormat="1" hidden="1" outlineLevel="2" x14ac:dyDescent="0.25">
      <c r="A47" s="25"/>
      <c r="B47" s="11" t="str">
        <f>CONCATENATE("          ", "6004", " - ", "STAFF HOURLY")</f>
        <v xml:space="preserve">          6004 - STAFF HOURLY</v>
      </c>
      <c r="C47" s="11"/>
      <c r="D47" s="7"/>
      <c r="E47" s="2"/>
      <c r="F47" s="6">
        <f t="shared" si="12"/>
        <v>0</v>
      </c>
      <c r="G47" s="2"/>
      <c r="H47" s="7">
        <v>3220</v>
      </c>
      <c r="I47" s="2"/>
      <c r="J47" s="6">
        <f t="shared" si="13"/>
        <v>3.5417697849639773E-2</v>
      </c>
      <c r="K47" s="2"/>
      <c r="L47" s="7">
        <f t="shared" si="14"/>
        <v>-3220</v>
      </c>
      <c r="M47" s="2"/>
      <c r="N47" s="6">
        <f t="shared" si="15"/>
        <v>-1</v>
      </c>
      <c r="O47" s="11"/>
      <c r="P47" s="7"/>
      <c r="Q47" s="2"/>
      <c r="R47" s="6">
        <f t="shared" si="16"/>
        <v>0</v>
      </c>
      <c r="S47" s="2"/>
      <c r="T47" s="7">
        <v>21280</v>
      </c>
      <c r="U47" s="2"/>
      <c r="V47" s="6">
        <f t="shared" si="17"/>
        <v>4.8860290107972514E-2</v>
      </c>
      <c r="W47" s="2"/>
      <c r="X47" s="7">
        <f t="shared" si="18"/>
        <v>-21280</v>
      </c>
      <c r="Y47" s="2"/>
      <c r="Z47" s="6">
        <f t="shared" si="19"/>
        <v>-1</v>
      </c>
    </row>
    <row r="48" spans="1:26" s="24" customFormat="1" hidden="1" outlineLevel="2" x14ac:dyDescent="0.25">
      <c r="A48" s="25"/>
      <c r="B48" s="11" t="str">
        <f>CONCATENATE("          ", "6005", " - ", "TEMPORARY WAGES-HOURLY")</f>
        <v xml:space="preserve">          6005 - TEMPORARY WAGES-HOURLY</v>
      </c>
      <c r="C48" s="11"/>
      <c r="D48" s="7">
        <v>2285.92</v>
      </c>
      <c r="E48" s="2"/>
      <c r="F48" s="6">
        <f t="shared" si="12"/>
        <v>2.4714163560079844E-2</v>
      </c>
      <c r="G48" s="2"/>
      <c r="H48" s="7">
        <v>0</v>
      </c>
      <c r="I48" s="2"/>
      <c r="J48" s="6">
        <f t="shared" si="13"/>
        <v>0</v>
      </c>
      <c r="K48" s="2"/>
      <c r="L48" s="7">
        <f t="shared" si="14"/>
        <v>2285.92</v>
      </c>
      <c r="M48" s="2"/>
      <c r="N48" s="6">
        <f t="shared" si="15"/>
        <v>0</v>
      </c>
      <c r="O48" s="11"/>
      <c r="P48" s="7">
        <v>14143.92</v>
      </c>
      <c r="Q48" s="2"/>
      <c r="R48" s="6">
        <f t="shared" si="16"/>
        <v>3.6027200282513529E-2</v>
      </c>
      <c r="S48" s="2"/>
      <c r="T48" s="7">
        <v>0</v>
      </c>
      <c r="U48" s="2"/>
      <c r="V48" s="6">
        <f t="shared" si="17"/>
        <v>0</v>
      </c>
      <c r="W48" s="2"/>
      <c r="X48" s="7">
        <f t="shared" si="18"/>
        <v>14143.92</v>
      </c>
      <c r="Y48" s="2"/>
      <c r="Z48" s="6">
        <f t="shared" si="19"/>
        <v>0</v>
      </c>
    </row>
    <row r="49" spans="1:26" s="24" customFormat="1" hidden="1" outlineLevel="2" x14ac:dyDescent="0.25">
      <c r="A49" s="25"/>
      <c r="B49" s="11" t="str">
        <f>CONCATENATE("          ", "6006", " - ", "TEMPORARY PART TIME")</f>
        <v xml:space="preserve">          6006 - TEMPORARY PART TIME</v>
      </c>
      <c r="C49" s="11"/>
      <c r="D49" s="7">
        <v>120.31</v>
      </c>
      <c r="E49" s="2"/>
      <c r="F49" s="6">
        <f t="shared" si="12"/>
        <v>1.3007283797828472E-3</v>
      </c>
      <c r="G49" s="2"/>
      <c r="H49" s="7">
        <v>0</v>
      </c>
      <c r="I49" s="2"/>
      <c r="J49" s="6">
        <f t="shared" si="13"/>
        <v>0</v>
      </c>
      <c r="K49" s="2"/>
      <c r="L49" s="7">
        <f t="shared" si="14"/>
        <v>120.31</v>
      </c>
      <c r="M49" s="2"/>
      <c r="N49" s="6">
        <f t="shared" si="15"/>
        <v>0</v>
      </c>
      <c r="O49" s="11"/>
      <c r="P49" s="7">
        <v>120.31</v>
      </c>
      <c r="Q49" s="2"/>
      <c r="R49" s="6">
        <f t="shared" si="16"/>
        <v>3.0645199251616264E-4</v>
      </c>
      <c r="S49" s="2"/>
      <c r="T49" s="7">
        <v>0</v>
      </c>
      <c r="U49" s="2"/>
      <c r="V49" s="6">
        <f t="shared" si="17"/>
        <v>0</v>
      </c>
      <c r="W49" s="2"/>
      <c r="X49" s="7">
        <f t="shared" si="18"/>
        <v>120.31</v>
      </c>
      <c r="Y49" s="2"/>
      <c r="Z49" s="6">
        <f t="shared" si="19"/>
        <v>0</v>
      </c>
    </row>
    <row r="50" spans="1:26" s="24" customFormat="1" hidden="1" outlineLevel="2" x14ac:dyDescent="0.25">
      <c r="A50" s="25"/>
      <c r="B50" s="11" t="str">
        <f>CONCATENATE("          ", "6007", " - ", "STUDENT HOURLY")</f>
        <v xml:space="preserve">          6007 - STUDENT HOURLY</v>
      </c>
      <c r="C50" s="11"/>
      <c r="D50" s="7">
        <v>5243.07</v>
      </c>
      <c r="E50" s="2"/>
      <c r="F50" s="6">
        <f t="shared" si="12"/>
        <v>5.6685312494290187E-2</v>
      </c>
      <c r="G50" s="2"/>
      <c r="H50" s="7">
        <v>0</v>
      </c>
      <c r="I50" s="2"/>
      <c r="J50" s="6">
        <f t="shared" si="13"/>
        <v>0</v>
      </c>
      <c r="K50" s="2"/>
      <c r="L50" s="7">
        <f t="shared" si="14"/>
        <v>5243.07</v>
      </c>
      <c r="M50" s="2"/>
      <c r="N50" s="6">
        <f t="shared" si="15"/>
        <v>0</v>
      </c>
      <c r="O50" s="11"/>
      <c r="P50" s="7">
        <v>27651.74</v>
      </c>
      <c r="Q50" s="2"/>
      <c r="R50" s="6">
        <f t="shared" si="16"/>
        <v>7.0434135313264701E-2</v>
      </c>
      <c r="S50" s="2"/>
      <c r="T50" s="7">
        <v>3756.1363631999998</v>
      </c>
      <c r="U50" s="2"/>
      <c r="V50" s="6">
        <f t="shared" si="17"/>
        <v>8.6243379883015423E-3</v>
      </c>
      <c r="W50" s="2"/>
      <c r="X50" s="7">
        <f t="shared" si="18"/>
        <v>23895.603636800002</v>
      </c>
      <c r="Y50" s="2"/>
      <c r="Z50" s="6">
        <f t="shared" si="19"/>
        <v>6.3617508328271661</v>
      </c>
    </row>
    <row r="51" spans="1:26" s="24" customFormat="1" hidden="1" outlineLevel="2" x14ac:dyDescent="0.25">
      <c r="A51" s="25"/>
      <c r="B51" s="11" t="str">
        <f>CONCATENATE("          ", "6008", " - ", "STUDENT HOURLY-FICA EXEMPT")</f>
        <v xml:space="preserve">          6008 - STUDENT HOURLY-FICA EXEMPT</v>
      </c>
      <c r="C51" s="11"/>
      <c r="D51" s="7"/>
      <c r="E51" s="2"/>
      <c r="F51" s="6">
        <f t="shared" si="12"/>
        <v>0</v>
      </c>
      <c r="G51" s="2"/>
      <c r="H51" s="7">
        <v>4844.2367224991995</v>
      </c>
      <c r="I51" s="2"/>
      <c r="J51" s="6">
        <f t="shared" si="13"/>
        <v>5.3283140543355874E-2</v>
      </c>
      <c r="K51" s="2"/>
      <c r="L51" s="7">
        <f t="shared" si="14"/>
        <v>-4844.2367224991995</v>
      </c>
      <c r="M51" s="2"/>
      <c r="N51" s="6">
        <f t="shared" si="15"/>
        <v>-1</v>
      </c>
      <c r="O51" s="11"/>
      <c r="P51" s="7"/>
      <c r="Q51" s="2"/>
      <c r="R51" s="6">
        <f t="shared" si="16"/>
        <v>0</v>
      </c>
      <c r="S51" s="2"/>
      <c r="T51" s="7">
        <v>24068.692464019201</v>
      </c>
      <c r="U51" s="2"/>
      <c r="V51" s="6">
        <f t="shared" si="17"/>
        <v>5.5263312796595396E-2</v>
      </c>
      <c r="W51" s="2"/>
      <c r="X51" s="7">
        <f t="shared" si="18"/>
        <v>-24068.692464019201</v>
      </c>
      <c r="Y51" s="2"/>
      <c r="Z51" s="6">
        <f t="shared" si="19"/>
        <v>-1</v>
      </c>
    </row>
    <row r="52" spans="1:26" s="24" customFormat="1" hidden="1" outlineLevel="2" x14ac:dyDescent="0.25">
      <c r="A52" s="25"/>
      <c r="B52" s="11" t="str">
        <f>CONCATENATE("          ", "6009", " - ", "TEMPORARY-SEASONAL")</f>
        <v xml:space="preserve">          6009 - TEMPORARY-SEASONAL</v>
      </c>
      <c r="C52" s="11"/>
      <c r="D52" s="7"/>
      <c r="E52" s="2"/>
      <c r="F52" s="6">
        <f t="shared" si="12"/>
        <v>0</v>
      </c>
      <c r="G52" s="2"/>
      <c r="H52" s="7">
        <v>0</v>
      </c>
      <c r="I52" s="2"/>
      <c r="J52" s="6">
        <f t="shared" si="13"/>
        <v>0</v>
      </c>
      <c r="K52" s="2"/>
      <c r="L52" s="7">
        <f t="shared" si="14"/>
        <v>0</v>
      </c>
      <c r="M52" s="2"/>
      <c r="N52" s="6">
        <f t="shared" si="15"/>
        <v>0</v>
      </c>
      <c r="O52" s="11"/>
      <c r="P52" s="7"/>
      <c r="Q52" s="2"/>
      <c r="R52" s="6">
        <f t="shared" si="16"/>
        <v>0</v>
      </c>
      <c r="S52" s="2"/>
      <c r="T52" s="7">
        <v>0</v>
      </c>
      <c r="U52" s="2"/>
      <c r="V52" s="6">
        <f t="shared" si="17"/>
        <v>0</v>
      </c>
      <c r="W52" s="2"/>
      <c r="X52" s="7">
        <f t="shared" si="18"/>
        <v>0</v>
      </c>
      <c r="Y52" s="2"/>
      <c r="Z52" s="6">
        <f t="shared" si="19"/>
        <v>0</v>
      </c>
    </row>
    <row r="53" spans="1:26" s="24" customFormat="1" hidden="1" outlineLevel="2" x14ac:dyDescent="0.25">
      <c r="A53" s="25"/>
      <c r="B53" s="11" t="str">
        <f>CONCATENATE("          ", "6010", " - ", "GRATUITY")</f>
        <v xml:space="preserve">          6010 - GRATUITY</v>
      </c>
      <c r="C53" s="11"/>
      <c r="D53" s="7"/>
      <c r="E53" s="2"/>
      <c r="F53" s="6">
        <f t="shared" si="12"/>
        <v>0</v>
      </c>
      <c r="G53" s="2"/>
      <c r="H53" s="7">
        <v>0</v>
      </c>
      <c r="I53" s="2"/>
      <c r="J53" s="6">
        <f t="shared" si="13"/>
        <v>0</v>
      </c>
      <c r="K53" s="2"/>
      <c r="L53" s="7">
        <f t="shared" si="14"/>
        <v>0</v>
      </c>
      <c r="M53" s="2"/>
      <c r="N53" s="6">
        <f t="shared" si="15"/>
        <v>0</v>
      </c>
      <c r="O53" s="11"/>
      <c r="P53" s="7"/>
      <c r="Q53" s="2"/>
      <c r="R53" s="6">
        <f t="shared" si="16"/>
        <v>0</v>
      </c>
      <c r="S53" s="2"/>
      <c r="T53" s="7">
        <v>0</v>
      </c>
      <c r="U53" s="2"/>
      <c r="V53" s="6">
        <f t="shared" si="17"/>
        <v>0</v>
      </c>
      <c r="W53" s="2"/>
      <c r="X53" s="7">
        <f t="shared" si="18"/>
        <v>0</v>
      </c>
      <c r="Y53" s="2"/>
      <c r="Z53" s="6">
        <f t="shared" si="19"/>
        <v>0</v>
      </c>
    </row>
    <row r="54" spans="1:26" s="27" customFormat="1" outlineLevel="1" collapsed="1" x14ac:dyDescent="0.25">
      <c r="A54" s="26"/>
      <c r="B54" s="13" t="str">
        <f>CONCATENATE("     ","Advertising/Promo                                 ")</f>
        <v xml:space="preserve">     Advertising/Promo                                 </v>
      </c>
      <c r="C54" s="13"/>
      <c r="D54" s="1">
        <f>SUM(OSRRefD22_2x_0)</f>
        <v>353.5</v>
      </c>
      <c r="E54" s="1"/>
      <c r="F54" s="5">
        <f t="shared" ref="F54:F70" si="20">IF(D$12=0,0,D54/D$12)</f>
        <v>3.8218558910584031E-3</v>
      </c>
      <c r="G54" s="1"/>
      <c r="H54" s="1">
        <f>SUM(OSRRefH22_2x_0)</f>
        <v>100</v>
      </c>
      <c r="I54" s="1"/>
      <c r="J54" s="5">
        <f t="shared" ref="J54:J70" si="21">IF(H$12=0,0,H54/H$12)</f>
        <v>1.099928504647198E-3</v>
      </c>
      <c r="K54" s="1"/>
      <c r="L54" s="1">
        <f t="shared" ref="L54:L70" si="22">+D54-H54</f>
        <v>253.5</v>
      </c>
      <c r="M54" s="1"/>
      <c r="N54" s="5">
        <f t="shared" ref="N54:N70" si="23">IF(H54=0,0,L54/H54)</f>
        <v>2.5350000000000001</v>
      </c>
      <c r="O54" s="13"/>
      <c r="P54" s="1">
        <f>SUM(OSRRefP22_2x_0)</f>
        <v>751</v>
      </c>
      <c r="Q54" s="1"/>
      <c r="R54" s="5">
        <f t="shared" ref="R54:R70" si="24">IF(P$12=0,0,P54/P$12)</f>
        <v>1.9129369660014807E-3</v>
      </c>
      <c r="S54" s="1"/>
      <c r="T54" s="1">
        <f>SUM(OSRRefT22_2x_0)</f>
        <v>700</v>
      </c>
      <c r="U54" s="1"/>
      <c r="V54" s="5">
        <f t="shared" ref="V54:V70" si="25">IF(T$12=0,0,T54/T$12)</f>
        <v>1.6072463851306749E-3</v>
      </c>
      <c r="W54" s="1"/>
      <c r="X54" s="1">
        <f t="shared" ref="X54:X70" si="26">+P54-T54</f>
        <v>51</v>
      </c>
      <c r="Y54" s="1"/>
      <c r="Z54" s="5">
        <f t="shared" ref="Z54:Z70" si="27">IF(T54=0,0,X54/T54)</f>
        <v>7.2857142857142856E-2</v>
      </c>
    </row>
    <row r="55" spans="1:26" s="24" customFormat="1" hidden="1" outlineLevel="2" x14ac:dyDescent="0.25">
      <c r="A55" s="25"/>
      <c r="B55" s="11" t="str">
        <f>CONCATENATE("          ", "6362", " - ", "ADVERTISING EXPENSE")</f>
        <v xml:space="preserve">          6362 - ADVERTISING EXPENSE</v>
      </c>
      <c r="C55" s="11"/>
      <c r="D55" s="7">
        <v>353.5</v>
      </c>
      <c r="E55" s="2"/>
      <c r="F55" s="6">
        <f t="shared" si="20"/>
        <v>3.8218558910584031E-3</v>
      </c>
      <c r="G55" s="2"/>
      <c r="H55" s="7">
        <v>100</v>
      </c>
      <c r="I55" s="2"/>
      <c r="J55" s="6">
        <f t="shared" si="21"/>
        <v>1.099928504647198E-3</v>
      </c>
      <c r="K55" s="2"/>
      <c r="L55" s="7">
        <f t="shared" si="22"/>
        <v>253.5</v>
      </c>
      <c r="M55" s="2"/>
      <c r="N55" s="6">
        <f t="shared" si="23"/>
        <v>2.5350000000000001</v>
      </c>
      <c r="O55" s="11"/>
      <c r="P55" s="7">
        <v>751</v>
      </c>
      <c r="Q55" s="2"/>
      <c r="R55" s="6">
        <f t="shared" si="24"/>
        <v>1.9129369660014807E-3</v>
      </c>
      <c r="S55" s="2"/>
      <c r="T55" s="7">
        <v>700</v>
      </c>
      <c r="U55" s="2"/>
      <c r="V55" s="6">
        <f t="shared" si="25"/>
        <v>1.6072463851306749E-3</v>
      </c>
      <c r="W55" s="2"/>
      <c r="X55" s="7">
        <f t="shared" si="26"/>
        <v>51</v>
      </c>
      <c r="Y55" s="2"/>
      <c r="Z55" s="6">
        <f t="shared" si="27"/>
        <v>7.2857142857142856E-2</v>
      </c>
    </row>
    <row r="56" spans="1:26" s="27" customFormat="1" outlineLevel="1" collapsed="1" x14ac:dyDescent="0.25">
      <c r="A56" s="26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SUM(OSRRefD22_3x_0)</f>
        <v>169.88</v>
      </c>
      <c r="E56" s="1"/>
      <c r="F56" s="5">
        <f t="shared" si="20"/>
        <v>1.8366531224130169E-3</v>
      </c>
      <c r="G56" s="1"/>
      <c r="H56" s="1">
        <f>SUM(OSRRefH22_3x_0)</f>
        <v>0</v>
      </c>
      <c r="I56" s="1"/>
      <c r="J56" s="5">
        <f t="shared" si="21"/>
        <v>0</v>
      </c>
      <c r="K56" s="1"/>
      <c r="L56" s="1">
        <f t="shared" si="22"/>
        <v>169.88</v>
      </c>
      <c r="M56" s="1"/>
      <c r="N56" s="5">
        <f t="shared" si="23"/>
        <v>0</v>
      </c>
      <c r="O56" s="13"/>
      <c r="P56" s="1">
        <f>SUM(OSRRefP22_3x_0)</f>
        <v>339.76</v>
      </c>
      <c r="Q56" s="1"/>
      <c r="R56" s="5">
        <f t="shared" si="24"/>
        <v>8.6543204203550341E-4</v>
      </c>
      <c r="S56" s="1"/>
      <c r="T56" s="1">
        <f>SUM(OSRRefT22_3x_0)</f>
        <v>0</v>
      </c>
      <c r="U56" s="1"/>
      <c r="V56" s="5">
        <f t="shared" si="25"/>
        <v>0</v>
      </c>
      <c r="W56" s="1"/>
      <c r="X56" s="1">
        <f t="shared" si="26"/>
        <v>339.76</v>
      </c>
      <c r="Y56" s="1"/>
      <c r="Z56" s="5">
        <f t="shared" si="27"/>
        <v>0</v>
      </c>
    </row>
    <row r="57" spans="1:26" s="24" customFormat="1" hidden="1" outlineLevel="2" x14ac:dyDescent="0.25">
      <c r="A57" s="25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169.88</v>
      </c>
      <c r="E57" s="2"/>
      <c r="F57" s="6">
        <f t="shared" si="20"/>
        <v>1.8366531224130169E-3</v>
      </c>
      <c r="G57" s="2"/>
      <c r="H57" s="7">
        <v>0</v>
      </c>
      <c r="I57" s="2"/>
      <c r="J57" s="6">
        <f t="shared" si="21"/>
        <v>0</v>
      </c>
      <c r="K57" s="2"/>
      <c r="L57" s="7">
        <f t="shared" si="22"/>
        <v>169.88</v>
      </c>
      <c r="M57" s="2"/>
      <c r="N57" s="6">
        <f t="shared" si="23"/>
        <v>0</v>
      </c>
      <c r="O57" s="11"/>
      <c r="P57" s="7">
        <v>339.76</v>
      </c>
      <c r="Q57" s="2"/>
      <c r="R57" s="6">
        <f t="shared" si="24"/>
        <v>8.6543204203550341E-4</v>
      </c>
      <c r="S57" s="2"/>
      <c r="T57" s="7">
        <v>0</v>
      </c>
      <c r="U57" s="2"/>
      <c r="V57" s="6">
        <f t="shared" si="25"/>
        <v>0</v>
      </c>
      <c r="W57" s="2"/>
      <c r="X57" s="7">
        <f t="shared" si="26"/>
        <v>339.76</v>
      </c>
      <c r="Y57" s="2"/>
      <c r="Z57" s="6">
        <f t="shared" si="27"/>
        <v>0</v>
      </c>
    </row>
    <row r="58" spans="1:26" s="27" customFormat="1" outlineLevel="1" collapsed="1" x14ac:dyDescent="0.25">
      <c r="A58" s="26"/>
      <c r="B58" s="13" t="str">
        <f>CONCATENATE("     ","Discounts and Markdowns                           ")</f>
        <v xml:space="preserve">     Discounts and Markdowns                           </v>
      </c>
      <c r="C58" s="13"/>
      <c r="D58" s="1">
        <f>SUM(OSRRefD22_4x_0)</f>
        <v>170.62</v>
      </c>
      <c r="E58" s="1"/>
      <c r="F58" s="5">
        <f t="shared" si="20"/>
        <v>1.8446536128214563E-3</v>
      </c>
      <c r="G58" s="1"/>
      <c r="H58" s="1">
        <f>SUM(OSRRefH22_4x_0)</f>
        <v>800</v>
      </c>
      <c r="I58" s="1"/>
      <c r="J58" s="5">
        <f t="shared" si="21"/>
        <v>8.7994280371775837E-3</v>
      </c>
      <c r="K58" s="1"/>
      <c r="L58" s="1">
        <f t="shared" si="22"/>
        <v>-629.38</v>
      </c>
      <c r="M58" s="1"/>
      <c r="N58" s="5">
        <f t="shared" si="23"/>
        <v>-0.78672500000000001</v>
      </c>
      <c r="O58" s="13"/>
      <c r="P58" s="1">
        <f>SUM(OSRRefP22_4x_0)</f>
        <v>634.89</v>
      </c>
      <c r="Q58" s="1"/>
      <c r="R58" s="5">
        <f t="shared" si="24"/>
        <v>1.6171831562512384E-3</v>
      </c>
      <c r="S58" s="1"/>
      <c r="T58" s="1">
        <f>SUM(OSRRefT22_4x_0)</f>
        <v>4800</v>
      </c>
      <c r="U58" s="1"/>
      <c r="V58" s="5">
        <f t="shared" si="25"/>
        <v>1.1021118069467485E-2</v>
      </c>
      <c r="W58" s="1"/>
      <c r="X58" s="1">
        <f t="shared" si="26"/>
        <v>-4165.1099999999997</v>
      </c>
      <c r="Y58" s="1"/>
      <c r="Z58" s="5">
        <f t="shared" si="27"/>
        <v>-0.86773124999999995</v>
      </c>
    </row>
    <row r="59" spans="1:26" s="24" customFormat="1" hidden="1" outlineLevel="2" x14ac:dyDescent="0.25">
      <c r="A59" s="25"/>
      <c r="B59" s="11" t="str">
        <f>CONCATENATE("          ", "6382", " - ", "DISCOUNTS/MARK DOWNS")</f>
        <v xml:space="preserve">          6382 - DISCOUNTS/MARK DOWNS</v>
      </c>
      <c r="C59" s="11"/>
      <c r="D59" s="7">
        <v>170.62</v>
      </c>
      <c r="E59" s="2"/>
      <c r="F59" s="6">
        <f t="shared" si="20"/>
        <v>1.8446536128214563E-3</v>
      </c>
      <c r="G59" s="2"/>
      <c r="H59" s="7">
        <v>800</v>
      </c>
      <c r="I59" s="2"/>
      <c r="J59" s="6">
        <f t="shared" si="21"/>
        <v>8.7994280371775837E-3</v>
      </c>
      <c r="K59" s="2"/>
      <c r="L59" s="7">
        <f t="shared" si="22"/>
        <v>-629.38</v>
      </c>
      <c r="M59" s="2"/>
      <c r="N59" s="6">
        <f t="shared" si="23"/>
        <v>-0.78672500000000001</v>
      </c>
      <c r="O59" s="11"/>
      <c r="P59" s="7">
        <v>634.89</v>
      </c>
      <c r="Q59" s="2"/>
      <c r="R59" s="6">
        <f t="shared" si="24"/>
        <v>1.6171831562512384E-3</v>
      </c>
      <c r="S59" s="2"/>
      <c r="T59" s="7">
        <v>4800</v>
      </c>
      <c r="U59" s="2"/>
      <c r="V59" s="6">
        <f t="shared" si="25"/>
        <v>1.1021118069467485E-2</v>
      </c>
      <c r="W59" s="2"/>
      <c r="X59" s="7">
        <f t="shared" si="26"/>
        <v>-4165.1099999999997</v>
      </c>
      <c r="Y59" s="2"/>
      <c r="Z59" s="6">
        <f t="shared" si="27"/>
        <v>-0.86773124999999995</v>
      </c>
    </row>
    <row r="60" spans="1:26" s="27" customFormat="1" outlineLevel="1" collapsed="1" x14ac:dyDescent="0.25">
      <c r="A60" s="26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SUM(OSRRefD22_5x_0)</f>
        <v>0</v>
      </c>
      <c r="E60" s="1"/>
      <c r="F60" s="5">
        <f t="shared" si="20"/>
        <v>0</v>
      </c>
      <c r="G60" s="1"/>
      <c r="H60" s="1">
        <f>SUM(OSRRefH22_5x_0)</f>
        <v>100</v>
      </c>
      <c r="I60" s="1"/>
      <c r="J60" s="5">
        <f t="shared" si="21"/>
        <v>1.099928504647198E-3</v>
      </c>
      <c r="K60" s="1"/>
      <c r="L60" s="1">
        <f t="shared" si="22"/>
        <v>-100</v>
      </c>
      <c r="M60" s="1"/>
      <c r="N60" s="5">
        <f t="shared" si="23"/>
        <v>-1</v>
      </c>
      <c r="O60" s="13"/>
      <c r="P60" s="1">
        <f>SUM(OSRRefP22_5x_0)</f>
        <v>0</v>
      </c>
      <c r="Q60" s="1"/>
      <c r="R60" s="5">
        <f t="shared" si="24"/>
        <v>0</v>
      </c>
      <c r="S60" s="1"/>
      <c r="T60" s="1">
        <f>SUM(OSRRefT22_5x_0)</f>
        <v>700</v>
      </c>
      <c r="U60" s="1"/>
      <c r="V60" s="5">
        <f t="shared" si="25"/>
        <v>1.6072463851306749E-3</v>
      </c>
      <c r="W60" s="1"/>
      <c r="X60" s="1">
        <f t="shared" si="26"/>
        <v>-700</v>
      </c>
      <c r="Y60" s="1"/>
      <c r="Z60" s="5">
        <f t="shared" si="27"/>
        <v>-1</v>
      </c>
    </row>
    <row r="61" spans="1:26" s="24" customFormat="1" hidden="1" outlineLevel="2" x14ac:dyDescent="0.25">
      <c r="A61" s="25"/>
      <c r="B61" s="11" t="str">
        <f>CONCATENATE("          ", "6277", " - ", "EMPLOYEE APPRECIATION")</f>
        <v xml:space="preserve">          6277 - EMPLOYEE APPRECIATION</v>
      </c>
      <c r="C61" s="11"/>
      <c r="D61" s="7"/>
      <c r="E61" s="2"/>
      <c r="F61" s="6">
        <f t="shared" si="20"/>
        <v>0</v>
      </c>
      <c r="G61" s="2"/>
      <c r="H61" s="7">
        <v>100</v>
      </c>
      <c r="I61" s="2"/>
      <c r="J61" s="6">
        <f t="shared" si="21"/>
        <v>1.099928504647198E-3</v>
      </c>
      <c r="K61" s="2"/>
      <c r="L61" s="7">
        <f t="shared" si="22"/>
        <v>-100</v>
      </c>
      <c r="M61" s="2"/>
      <c r="N61" s="6">
        <f t="shared" si="23"/>
        <v>-1</v>
      </c>
      <c r="O61" s="11"/>
      <c r="P61" s="7"/>
      <c r="Q61" s="2"/>
      <c r="R61" s="6">
        <f t="shared" si="24"/>
        <v>0</v>
      </c>
      <c r="S61" s="2"/>
      <c r="T61" s="7">
        <v>700</v>
      </c>
      <c r="U61" s="2"/>
      <c r="V61" s="6">
        <f t="shared" si="25"/>
        <v>1.6072463851306749E-3</v>
      </c>
      <c r="W61" s="2"/>
      <c r="X61" s="7">
        <f t="shared" si="26"/>
        <v>-700</v>
      </c>
      <c r="Y61" s="2"/>
      <c r="Z61" s="6">
        <f t="shared" si="27"/>
        <v>-1</v>
      </c>
    </row>
    <row r="62" spans="1:26" s="27" customFormat="1" outlineLevel="1" collapsed="1" x14ac:dyDescent="0.25">
      <c r="A62" s="26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SUM(OSRRefD22_6x_0)</f>
        <v>1205.6400000000001</v>
      </c>
      <c r="E62" s="1"/>
      <c r="F62" s="5">
        <f t="shared" si="20"/>
        <v>1.3034744940581764E-2</v>
      </c>
      <c r="G62" s="1"/>
      <c r="H62" s="1">
        <f>SUM(OSRRefH22_6x_0)</f>
        <v>3000</v>
      </c>
      <c r="I62" s="1"/>
      <c r="J62" s="5">
        <f t="shared" si="21"/>
        <v>3.2997855139415937E-2</v>
      </c>
      <c r="K62" s="1"/>
      <c r="L62" s="1">
        <f t="shared" si="22"/>
        <v>-1794.36</v>
      </c>
      <c r="M62" s="1"/>
      <c r="N62" s="5">
        <f t="shared" si="23"/>
        <v>-0.59811999999999999</v>
      </c>
      <c r="O62" s="13"/>
      <c r="P62" s="1">
        <f>SUM(OSRRefP22_6x_0)</f>
        <v>11137.8</v>
      </c>
      <c r="Q62" s="1"/>
      <c r="R62" s="5">
        <f t="shared" si="24"/>
        <v>2.8370052383397189E-2</v>
      </c>
      <c r="S62" s="1"/>
      <c r="T62" s="1">
        <f>SUM(OSRRefT22_6x_0)</f>
        <v>21000</v>
      </c>
      <c r="U62" s="1"/>
      <c r="V62" s="5">
        <f t="shared" si="25"/>
        <v>4.8217391553920248E-2</v>
      </c>
      <c r="W62" s="1"/>
      <c r="X62" s="1">
        <f t="shared" si="26"/>
        <v>-9862.2000000000007</v>
      </c>
      <c r="Y62" s="1"/>
      <c r="Z62" s="5">
        <f t="shared" si="27"/>
        <v>-0.46962857142857145</v>
      </c>
    </row>
    <row r="63" spans="1:26" s="24" customFormat="1" hidden="1" outlineLevel="2" x14ac:dyDescent="0.25">
      <c r="A63" s="25"/>
      <c r="B63" s="11" t="str">
        <f>CONCATENATE("          ", "6351", " - ", "EQUIPMENT RENTAL")</f>
        <v xml:space="preserve">          6351 - EQUIPMENT RENTAL</v>
      </c>
      <c r="C63" s="11"/>
      <c r="D63" s="7">
        <v>1205.6400000000001</v>
      </c>
      <c r="E63" s="2"/>
      <c r="F63" s="6">
        <f t="shared" si="20"/>
        <v>1.3034744940581764E-2</v>
      </c>
      <c r="G63" s="2"/>
      <c r="H63" s="7">
        <v>3000</v>
      </c>
      <c r="I63" s="2"/>
      <c r="J63" s="6">
        <f t="shared" si="21"/>
        <v>3.2997855139415937E-2</v>
      </c>
      <c r="K63" s="2"/>
      <c r="L63" s="7">
        <f t="shared" si="22"/>
        <v>-1794.36</v>
      </c>
      <c r="M63" s="2"/>
      <c r="N63" s="6">
        <f t="shared" si="23"/>
        <v>-0.59811999999999999</v>
      </c>
      <c r="O63" s="11"/>
      <c r="P63" s="7">
        <v>11137.8</v>
      </c>
      <c r="Q63" s="2"/>
      <c r="R63" s="6">
        <f t="shared" si="24"/>
        <v>2.8370052383397189E-2</v>
      </c>
      <c r="S63" s="2"/>
      <c r="T63" s="7">
        <v>21000</v>
      </c>
      <c r="U63" s="2"/>
      <c r="V63" s="6">
        <f t="shared" si="25"/>
        <v>4.8217391553920248E-2</v>
      </c>
      <c r="W63" s="2"/>
      <c r="X63" s="7">
        <f t="shared" si="26"/>
        <v>-9862.2000000000007</v>
      </c>
      <c r="Y63" s="2"/>
      <c r="Z63" s="6">
        <f t="shared" si="27"/>
        <v>-0.46962857142857145</v>
      </c>
    </row>
    <row r="64" spans="1:26" s="27" customFormat="1" outlineLevel="1" collapsed="1" x14ac:dyDescent="0.25">
      <c r="A64" s="26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SUM(OSRRefD22_7x_0)</f>
        <v>0</v>
      </c>
      <c r="E64" s="1"/>
      <c r="F64" s="5">
        <f t="shared" si="20"/>
        <v>0</v>
      </c>
      <c r="G64" s="1"/>
      <c r="H64" s="1">
        <f>SUM(OSRRefH22_7x_0)</f>
        <v>-300</v>
      </c>
      <c r="I64" s="1"/>
      <c r="J64" s="5">
        <f t="shared" si="21"/>
        <v>-3.2997855139415937E-3</v>
      </c>
      <c r="K64" s="1"/>
      <c r="L64" s="1">
        <f t="shared" si="22"/>
        <v>300</v>
      </c>
      <c r="M64" s="1"/>
      <c r="N64" s="5">
        <f t="shared" si="23"/>
        <v>-1</v>
      </c>
      <c r="O64" s="13"/>
      <c r="P64" s="1">
        <f>SUM(OSRRefP22_7x_0)</f>
        <v>9.1300000000000008</v>
      </c>
      <c r="Q64" s="1"/>
      <c r="R64" s="5">
        <f t="shared" si="24"/>
        <v>2.3255811584012675E-5</v>
      </c>
      <c r="S64" s="1"/>
      <c r="T64" s="1">
        <f>SUM(OSRRefT22_7x_0)</f>
        <v>-2100</v>
      </c>
      <c r="U64" s="1"/>
      <c r="V64" s="5">
        <f t="shared" si="25"/>
        <v>-4.821739155392025E-3</v>
      </c>
      <c r="W64" s="1"/>
      <c r="X64" s="1">
        <f t="shared" si="26"/>
        <v>2109.13</v>
      </c>
      <c r="Y64" s="1"/>
      <c r="Z64" s="5">
        <f t="shared" si="27"/>
        <v>-1.004347619047619</v>
      </c>
    </row>
    <row r="65" spans="1:26" s="24" customFormat="1" hidden="1" outlineLevel="2" x14ac:dyDescent="0.25">
      <c r="A65" s="25"/>
      <c r="B65" s="11" t="str">
        <f>CONCATENATE("          ", "6305", " - ", "FREIGHT OUT")</f>
        <v xml:space="preserve">          6305 - FREIGHT OUT</v>
      </c>
      <c r="C65" s="11"/>
      <c r="D65" s="7"/>
      <c r="E65" s="2"/>
      <c r="F65" s="6">
        <f t="shared" si="20"/>
        <v>0</v>
      </c>
      <c r="G65" s="2"/>
      <c r="H65" s="7">
        <v>-300</v>
      </c>
      <c r="I65" s="2"/>
      <c r="J65" s="6">
        <f t="shared" si="21"/>
        <v>-3.2997855139415937E-3</v>
      </c>
      <c r="K65" s="2"/>
      <c r="L65" s="7">
        <f t="shared" si="22"/>
        <v>300</v>
      </c>
      <c r="M65" s="2"/>
      <c r="N65" s="6">
        <f t="shared" si="23"/>
        <v>-1</v>
      </c>
      <c r="O65" s="11"/>
      <c r="P65" s="7">
        <v>9.1300000000000008</v>
      </c>
      <c r="Q65" s="2"/>
      <c r="R65" s="6">
        <f t="shared" si="24"/>
        <v>2.3255811584012675E-5</v>
      </c>
      <c r="S65" s="2"/>
      <c r="T65" s="7">
        <v>-2100</v>
      </c>
      <c r="U65" s="2"/>
      <c r="V65" s="6">
        <f t="shared" si="25"/>
        <v>-4.821739155392025E-3</v>
      </c>
      <c r="W65" s="2"/>
      <c r="X65" s="7">
        <f t="shared" si="26"/>
        <v>2109.13</v>
      </c>
      <c r="Y65" s="2"/>
      <c r="Z65" s="6">
        <f t="shared" si="27"/>
        <v>-1.004347619047619</v>
      </c>
    </row>
    <row r="66" spans="1:26" s="27" customFormat="1" outlineLevel="1" collapsed="1" x14ac:dyDescent="0.25">
      <c r="A66" s="26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SUM(OSRRefD22_8x_0)</f>
        <v>0</v>
      </c>
      <c r="E66" s="1"/>
      <c r="F66" s="5">
        <f t="shared" si="20"/>
        <v>0</v>
      </c>
      <c r="G66" s="1"/>
      <c r="H66" s="1">
        <f>SUM(OSRRefH22_8x_0)</f>
        <v>200</v>
      </c>
      <c r="I66" s="1"/>
      <c r="J66" s="5">
        <f t="shared" si="21"/>
        <v>2.1998570092943959E-3</v>
      </c>
      <c r="K66" s="1"/>
      <c r="L66" s="1">
        <f t="shared" si="22"/>
        <v>-200</v>
      </c>
      <c r="M66" s="1"/>
      <c r="N66" s="5">
        <f t="shared" si="23"/>
        <v>-1</v>
      </c>
      <c r="O66" s="13"/>
      <c r="P66" s="1">
        <f>SUM(OSRRefP22_8x_0)</f>
        <v>75</v>
      </c>
      <c r="Q66" s="1"/>
      <c r="R66" s="5">
        <f t="shared" si="24"/>
        <v>1.9103897796286424E-4</v>
      </c>
      <c r="S66" s="1"/>
      <c r="T66" s="1">
        <f>SUM(OSRRefT22_8x_0)</f>
        <v>1400</v>
      </c>
      <c r="U66" s="1"/>
      <c r="V66" s="5">
        <f t="shared" si="25"/>
        <v>3.2144927702613497E-3</v>
      </c>
      <c r="W66" s="1"/>
      <c r="X66" s="1">
        <f t="shared" si="26"/>
        <v>-1325</v>
      </c>
      <c r="Y66" s="1"/>
      <c r="Z66" s="5">
        <f t="shared" si="27"/>
        <v>-0.9464285714285714</v>
      </c>
    </row>
    <row r="67" spans="1:26" s="24" customFormat="1" hidden="1" outlineLevel="2" x14ac:dyDescent="0.25">
      <c r="A67" s="25"/>
      <c r="B67" s="11" t="str">
        <f>CONCATENATE("          ", "6279", " - ", "GENERAL EXPENSE")</f>
        <v xml:space="preserve">          6279 - GENERAL EXPENSE</v>
      </c>
      <c r="C67" s="11"/>
      <c r="D67" s="7"/>
      <c r="E67" s="2"/>
      <c r="F67" s="6">
        <f t="shared" si="20"/>
        <v>0</v>
      </c>
      <c r="G67" s="2"/>
      <c r="H67" s="7">
        <v>200</v>
      </c>
      <c r="I67" s="2"/>
      <c r="J67" s="6">
        <f t="shared" si="21"/>
        <v>2.1998570092943959E-3</v>
      </c>
      <c r="K67" s="2"/>
      <c r="L67" s="7">
        <f t="shared" si="22"/>
        <v>-200</v>
      </c>
      <c r="M67" s="2"/>
      <c r="N67" s="6">
        <f t="shared" si="23"/>
        <v>-1</v>
      </c>
      <c r="O67" s="11"/>
      <c r="P67" s="7">
        <v>75</v>
      </c>
      <c r="Q67" s="2"/>
      <c r="R67" s="6">
        <f t="shared" si="24"/>
        <v>1.9103897796286424E-4</v>
      </c>
      <c r="S67" s="2"/>
      <c r="T67" s="7">
        <v>1400</v>
      </c>
      <c r="U67" s="2"/>
      <c r="V67" s="6">
        <f t="shared" si="25"/>
        <v>3.2144927702613497E-3</v>
      </c>
      <c r="W67" s="2"/>
      <c r="X67" s="7">
        <f t="shared" si="26"/>
        <v>-1325</v>
      </c>
      <c r="Y67" s="2"/>
      <c r="Z67" s="6">
        <f t="shared" si="27"/>
        <v>-0.9464285714285714</v>
      </c>
    </row>
    <row r="68" spans="1:26" s="27" customFormat="1" outlineLevel="1" collapsed="1" x14ac:dyDescent="0.25">
      <c r="A68" s="26"/>
      <c r="B68" s="13" t="str">
        <f>CONCATENATE("     ","Repair and Maintenance                            ")</f>
        <v xml:space="preserve">     Repair and Maintenance                            </v>
      </c>
      <c r="C68" s="13"/>
      <c r="D68" s="1">
        <f>SUM(OSRRefD22_9x_0)</f>
        <v>9249.09</v>
      </c>
      <c r="E68" s="1"/>
      <c r="F68" s="5">
        <f t="shared" si="20"/>
        <v>9.9996291664580947E-2</v>
      </c>
      <c r="G68" s="1"/>
      <c r="H68" s="1">
        <f>SUM(OSRRefH22_9x_0)</f>
        <v>7000</v>
      </c>
      <c r="I68" s="1"/>
      <c r="J68" s="5">
        <f t="shared" si="21"/>
        <v>7.699499532530385E-2</v>
      </c>
      <c r="K68" s="1"/>
      <c r="L68" s="1">
        <f t="shared" si="22"/>
        <v>2249.09</v>
      </c>
      <c r="M68" s="1"/>
      <c r="N68" s="5">
        <f t="shared" si="23"/>
        <v>0.32129857142857143</v>
      </c>
      <c r="O68" s="13"/>
      <c r="P68" s="1">
        <f>SUM(OSRRefP22_9x_0)</f>
        <v>45765.26</v>
      </c>
      <c r="Q68" s="1"/>
      <c r="R68" s="5">
        <f t="shared" si="24"/>
        <v>0.1165726466213967</v>
      </c>
      <c r="S68" s="1"/>
      <c r="T68" s="1">
        <f>SUM(OSRRefT22_9x_0)</f>
        <v>49000</v>
      </c>
      <c r="U68" s="1"/>
      <c r="V68" s="5">
        <f t="shared" si="25"/>
        <v>0.11250724695914724</v>
      </c>
      <c r="W68" s="1"/>
      <c r="X68" s="1">
        <f t="shared" si="26"/>
        <v>-3234.739999999998</v>
      </c>
      <c r="Y68" s="1"/>
      <c r="Z68" s="5">
        <f t="shared" si="27"/>
        <v>-6.6015102040816287E-2</v>
      </c>
    </row>
    <row r="69" spans="1:26" s="24" customFormat="1" hidden="1" outlineLevel="2" x14ac:dyDescent="0.25">
      <c r="A69" s="25"/>
      <c r="B69" s="11" t="str">
        <f>CONCATENATE("          ", "6373", " - ", "MAINTENANCE CONTRACTS")</f>
        <v xml:space="preserve">          6373 - MAINTENANCE CONTRACTS</v>
      </c>
      <c r="C69" s="11"/>
      <c r="D69" s="7">
        <v>8733.11</v>
      </c>
      <c r="E69" s="2"/>
      <c r="F69" s="6">
        <f t="shared" si="20"/>
        <v>9.4417787555193922E-2</v>
      </c>
      <c r="G69" s="2"/>
      <c r="H69" s="7">
        <v>7000</v>
      </c>
      <c r="I69" s="2"/>
      <c r="J69" s="6">
        <f t="shared" si="21"/>
        <v>7.699499532530385E-2</v>
      </c>
      <c r="K69" s="2"/>
      <c r="L69" s="7">
        <f t="shared" si="22"/>
        <v>1733.1100000000006</v>
      </c>
      <c r="M69" s="2"/>
      <c r="N69" s="6">
        <f t="shared" si="23"/>
        <v>0.24758714285714295</v>
      </c>
      <c r="O69" s="11"/>
      <c r="P69" s="7">
        <v>44879.8</v>
      </c>
      <c r="Q69" s="2"/>
      <c r="R69" s="6">
        <f t="shared" si="24"/>
        <v>0.11431721497570341</v>
      </c>
      <c r="S69" s="2"/>
      <c r="T69" s="7">
        <v>49000</v>
      </c>
      <c r="U69" s="2"/>
      <c r="V69" s="6">
        <f t="shared" si="25"/>
        <v>0.11250724695914724</v>
      </c>
      <c r="W69" s="2"/>
      <c r="X69" s="7">
        <f t="shared" si="26"/>
        <v>-4120.1999999999971</v>
      </c>
      <c r="Y69" s="2"/>
      <c r="Z69" s="6">
        <f t="shared" si="27"/>
        <v>-8.4085714285714222E-2</v>
      </c>
    </row>
    <row r="70" spans="1:26" s="24" customFormat="1" hidden="1" outlineLevel="2" x14ac:dyDescent="0.25">
      <c r="A70" s="25"/>
      <c r="B70" s="11" t="str">
        <f>CONCATENATE("          ", "6375", " - ", "OUTSIDE REPAIRS &amp; MAINTENANCE")</f>
        <v xml:space="preserve">          6375 - OUTSIDE REPAIRS &amp; MAINTENANCE</v>
      </c>
      <c r="C70" s="11"/>
      <c r="D70" s="7">
        <v>515.98</v>
      </c>
      <c r="E70" s="2"/>
      <c r="F70" s="6">
        <f t="shared" si="20"/>
        <v>5.5785041093870296E-3</v>
      </c>
      <c r="G70" s="2"/>
      <c r="H70" s="7"/>
      <c r="I70" s="2"/>
      <c r="J70" s="6">
        <f t="shared" si="21"/>
        <v>0</v>
      </c>
      <c r="K70" s="2"/>
      <c r="L70" s="7">
        <f t="shared" si="22"/>
        <v>515.98</v>
      </c>
      <c r="M70" s="2"/>
      <c r="N70" s="6">
        <f t="shared" si="23"/>
        <v>0</v>
      </c>
      <c r="O70" s="11"/>
      <c r="P70" s="7">
        <v>885.46</v>
      </c>
      <c r="Q70" s="2"/>
      <c r="R70" s="6">
        <f t="shared" si="24"/>
        <v>2.255431645693304E-3</v>
      </c>
      <c r="S70" s="2"/>
      <c r="T70" s="7"/>
      <c r="U70" s="2"/>
      <c r="V70" s="6">
        <f t="shared" si="25"/>
        <v>0</v>
      </c>
      <c r="W70" s="2"/>
      <c r="X70" s="7">
        <f t="shared" si="26"/>
        <v>885.46</v>
      </c>
      <c r="Y70" s="2"/>
      <c r="Z70" s="6">
        <f t="shared" si="27"/>
        <v>0</v>
      </c>
    </row>
    <row r="71" spans="1:26" s="27" customFormat="1" outlineLevel="1" collapsed="1" x14ac:dyDescent="0.25">
      <c r="A71" s="26"/>
      <c r="B71" s="13" t="str">
        <f>CONCATENATE("     ","Royalty &amp; Commissions                             ")</f>
        <v xml:space="preserve">     Royalty &amp; Commissions                             </v>
      </c>
      <c r="C71" s="13"/>
      <c r="D71" s="1">
        <f>SUM(OSRRefD22_10x_0)</f>
        <v>7840.58</v>
      </c>
      <c r="E71" s="1"/>
      <c r="F71" s="5">
        <f t="shared" ref="F71:F73" si="28">IF(D$12=0,0,D71/D$12)</f>
        <v>8.4768223089999137E-2</v>
      </c>
      <c r="G71" s="1"/>
      <c r="H71" s="1">
        <f>SUM(OSRRefH22_10x_0)</f>
        <v>11000</v>
      </c>
      <c r="I71" s="1"/>
      <c r="J71" s="5">
        <f t="shared" ref="J71:J73" si="29">IF(H$12=0,0,H71/H$12)</f>
        <v>0.12099213551119177</v>
      </c>
      <c r="K71" s="1"/>
      <c r="L71" s="1">
        <f t="shared" ref="L71:L73" si="30">+D71-H71</f>
        <v>-3159.42</v>
      </c>
      <c r="M71" s="1"/>
      <c r="N71" s="5">
        <f t="shared" ref="N71:N73" si="31">IF(H71=0,0,L71/H71)</f>
        <v>-0.28722000000000003</v>
      </c>
      <c r="O71" s="13"/>
      <c r="P71" s="1">
        <f>SUM(OSRRefP22_10x_0)</f>
        <v>64400.56</v>
      </c>
      <c r="Q71" s="1"/>
      <c r="R71" s="5">
        <f t="shared" ref="R71:R73" si="32">IF(P$12=0,0,P71/P$12)</f>
        <v>0.16404022883514821</v>
      </c>
      <c r="S71" s="1"/>
      <c r="T71" s="1">
        <f>SUM(OSRRefT22_10x_0)</f>
        <v>77000</v>
      </c>
      <c r="U71" s="1"/>
      <c r="V71" s="5">
        <f t="shared" ref="V71:V73" si="33">IF(T$12=0,0,T71/T$12)</f>
        <v>0.17679710236437424</v>
      </c>
      <c r="W71" s="1"/>
      <c r="X71" s="1">
        <f t="shared" ref="X71:X73" si="34">+P71-T71</f>
        <v>-12599.440000000002</v>
      </c>
      <c r="Y71" s="1"/>
      <c r="Z71" s="5">
        <f t="shared" ref="Z71:Z73" si="35">IF(T71=0,0,X71/T71)</f>
        <v>-0.16362909090909095</v>
      </c>
    </row>
    <row r="72" spans="1:26" s="24" customFormat="1" hidden="1" outlineLevel="2" x14ac:dyDescent="0.25">
      <c r="A72" s="25"/>
      <c r="B72" s="11" t="str">
        <f>CONCATENATE("          ", "6254", " - ", "ROYALTY &amp; COMMISSIONS")</f>
        <v xml:space="preserve">          6254 - ROYALTY &amp; COMMISSIONS</v>
      </c>
      <c r="C72" s="11"/>
      <c r="D72" s="7"/>
      <c r="E72" s="2"/>
      <c r="F72" s="6">
        <f t="shared" si="28"/>
        <v>0</v>
      </c>
      <c r="G72" s="2"/>
      <c r="H72" s="7">
        <v>11000</v>
      </c>
      <c r="I72" s="2"/>
      <c r="J72" s="6">
        <f t="shared" si="29"/>
        <v>0.12099213551119177</v>
      </c>
      <c r="K72" s="2"/>
      <c r="L72" s="7">
        <f t="shared" si="30"/>
        <v>-11000</v>
      </c>
      <c r="M72" s="2"/>
      <c r="N72" s="6">
        <f t="shared" si="31"/>
        <v>-1</v>
      </c>
      <c r="O72" s="11"/>
      <c r="P72" s="7"/>
      <c r="Q72" s="2"/>
      <c r="R72" s="6">
        <f t="shared" si="32"/>
        <v>0</v>
      </c>
      <c r="S72" s="2"/>
      <c r="T72" s="7">
        <v>77000</v>
      </c>
      <c r="U72" s="2"/>
      <c r="V72" s="6">
        <f t="shared" si="33"/>
        <v>0.17679710236437424</v>
      </c>
      <c r="W72" s="2"/>
      <c r="X72" s="7">
        <f t="shared" si="34"/>
        <v>-77000</v>
      </c>
      <c r="Y72" s="2"/>
      <c r="Z72" s="6">
        <f t="shared" si="35"/>
        <v>-1</v>
      </c>
    </row>
    <row r="73" spans="1:26" s="24" customFormat="1" hidden="1" outlineLevel="2" x14ac:dyDescent="0.25">
      <c r="A73" s="25"/>
      <c r="B73" s="11" t="str">
        <f>CONCATENATE("          ", "6259", " - ", "ROYALTY &amp; COMMISSIONS")</f>
        <v xml:space="preserve">          6259 - ROYALTY &amp; COMMISSIONS</v>
      </c>
      <c r="C73" s="11"/>
      <c r="D73" s="7">
        <v>7840.58</v>
      </c>
      <c r="E73" s="2"/>
      <c r="F73" s="6">
        <f t="shared" si="28"/>
        <v>8.4768223089999137E-2</v>
      </c>
      <c r="G73" s="2"/>
      <c r="H73" s="7"/>
      <c r="I73" s="2"/>
      <c r="J73" s="6">
        <f t="shared" si="29"/>
        <v>0</v>
      </c>
      <c r="K73" s="2"/>
      <c r="L73" s="7">
        <f t="shared" si="30"/>
        <v>7840.58</v>
      </c>
      <c r="M73" s="2"/>
      <c r="N73" s="6">
        <f t="shared" si="31"/>
        <v>0</v>
      </c>
      <c r="O73" s="11"/>
      <c r="P73" s="7">
        <v>64400.56</v>
      </c>
      <c r="Q73" s="2"/>
      <c r="R73" s="6">
        <f t="shared" si="32"/>
        <v>0.16404022883514821</v>
      </c>
      <c r="S73" s="2"/>
      <c r="T73" s="7"/>
      <c r="U73" s="2"/>
      <c r="V73" s="6">
        <f t="shared" si="33"/>
        <v>0</v>
      </c>
      <c r="W73" s="2"/>
      <c r="X73" s="7">
        <f t="shared" si="34"/>
        <v>64400.56</v>
      </c>
      <c r="Y73" s="2"/>
      <c r="Z73" s="6">
        <f t="shared" si="35"/>
        <v>0</v>
      </c>
    </row>
    <row r="74" spans="1:26" s="27" customFormat="1" outlineLevel="1" collapsed="1" x14ac:dyDescent="0.25">
      <c r="A74" s="26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SUM(OSRRefD22_11x_0)</f>
        <v>6148.22</v>
      </c>
      <c r="E74" s="1"/>
      <c r="F74" s="5">
        <f t="shared" ref="F74:F79" si="36">IF(D$12=0,0,D74/D$12)</f>
        <v>6.6471317755369436E-2</v>
      </c>
      <c r="G74" s="1"/>
      <c r="H74" s="1">
        <f>SUM(OSRRefH22_11x_0)</f>
        <v>12750</v>
      </c>
      <c r="I74" s="1"/>
      <c r="J74" s="5">
        <f t="shared" ref="J74:J79" si="37">IF(H$12=0,0,H74/H$12)</f>
        <v>0.14024088434251775</v>
      </c>
      <c r="K74" s="1"/>
      <c r="L74" s="1">
        <f t="shared" ref="L74:L79" si="38">+D74-H74</f>
        <v>-6601.78</v>
      </c>
      <c r="M74" s="1"/>
      <c r="N74" s="5">
        <f t="shared" ref="N74:N79" si="39">IF(H74=0,0,L74/H74)</f>
        <v>-0.51778666666666662</v>
      </c>
      <c r="O74" s="13"/>
      <c r="P74" s="1">
        <f>SUM(OSRRefP22_11x_0)</f>
        <v>24416.079999999998</v>
      </c>
      <c r="Q74" s="1"/>
      <c r="R74" s="5">
        <f t="shared" ref="R74:R79" si="40">IF(P$12=0,0,P74/P$12)</f>
        <v>6.2192306254127069E-2</v>
      </c>
      <c r="S74" s="1"/>
      <c r="T74" s="1">
        <f>SUM(OSRRefT22_11x_0)</f>
        <v>52950</v>
      </c>
      <c r="U74" s="1"/>
      <c r="V74" s="5">
        <f t="shared" ref="V74:V79" si="41">IF(T$12=0,0,T74/T$12)</f>
        <v>0.12157670870381319</v>
      </c>
      <c r="W74" s="1"/>
      <c r="X74" s="1">
        <f t="shared" ref="X74:X79" si="42">+P74-T74</f>
        <v>-28533.920000000002</v>
      </c>
      <c r="Y74" s="1"/>
      <c r="Z74" s="5">
        <f t="shared" ref="Z74:Z79" si="43">IF(T74=0,0,X74/T74)</f>
        <v>-0.5388842304060435</v>
      </c>
    </row>
    <row r="75" spans="1:26" s="24" customFormat="1" hidden="1" outlineLevel="2" x14ac:dyDescent="0.25">
      <c r="A75" s="25"/>
      <c r="B75" s="11" t="str">
        <f>CONCATENATE("          ", "6234", " - ", "EXPENDABLE SUPPLIES &amp; EQUIPMEN")</f>
        <v xml:space="preserve">          6234 - EXPENDABLE SUPPLIES &amp; EQUIPMEN</v>
      </c>
      <c r="C75" s="11"/>
      <c r="D75" s="7"/>
      <c r="E75" s="2"/>
      <c r="F75" s="6">
        <f t="shared" si="36"/>
        <v>0</v>
      </c>
      <c r="G75" s="2"/>
      <c r="H75" s="7"/>
      <c r="I75" s="2"/>
      <c r="J75" s="6">
        <f t="shared" si="37"/>
        <v>0</v>
      </c>
      <c r="K75" s="2"/>
      <c r="L75" s="7">
        <f t="shared" si="38"/>
        <v>0</v>
      </c>
      <c r="M75" s="2"/>
      <c r="N75" s="6">
        <f t="shared" si="39"/>
        <v>0</v>
      </c>
      <c r="O75" s="11"/>
      <c r="P75" s="7">
        <v>1017.27</v>
      </c>
      <c r="Q75" s="2"/>
      <c r="R75" s="6">
        <f t="shared" si="40"/>
        <v>2.5911762814971053E-3</v>
      </c>
      <c r="S75" s="2"/>
      <c r="T75" s="7"/>
      <c r="U75" s="2"/>
      <c r="V75" s="6">
        <f t="shared" si="41"/>
        <v>0</v>
      </c>
      <c r="W75" s="2"/>
      <c r="X75" s="7">
        <f t="shared" si="42"/>
        <v>1017.27</v>
      </c>
      <c r="Y75" s="2"/>
      <c r="Z75" s="6">
        <f t="shared" si="43"/>
        <v>0</v>
      </c>
    </row>
    <row r="76" spans="1:26" s="24" customFormat="1" hidden="1" outlineLevel="2" x14ac:dyDescent="0.25">
      <c r="A76" s="25"/>
      <c r="B76" s="11" t="str">
        <f>CONCATENATE("          ", "6241", " - ", "OFFICE EXPENSE")</f>
        <v xml:space="preserve">          6241 - OFFICE EXPENSE</v>
      </c>
      <c r="C76" s="11"/>
      <c r="D76" s="7">
        <v>1524.87</v>
      </c>
      <c r="E76" s="2"/>
      <c r="F76" s="6">
        <f t="shared" si="36"/>
        <v>1.6486091633941234E-2</v>
      </c>
      <c r="G76" s="2"/>
      <c r="H76" s="7"/>
      <c r="I76" s="2"/>
      <c r="J76" s="6">
        <f t="shared" si="37"/>
        <v>0</v>
      </c>
      <c r="K76" s="2"/>
      <c r="L76" s="7">
        <f t="shared" si="38"/>
        <v>1524.87</v>
      </c>
      <c r="M76" s="2"/>
      <c r="N76" s="6">
        <f t="shared" si="39"/>
        <v>0</v>
      </c>
      <c r="O76" s="11"/>
      <c r="P76" s="7">
        <v>1568.02</v>
      </c>
      <c r="Q76" s="2"/>
      <c r="R76" s="6">
        <f t="shared" si="40"/>
        <v>3.9940391763377383E-3</v>
      </c>
      <c r="S76" s="2"/>
      <c r="T76" s="7"/>
      <c r="U76" s="2"/>
      <c r="V76" s="6">
        <f t="shared" si="41"/>
        <v>0</v>
      </c>
      <c r="W76" s="2"/>
      <c r="X76" s="7">
        <f t="shared" si="42"/>
        <v>1568.02</v>
      </c>
      <c r="Y76" s="2"/>
      <c r="Z76" s="6">
        <f t="shared" si="43"/>
        <v>0</v>
      </c>
    </row>
    <row r="77" spans="1:26" s="24" customFormat="1" hidden="1" outlineLevel="2" x14ac:dyDescent="0.25">
      <c r="A77" s="25"/>
      <c r="B77" s="11" t="str">
        <f>CONCATENATE("          ", "6243", " - ", "PAPER SUPPLIES")</f>
        <v xml:space="preserve">          6243 - PAPER SUPPLIES</v>
      </c>
      <c r="C77" s="11"/>
      <c r="D77" s="7">
        <v>2294.33</v>
      </c>
      <c r="E77" s="2"/>
      <c r="F77" s="6">
        <f t="shared" si="36"/>
        <v>2.4805088052424401E-2</v>
      </c>
      <c r="G77" s="2"/>
      <c r="H77" s="7">
        <v>250</v>
      </c>
      <c r="I77" s="2"/>
      <c r="J77" s="6">
        <f t="shared" si="37"/>
        <v>2.749821261617995E-3</v>
      </c>
      <c r="K77" s="2"/>
      <c r="L77" s="7">
        <f t="shared" si="38"/>
        <v>2044.33</v>
      </c>
      <c r="M77" s="2"/>
      <c r="N77" s="6">
        <f t="shared" si="39"/>
        <v>8.1773199999999999</v>
      </c>
      <c r="O77" s="11"/>
      <c r="P77" s="7">
        <v>11852.83</v>
      </c>
      <c r="Q77" s="2"/>
      <c r="R77" s="6">
        <f t="shared" si="40"/>
        <v>3.0191367055567683E-2</v>
      </c>
      <c r="S77" s="2"/>
      <c r="T77" s="7">
        <v>1750</v>
      </c>
      <c r="U77" s="2"/>
      <c r="V77" s="6">
        <f t="shared" si="41"/>
        <v>4.0181159628266874E-3</v>
      </c>
      <c r="W77" s="2"/>
      <c r="X77" s="7">
        <f t="shared" si="42"/>
        <v>10102.83</v>
      </c>
      <c r="Y77" s="2"/>
      <c r="Z77" s="6">
        <f t="shared" si="43"/>
        <v>5.7730457142857139</v>
      </c>
    </row>
    <row r="78" spans="1:26" s="24" customFormat="1" hidden="1" outlineLevel="2" x14ac:dyDescent="0.25">
      <c r="A78" s="25"/>
      <c r="B78" s="11" t="str">
        <f>CONCATENATE("          ", "6245", " - ", "PRINTING")</f>
        <v xml:space="preserve">          6245 - PRINTING</v>
      </c>
      <c r="C78" s="11"/>
      <c r="D78" s="7">
        <v>794.09</v>
      </c>
      <c r="E78" s="2"/>
      <c r="F78" s="6">
        <f t="shared" si="36"/>
        <v>8.585283011401889E-3</v>
      </c>
      <c r="G78" s="2"/>
      <c r="H78" s="7"/>
      <c r="I78" s="2"/>
      <c r="J78" s="6">
        <f t="shared" si="37"/>
        <v>0</v>
      </c>
      <c r="K78" s="2"/>
      <c r="L78" s="7">
        <f t="shared" si="38"/>
        <v>794.09</v>
      </c>
      <c r="M78" s="2"/>
      <c r="N78" s="6">
        <f t="shared" si="39"/>
        <v>0</v>
      </c>
      <c r="O78" s="11"/>
      <c r="P78" s="7">
        <v>2007.27</v>
      </c>
      <c r="Q78" s="2"/>
      <c r="R78" s="6">
        <f t="shared" si="40"/>
        <v>5.1128907906069134E-3</v>
      </c>
      <c r="S78" s="2"/>
      <c r="T78" s="7"/>
      <c r="U78" s="2"/>
      <c r="V78" s="6">
        <f t="shared" si="41"/>
        <v>0</v>
      </c>
      <c r="W78" s="2"/>
      <c r="X78" s="7">
        <f t="shared" si="42"/>
        <v>2007.27</v>
      </c>
      <c r="Y78" s="2"/>
      <c r="Z78" s="6">
        <f t="shared" si="43"/>
        <v>0</v>
      </c>
    </row>
    <row r="79" spans="1:26" s="24" customFormat="1" hidden="1" outlineLevel="2" x14ac:dyDescent="0.25">
      <c r="A79" s="25"/>
      <c r="B79" s="11" t="str">
        <f>CONCATENATE("          ", "6247", " - ", "STORE SUPPLIES")</f>
        <v xml:space="preserve">          6247 - STORE SUPPLIES</v>
      </c>
      <c r="C79" s="11"/>
      <c r="D79" s="7">
        <v>1534.93</v>
      </c>
      <c r="E79" s="2"/>
      <c r="F79" s="6">
        <f t="shared" si="36"/>
        <v>1.6594855057601908E-2</v>
      </c>
      <c r="G79" s="2"/>
      <c r="H79" s="7">
        <v>12500</v>
      </c>
      <c r="I79" s="2"/>
      <c r="J79" s="6">
        <f t="shared" si="37"/>
        <v>0.13749106308089973</v>
      </c>
      <c r="K79" s="2"/>
      <c r="L79" s="7">
        <f t="shared" si="38"/>
        <v>-10965.07</v>
      </c>
      <c r="M79" s="2"/>
      <c r="N79" s="6">
        <f t="shared" si="39"/>
        <v>-0.87720560000000003</v>
      </c>
      <c r="O79" s="11"/>
      <c r="P79" s="7">
        <v>7970.69</v>
      </c>
      <c r="Q79" s="2"/>
      <c r="R79" s="6">
        <f t="shared" si="40"/>
        <v>2.030283295011763E-2</v>
      </c>
      <c r="S79" s="2"/>
      <c r="T79" s="7">
        <v>51200</v>
      </c>
      <c r="U79" s="2"/>
      <c r="V79" s="6">
        <f t="shared" si="41"/>
        <v>0.11755859274098651</v>
      </c>
      <c r="W79" s="2"/>
      <c r="X79" s="7">
        <f t="shared" si="42"/>
        <v>-43229.31</v>
      </c>
      <c r="Y79" s="2"/>
      <c r="Z79" s="6">
        <f t="shared" si="43"/>
        <v>-0.84432246093749996</v>
      </c>
    </row>
    <row r="80" spans="1:26" s="27" customFormat="1" outlineLevel="1" collapsed="1" x14ac:dyDescent="0.25">
      <c r="A80" s="26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SUM(OSRRefD22_12x_0)</f>
        <v>151.4</v>
      </c>
      <c r="E80" s="1"/>
      <c r="F80" s="5">
        <f t="shared" ref="F80:F82" si="44">IF(D$12=0,0,D80/D$12)</f>
        <v>1.6368570916725383E-3</v>
      </c>
      <c r="G80" s="1"/>
      <c r="H80" s="1">
        <f>SUM(OSRRefH22_12x_0)</f>
        <v>200</v>
      </c>
      <c r="I80" s="1"/>
      <c r="J80" s="5">
        <f t="shared" ref="J80:J82" si="45">IF(H$12=0,0,H80/H$12)</f>
        <v>2.1998570092943959E-3</v>
      </c>
      <c r="K80" s="1"/>
      <c r="L80" s="1">
        <f t="shared" ref="L80:L82" si="46">+D80-H80</f>
        <v>-48.599999999999994</v>
      </c>
      <c r="M80" s="1"/>
      <c r="N80" s="5">
        <f t="shared" ref="N80:N82" si="47">IF(H80=0,0,L80/H80)</f>
        <v>-0.24299999999999997</v>
      </c>
      <c r="O80" s="13"/>
      <c r="P80" s="1">
        <f>SUM(OSRRefP22_12x_0)</f>
        <v>966.35</v>
      </c>
      <c r="Q80" s="1"/>
      <c r="R80" s="5">
        <f t="shared" ref="R80:R82" si="48">IF(P$12=0,0,P80/P$12)</f>
        <v>2.461473551392185E-3</v>
      </c>
      <c r="S80" s="1"/>
      <c r="T80" s="1">
        <f>SUM(OSRRefT22_12x_0)</f>
        <v>1400</v>
      </c>
      <c r="U80" s="1"/>
      <c r="V80" s="5">
        <f t="shared" ref="V80:V82" si="49">IF(T$12=0,0,T80/T$12)</f>
        <v>3.2144927702613497E-3</v>
      </c>
      <c r="W80" s="1"/>
      <c r="X80" s="1">
        <f t="shared" ref="X80:X82" si="50">+P80-T80</f>
        <v>-433.65</v>
      </c>
      <c r="Y80" s="1"/>
      <c r="Z80" s="5">
        <f t="shared" ref="Z80:Z82" si="51">IF(T80=0,0,X80/T80)</f>
        <v>-0.30974999999999997</v>
      </c>
    </row>
    <row r="81" spans="1:26" s="24" customFormat="1" hidden="1" outlineLevel="2" x14ac:dyDescent="0.25">
      <c r="A81" s="25"/>
      <c r="B81" s="11" t="str">
        <f>CONCATENATE("          ", "6303", " - ", "DATA PHONE LINES")</f>
        <v xml:space="preserve">          6303 - DATA PHONE LINES</v>
      </c>
      <c r="C81" s="11"/>
      <c r="D81" s="7"/>
      <c r="E81" s="2"/>
      <c r="F81" s="6">
        <f t="shared" si="44"/>
        <v>0</v>
      </c>
      <c r="G81" s="2"/>
      <c r="H81" s="7">
        <v>200</v>
      </c>
      <c r="I81" s="2"/>
      <c r="J81" s="6">
        <f t="shared" si="45"/>
        <v>2.1998570092943959E-3</v>
      </c>
      <c r="K81" s="2"/>
      <c r="L81" s="7">
        <f t="shared" si="46"/>
        <v>-200</v>
      </c>
      <c r="M81" s="2"/>
      <c r="N81" s="6">
        <f t="shared" si="47"/>
        <v>-1</v>
      </c>
      <c r="O81" s="11"/>
      <c r="P81" s="7"/>
      <c r="Q81" s="2"/>
      <c r="R81" s="6">
        <f t="shared" si="48"/>
        <v>0</v>
      </c>
      <c r="S81" s="2"/>
      <c r="T81" s="7">
        <v>1400</v>
      </c>
      <c r="U81" s="2"/>
      <c r="V81" s="6">
        <f t="shared" si="49"/>
        <v>3.2144927702613497E-3</v>
      </c>
      <c r="W81" s="2"/>
      <c r="X81" s="7">
        <f t="shared" si="50"/>
        <v>-1400</v>
      </c>
      <c r="Y81" s="2"/>
      <c r="Z81" s="6">
        <f t="shared" si="51"/>
        <v>-1</v>
      </c>
    </row>
    <row r="82" spans="1:26" s="24" customFormat="1" hidden="1" outlineLevel="2" x14ac:dyDescent="0.25">
      <c r="A82" s="25"/>
      <c r="B82" s="11" t="str">
        <f>CONCATENATE("          ", "6309", " - ", "TELEPHONE")</f>
        <v xml:space="preserve">          6309 - TELEPHONE</v>
      </c>
      <c r="C82" s="11"/>
      <c r="D82" s="7">
        <v>151.4</v>
      </c>
      <c r="E82" s="2"/>
      <c r="F82" s="6">
        <f t="shared" si="44"/>
        <v>1.6368570916725383E-3</v>
      </c>
      <c r="G82" s="2"/>
      <c r="H82" s="7"/>
      <c r="I82" s="2"/>
      <c r="J82" s="6">
        <f t="shared" si="45"/>
        <v>0</v>
      </c>
      <c r="K82" s="2"/>
      <c r="L82" s="7">
        <f t="shared" si="46"/>
        <v>151.4</v>
      </c>
      <c r="M82" s="2"/>
      <c r="N82" s="6">
        <f t="shared" si="47"/>
        <v>0</v>
      </c>
      <c r="O82" s="11"/>
      <c r="P82" s="7">
        <v>966.35</v>
      </c>
      <c r="Q82" s="2"/>
      <c r="R82" s="6">
        <f t="shared" si="48"/>
        <v>2.461473551392185E-3</v>
      </c>
      <c r="S82" s="2"/>
      <c r="T82" s="7"/>
      <c r="U82" s="2"/>
      <c r="V82" s="6">
        <f t="shared" si="49"/>
        <v>0</v>
      </c>
      <c r="W82" s="2"/>
      <c r="X82" s="7">
        <f t="shared" si="50"/>
        <v>966.35</v>
      </c>
      <c r="Y82" s="2"/>
      <c r="Z82" s="6">
        <f t="shared" si="51"/>
        <v>0</v>
      </c>
    </row>
    <row r="83" spans="1:26" s="27" customFormat="1" outlineLevel="1" collapsed="1" x14ac:dyDescent="0.25">
      <c r="A83" s="26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SUM(OSRRefD22_13x_0)</f>
        <v>0</v>
      </c>
      <c r="E83" s="1"/>
      <c r="F83" s="5">
        <f t="shared" ref="F83:F84" si="52">IF(D$12=0,0,D83/D$12)</f>
        <v>0</v>
      </c>
      <c r="G83" s="1"/>
      <c r="H83" s="1">
        <f>SUM(OSRRefH22_13x_0)</f>
        <v>0</v>
      </c>
      <c r="I83" s="1"/>
      <c r="J83" s="5">
        <f t="shared" ref="J83:J84" si="53">IF(H$12=0,0,H83/H$12)</f>
        <v>0</v>
      </c>
      <c r="K83" s="1"/>
      <c r="L83" s="1">
        <f t="shared" ref="L83:L84" si="54">+D83-H83</f>
        <v>0</v>
      </c>
      <c r="M83" s="1"/>
      <c r="N83" s="5">
        <f t="shared" ref="N83:N84" si="55">IF(H83=0,0,L83/H83)</f>
        <v>0</v>
      </c>
      <c r="O83" s="13"/>
      <c r="P83" s="1">
        <f>SUM(OSRRefP22_13x_0)</f>
        <v>97.71</v>
      </c>
      <c r="Q83" s="1"/>
      <c r="R83" s="5">
        <f t="shared" ref="R83:R84" si="56">IF(P$12=0,0,P83/P$12)</f>
        <v>2.4888558049001951E-4</v>
      </c>
      <c r="S83" s="1"/>
      <c r="T83" s="1">
        <f>SUM(OSRRefT22_13x_0)</f>
        <v>0</v>
      </c>
      <c r="U83" s="1"/>
      <c r="V83" s="5">
        <f t="shared" ref="V83:V84" si="57">IF(T$12=0,0,T83/T$12)</f>
        <v>0</v>
      </c>
      <c r="W83" s="1"/>
      <c r="X83" s="1">
        <f t="shared" ref="X83:X84" si="58">+P83-T83</f>
        <v>97.71</v>
      </c>
      <c r="Y83" s="1"/>
      <c r="Z83" s="5">
        <f t="shared" ref="Z83:Z84" si="59">IF(T83=0,0,X83/T83)</f>
        <v>0</v>
      </c>
    </row>
    <row r="84" spans="1:26" s="24" customFormat="1" hidden="1" outlineLevel="2" x14ac:dyDescent="0.25">
      <c r="A84" s="25"/>
      <c r="B84" s="11" t="str">
        <f>CONCATENATE("          ", "6376", " - ", "TRAINING")</f>
        <v xml:space="preserve">          6376 - TRAINING</v>
      </c>
      <c r="C84" s="11"/>
      <c r="D84" s="7"/>
      <c r="E84" s="2"/>
      <c r="F84" s="6">
        <f t="shared" si="52"/>
        <v>0</v>
      </c>
      <c r="G84" s="2"/>
      <c r="H84" s="7"/>
      <c r="I84" s="2"/>
      <c r="J84" s="6">
        <f t="shared" si="53"/>
        <v>0</v>
      </c>
      <c r="K84" s="2"/>
      <c r="L84" s="7">
        <f t="shared" si="54"/>
        <v>0</v>
      </c>
      <c r="M84" s="2"/>
      <c r="N84" s="6">
        <f t="shared" si="55"/>
        <v>0</v>
      </c>
      <c r="O84" s="11"/>
      <c r="P84" s="7">
        <v>97.71</v>
      </c>
      <c r="Q84" s="2"/>
      <c r="R84" s="6">
        <f t="shared" si="56"/>
        <v>2.4888558049001951E-4</v>
      </c>
      <c r="S84" s="2"/>
      <c r="T84" s="7"/>
      <c r="U84" s="2"/>
      <c r="V84" s="6">
        <f t="shared" si="57"/>
        <v>0</v>
      </c>
      <c r="W84" s="2"/>
      <c r="X84" s="7">
        <f t="shared" si="58"/>
        <v>97.71</v>
      </c>
      <c r="Y84" s="2"/>
      <c r="Z84" s="6">
        <f t="shared" si="59"/>
        <v>0</v>
      </c>
    </row>
    <row r="85" spans="1:26" s="53" customFormat="1" x14ac:dyDescent="0.25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collapsed="1" x14ac:dyDescent="0.25">
      <c r="A86" s="10"/>
      <c r="B86" s="28" t="s">
        <v>0</v>
      </c>
      <c r="C86" s="10"/>
      <c r="D86" s="4">
        <f>SUM(OSRRefD25x_0)</f>
        <v>13269</v>
      </c>
      <c r="E86" s="4"/>
      <c r="F86" s="12">
        <f t="shared" ref="F86:F88" si="60">IF(D$12=0,0,D86/D$12)</f>
        <v>0.14345744220213283</v>
      </c>
      <c r="G86" s="4"/>
      <c r="H86" s="4">
        <f>SUM(OSRRefH25x_0)</f>
        <v>12250</v>
      </c>
      <c r="I86" s="4"/>
      <c r="J86" s="12">
        <f t="shared" ref="J86:J88" si="61">IF(H$12=0,0,H86/H$12)</f>
        <v>0.13474124181928174</v>
      </c>
      <c r="K86" s="4"/>
      <c r="L86" s="4">
        <f t="shared" ref="L86:L88" si="62">+D86-H86</f>
        <v>1019</v>
      </c>
      <c r="M86" s="4"/>
      <c r="N86" s="12">
        <f t="shared" ref="N86:N88" si="63">IF(H86=0,0,L86/H86)</f>
        <v>8.3183673469387751E-2</v>
      </c>
      <c r="O86" s="10"/>
      <c r="P86" s="4">
        <f>SUM(OSRRefP25x_0)</f>
        <v>92883</v>
      </c>
      <c r="Q86" s="4"/>
      <c r="R86" s="12">
        <f t="shared" ref="R86:R88" si="64">IF(P$12=0,0,P86/P$12)</f>
        <v>0.2365903118683296</v>
      </c>
      <c r="S86" s="4"/>
      <c r="T86" s="4">
        <f>SUM(OSRRefT25x_0)</f>
        <v>85750</v>
      </c>
      <c r="U86" s="4"/>
      <c r="V86" s="12">
        <f t="shared" ref="V86:V88" si="65">IF(T$12=0,0,T86/T$12)</f>
        <v>0.19688768217850766</v>
      </c>
      <c r="W86" s="4"/>
      <c r="X86" s="4">
        <f t="shared" ref="X86:X88" si="66">+P86-T86</f>
        <v>7133</v>
      </c>
      <c r="Y86" s="4"/>
      <c r="Z86" s="12">
        <f t="shared" ref="Z86:Z88" si="67">IF(T86=0,0,X86/T86)</f>
        <v>8.3183673469387751E-2</v>
      </c>
    </row>
    <row r="87" spans="1:26" s="24" customFormat="1" hidden="1" outlineLevel="1" x14ac:dyDescent="0.25">
      <c r="A87" s="44"/>
      <c r="B87" s="11" t="str">
        <f>CONCATENATE("          ", "9150", " - ", "MISC. INCOME")</f>
        <v xml:space="preserve">          9150 - MISC. INCOME</v>
      </c>
      <c r="C87" s="11"/>
      <c r="D87" s="2">
        <f>--13269</f>
        <v>13269</v>
      </c>
      <c r="E87" s="2"/>
      <c r="F87" s="19">
        <f t="shared" si="60"/>
        <v>0.14345744220213283</v>
      </c>
      <c r="G87" s="2"/>
      <c r="H87" s="2"/>
      <c r="I87" s="2"/>
      <c r="J87" s="19">
        <f t="shared" si="61"/>
        <v>0</v>
      </c>
      <c r="K87" s="2"/>
      <c r="L87" s="2">
        <f t="shared" si="62"/>
        <v>13269</v>
      </c>
      <c r="M87" s="2"/>
      <c r="N87" s="19">
        <f t="shared" si="63"/>
        <v>0</v>
      </c>
      <c r="O87" s="11"/>
      <c r="P87" s="2">
        <f>--92883</f>
        <v>92883</v>
      </c>
      <c r="Q87" s="2"/>
      <c r="R87" s="19">
        <f t="shared" si="64"/>
        <v>0.2365903118683296</v>
      </c>
      <c r="S87" s="2"/>
      <c r="T87" s="2">
        <v>12250</v>
      </c>
      <c r="U87" s="2"/>
      <c r="V87" s="19">
        <f t="shared" si="65"/>
        <v>2.812681173978681E-2</v>
      </c>
      <c r="W87" s="2"/>
      <c r="X87" s="2">
        <f t="shared" si="66"/>
        <v>80633</v>
      </c>
      <c r="Y87" s="2"/>
      <c r="Z87" s="19">
        <f t="shared" si="67"/>
        <v>6.5822857142857139</v>
      </c>
    </row>
    <row r="88" spans="1:26" s="24" customFormat="1" hidden="1" outlineLevel="1" x14ac:dyDescent="0.25">
      <c r="A88" s="44"/>
      <c r="B88" s="11" t="str">
        <f>CONCATENATE("          ", "9151", " - ", "MISC. INCOME")</f>
        <v xml:space="preserve">          9151 - MISC. INCOME</v>
      </c>
      <c r="C88" s="11"/>
      <c r="D88" s="2">
        <f>0</f>
        <v>0</v>
      </c>
      <c r="E88" s="2"/>
      <c r="F88" s="19">
        <f t="shared" si="60"/>
        <v>0</v>
      </c>
      <c r="G88" s="2"/>
      <c r="H88" s="2">
        <v>12250</v>
      </c>
      <c r="I88" s="2"/>
      <c r="J88" s="19">
        <f t="shared" si="61"/>
        <v>0.13474124181928174</v>
      </c>
      <c r="K88" s="2"/>
      <c r="L88" s="2">
        <f t="shared" si="62"/>
        <v>-12250</v>
      </c>
      <c r="M88" s="2"/>
      <c r="N88" s="19">
        <f t="shared" si="63"/>
        <v>-1</v>
      </c>
      <c r="O88" s="11"/>
      <c r="P88" s="2">
        <f>0</f>
        <v>0</v>
      </c>
      <c r="Q88" s="2"/>
      <c r="R88" s="19">
        <f t="shared" si="64"/>
        <v>0</v>
      </c>
      <c r="S88" s="2"/>
      <c r="T88" s="2">
        <v>73500</v>
      </c>
      <c r="U88" s="2"/>
      <c r="V88" s="19">
        <f t="shared" si="65"/>
        <v>0.16876087043872087</v>
      </c>
      <c r="W88" s="2"/>
      <c r="X88" s="2">
        <f t="shared" si="66"/>
        <v>-73500</v>
      </c>
      <c r="Y88" s="2"/>
      <c r="Z88" s="19">
        <f t="shared" si="67"/>
        <v>-1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9" t="s">
        <v>3</v>
      </c>
      <c r="C90" s="29"/>
      <c r="D90" s="21">
        <f>+D30-D32+D86</f>
        <v>49648.78</v>
      </c>
      <c r="E90" s="14"/>
      <c r="F90" s="20">
        <f>IF(D$12=0,0,D90/D$12)</f>
        <v>0.53677647051446287</v>
      </c>
      <c r="G90" s="14"/>
      <c r="H90" s="21">
        <f>+H30-H32+H86</f>
        <v>41892.752294229998</v>
      </c>
      <c r="I90" s="14"/>
      <c r="J90" s="20">
        <f>IF(H$12=0,0,H90/H$12)</f>
        <v>0.46079032386547875</v>
      </c>
      <c r="K90" s="16"/>
      <c r="L90" s="21">
        <f>+D90-H90</f>
        <v>7756.0277057700005</v>
      </c>
      <c r="M90" s="16"/>
      <c r="N90" s="20">
        <f>IF(H90=0,0,L90/H90)</f>
        <v>0.18514008464510123</v>
      </c>
      <c r="O90" s="28"/>
      <c r="P90" s="21">
        <f>+P30-P32+P86</f>
        <v>156912.08999999991</v>
      </c>
      <c r="Q90" s="14"/>
      <c r="R90" s="20">
        <f>IF(P$12=0,0,P90/P$12)</f>
        <v>0.3996843373815594</v>
      </c>
      <c r="S90" s="14"/>
      <c r="T90" s="21">
        <f>+T30-T32+T86</f>
        <v>149250.88981016481</v>
      </c>
      <c r="U90" s="14"/>
      <c r="V90" s="20">
        <f>IF(T$12=0,0,T90/T$12)</f>
        <v>0.3426899330356058</v>
      </c>
      <c r="W90" s="16"/>
      <c r="X90" s="21">
        <f>+P90-T90</f>
        <v>7661.2001898351009</v>
      </c>
      <c r="Y90" s="16"/>
      <c r="Z90" s="20">
        <f>IF(T90=0,0,X90/T90)</f>
        <v>5.1331018525782555E-2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14</v>
      </c>
      <c r="C92" s="10"/>
      <c r="D92" s="4">
        <v>8528.93</v>
      </c>
      <c r="E92" s="4"/>
      <c r="F92" s="12">
        <f>IF(D$12=0,0,D92/D$12)</f>
        <v>9.2210300890876229E-2</v>
      </c>
      <c r="G92" s="4"/>
      <c r="H92" s="4">
        <v>9233</v>
      </c>
      <c r="I92" s="4"/>
      <c r="J92" s="12">
        <f>IF(H$12=0,0,H92/H$12)</f>
        <v>0.10155639883407579</v>
      </c>
      <c r="K92" s="4"/>
      <c r="L92" s="4">
        <f>+D92-H92</f>
        <v>-704.06999999999971</v>
      </c>
      <c r="M92" s="4"/>
      <c r="N92" s="12">
        <f>IF(H92=0,0,L92/H92)</f>
        <v>-7.6255821509801772E-2</v>
      </c>
      <c r="O92" s="10"/>
      <c r="P92" s="4">
        <v>40941.58</v>
      </c>
      <c r="Q92" s="4"/>
      <c r="R92" s="12">
        <f>IF(P$12=0,0,P92/P$12)</f>
        <v>0.10428583465846458</v>
      </c>
      <c r="S92" s="4"/>
      <c r="T92" s="4">
        <v>53623</v>
      </c>
      <c r="U92" s="4"/>
      <c r="V92" s="12">
        <f>IF(T$12=0,0,T92/T$12)</f>
        <v>0.12312196129980311</v>
      </c>
      <c r="W92" s="4"/>
      <c r="X92" s="4">
        <f>+P92-T92</f>
        <v>-12681.419999999998</v>
      </c>
      <c r="Y92" s="4"/>
      <c r="Z92" s="12">
        <f>IF(T92=0,0,X92/T92)</f>
        <v>-0.23649217686440516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4</v>
      </c>
      <c r="C94" s="29"/>
      <c r="D94" s="34">
        <f>+D90-D92</f>
        <v>41119.85</v>
      </c>
      <c r="E94" s="14"/>
      <c r="F94" s="32">
        <f>IF(D$12=0,0,D94/D$12)</f>
        <v>0.44456616962358664</v>
      </c>
      <c r="G94" s="14"/>
      <c r="H94" s="34">
        <f>+H90-H92</f>
        <v>32659.752294229998</v>
      </c>
      <c r="I94" s="14"/>
      <c r="J94" s="32">
        <f>IF(H$12=0,0,H94/H$12)</f>
        <v>0.35923392503140295</v>
      </c>
      <c r="K94" s="16"/>
      <c r="L94" s="34">
        <f>D94-H94</f>
        <v>8460.0977057700002</v>
      </c>
      <c r="M94" s="16"/>
      <c r="N94" s="32">
        <f>IF(H94=0,0,L94/H94)</f>
        <v>0.25903741184419965</v>
      </c>
      <c r="O94" s="28"/>
      <c r="P94" s="34">
        <f>+P90-P92</f>
        <v>115970.50999999991</v>
      </c>
      <c r="Q94" s="14"/>
      <c r="R94" s="32">
        <f>IF(P$12=0,0,P94/P$12)</f>
        <v>0.29539850272309481</v>
      </c>
      <c r="S94" s="14"/>
      <c r="T94" s="34">
        <f>+T90-T92</f>
        <v>95627.889810164808</v>
      </c>
      <c r="U94" s="14"/>
      <c r="V94" s="32">
        <f>IF(T$12=0,0,T94/T$12)</f>
        <v>0.2195679717358027</v>
      </c>
      <c r="W94" s="16"/>
      <c r="X94" s="34">
        <f>P94-T94</f>
        <v>20342.620189835099</v>
      </c>
      <c r="Y94" s="16"/>
      <c r="Z94" s="32">
        <f>IF(T94=0,0,X94/T94)</f>
        <v>0.21272685437499605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5</v>
      </c>
      <c r="C97" s="29"/>
      <c r="D97" s="31">
        <f>SUM(D94:D96)</f>
        <v>41119.85</v>
      </c>
      <c r="E97" s="14"/>
      <c r="F97" s="30">
        <f>IF(D$12=0,0,D97/D$12)</f>
        <v>0.44456616962358664</v>
      </c>
      <c r="G97" s="14"/>
      <c r="H97" s="31">
        <f>SUM(H94:H96)</f>
        <v>32659.752294229998</v>
      </c>
      <c r="I97" s="14"/>
      <c r="J97" s="30">
        <f>IF(H$12=0,0,H97/H$12)</f>
        <v>0.35923392503140295</v>
      </c>
      <c r="K97" s="16"/>
      <c r="L97" s="31">
        <f>+D97-H97</f>
        <v>8460.0977057700002</v>
      </c>
      <c r="M97" s="16"/>
      <c r="N97" s="30">
        <f>IF(H97=0,0,L97/H97)</f>
        <v>0.25903741184419965</v>
      </c>
      <c r="O97" s="28"/>
      <c r="P97" s="31">
        <f>SUM(P94:P96)</f>
        <v>115970.50999999991</v>
      </c>
      <c r="Q97" s="14"/>
      <c r="R97" s="30">
        <f>IF(P$12=0,0,P97/P$12)</f>
        <v>0.29539850272309481</v>
      </c>
      <c r="S97" s="14"/>
      <c r="T97" s="31">
        <f>SUM(T94:T96)</f>
        <v>95627.889810164808</v>
      </c>
      <c r="U97" s="14"/>
      <c r="V97" s="30">
        <f>IF(T$12=0,0,T97/T$12)</f>
        <v>0.2195679717358027</v>
      </c>
      <c r="W97" s="16"/>
      <c r="X97" s="31">
        <f>+P97-T97</f>
        <v>20342.620189835099</v>
      </c>
      <c r="Y97" s="16"/>
      <c r="Z97" s="30">
        <f>IF(T97=0,0,X97/T97)</f>
        <v>0.21272685437499605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6" x14ac:dyDescent="0.25">
      <c r="A99" s="9"/>
      <c r="B99" s="63">
        <v>43879.54625702546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7" t="s">
        <v>314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60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","320", " - ", "Customer Service (old)")</f>
        <v>Department 320 - Customer Service (old)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10.94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7" si="0">+D12-H12</f>
        <v>10.94</v>
      </c>
      <c r="M12" s="4"/>
      <c r="N12" s="12">
        <f t="shared" ref="N12:N17" si="1">IF(H12=0,0,L12/H12)</f>
        <v>0</v>
      </c>
      <c r="O12" s="10"/>
      <c r="P12" s="4">
        <f>SUM(OSRRefP13x_0)</f>
        <v>7559.83</v>
      </c>
      <c r="Q12" s="4"/>
      <c r="R12" s="12"/>
      <c r="S12" s="4"/>
      <c r="T12" s="4">
        <f>SUM(OSRRefT13x_0)</f>
        <v>11500</v>
      </c>
      <c r="U12" s="4"/>
      <c r="V12" s="12"/>
      <c r="W12" s="4"/>
      <c r="X12" s="4">
        <f t="shared" ref="X12:X17" si="2">+P12-T12</f>
        <v>-3940.17</v>
      </c>
      <c r="Y12" s="4"/>
      <c r="Z12" s="12">
        <f t="shared" ref="Z12:Z17" si="3">IF(T12=0,0,X12/T12)</f>
        <v>-0.34262347826086959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4000</v>
      </c>
      <c r="U13" s="2"/>
      <c r="V13" s="19"/>
      <c r="W13" s="2"/>
      <c r="X13" s="2">
        <f t="shared" si="2"/>
        <v>-4000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"4092", " - ", "TAXABLE SALES-GRAD MERCH")</f>
        <v xml:space="preserve">          4092 - TAXABLE SALES-GRAD MERCH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--7699.32</f>
        <v>7699.32</v>
      </c>
      <c r="Q14" s="2"/>
      <c r="R14" s="19"/>
      <c r="S14" s="2"/>
      <c r="T14" s="2"/>
      <c r="U14" s="2"/>
      <c r="V14" s="19"/>
      <c r="W14" s="2"/>
      <c r="X14" s="2">
        <f t="shared" si="2"/>
        <v>7699.32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"4095", " - ", "TAXABLE SALES-CUSTOMER SERVICE")</f>
        <v xml:space="preserve">          4095 - TAXABLE SALES-CUSTOMER SERVICE</v>
      </c>
      <c r="C15" s="11"/>
      <c r="D15" s="2">
        <f>--10.94</f>
        <v>10.94</v>
      </c>
      <c r="E15" s="2"/>
      <c r="F15" s="19"/>
      <c r="G15" s="2"/>
      <c r="H15" s="2"/>
      <c r="I15" s="2"/>
      <c r="J15" s="19"/>
      <c r="K15" s="2"/>
      <c r="L15" s="2">
        <f t="shared" si="0"/>
        <v>10.94</v>
      </c>
      <c r="M15" s="2"/>
      <c r="N15" s="19">
        <f t="shared" si="1"/>
        <v>0</v>
      </c>
      <c r="O15" s="11"/>
      <c r="P15" s="2">
        <f>--279.56</f>
        <v>279.56</v>
      </c>
      <c r="Q15" s="2"/>
      <c r="R15" s="19"/>
      <c r="S15" s="2"/>
      <c r="T15" s="2"/>
      <c r="U15" s="2"/>
      <c r="V15" s="19"/>
      <c r="W15" s="2"/>
      <c r="X15" s="2">
        <f t="shared" si="2"/>
        <v>279.56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 t="shared" ref="D16:D17" si="5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v>7500</v>
      </c>
      <c r="U16" s="2"/>
      <c r="V16" s="19"/>
      <c r="W16" s="2"/>
      <c r="X16" s="2">
        <f t="shared" si="2"/>
        <v>-7500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"4292", " - ", "SALES RETURN TAXABLE-GRAD MERC")</f>
        <v xml:space="preserve">          4292 - SALES RETURN TAXABLE-GRAD MERC</v>
      </c>
      <c r="C17" s="11"/>
      <c r="D17" s="2">
        <f t="shared" si="5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-419.05</f>
        <v>-419.05</v>
      </c>
      <c r="Q17" s="2"/>
      <c r="R17" s="19"/>
      <c r="S17" s="2"/>
      <c r="T17" s="2"/>
      <c r="U17" s="2"/>
      <c r="V17" s="19"/>
      <c r="W17" s="2"/>
      <c r="X17" s="2">
        <f t="shared" si="2"/>
        <v>-419.05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8" t="s">
        <v>8</v>
      </c>
      <c r="C19" s="10"/>
      <c r="D19" s="4">
        <f>SUM(OSRRefD16x_0)</f>
        <v>0.71999999999999886</v>
      </c>
      <c r="E19" s="4"/>
      <c r="F19" s="12">
        <f t="shared" ref="F19:F25" si="6">IF(D$12=0,0,D19/D$12)</f>
        <v>6.5813528336380156E-2</v>
      </c>
      <c r="G19" s="4"/>
      <c r="H19" s="4">
        <f>SUM(OSRRefH16x_0)</f>
        <v>0</v>
      </c>
      <c r="I19" s="4"/>
      <c r="J19" s="12">
        <f t="shared" ref="J19:J25" si="7">IF(H$12=0,0,H19/H$12)</f>
        <v>0</v>
      </c>
      <c r="K19" s="4"/>
      <c r="L19" s="4">
        <f t="shared" ref="L19:L25" si="8">+D19-H19</f>
        <v>0.71999999999999886</v>
      </c>
      <c r="M19" s="4"/>
      <c r="N19" s="12">
        <f t="shared" ref="N19:N25" si="9">IF(H19=0,0,L19/H19)</f>
        <v>0</v>
      </c>
      <c r="O19" s="10"/>
      <c r="P19" s="4">
        <f>SUM(OSRRefP16x_0)</f>
        <v>3803.84</v>
      </c>
      <c r="Q19" s="4"/>
      <c r="R19" s="12">
        <f t="shared" ref="R19:R25" si="10">IF(P$12=0,0,P19/P$12)</f>
        <v>0.50316475370477909</v>
      </c>
      <c r="S19" s="4"/>
      <c r="T19" s="4">
        <f>SUM(OSRRefT16x_0)</f>
        <v>4611.5</v>
      </c>
      <c r="U19" s="4"/>
      <c r="V19" s="12">
        <f t="shared" ref="V19:V25" si="11">IF(T$12=0,0,T19/T$12)</f>
        <v>0.40100000000000002</v>
      </c>
      <c r="W19" s="4"/>
      <c r="X19" s="4">
        <f t="shared" ref="X19:X25" si="12">+P19-T19</f>
        <v>-807.65999999999985</v>
      </c>
      <c r="Y19" s="4"/>
      <c r="Z19" s="12">
        <f t="shared" ref="Z19:Z25" si="13">IF(T19=0,0,X19/T19)</f>
        <v>-0.1751404098449528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6"/>
        <v>0</v>
      </c>
      <c r="G20" s="2"/>
      <c r="H20" s="2"/>
      <c r="I20" s="2"/>
      <c r="J20" s="19">
        <f t="shared" si="7"/>
        <v>0</v>
      </c>
      <c r="K20" s="2"/>
      <c r="L20" s="2">
        <f t="shared" si="8"/>
        <v>0</v>
      </c>
      <c r="M20" s="2"/>
      <c r="N20" s="19">
        <f t="shared" si="9"/>
        <v>0</v>
      </c>
      <c r="O20" s="11"/>
      <c r="P20" s="2"/>
      <c r="Q20" s="2"/>
      <c r="R20" s="19">
        <f t="shared" si="10"/>
        <v>0</v>
      </c>
      <c r="S20" s="2"/>
      <c r="T20" s="2">
        <v>4611.5</v>
      </c>
      <c r="U20" s="2"/>
      <c r="V20" s="19">
        <f t="shared" si="11"/>
        <v>0.40100000000000002</v>
      </c>
      <c r="W20" s="2"/>
      <c r="X20" s="2">
        <f t="shared" si="12"/>
        <v>-4611.5</v>
      </c>
      <c r="Y20" s="2"/>
      <c r="Z20" s="19">
        <f t="shared" si="13"/>
        <v>-1</v>
      </c>
    </row>
    <row r="21" spans="1:26" s="24" customFormat="1" hidden="1" outlineLevel="1" x14ac:dyDescent="0.25">
      <c r="A21" s="44"/>
      <c r="B21" s="11" t="str">
        <f>CONCATENATE("          ", "5092", " - ", "PURCHASES @ COST-GRAD MERCH")</f>
        <v xml:space="preserve">          5092 - PURCHASES @ COST-GRAD MERCH</v>
      </c>
      <c r="C21" s="11"/>
      <c r="D21" s="2">
        <v>122.72</v>
      </c>
      <c r="E21" s="2"/>
      <c r="F21" s="19">
        <f t="shared" si="6"/>
        <v>11.217550274223035</v>
      </c>
      <c r="G21" s="2"/>
      <c r="H21" s="2"/>
      <c r="I21" s="2"/>
      <c r="J21" s="19">
        <f t="shared" si="7"/>
        <v>0</v>
      </c>
      <c r="K21" s="2"/>
      <c r="L21" s="2">
        <f t="shared" si="8"/>
        <v>122.72</v>
      </c>
      <c r="M21" s="2"/>
      <c r="N21" s="19">
        <f t="shared" si="9"/>
        <v>0</v>
      </c>
      <c r="O21" s="11"/>
      <c r="P21" s="2">
        <v>2107.21</v>
      </c>
      <c r="Q21" s="2"/>
      <c r="R21" s="19">
        <f t="shared" si="10"/>
        <v>0.27873774939383561</v>
      </c>
      <c r="S21" s="2"/>
      <c r="T21" s="2"/>
      <c r="U21" s="2"/>
      <c r="V21" s="19">
        <f t="shared" si="11"/>
        <v>0</v>
      </c>
      <c r="W21" s="2"/>
      <c r="X21" s="2">
        <f t="shared" si="12"/>
        <v>2107.21</v>
      </c>
      <c r="Y21" s="2"/>
      <c r="Z21" s="19">
        <f t="shared" si="13"/>
        <v>0</v>
      </c>
    </row>
    <row r="22" spans="1:26" s="24" customFormat="1" hidden="1" outlineLevel="1" x14ac:dyDescent="0.25">
      <c r="A22" s="44"/>
      <c r="B22" s="11" t="str">
        <f>CONCATENATE("          ", "5095", " - ", "PURCHASES @ COST-CUSTOMER SERV")</f>
        <v xml:space="preserve">          5095 - PURCHASES @ COST-CUSTOMER SERV</v>
      </c>
      <c r="C22" s="11"/>
      <c r="D22" s="2"/>
      <c r="E22" s="2"/>
      <c r="F22" s="19">
        <f t="shared" si="6"/>
        <v>0</v>
      </c>
      <c r="G22" s="2"/>
      <c r="H22" s="2"/>
      <c r="I22" s="2"/>
      <c r="J22" s="19">
        <f t="shared" si="7"/>
        <v>0</v>
      </c>
      <c r="K22" s="2"/>
      <c r="L22" s="2">
        <f t="shared" si="8"/>
        <v>0</v>
      </c>
      <c r="M22" s="2"/>
      <c r="N22" s="19">
        <f t="shared" si="9"/>
        <v>0</v>
      </c>
      <c r="O22" s="11"/>
      <c r="P22" s="2">
        <v>11.85</v>
      </c>
      <c r="Q22" s="2"/>
      <c r="R22" s="19">
        <f t="shared" si="10"/>
        <v>1.5674955653764702E-3</v>
      </c>
      <c r="S22" s="2"/>
      <c r="T22" s="2"/>
      <c r="U22" s="2"/>
      <c r="V22" s="19">
        <f t="shared" si="11"/>
        <v>0</v>
      </c>
      <c r="W22" s="2"/>
      <c r="X22" s="2">
        <f t="shared" si="12"/>
        <v>11.85</v>
      </c>
      <c r="Y22" s="2"/>
      <c r="Z22" s="19">
        <f t="shared" si="13"/>
        <v>0</v>
      </c>
    </row>
    <row r="23" spans="1:26" s="24" customFormat="1" hidden="1" outlineLevel="1" x14ac:dyDescent="0.25">
      <c r="A23" s="44"/>
      <c r="B23" s="11" t="str">
        <f>CONCATENATE("          ", "5200", " - ", "PURCHASES OFFSET")</f>
        <v xml:space="preserve">          5200 - PURCHASES OFFSET</v>
      </c>
      <c r="C23" s="11"/>
      <c r="D23" s="2">
        <v>-123</v>
      </c>
      <c r="E23" s="2"/>
      <c r="F23" s="19">
        <f t="shared" si="6"/>
        <v>-11.243144424131627</v>
      </c>
      <c r="G23" s="2"/>
      <c r="H23" s="2"/>
      <c r="I23" s="2"/>
      <c r="J23" s="19">
        <f t="shared" si="7"/>
        <v>0</v>
      </c>
      <c r="K23" s="2"/>
      <c r="L23" s="2">
        <f t="shared" si="8"/>
        <v>-123</v>
      </c>
      <c r="M23" s="2"/>
      <c r="N23" s="19">
        <f t="shared" si="9"/>
        <v>0</v>
      </c>
      <c r="O23" s="11"/>
      <c r="P23" s="2">
        <v>-2226</v>
      </c>
      <c r="Q23" s="2"/>
      <c r="R23" s="19">
        <f t="shared" si="10"/>
        <v>-0.29445106569856727</v>
      </c>
      <c r="S23" s="2"/>
      <c r="T23" s="2"/>
      <c r="U23" s="2"/>
      <c r="V23" s="19">
        <f t="shared" si="11"/>
        <v>0</v>
      </c>
      <c r="W23" s="2"/>
      <c r="X23" s="2">
        <f t="shared" si="12"/>
        <v>-2226</v>
      </c>
      <c r="Y23" s="2"/>
      <c r="Z23" s="19">
        <f t="shared" si="13"/>
        <v>0</v>
      </c>
    </row>
    <row r="24" spans="1:26" s="24" customFormat="1" hidden="1" outlineLevel="1" x14ac:dyDescent="0.25">
      <c r="A24" s="44"/>
      <c r="B24" s="11" t="str">
        <f>CONCATENATE("          ", "5300", " - ", "COG$ OFFSET")</f>
        <v xml:space="preserve">          5300 - COG$ OFFSET</v>
      </c>
      <c r="C24" s="11"/>
      <c r="D24" s="2">
        <v>1</v>
      </c>
      <c r="E24" s="2"/>
      <c r="F24" s="19">
        <f t="shared" si="6"/>
        <v>9.1407678244972576E-2</v>
      </c>
      <c r="G24" s="2"/>
      <c r="H24" s="2"/>
      <c r="I24" s="2"/>
      <c r="J24" s="19">
        <f t="shared" si="7"/>
        <v>0</v>
      </c>
      <c r="K24" s="2"/>
      <c r="L24" s="2">
        <f t="shared" si="8"/>
        <v>1</v>
      </c>
      <c r="M24" s="2"/>
      <c r="N24" s="19">
        <f t="shared" si="9"/>
        <v>0</v>
      </c>
      <c r="O24" s="11"/>
      <c r="P24" s="2">
        <v>3805</v>
      </c>
      <c r="Q24" s="2"/>
      <c r="R24" s="19">
        <f t="shared" si="10"/>
        <v>0.50331819630864716</v>
      </c>
      <c r="S24" s="2"/>
      <c r="T24" s="2"/>
      <c r="U24" s="2"/>
      <c r="V24" s="19">
        <f t="shared" si="11"/>
        <v>0</v>
      </c>
      <c r="W24" s="2"/>
      <c r="X24" s="2">
        <f t="shared" si="12"/>
        <v>3805</v>
      </c>
      <c r="Y24" s="2"/>
      <c r="Z24" s="19">
        <f t="shared" si="13"/>
        <v>0</v>
      </c>
    </row>
    <row r="25" spans="1:26" s="24" customFormat="1" hidden="1" outlineLevel="1" x14ac:dyDescent="0.25">
      <c r="A25" s="44"/>
      <c r="B25" s="11" t="str">
        <f>CONCATENATE("          ", "5592", " - ", "FREIGHT-IN-GRAD MERCH")</f>
        <v xml:space="preserve">          5592 - FREIGHT-IN-GRAD MERCH</v>
      </c>
      <c r="C25" s="11"/>
      <c r="D25" s="2"/>
      <c r="E25" s="2"/>
      <c r="F25" s="19">
        <f t="shared" si="6"/>
        <v>0</v>
      </c>
      <c r="G25" s="2"/>
      <c r="H25" s="2"/>
      <c r="I25" s="2"/>
      <c r="J25" s="19">
        <f t="shared" si="7"/>
        <v>0</v>
      </c>
      <c r="K25" s="2"/>
      <c r="L25" s="2">
        <f t="shared" si="8"/>
        <v>0</v>
      </c>
      <c r="M25" s="2"/>
      <c r="N25" s="19">
        <f t="shared" si="9"/>
        <v>0</v>
      </c>
      <c r="O25" s="11"/>
      <c r="P25" s="2">
        <v>105.78</v>
      </c>
      <c r="Q25" s="2"/>
      <c r="R25" s="19">
        <f t="shared" si="10"/>
        <v>1.3992378135487173E-2</v>
      </c>
      <c r="S25" s="2"/>
      <c r="T25" s="2"/>
      <c r="U25" s="2"/>
      <c r="V25" s="19">
        <f t="shared" si="11"/>
        <v>0</v>
      </c>
      <c r="W25" s="2"/>
      <c r="X25" s="2">
        <f t="shared" si="12"/>
        <v>105.78</v>
      </c>
      <c r="Y25" s="2"/>
      <c r="Z25" s="19">
        <f t="shared" si="13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6</v>
      </c>
      <c r="C27" s="29"/>
      <c r="D27" s="21">
        <f>D12-D19</f>
        <v>10.220000000000001</v>
      </c>
      <c r="E27" s="14"/>
      <c r="F27" s="20">
        <f>IF(D$12=0,0,D27/D$12)</f>
        <v>0.9341864716636199</v>
      </c>
      <c r="G27" s="14"/>
      <c r="H27" s="21">
        <f>H12-H19</f>
        <v>0</v>
      </c>
      <c r="I27" s="14"/>
      <c r="J27" s="20">
        <f>IF(H$12=0,0,H27/H$12)</f>
        <v>0</v>
      </c>
      <c r="K27" s="16"/>
      <c r="L27" s="21">
        <f>+D27-H27</f>
        <v>10.220000000000001</v>
      </c>
      <c r="M27" s="16"/>
      <c r="N27" s="20">
        <f>IF(H27=0,0,L27/H27)</f>
        <v>0</v>
      </c>
      <c r="O27" s="28"/>
      <c r="P27" s="21">
        <f>P12-P19</f>
        <v>3755.99</v>
      </c>
      <c r="Q27" s="14"/>
      <c r="R27" s="20">
        <f>IF(P$12=0,0,P27/P$12)</f>
        <v>0.49683524629522091</v>
      </c>
      <c r="S27" s="14"/>
      <c r="T27" s="21">
        <f>T12-T19</f>
        <v>6888.5</v>
      </c>
      <c r="U27" s="14"/>
      <c r="V27" s="20">
        <f>IF(T$12=0,0,T27/T$12)</f>
        <v>0.59899999999999998</v>
      </c>
      <c r="W27" s="16"/>
      <c r="X27" s="21">
        <f>+P27-T27</f>
        <v>-3132.51</v>
      </c>
      <c r="Y27" s="16"/>
      <c r="Z27" s="20">
        <f>IF(T27=0,0,X27/T27)</f>
        <v>-0.4547448646294549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8" t="s">
        <v>9</v>
      </c>
      <c r="C29" s="10"/>
      <c r="D29" s="22">
        <f>SUM(OSRRefD22x_0)</f>
        <v>-13664.85</v>
      </c>
      <c r="E29" s="22"/>
      <c r="F29" s="35">
        <f t="shared" ref="F29:F38" si="14">IF(D$12=0,0,D29/D$12)</f>
        <v>-1249.0722120658136</v>
      </c>
      <c r="G29" s="22"/>
      <c r="H29" s="22">
        <f>SUM(OSRRefH22x_0)</f>
        <v>-20270.565279855768</v>
      </c>
      <c r="I29" s="22"/>
      <c r="J29" s="35">
        <f t="shared" ref="J29:J38" si="15">IF(H$12=0,0,H29/H$12)</f>
        <v>0</v>
      </c>
      <c r="K29" s="4"/>
      <c r="L29" s="22">
        <f t="shared" ref="L29:L38" si="16">+D29-H29</f>
        <v>6605.7152798557672</v>
      </c>
      <c r="M29" s="4"/>
      <c r="N29" s="35">
        <f t="shared" ref="N29:N38" si="17">IF(H29=0,0,L29/H29)</f>
        <v>-0.32587721105243739</v>
      </c>
      <c r="O29" s="10"/>
      <c r="P29" s="22">
        <f>SUM(OSRRefP22x_0)</f>
        <v>-11148.689999999997</v>
      </c>
      <c r="Q29" s="22"/>
      <c r="R29" s="35">
        <f t="shared" ref="R29:R38" si="18">IF(P$12=0,0,P29/P$12)</f>
        <v>-1.474727606308607</v>
      </c>
      <c r="S29" s="22"/>
      <c r="T29" s="22">
        <f>SUM(OSRRefT22x_0)</f>
        <v>-36600.622431105745</v>
      </c>
      <c r="U29" s="22"/>
      <c r="V29" s="35">
        <f t="shared" ref="V29:V38" si="19">IF(T$12=0,0,T29/T$12)</f>
        <v>-3.1826628200961515</v>
      </c>
      <c r="W29" s="4"/>
      <c r="X29" s="22">
        <f t="shared" ref="X29:X38" si="20">+P29-T29</f>
        <v>25451.93243110575</v>
      </c>
      <c r="Y29" s="4"/>
      <c r="Z29" s="35">
        <f t="shared" ref="Z29:Z38" si="21">IF(T29=0,0,X29/T29)</f>
        <v>-0.69539616379515268</v>
      </c>
    </row>
    <row r="30" spans="1:26" s="27" customFormat="1" outlineLevel="1" collapsed="1" x14ac:dyDescent="0.25">
      <c r="A30" s="26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0</v>
      </c>
      <c r="E30" s="1"/>
      <c r="F30" s="5">
        <f t="shared" si="14"/>
        <v>0</v>
      </c>
      <c r="G30" s="1"/>
      <c r="H30" s="1">
        <f>SUM(OSRRefH22_0x_0)</f>
        <v>1333.5099124519227</v>
      </c>
      <c r="I30" s="1"/>
      <c r="J30" s="5">
        <f t="shared" si="15"/>
        <v>0</v>
      </c>
      <c r="K30" s="1"/>
      <c r="L30" s="1">
        <f t="shared" si="16"/>
        <v>-1333.5099124519227</v>
      </c>
      <c r="M30" s="1"/>
      <c r="N30" s="5">
        <f t="shared" si="17"/>
        <v>-1</v>
      </c>
      <c r="O30" s="13"/>
      <c r="P30" s="1">
        <f>SUM(OSRRefP22_0x_0)</f>
        <v>821.29</v>
      </c>
      <c r="Q30" s="1"/>
      <c r="R30" s="5">
        <f t="shared" si="18"/>
        <v>0.10863868631966592</v>
      </c>
      <c r="S30" s="1"/>
      <c r="T30" s="1">
        <f>SUM(OSRRefT22_0x_0)</f>
        <v>8663.9077612019246</v>
      </c>
      <c r="U30" s="1"/>
      <c r="V30" s="5">
        <f t="shared" si="19"/>
        <v>0.75338328358277606</v>
      </c>
      <c r="W30" s="1"/>
      <c r="X30" s="1">
        <f t="shared" si="20"/>
        <v>-7842.6177612019246</v>
      </c>
      <c r="Y30" s="1"/>
      <c r="Z30" s="5">
        <f t="shared" si="21"/>
        <v>-0.9052055928298498</v>
      </c>
    </row>
    <row r="31" spans="1:26" s="24" customFormat="1" hidden="1" outlineLevel="2" x14ac:dyDescent="0.25">
      <c r="A31" s="25"/>
      <c r="B31" s="11" t="str">
        <f>CONCATENATE("          ", "6111", " - ", "F.I.C.A.")</f>
        <v xml:space="preserve">          6111 - F.I.C.A.</v>
      </c>
      <c r="C31" s="11"/>
      <c r="D31" s="7"/>
      <c r="E31" s="2"/>
      <c r="F31" s="6">
        <f t="shared" si="14"/>
        <v>0</v>
      </c>
      <c r="G31" s="2"/>
      <c r="H31" s="7">
        <v>195.14524514423098</v>
      </c>
      <c r="I31" s="2"/>
      <c r="J31" s="6">
        <f t="shared" si="15"/>
        <v>0</v>
      </c>
      <c r="K31" s="2"/>
      <c r="L31" s="7">
        <f t="shared" si="16"/>
        <v>-195.14524514423098</v>
      </c>
      <c r="M31" s="2"/>
      <c r="N31" s="6">
        <f t="shared" si="17"/>
        <v>-1</v>
      </c>
      <c r="O31" s="11"/>
      <c r="P31" s="7">
        <v>155.66</v>
      </c>
      <c r="Q31" s="2"/>
      <c r="R31" s="6">
        <f t="shared" si="18"/>
        <v>2.059041010181446E-2</v>
      </c>
      <c r="S31" s="2"/>
      <c r="T31" s="7">
        <v>1171.6967438942331</v>
      </c>
      <c r="U31" s="2"/>
      <c r="V31" s="6">
        <f t="shared" si="19"/>
        <v>0.10188667338210723</v>
      </c>
      <c r="W31" s="2"/>
      <c r="X31" s="7">
        <f t="shared" si="20"/>
        <v>-1016.0367438942332</v>
      </c>
      <c r="Y31" s="2"/>
      <c r="Z31" s="6">
        <f t="shared" si="21"/>
        <v>-0.86714992525911538</v>
      </c>
    </row>
    <row r="32" spans="1:26" s="24" customFormat="1" hidden="1" outlineLevel="2" x14ac:dyDescent="0.25">
      <c r="A32" s="25"/>
      <c r="B32" s="11" t="str">
        <f>CONCATENATE("          ", "6112", " - ", "COMPENSATION INSURANCE")</f>
        <v xml:space="preserve">          6112 - COMPENSATION INSURANCE</v>
      </c>
      <c r="C32" s="11"/>
      <c r="D32" s="7"/>
      <c r="E32" s="2"/>
      <c r="F32" s="6">
        <f t="shared" si="14"/>
        <v>0</v>
      </c>
      <c r="G32" s="2"/>
      <c r="H32" s="7">
        <v>48.448447115384603</v>
      </c>
      <c r="I32" s="2"/>
      <c r="J32" s="6">
        <f t="shared" si="15"/>
        <v>0</v>
      </c>
      <c r="K32" s="2"/>
      <c r="L32" s="7">
        <f t="shared" si="16"/>
        <v>-48.448447115384603</v>
      </c>
      <c r="M32" s="2"/>
      <c r="N32" s="6">
        <f t="shared" si="17"/>
        <v>-1</v>
      </c>
      <c r="O32" s="11"/>
      <c r="P32" s="7">
        <v>22.05</v>
      </c>
      <c r="Q32" s="2"/>
      <c r="R32" s="6">
        <f t="shared" si="18"/>
        <v>2.91673225456128E-3</v>
      </c>
      <c r="S32" s="2"/>
      <c r="T32" s="7">
        <v>290.8955721153846</v>
      </c>
      <c r="U32" s="2"/>
      <c r="V32" s="6">
        <f t="shared" si="19"/>
        <v>2.5295267140468227E-2</v>
      </c>
      <c r="W32" s="2"/>
      <c r="X32" s="7">
        <f t="shared" si="20"/>
        <v>-268.84557211538458</v>
      </c>
      <c r="Y32" s="2"/>
      <c r="Z32" s="6">
        <f t="shared" si="21"/>
        <v>-0.92419960249084232</v>
      </c>
    </row>
    <row r="33" spans="1:26" s="24" customFormat="1" hidden="1" outlineLevel="2" x14ac:dyDescent="0.25">
      <c r="A33" s="25"/>
      <c r="B33" s="11" t="str">
        <f>CONCATENATE("          ", "6113", " - ", "GROUP INSURANCE")</f>
        <v xml:space="preserve">          6113 - GROUP INSURANCE</v>
      </c>
      <c r="C33" s="11"/>
      <c r="D33" s="7"/>
      <c r="E33" s="2"/>
      <c r="F33" s="6">
        <f t="shared" si="14"/>
        <v>0</v>
      </c>
      <c r="G33" s="2"/>
      <c r="H33" s="7">
        <v>660</v>
      </c>
      <c r="I33" s="2"/>
      <c r="J33" s="6">
        <f t="shared" si="15"/>
        <v>0</v>
      </c>
      <c r="K33" s="2"/>
      <c r="L33" s="7">
        <f t="shared" si="16"/>
        <v>-660</v>
      </c>
      <c r="M33" s="2"/>
      <c r="N33" s="6">
        <f t="shared" si="17"/>
        <v>-1</v>
      </c>
      <c r="O33" s="11"/>
      <c r="P33" s="7">
        <v>305.26</v>
      </c>
      <c r="Q33" s="2"/>
      <c r="R33" s="6">
        <f t="shared" si="18"/>
        <v>4.0379214876525002E-2</v>
      </c>
      <c r="S33" s="2"/>
      <c r="T33" s="7">
        <v>4620</v>
      </c>
      <c r="U33" s="2"/>
      <c r="V33" s="6">
        <f t="shared" si="19"/>
        <v>0.4017391304347826</v>
      </c>
      <c r="W33" s="2"/>
      <c r="X33" s="7">
        <f t="shared" si="20"/>
        <v>-4314.74</v>
      </c>
      <c r="Y33" s="2"/>
      <c r="Z33" s="6">
        <f t="shared" si="21"/>
        <v>-0.93392640692640683</v>
      </c>
    </row>
    <row r="34" spans="1:26" s="24" customFormat="1" hidden="1" outlineLevel="2" x14ac:dyDescent="0.25">
      <c r="A34" s="25"/>
      <c r="B34" s="11" t="str">
        <f>CONCATENATE("          ", "6114", " - ", "STATE UNEMPLOYMENT INSURANCE")</f>
        <v xml:space="preserve">          6114 - STATE UNEMPLOYMENT INSURANCE</v>
      </c>
      <c r="C34" s="11"/>
      <c r="D34" s="7"/>
      <c r="E34" s="2"/>
      <c r="F34" s="6">
        <f t="shared" si="14"/>
        <v>0</v>
      </c>
      <c r="G34" s="2"/>
      <c r="H34" s="7">
        <v>6.6297874999999999</v>
      </c>
      <c r="I34" s="2"/>
      <c r="J34" s="6">
        <f t="shared" si="15"/>
        <v>0</v>
      </c>
      <c r="K34" s="2"/>
      <c r="L34" s="7">
        <f t="shared" si="16"/>
        <v>-6.6297874999999999</v>
      </c>
      <c r="M34" s="2"/>
      <c r="N34" s="6">
        <f t="shared" si="17"/>
        <v>-1</v>
      </c>
      <c r="O34" s="11"/>
      <c r="P34" s="7">
        <v>5</v>
      </c>
      <c r="Q34" s="2"/>
      <c r="R34" s="6">
        <f t="shared" si="18"/>
        <v>6.6139053391412242E-4</v>
      </c>
      <c r="S34" s="2"/>
      <c r="T34" s="7">
        <v>39.806762499999998</v>
      </c>
      <c r="U34" s="2"/>
      <c r="V34" s="6">
        <f t="shared" si="19"/>
        <v>3.4614576086956519E-3</v>
      </c>
      <c r="W34" s="2"/>
      <c r="X34" s="7">
        <f t="shared" si="20"/>
        <v>-34.806762499999998</v>
      </c>
      <c r="Y34" s="2"/>
      <c r="Z34" s="6">
        <f t="shared" si="21"/>
        <v>-0.8743932014064193</v>
      </c>
    </row>
    <row r="35" spans="1:26" s="24" customFormat="1" hidden="1" outlineLevel="2" x14ac:dyDescent="0.25">
      <c r="A35" s="25"/>
      <c r="B35" s="11" t="str">
        <f>CONCATENATE("          ", "6115", " - ", "P.E.R.S.")</f>
        <v xml:space="preserve">          6115 - P.E.R.S.</v>
      </c>
      <c r="C35" s="11"/>
      <c r="D35" s="7"/>
      <c r="E35" s="2"/>
      <c r="F35" s="6">
        <f t="shared" si="14"/>
        <v>0</v>
      </c>
      <c r="G35" s="2"/>
      <c r="H35" s="7">
        <v>219.292971153846</v>
      </c>
      <c r="I35" s="2"/>
      <c r="J35" s="6">
        <f t="shared" si="15"/>
        <v>0</v>
      </c>
      <c r="K35" s="2"/>
      <c r="L35" s="7">
        <f t="shared" si="16"/>
        <v>-219.292971153846</v>
      </c>
      <c r="M35" s="2"/>
      <c r="N35" s="6">
        <f t="shared" si="17"/>
        <v>-1</v>
      </c>
      <c r="O35" s="11"/>
      <c r="P35" s="7">
        <v>134.12</v>
      </c>
      <c r="Q35" s="2"/>
      <c r="R35" s="6">
        <f t="shared" si="18"/>
        <v>1.7741139681712419E-2</v>
      </c>
      <c r="S35" s="2"/>
      <c r="T35" s="7">
        <v>1316.685221153846</v>
      </c>
      <c r="U35" s="2"/>
      <c r="V35" s="6">
        <f t="shared" si="19"/>
        <v>0.11449436705685617</v>
      </c>
      <c r="W35" s="2"/>
      <c r="X35" s="7">
        <f t="shared" si="20"/>
        <v>-1182.5652211538459</v>
      </c>
      <c r="Y35" s="2"/>
      <c r="Z35" s="6">
        <f t="shared" si="21"/>
        <v>-0.89813814429961691</v>
      </c>
    </row>
    <row r="36" spans="1:26" s="24" customFormat="1" hidden="1" outlineLevel="2" x14ac:dyDescent="0.25">
      <c r="A36" s="25"/>
      <c r="B36" s="11" t="str">
        <f>CONCATENATE("          ", "6116", " - ", "EDUCATIONAL BENEFITS")</f>
        <v xml:space="preserve">          6116 - EDUCATIONAL BENEFITS</v>
      </c>
      <c r="C36" s="11"/>
      <c r="D36" s="7"/>
      <c r="E36" s="2"/>
      <c r="F36" s="6">
        <f t="shared" si="14"/>
        <v>0</v>
      </c>
      <c r="G36" s="2"/>
      <c r="H36" s="7">
        <v>0</v>
      </c>
      <c r="I36" s="2"/>
      <c r="J36" s="6">
        <f t="shared" si="15"/>
        <v>0</v>
      </c>
      <c r="K36" s="2"/>
      <c r="L36" s="7">
        <f t="shared" si="16"/>
        <v>0</v>
      </c>
      <c r="M36" s="2"/>
      <c r="N36" s="6">
        <f t="shared" si="17"/>
        <v>0</v>
      </c>
      <c r="O36" s="11"/>
      <c r="P36" s="7"/>
      <c r="Q36" s="2"/>
      <c r="R36" s="6">
        <f t="shared" si="18"/>
        <v>0</v>
      </c>
      <c r="S36" s="2"/>
      <c r="T36" s="7">
        <v>0</v>
      </c>
      <c r="U36" s="2"/>
      <c r="V36" s="6">
        <f t="shared" si="19"/>
        <v>0</v>
      </c>
      <c r="W36" s="2"/>
      <c r="X36" s="7">
        <f t="shared" si="20"/>
        <v>0</v>
      </c>
      <c r="Y36" s="2"/>
      <c r="Z36" s="6">
        <f t="shared" si="21"/>
        <v>0</v>
      </c>
    </row>
    <row r="37" spans="1:26" s="24" customFormat="1" hidden="1" outlineLevel="2" x14ac:dyDescent="0.25">
      <c r="A37" s="25"/>
      <c r="B37" s="11" t="str">
        <f>CONCATENATE("          ", "6118", " - ", "VACATION")</f>
        <v xml:space="preserve">          6118 - VACATION</v>
      </c>
      <c r="C37" s="11"/>
      <c r="D37" s="7"/>
      <c r="E37" s="2"/>
      <c r="F37" s="6">
        <f t="shared" si="14"/>
        <v>0</v>
      </c>
      <c r="G37" s="2"/>
      <c r="H37" s="7">
        <v>127.495913461538</v>
      </c>
      <c r="I37" s="2"/>
      <c r="J37" s="6">
        <f t="shared" si="15"/>
        <v>0</v>
      </c>
      <c r="K37" s="2"/>
      <c r="L37" s="7">
        <f t="shared" si="16"/>
        <v>-127.495913461538</v>
      </c>
      <c r="M37" s="2"/>
      <c r="N37" s="6">
        <f t="shared" si="17"/>
        <v>-1</v>
      </c>
      <c r="O37" s="11"/>
      <c r="P37" s="7">
        <v>110.64</v>
      </c>
      <c r="Q37" s="2"/>
      <c r="R37" s="6">
        <f t="shared" si="18"/>
        <v>1.46352497344517E-2</v>
      </c>
      <c r="S37" s="2"/>
      <c r="T37" s="7">
        <v>765.51466346153722</v>
      </c>
      <c r="U37" s="2"/>
      <c r="V37" s="6">
        <f t="shared" si="19"/>
        <v>6.6566492474916278E-2</v>
      </c>
      <c r="W37" s="2"/>
      <c r="X37" s="7">
        <f t="shared" si="20"/>
        <v>-654.87466346153724</v>
      </c>
      <c r="Y37" s="2"/>
      <c r="Z37" s="6">
        <f t="shared" si="21"/>
        <v>-0.85546978355750458</v>
      </c>
    </row>
    <row r="38" spans="1:26" s="24" customFormat="1" hidden="1" outlineLevel="2" x14ac:dyDescent="0.25">
      <c r="A38" s="25"/>
      <c r="B38" s="11" t="str">
        <f>CONCATENATE("          ", "6119", " - ", "SICK LEAVE")</f>
        <v xml:space="preserve">          6119 - SICK LEAVE</v>
      </c>
      <c r="C38" s="11"/>
      <c r="D38" s="7"/>
      <c r="E38" s="2"/>
      <c r="F38" s="6">
        <f t="shared" si="14"/>
        <v>0</v>
      </c>
      <c r="G38" s="2"/>
      <c r="H38" s="7">
        <v>76.497548076923096</v>
      </c>
      <c r="I38" s="2"/>
      <c r="J38" s="6">
        <f t="shared" si="15"/>
        <v>0</v>
      </c>
      <c r="K38" s="2"/>
      <c r="L38" s="7">
        <f t="shared" si="16"/>
        <v>-76.497548076923096</v>
      </c>
      <c r="M38" s="2"/>
      <c r="N38" s="6">
        <f t="shared" si="17"/>
        <v>-1</v>
      </c>
      <c r="O38" s="11"/>
      <c r="P38" s="7">
        <v>88.56</v>
      </c>
      <c r="Q38" s="2"/>
      <c r="R38" s="6">
        <f t="shared" si="18"/>
        <v>1.1714549136686937E-2</v>
      </c>
      <c r="S38" s="2"/>
      <c r="T38" s="7">
        <v>459.30879807692327</v>
      </c>
      <c r="U38" s="2"/>
      <c r="V38" s="6">
        <f t="shared" si="19"/>
        <v>3.9939895484949847E-2</v>
      </c>
      <c r="W38" s="2"/>
      <c r="X38" s="7">
        <f t="shared" si="20"/>
        <v>-370.74879807692326</v>
      </c>
      <c r="Y38" s="2"/>
      <c r="Z38" s="6">
        <f t="shared" si="21"/>
        <v>-0.80718853988690997</v>
      </c>
    </row>
    <row r="39" spans="1:26" s="27" customFormat="1" outlineLevel="1" collapsed="1" x14ac:dyDescent="0.25">
      <c r="A39" s="26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0</v>
      </c>
      <c r="E39" s="1"/>
      <c r="F39" s="5">
        <f t="shared" ref="F39:F49" si="22">IF(D$12=0,0,D39/D$12)</f>
        <v>0</v>
      </c>
      <c r="G39" s="1"/>
      <c r="H39" s="1">
        <f>SUM(OSRRefH22_1x_0)</f>
        <v>2345.92480769231</v>
      </c>
      <c r="I39" s="1"/>
      <c r="J39" s="5">
        <f t="shared" ref="J39:J49" si="23">IF(H$12=0,0,H39/H$12)</f>
        <v>0</v>
      </c>
      <c r="K39" s="1"/>
      <c r="L39" s="1">
        <f t="shared" ref="L39:L49" si="24">+D39-H39</f>
        <v>-2345.92480769231</v>
      </c>
      <c r="M39" s="1"/>
      <c r="N39" s="5">
        <f t="shared" ref="N39:N49" si="25">IF(H39=0,0,L39/H39)</f>
        <v>-1</v>
      </c>
      <c r="O39" s="13"/>
      <c r="P39" s="1">
        <f>SUM(OSRRefP22_1x_0)</f>
        <v>1986.7399999999998</v>
      </c>
      <c r="Q39" s="1"/>
      <c r="R39" s="5">
        <f t="shared" ref="R39:R49" si="26">IF(P$12=0,0,P39/P$12)</f>
        <v>0.2628022058697087</v>
      </c>
      <c r="S39" s="1"/>
      <c r="T39" s="1">
        <f>SUM(OSRRefT22_1x_0)</f>
        <v>14085.469807692331</v>
      </c>
      <c r="U39" s="1"/>
      <c r="V39" s="5">
        <f t="shared" ref="V39:V49" si="27">IF(T$12=0,0,T39/T$12)</f>
        <v>1.2248234615384634</v>
      </c>
      <c r="W39" s="1"/>
      <c r="X39" s="1">
        <f t="shared" ref="X39:X49" si="28">+P39-T39</f>
        <v>-12098.729807692331</v>
      </c>
      <c r="Y39" s="1"/>
      <c r="Z39" s="5">
        <f t="shared" ref="Z39:Z49" si="29">IF(T39=0,0,X39/T39)</f>
        <v>-0.85895110158732479</v>
      </c>
    </row>
    <row r="40" spans="1:26" s="24" customFormat="1" hidden="1" outlineLevel="2" x14ac:dyDescent="0.25">
      <c r="A40" s="25"/>
      <c r="B40" s="11" t="str">
        <f>CONCATENATE("          ", "6001", " - ", "ADMINISTRATIVE SALARIES")</f>
        <v xml:space="preserve">          6001 - ADMINISTRATIVE SALARIES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5"/>
      <c r="B41" s="11" t="str">
        <f>CONCATENATE("          ", "6002", " - ", "STAFF SALARIES")</f>
        <v xml:space="preserve">          6002 - STAFF SALARIES</v>
      </c>
      <c r="C41" s="11"/>
      <c r="D41" s="7"/>
      <c r="E41" s="2"/>
      <c r="F41" s="6">
        <f t="shared" si="22"/>
        <v>0</v>
      </c>
      <c r="G41" s="2"/>
      <c r="H41" s="7">
        <v>2345.92480769231</v>
      </c>
      <c r="I41" s="2"/>
      <c r="J41" s="6">
        <f t="shared" si="23"/>
        <v>0</v>
      </c>
      <c r="K41" s="2"/>
      <c r="L41" s="7">
        <f t="shared" si="24"/>
        <v>-2345.92480769231</v>
      </c>
      <c r="M41" s="2"/>
      <c r="N41" s="6">
        <f t="shared" si="25"/>
        <v>-1</v>
      </c>
      <c r="O41" s="11"/>
      <c r="P41" s="7">
        <v>1872</v>
      </c>
      <c r="Q41" s="2"/>
      <c r="R41" s="6">
        <f t="shared" si="26"/>
        <v>0.24762461589744744</v>
      </c>
      <c r="S41" s="2"/>
      <c r="T41" s="7">
        <v>14085.469807692331</v>
      </c>
      <c r="U41" s="2"/>
      <c r="V41" s="6">
        <f t="shared" si="27"/>
        <v>1.2248234615384634</v>
      </c>
      <c r="W41" s="2"/>
      <c r="X41" s="7">
        <f t="shared" si="28"/>
        <v>-12213.469807692331</v>
      </c>
      <c r="Y41" s="2"/>
      <c r="Z41" s="6">
        <f t="shared" si="29"/>
        <v>-0.86709708475767933</v>
      </c>
    </row>
    <row r="42" spans="1:26" s="24" customFormat="1" hidden="1" outlineLevel="2" x14ac:dyDescent="0.25">
      <c r="A42" s="25"/>
      <c r="B42" s="11" t="str">
        <f>CONCATENATE("          ", "6003", " - ", "STAFF HOURLY-9 MONTH")</f>
        <v xml:space="preserve">          6003 - STAFF HOURLY-9 MONTH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25">
      <c r="A43" s="25"/>
      <c r="B43" s="11" t="str">
        <f>CONCATENATE("          ", "6004", " - ", "STAFF HOURLY")</f>
        <v xml:space="preserve">          6004 - STAFF HOURLY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7"/>
      <c r="E44" s="2"/>
      <c r="F44" s="6">
        <f t="shared" si="22"/>
        <v>0</v>
      </c>
      <c r="G44" s="2"/>
      <c r="H44" s="7">
        <v>0</v>
      </c>
      <c r="I44" s="2"/>
      <c r="J44" s="6">
        <f t="shared" si="23"/>
        <v>0</v>
      </c>
      <c r="K44" s="2"/>
      <c r="L44" s="7">
        <f t="shared" si="24"/>
        <v>0</v>
      </c>
      <c r="M44" s="2"/>
      <c r="N44" s="6">
        <f t="shared" si="25"/>
        <v>0</v>
      </c>
      <c r="O44" s="11"/>
      <c r="P44" s="7"/>
      <c r="Q44" s="2"/>
      <c r="R44" s="6">
        <f t="shared" si="26"/>
        <v>0</v>
      </c>
      <c r="S44" s="2"/>
      <c r="T44" s="7">
        <v>0</v>
      </c>
      <c r="U44" s="2"/>
      <c r="V44" s="6">
        <f t="shared" si="27"/>
        <v>0</v>
      </c>
      <c r="W44" s="2"/>
      <c r="X44" s="7">
        <f t="shared" si="28"/>
        <v>0</v>
      </c>
      <c r="Y44" s="2"/>
      <c r="Z44" s="6">
        <f t="shared" si="29"/>
        <v>0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7"/>
      <c r="E45" s="2"/>
      <c r="F45" s="6">
        <f t="shared" si="22"/>
        <v>0</v>
      </c>
      <c r="G45" s="2"/>
      <c r="H45" s="7">
        <v>0</v>
      </c>
      <c r="I45" s="2"/>
      <c r="J45" s="6">
        <f t="shared" si="23"/>
        <v>0</v>
      </c>
      <c r="K45" s="2"/>
      <c r="L45" s="7">
        <f t="shared" si="24"/>
        <v>0</v>
      </c>
      <c r="M45" s="2"/>
      <c r="N45" s="6">
        <f t="shared" si="25"/>
        <v>0</v>
      </c>
      <c r="O45" s="11"/>
      <c r="P45" s="7">
        <v>57.37</v>
      </c>
      <c r="Q45" s="2"/>
      <c r="R45" s="6">
        <f t="shared" si="26"/>
        <v>7.5887949861306401E-3</v>
      </c>
      <c r="S45" s="2"/>
      <c r="T45" s="7">
        <v>0</v>
      </c>
      <c r="U45" s="2"/>
      <c r="V45" s="6">
        <f t="shared" si="27"/>
        <v>0</v>
      </c>
      <c r="W45" s="2"/>
      <c r="X45" s="7">
        <f t="shared" si="28"/>
        <v>57.37</v>
      </c>
      <c r="Y45" s="2"/>
      <c r="Z45" s="6">
        <f t="shared" si="29"/>
        <v>0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7"/>
      <c r="E46" s="2"/>
      <c r="F46" s="6">
        <f t="shared" si="22"/>
        <v>0</v>
      </c>
      <c r="G46" s="2"/>
      <c r="H46" s="7">
        <v>0</v>
      </c>
      <c r="I46" s="2"/>
      <c r="J46" s="6">
        <f t="shared" si="23"/>
        <v>0</v>
      </c>
      <c r="K46" s="2"/>
      <c r="L46" s="7">
        <f t="shared" si="24"/>
        <v>0</v>
      </c>
      <c r="M46" s="2"/>
      <c r="N46" s="6">
        <f t="shared" si="25"/>
        <v>0</v>
      </c>
      <c r="O46" s="11"/>
      <c r="P46" s="7">
        <v>57.37</v>
      </c>
      <c r="Q46" s="2"/>
      <c r="R46" s="6">
        <f t="shared" si="26"/>
        <v>7.5887949861306401E-3</v>
      </c>
      <c r="S46" s="2"/>
      <c r="T46" s="7">
        <v>0</v>
      </c>
      <c r="U46" s="2"/>
      <c r="V46" s="6">
        <f t="shared" si="27"/>
        <v>0</v>
      </c>
      <c r="W46" s="2"/>
      <c r="X46" s="7">
        <f t="shared" si="28"/>
        <v>57.37</v>
      </c>
      <c r="Y46" s="2"/>
      <c r="Z46" s="6">
        <f t="shared" si="29"/>
        <v>0</v>
      </c>
    </row>
    <row r="47" spans="1:26" s="24" customFormat="1" hidden="1" outlineLevel="2" x14ac:dyDescent="0.25">
      <c r="A47" s="25"/>
      <c r="B47" s="11" t="str">
        <f>CONCATENATE("          ", "6008", " - ", "STUDENT HOURLY-FICA EXEMPT")</f>
        <v xml:space="preserve">          6008 - STUDENT HOURLY-FICA EXEMPT</v>
      </c>
      <c r="C47" s="11"/>
      <c r="D47" s="7"/>
      <c r="E47" s="2"/>
      <c r="F47" s="6">
        <f t="shared" si="22"/>
        <v>0</v>
      </c>
      <c r="G47" s="2"/>
      <c r="H47" s="7">
        <v>0</v>
      </c>
      <c r="I47" s="2"/>
      <c r="J47" s="6">
        <f t="shared" si="23"/>
        <v>0</v>
      </c>
      <c r="K47" s="2"/>
      <c r="L47" s="7">
        <f t="shared" si="24"/>
        <v>0</v>
      </c>
      <c r="M47" s="2"/>
      <c r="N47" s="6">
        <f t="shared" si="25"/>
        <v>0</v>
      </c>
      <c r="O47" s="11"/>
      <c r="P47" s="7"/>
      <c r="Q47" s="2"/>
      <c r="R47" s="6">
        <f t="shared" si="26"/>
        <v>0</v>
      </c>
      <c r="S47" s="2"/>
      <c r="T47" s="7">
        <v>0</v>
      </c>
      <c r="U47" s="2"/>
      <c r="V47" s="6">
        <f t="shared" si="27"/>
        <v>0</v>
      </c>
      <c r="W47" s="2"/>
      <c r="X47" s="7">
        <f t="shared" si="28"/>
        <v>0</v>
      </c>
      <c r="Y47" s="2"/>
      <c r="Z47" s="6">
        <f t="shared" si="29"/>
        <v>0</v>
      </c>
    </row>
    <row r="48" spans="1:26" s="24" customFormat="1" hidden="1" outlineLevel="2" x14ac:dyDescent="0.25">
      <c r="A48" s="25"/>
      <c r="B48" s="11" t="str">
        <f>CONCATENATE("          ", "6009", " - ", "TEMPORARY-SEASONAL")</f>
        <v xml:space="preserve">          6009 - TEMPORARY-SEASONAL</v>
      </c>
      <c r="C48" s="11"/>
      <c r="D48" s="7"/>
      <c r="E48" s="2"/>
      <c r="F48" s="6">
        <f t="shared" si="22"/>
        <v>0</v>
      </c>
      <c r="G48" s="2"/>
      <c r="H48" s="7">
        <v>0</v>
      </c>
      <c r="I48" s="2"/>
      <c r="J48" s="6">
        <f t="shared" si="23"/>
        <v>0</v>
      </c>
      <c r="K48" s="2"/>
      <c r="L48" s="7">
        <f t="shared" si="24"/>
        <v>0</v>
      </c>
      <c r="M48" s="2"/>
      <c r="N48" s="6">
        <f t="shared" si="25"/>
        <v>0</v>
      </c>
      <c r="O48" s="11"/>
      <c r="P48" s="7"/>
      <c r="Q48" s="2"/>
      <c r="R48" s="6">
        <f t="shared" si="26"/>
        <v>0</v>
      </c>
      <c r="S48" s="2"/>
      <c r="T48" s="7">
        <v>0</v>
      </c>
      <c r="U48" s="2"/>
      <c r="V48" s="6">
        <f t="shared" si="27"/>
        <v>0</v>
      </c>
      <c r="W48" s="2"/>
      <c r="X48" s="7">
        <f t="shared" si="28"/>
        <v>0</v>
      </c>
      <c r="Y48" s="2"/>
      <c r="Z48" s="6">
        <f t="shared" si="29"/>
        <v>0</v>
      </c>
    </row>
    <row r="49" spans="1:26" s="24" customFormat="1" hidden="1" outlineLevel="2" x14ac:dyDescent="0.25">
      <c r="A49" s="25"/>
      <c r="B49" s="11" t="str">
        <f>CONCATENATE("          ", "6010", " - ", "GRATUITY")</f>
        <v xml:space="preserve">          6010 - GRATUITY</v>
      </c>
      <c r="C49" s="11"/>
      <c r="D49" s="7"/>
      <c r="E49" s="2"/>
      <c r="F49" s="6">
        <f t="shared" si="22"/>
        <v>0</v>
      </c>
      <c r="G49" s="2"/>
      <c r="H49" s="7">
        <v>0</v>
      </c>
      <c r="I49" s="2"/>
      <c r="J49" s="6">
        <f t="shared" si="23"/>
        <v>0</v>
      </c>
      <c r="K49" s="2"/>
      <c r="L49" s="7">
        <f t="shared" si="24"/>
        <v>0</v>
      </c>
      <c r="M49" s="2"/>
      <c r="N49" s="6">
        <f t="shared" si="25"/>
        <v>0</v>
      </c>
      <c r="O49" s="11"/>
      <c r="P49" s="7"/>
      <c r="Q49" s="2"/>
      <c r="R49" s="6">
        <f t="shared" si="26"/>
        <v>0</v>
      </c>
      <c r="S49" s="2"/>
      <c r="T49" s="7">
        <v>0</v>
      </c>
      <c r="U49" s="2"/>
      <c r="V49" s="6">
        <f t="shared" si="27"/>
        <v>0</v>
      </c>
      <c r="W49" s="2"/>
      <c r="X49" s="7">
        <f t="shared" si="28"/>
        <v>0</v>
      </c>
      <c r="Y49" s="2"/>
      <c r="Z49" s="6">
        <f t="shared" si="29"/>
        <v>0</v>
      </c>
    </row>
    <row r="50" spans="1:26" s="27" customFormat="1" outlineLevel="1" collapsed="1" x14ac:dyDescent="0.25">
      <c r="A50" s="26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0</v>
      </c>
      <c r="E50" s="1"/>
      <c r="F50" s="5">
        <f t="shared" ref="F50:F56" si="30">IF(D$12=0,0,D50/D$12)</f>
        <v>0</v>
      </c>
      <c r="G50" s="1"/>
      <c r="H50" s="1">
        <f>SUM(OSRRefH22_2x_0)</f>
        <v>0</v>
      </c>
      <c r="I50" s="1"/>
      <c r="J50" s="5">
        <f t="shared" ref="J50:J56" si="31">IF(H$12=0,0,H50/H$12)</f>
        <v>0</v>
      </c>
      <c r="K50" s="1"/>
      <c r="L50" s="1">
        <f t="shared" ref="L50:L56" si="32">+D50-H50</f>
        <v>0</v>
      </c>
      <c r="M50" s="1"/>
      <c r="N50" s="5">
        <f t="shared" ref="N50:N56" si="33">IF(H50=0,0,L50/H50)</f>
        <v>0</v>
      </c>
      <c r="O50" s="13"/>
      <c r="P50" s="1">
        <f>SUM(OSRRefP22_2x_0)</f>
        <v>-857.46</v>
      </c>
      <c r="Q50" s="1"/>
      <c r="R50" s="5">
        <f t="shared" ref="R50:R56" si="34">IF(P$12=0,0,P50/P$12)</f>
        <v>-0.11342318544200068</v>
      </c>
      <c r="S50" s="1"/>
      <c r="T50" s="1">
        <f>SUM(OSRRefT22_2x_0)</f>
        <v>1000</v>
      </c>
      <c r="U50" s="1"/>
      <c r="V50" s="5">
        <f t="shared" ref="V50:V56" si="35">IF(T$12=0,0,T50/T$12)</f>
        <v>8.6956521739130432E-2</v>
      </c>
      <c r="W50" s="1"/>
      <c r="X50" s="1">
        <f t="shared" ref="X50:X56" si="36">+P50-T50</f>
        <v>-1857.46</v>
      </c>
      <c r="Y50" s="1"/>
      <c r="Z50" s="5">
        <f t="shared" ref="Z50:Z56" si="37">IF(T50=0,0,X50/T50)</f>
        <v>-1.8574600000000001</v>
      </c>
    </row>
    <row r="51" spans="1:26" s="24" customFormat="1" hidden="1" outlineLevel="2" x14ac:dyDescent="0.25">
      <c r="A51" s="25"/>
      <c r="B51" s="11" t="str">
        <f>CONCATENATE("          ", "6362", " - ", "ADVERTISING EXPENSE")</f>
        <v xml:space="preserve">          6362 - ADVERTISING EXPENSE</v>
      </c>
      <c r="C51" s="11"/>
      <c r="D51" s="7"/>
      <c r="E51" s="2"/>
      <c r="F51" s="6">
        <f t="shared" si="30"/>
        <v>0</v>
      </c>
      <c r="G51" s="2"/>
      <c r="H51" s="7"/>
      <c r="I51" s="2"/>
      <c r="J51" s="6">
        <f t="shared" si="31"/>
        <v>0</v>
      </c>
      <c r="K51" s="2"/>
      <c r="L51" s="7">
        <f t="shared" si="32"/>
        <v>0</v>
      </c>
      <c r="M51" s="2"/>
      <c r="N51" s="6">
        <f t="shared" si="33"/>
        <v>0</v>
      </c>
      <c r="O51" s="11"/>
      <c r="P51" s="7">
        <v>-857.46</v>
      </c>
      <c r="Q51" s="2"/>
      <c r="R51" s="6">
        <f t="shared" si="34"/>
        <v>-0.11342318544200068</v>
      </c>
      <c r="S51" s="2"/>
      <c r="T51" s="7">
        <v>1000</v>
      </c>
      <c r="U51" s="2"/>
      <c r="V51" s="6">
        <f t="shared" si="35"/>
        <v>8.6956521739130432E-2</v>
      </c>
      <c r="W51" s="2"/>
      <c r="X51" s="7">
        <f t="shared" si="36"/>
        <v>-1857.46</v>
      </c>
      <c r="Y51" s="2"/>
      <c r="Z51" s="6">
        <f t="shared" si="37"/>
        <v>-1.8574600000000001</v>
      </c>
    </row>
    <row r="52" spans="1:26" s="27" customFormat="1" outlineLevel="1" collapsed="1" x14ac:dyDescent="0.25">
      <c r="A52" s="26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SUM(OSRRefD22_3x_0)</f>
        <v>0</v>
      </c>
      <c r="E52" s="1"/>
      <c r="F52" s="5">
        <f t="shared" si="30"/>
        <v>0</v>
      </c>
      <c r="G52" s="1"/>
      <c r="H52" s="1">
        <f>SUM(OSRRefH22_3x_0)</f>
        <v>100</v>
      </c>
      <c r="I52" s="1"/>
      <c r="J52" s="5">
        <f t="shared" si="31"/>
        <v>0</v>
      </c>
      <c r="K52" s="1"/>
      <c r="L52" s="1">
        <f t="shared" si="32"/>
        <v>-100</v>
      </c>
      <c r="M52" s="1"/>
      <c r="N52" s="5">
        <f t="shared" si="33"/>
        <v>-1</v>
      </c>
      <c r="O52" s="13"/>
      <c r="P52" s="1">
        <f>SUM(OSRRefP22_3x_0)</f>
        <v>287.29000000000002</v>
      </c>
      <c r="Q52" s="1"/>
      <c r="R52" s="5">
        <f t="shared" si="34"/>
        <v>3.8002177297637649E-2</v>
      </c>
      <c r="S52" s="1"/>
      <c r="T52" s="1">
        <f>SUM(OSRRefT22_3x_0)</f>
        <v>700</v>
      </c>
      <c r="U52" s="1"/>
      <c r="V52" s="5">
        <f t="shared" si="35"/>
        <v>6.0869565217391307E-2</v>
      </c>
      <c r="W52" s="1"/>
      <c r="X52" s="1">
        <f t="shared" si="36"/>
        <v>-412.71</v>
      </c>
      <c r="Y52" s="1"/>
      <c r="Z52" s="5">
        <f t="shared" si="37"/>
        <v>-0.58958571428571427</v>
      </c>
    </row>
    <row r="53" spans="1:26" s="24" customFormat="1" hidden="1" outlineLevel="2" x14ac:dyDescent="0.25">
      <c r="A53" s="25"/>
      <c r="B53" s="11" t="str">
        <f>CONCATENATE("          ", "6382", " - ", "DISCOUNTS/MARK DOWNS")</f>
        <v xml:space="preserve">          6382 - DISCOUNTS/MARK DOWNS</v>
      </c>
      <c r="C53" s="11"/>
      <c r="D53" s="7"/>
      <c r="E53" s="2"/>
      <c r="F53" s="6">
        <f t="shared" si="30"/>
        <v>0</v>
      </c>
      <c r="G53" s="2"/>
      <c r="H53" s="7">
        <v>100</v>
      </c>
      <c r="I53" s="2"/>
      <c r="J53" s="6">
        <f t="shared" si="31"/>
        <v>0</v>
      </c>
      <c r="K53" s="2"/>
      <c r="L53" s="7">
        <f t="shared" si="32"/>
        <v>-100</v>
      </c>
      <c r="M53" s="2"/>
      <c r="N53" s="6">
        <f t="shared" si="33"/>
        <v>-1</v>
      </c>
      <c r="O53" s="11"/>
      <c r="P53" s="7">
        <v>287.29000000000002</v>
      </c>
      <c r="Q53" s="2"/>
      <c r="R53" s="6">
        <f t="shared" si="34"/>
        <v>3.8002177297637649E-2</v>
      </c>
      <c r="S53" s="2"/>
      <c r="T53" s="7">
        <v>700</v>
      </c>
      <c r="U53" s="2"/>
      <c r="V53" s="6">
        <f t="shared" si="35"/>
        <v>6.0869565217391307E-2</v>
      </c>
      <c r="W53" s="2"/>
      <c r="X53" s="7">
        <f t="shared" si="36"/>
        <v>-412.71</v>
      </c>
      <c r="Y53" s="2"/>
      <c r="Z53" s="6">
        <f t="shared" si="37"/>
        <v>-0.58958571428571427</v>
      </c>
    </row>
    <row r="54" spans="1:26" s="27" customFormat="1" outlineLevel="1" collapsed="1" x14ac:dyDescent="0.25">
      <c r="A54" s="26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SUM(OSRRefD22_4x_0)</f>
        <v>-13804.1</v>
      </c>
      <c r="E54" s="1"/>
      <c r="F54" s="5">
        <f t="shared" si="30"/>
        <v>-1261.8007312614261</v>
      </c>
      <c r="G54" s="1"/>
      <c r="H54" s="1">
        <f>SUM(OSRRefH22_4x_0)</f>
        <v>-25000</v>
      </c>
      <c r="I54" s="1"/>
      <c r="J54" s="5">
        <f t="shared" si="31"/>
        <v>0</v>
      </c>
      <c r="K54" s="1"/>
      <c r="L54" s="1">
        <f t="shared" si="32"/>
        <v>11195.9</v>
      </c>
      <c r="M54" s="1"/>
      <c r="N54" s="5">
        <f t="shared" si="33"/>
        <v>-0.44783600000000001</v>
      </c>
      <c r="O54" s="13"/>
      <c r="P54" s="1">
        <f>SUM(OSRRefP22_4x_0)</f>
        <v>-19697.549999999996</v>
      </c>
      <c r="Q54" s="1"/>
      <c r="R54" s="5">
        <f t="shared" si="34"/>
        <v>-2.6055546222600237</v>
      </c>
      <c r="S54" s="1"/>
      <c r="T54" s="1">
        <f>SUM(OSRRefT22_4x_0)</f>
        <v>-67500</v>
      </c>
      <c r="U54" s="1"/>
      <c r="V54" s="5">
        <f t="shared" si="35"/>
        <v>-5.8695652173913047</v>
      </c>
      <c r="W54" s="1"/>
      <c r="X54" s="1">
        <f t="shared" si="36"/>
        <v>47802.450000000004</v>
      </c>
      <c r="Y54" s="1"/>
      <c r="Z54" s="5">
        <f t="shared" si="37"/>
        <v>-0.70818444444444451</v>
      </c>
    </row>
    <row r="55" spans="1:26" s="24" customFormat="1" hidden="1" outlineLevel="2" x14ac:dyDescent="0.25">
      <c r="A55" s="25"/>
      <c r="B55" s="11" t="str">
        <f>CONCATENATE("          ", "6305", " - ", "FREIGHT OUT")</f>
        <v xml:space="preserve">          6305 - FREIGHT OUT</v>
      </c>
      <c r="C55" s="11"/>
      <c r="D55" s="7">
        <v>2286.77</v>
      </c>
      <c r="E55" s="2"/>
      <c r="F55" s="6">
        <f t="shared" si="30"/>
        <v>209.02833638025595</v>
      </c>
      <c r="G55" s="2"/>
      <c r="H55" s="7">
        <v>-25000</v>
      </c>
      <c r="I55" s="2"/>
      <c r="J55" s="6">
        <f t="shared" si="31"/>
        <v>0</v>
      </c>
      <c r="K55" s="2"/>
      <c r="L55" s="7">
        <f t="shared" si="32"/>
        <v>27286.77</v>
      </c>
      <c r="M55" s="2"/>
      <c r="N55" s="6">
        <f t="shared" si="33"/>
        <v>-1.0914708</v>
      </c>
      <c r="O55" s="11"/>
      <c r="P55" s="7">
        <v>24962.550000000003</v>
      </c>
      <c r="Q55" s="2"/>
      <c r="R55" s="6">
        <f t="shared" si="34"/>
        <v>3.3019988544715955</v>
      </c>
      <c r="S55" s="2"/>
      <c r="T55" s="7">
        <v>-67500</v>
      </c>
      <c r="U55" s="2"/>
      <c r="V55" s="6">
        <f t="shared" si="35"/>
        <v>-5.8695652173913047</v>
      </c>
      <c r="W55" s="2"/>
      <c r="X55" s="7">
        <f t="shared" si="36"/>
        <v>92462.55</v>
      </c>
      <c r="Y55" s="2"/>
      <c r="Z55" s="6">
        <f t="shared" si="37"/>
        <v>-1.3698155555555556</v>
      </c>
    </row>
    <row r="56" spans="1:26" s="24" customFormat="1" hidden="1" outlineLevel="2" x14ac:dyDescent="0.25">
      <c r="A56" s="25"/>
      <c r="B56" s="11" t="str">
        <f>CONCATENATE("          ", "6307", " - ", "POSTAGE")</f>
        <v xml:space="preserve">          6307 - POSTAGE</v>
      </c>
      <c r="C56" s="11"/>
      <c r="D56" s="7">
        <v>-16090.87</v>
      </c>
      <c r="E56" s="2"/>
      <c r="F56" s="6">
        <f t="shared" si="30"/>
        <v>-1470.8290676416821</v>
      </c>
      <c r="G56" s="2"/>
      <c r="H56" s="7"/>
      <c r="I56" s="2"/>
      <c r="J56" s="6">
        <f t="shared" si="31"/>
        <v>0</v>
      </c>
      <c r="K56" s="2"/>
      <c r="L56" s="7">
        <f t="shared" si="32"/>
        <v>-16090.87</v>
      </c>
      <c r="M56" s="2"/>
      <c r="N56" s="6">
        <f t="shared" si="33"/>
        <v>0</v>
      </c>
      <c r="O56" s="11"/>
      <c r="P56" s="7">
        <v>-44660.1</v>
      </c>
      <c r="Q56" s="2"/>
      <c r="R56" s="6">
        <f t="shared" si="34"/>
        <v>-5.9075534767316196</v>
      </c>
      <c r="S56" s="2"/>
      <c r="T56" s="7"/>
      <c r="U56" s="2"/>
      <c r="V56" s="6">
        <f t="shared" si="35"/>
        <v>0</v>
      </c>
      <c r="W56" s="2"/>
      <c r="X56" s="7">
        <f t="shared" si="36"/>
        <v>-44660.1</v>
      </c>
      <c r="Y56" s="2"/>
      <c r="Z56" s="6">
        <f t="shared" si="37"/>
        <v>0</v>
      </c>
    </row>
    <row r="57" spans="1:26" s="27" customFormat="1" outlineLevel="1" collapsed="1" x14ac:dyDescent="0.25">
      <c r="A57" s="26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SUM(OSRRefD22_5x_0)</f>
        <v>0</v>
      </c>
      <c r="E57" s="1"/>
      <c r="F57" s="5">
        <f t="shared" ref="F57:F63" si="38">IF(D$12=0,0,D57/D$12)</f>
        <v>0</v>
      </c>
      <c r="G57" s="1"/>
      <c r="H57" s="1">
        <f>SUM(OSRRefH22_5x_0)</f>
        <v>100</v>
      </c>
      <c r="I57" s="1"/>
      <c r="J57" s="5">
        <f t="shared" ref="J57:J63" si="39">IF(H$12=0,0,H57/H$12)</f>
        <v>0</v>
      </c>
      <c r="K57" s="1"/>
      <c r="L57" s="1">
        <f t="shared" ref="L57:L63" si="40">+D57-H57</f>
        <v>-100</v>
      </c>
      <c r="M57" s="1"/>
      <c r="N57" s="5">
        <f t="shared" ref="N57:N63" si="41">IF(H57=0,0,L57/H57)</f>
        <v>-1</v>
      </c>
      <c r="O57" s="13"/>
      <c r="P57" s="1">
        <f>SUM(OSRRefP22_5x_0)</f>
        <v>80.17</v>
      </c>
      <c r="Q57" s="1"/>
      <c r="R57" s="5">
        <f t="shared" ref="R57:R63" si="42">IF(P$12=0,0,P57/P$12)</f>
        <v>1.0604735820779039E-2</v>
      </c>
      <c r="S57" s="1"/>
      <c r="T57" s="1">
        <f>SUM(OSRRefT22_5x_0)</f>
        <v>600</v>
      </c>
      <c r="U57" s="1"/>
      <c r="V57" s="5">
        <f t="shared" ref="V57:V63" si="43">IF(T$12=0,0,T57/T$12)</f>
        <v>5.2173913043478258E-2</v>
      </c>
      <c r="W57" s="1"/>
      <c r="X57" s="1">
        <f t="shared" ref="X57:X63" si="44">+P57-T57</f>
        <v>-519.83000000000004</v>
      </c>
      <c r="Y57" s="1"/>
      <c r="Z57" s="5">
        <f t="shared" ref="Z57:Z63" si="45">IF(T57=0,0,X57/T57)</f>
        <v>-0.86638333333333339</v>
      </c>
    </row>
    <row r="58" spans="1:26" s="24" customFormat="1" hidden="1" outlineLevel="2" x14ac:dyDescent="0.25">
      <c r="A58" s="25"/>
      <c r="B58" s="11" t="str">
        <f>CONCATENATE("          ", "6279", " - ", "GENERAL EXPENSE")</f>
        <v xml:space="preserve">          6279 - GENERAL EXPENSE</v>
      </c>
      <c r="C58" s="11"/>
      <c r="D58" s="7"/>
      <c r="E58" s="2"/>
      <c r="F58" s="6">
        <f t="shared" si="38"/>
        <v>0</v>
      </c>
      <c r="G58" s="2"/>
      <c r="H58" s="7">
        <v>100</v>
      </c>
      <c r="I58" s="2"/>
      <c r="J58" s="6">
        <f t="shared" si="39"/>
        <v>0</v>
      </c>
      <c r="K58" s="2"/>
      <c r="L58" s="7">
        <f t="shared" si="40"/>
        <v>-100</v>
      </c>
      <c r="M58" s="2"/>
      <c r="N58" s="6">
        <f t="shared" si="41"/>
        <v>-1</v>
      </c>
      <c r="O58" s="11"/>
      <c r="P58" s="7">
        <v>80.17</v>
      </c>
      <c r="Q58" s="2"/>
      <c r="R58" s="6">
        <f t="shared" si="42"/>
        <v>1.0604735820779039E-2</v>
      </c>
      <c r="S58" s="2"/>
      <c r="T58" s="7">
        <v>600</v>
      </c>
      <c r="U58" s="2"/>
      <c r="V58" s="6">
        <f t="shared" si="43"/>
        <v>5.2173913043478258E-2</v>
      </c>
      <c r="W58" s="2"/>
      <c r="X58" s="7">
        <f t="shared" si="44"/>
        <v>-519.83000000000004</v>
      </c>
      <c r="Y58" s="2"/>
      <c r="Z58" s="6">
        <f t="shared" si="45"/>
        <v>-0.86638333333333339</v>
      </c>
    </row>
    <row r="59" spans="1:26" s="27" customFormat="1" outlineLevel="1" collapsed="1" x14ac:dyDescent="0.25">
      <c r="A59" s="26"/>
      <c r="B59" s="13" t="str">
        <f>CONCATENATE("     ","Inventory Adjustment                              ")</f>
        <v xml:space="preserve">     Inventory Adjustment                              </v>
      </c>
      <c r="C59" s="13"/>
      <c r="D59" s="1">
        <f>SUM(OSRRefD22_6x_0)</f>
        <v>100</v>
      </c>
      <c r="E59" s="1"/>
      <c r="F59" s="5">
        <f t="shared" si="38"/>
        <v>9.1407678244972583</v>
      </c>
      <c r="G59" s="1"/>
      <c r="H59" s="1">
        <f>SUM(OSRRefH22_6x_0)</f>
        <v>100</v>
      </c>
      <c r="I59" s="1"/>
      <c r="J59" s="5">
        <f t="shared" si="39"/>
        <v>0</v>
      </c>
      <c r="K59" s="1"/>
      <c r="L59" s="1">
        <f t="shared" si="40"/>
        <v>0</v>
      </c>
      <c r="M59" s="1"/>
      <c r="N59" s="5">
        <f t="shared" si="41"/>
        <v>0</v>
      </c>
      <c r="O59" s="13"/>
      <c r="P59" s="1">
        <f>SUM(OSRRefP22_6x_0)</f>
        <v>600</v>
      </c>
      <c r="Q59" s="1"/>
      <c r="R59" s="5">
        <f t="shared" si="42"/>
        <v>7.936686406969469E-2</v>
      </c>
      <c r="S59" s="1"/>
      <c r="T59" s="1">
        <f>SUM(OSRRefT22_6x_0)</f>
        <v>600</v>
      </c>
      <c r="U59" s="1"/>
      <c r="V59" s="5">
        <f t="shared" si="43"/>
        <v>5.2173913043478258E-2</v>
      </c>
      <c r="W59" s="1"/>
      <c r="X59" s="1">
        <f t="shared" si="44"/>
        <v>0</v>
      </c>
      <c r="Y59" s="1"/>
      <c r="Z59" s="5">
        <f t="shared" si="45"/>
        <v>0</v>
      </c>
    </row>
    <row r="60" spans="1:26" s="24" customFormat="1" hidden="1" outlineLevel="2" x14ac:dyDescent="0.25">
      <c r="A60" s="25"/>
      <c r="B60" s="11" t="str">
        <f>CONCATENATE("          ", "6408", " - ", "INVENTORY ADJUSTMENT")</f>
        <v xml:space="preserve">          6408 - INVENTORY ADJUSTMENT</v>
      </c>
      <c r="C60" s="11"/>
      <c r="D60" s="7">
        <v>100</v>
      </c>
      <c r="E60" s="2"/>
      <c r="F60" s="6">
        <f t="shared" si="38"/>
        <v>9.1407678244972583</v>
      </c>
      <c r="G60" s="2"/>
      <c r="H60" s="7">
        <v>100</v>
      </c>
      <c r="I60" s="2"/>
      <c r="J60" s="6">
        <f t="shared" si="39"/>
        <v>0</v>
      </c>
      <c r="K60" s="2"/>
      <c r="L60" s="7">
        <f t="shared" si="40"/>
        <v>0</v>
      </c>
      <c r="M60" s="2"/>
      <c r="N60" s="6">
        <f t="shared" si="41"/>
        <v>0</v>
      </c>
      <c r="O60" s="11"/>
      <c r="P60" s="7">
        <v>600</v>
      </c>
      <c r="Q60" s="2"/>
      <c r="R60" s="6">
        <f t="shared" si="42"/>
        <v>7.936686406969469E-2</v>
      </c>
      <c r="S60" s="2"/>
      <c r="T60" s="7">
        <v>600</v>
      </c>
      <c r="U60" s="2"/>
      <c r="V60" s="6">
        <f t="shared" si="43"/>
        <v>5.2173913043478258E-2</v>
      </c>
      <c r="W60" s="2"/>
      <c r="X60" s="7">
        <f t="shared" si="44"/>
        <v>0</v>
      </c>
      <c r="Y60" s="2"/>
      <c r="Z60" s="6">
        <f t="shared" si="45"/>
        <v>0</v>
      </c>
    </row>
    <row r="61" spans="1:26" s="27" customFormat="1" outlineLevel="1" collapsed="1" x14ac:dyDescent="0.25">
      <c r="A61" s="26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SUM(OSRRefD22_7x_0)</f>
        <v>0</v>
      </c>
      <c r="E61" s="1"/>
      <c r="F61" s="5">
        <f t="shared" si="38"/>
        <v>0</v>
      </c>
      <c r="G61" s="1"/>
      <c r="H61" s="1">
        <f>SUM(OSRRefH22_7x_0)</f>
        <v>750</v>
      </c>
      <c r="I61" s="1"/>
      <c r="J61" s="5">
        <f t="shared" si="39"/>
        <v>0</v>
      </c>
      <c r="K61" s="1"/>
      <c r="L61" s="1">
        <f t="shared" si="40"/>
        <v>-750</v>
      </c>
      <c r="M61" s="1"/>
      <c r="N61" s="5">
        <f t="shared" si="41"/>
        <v>-1</v>
      </c>
      <c r="O61" s="13"/>
      <c r="P61" s="1">
        <f>SUM(OSRRefP22_7x_0)</f>
        <v>5180.68</v>
      </c>
      <c r="Q61" s="1"/>
      <c r="R61" s="5">
        <f t="shared" si="42"/>
        <v>0.68529054224764319</v>
      </c>
      <c r="S61" s="1"/>
      <c r="T61" s="1">
        <f>SUM(OSRRefT22_7x_0)</f>
        <v>5250</v>
      </c>
      <c r="U61" s="1"/>
      <c r="V61" s="5">
        <f t="shared" si="43"/>
        <v>0.45652173913043476</v>
      </c>
      <c r="W61" s="1"/>
      <c r="X61" s="1">
        <f t="shared" si="44"/>
        <v>-69.319999999999709</v>
      </c>
      <c r="Y61" s="1"/>
      <c r="Z61" s="5">
        <f t="shared" si="45"/>
        <v>-1.3203809523809468E-2</v>
      </c>
    </row>
    <row r="62" spans="1:26" s="24" customFormat="1" hidden="1" outlineLevel="2" x14ac:dyDescent="0.25">
      <c r="A62" s="25"/>
      <c r="B62" s="11" t="str">
        <f>CONCATENATE("          ", "6241", " - ", "OFFICE EXPENSE")</f>
        <v xml:space="preserve">          6241 - OFFICE EXPENSE</v>
      </c>
      <c r="C62" s="11"/>
      <c r="D62" s="7"/>
      <c r="E62" s="2"/>
      <c r="F62" s="6">
        <f t="shared" si="38"/>
        <v>0</v>
      </c>
      <c r="G62" s="2"/>
      <c r="H62" s="7"/>
      <c r="I62" s="2"/>
      <c r="J62" s="6">
        <f t="shared" si="39"/>
        <v>0</v>
      </c>
      <c r="K62" s="2"/>
      <c r="L62" s="7">
        <f t="shared" si="40"/>
        <v>0</v>
      </c>
      <c r="M62" s="2"/>
      <c r="N62" s="6">
        <f t="shared" si="41"/>
        <v>0</v>
      </c>
      <c r="O62" s="11"/>
      <c r="P62" s="7">
        <v>126.27</v>
      </c>
      <c r="Q62" s="2"/>
      <c r="R62" s="6">
        <f t="shared" si="42"/>
        <v>1.6702756543467246E-2</v>
      </c>
      <c r="S62" s="2"/>
      <c r="T62" s="7"/>
      <c r="U62" s="2"/>
      <c r="V62" s="6">
        <f t="shared" si="43"/>
        <v>0</v>
      </c>
      <c r="W62" s="2"/>
      <c r="X62" s="7">
        <f t="shared" si="44"/>
        <v>126.27</v>
      </c>
      <c r="Y62" s="2"/>
      <c r="Z62" s="6">
        <f t="shared" si="45"/>
        <v>0</v>
      </c>
    </row>
    <row r="63" spans="1:26" s="24" customFormat="1" hidden="1" outlineLevel="2" x14ac:dyDescent="0.25">
      <c r="A63" s="25"/>
      <c r="B63" s="11" t="str">
        <f>CONCATENATE("          ", "6247", " - ", "STORE SUPPLIES")</f>
        <v xml:space="preserve">          6247 - STORE SUPPLIES</v>
      </c>
      <c r="C63" s="11"/>
      <c r="D63" s="7"/>
      <c r="E63" s="2"/>
      <c r="F63" s="6">
        <f t="shared" si="38"/>
        <v>0</v>
      </c>
      <c r="G63" s="2"/>
      <c r="H63" s="7">
        <v>750</v>
      </c>
      <c r="I63" s="2"/>
      <c r="J63" s="6">
        <f t="shared" si="39"/>
        <v>0</v>
      </c>
      <c r="K63" s="2"/>
      <c r="L63" s="7">
        <f t="shared" si="40"/>
        <v>-750</v>
      </c>
      <c r="M63" s="2"/>
      <c r="N63" s="6">
        <f t="shared" si="41"/>
        <v>-1</v>
      </c>
      <c r="O63" s="11"/>
      <c r="P63" s="7">
        <v>5054.41</v>
      </c>
      <c r="Q63" s="2"/>
      <c r="R63" s="6">
        <f t="shared" si="42"/>
        <v>0.66858778570417587</v>
      </c>
      <c r="S63" s="2"/>
      <c r="T63" s="7">
        <v>5250</v>
      </c>
      <c r="U63" s="2"/>
      <c r="V63" s="6">
        <f t="shared" si="43"/>
        <v>0.45652173913043476</v>
      </c>
      <c r="W63" s="2"/>
      <c r="X63" s="7">
        <f t="shared" si="44"/>
        <v>-195.59000000000015</v>
      </c>
      <c r="Y63" s="2"/>
      <c r="Z63" s="6">
        <f t="shared" si="45"/>
        <v>-3.7255238095238126E-2</v>
      </c>
    </row>
    <row r="64" spans="1:26" s="27" customFormat="1" outlineLevel="1" collapsed="1" x14ac:dyDescent="0.25">
      <c r="A64" s="26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SUM(OSRRefD22_8x_0)</f>
        <v>39.25</v>
      </c>
      <c r="E64" s="1"/>
      <c r="F64" s="5">
        <f t="shared" ref="F64:F65" si="46">IF(D$12=0,0,D64/D$12)</f>
        <v>3.5877513711151741</v>
      </c>
      <c r="G64" s="1"/>
      <c r="H64" s="1">
        <f>SUM(OSRRefH22_8x_0)</f>
        <v>0</v>
      </c>
      <c r="I64" s="1"/>
      <c r="J64" s="5">
        <f t="shared" ref="J64:J65" si="47">IF(H$12=0,0,H64/H$12)</f>
        <v>0</v>
      </c>
      <c r="K64" s="1"/>
      <c r="L64" s="1">
        <f t="shared" ref="L64:L65" si="48">+D64-H64</f>
        <v>39.25</v>
      </c>
      <c r="M64" s="1"/>
      <c r="N64" s="5">
        <f t="shared" ref="N64:N65" si="49">IF(H64=0,0,L64/H64)</f>
        <v>0</v>
      </c>
      <c r="O64" s="13"/>
      <c r="P64" s="1">
        <f>SUM(OSRRefP22_8x_0)</f>
        <v>450.15</v>
      </c>
      <c r="Q64" s="1"/>
      <c r="R64" s="5">
        <f t="shared" ref="R64:R65" si="50">IF(P$12=0,0,P64/P$12)</f>
        <v>5.9544989768288439E-2</v>
      </c>
      <c r="S64" s="1"/>
      <c r="T64" s="1">
        <f>SUM(OSRRefT22_8x_0)</f>
        <v>0</v>
      </c>
      <c r="U64" s="1"/>
      <c r="V64" s="5">
        <f t="shared" ref="V64:V65" si="51">IF(T$12=0,0,T64/T$12)</f>
        <v>0</v>
      </c>
      <c r="W64" s="1"/>
      <c r="X64" s="1">
        <f t="shared" ref="X64:X65" si="52">+P64-T64</f>
        <v>450.15</v>
      </c>
      <c r="Y64" s="1"/>
      <c r="Z64" s="5">
        <f t="shared" ref="Z64:Z65" si="53">IF(T64=0,0,X64/T64)</f>
        <v>0</v>
      </c>
    </row>
    <row r="65" spans="1:26" s="24" customFormat="1" hidden="1" outlineLevel="2" x14ac:dyDescent="0.25">
      <c r="A65" s="25"/>
      <c r="B65" s="11" t="str">
        <f>CONCATENATE("          ", "6309", " - ", "TELEPHONE")</f>
        <v xml:space="preserve">          6309 - TELEPHONE</v>
      </c>
      <c r="C65" s="11"/>
      <c r="D65" s="7">
        <v>39.25</v>
      </c>
      <c r="E65" s="2"/>
      <c r="F65" s="6">
        <f t="shared" si="46"/>
        <v>3.5877513711151741</v>
      </c>
      <c r="G65" s="2"/>
      <c r="H65" s="7"/>
      <c r="I65" s="2"/>
      <c r="J65" s="6">
        <f t="shared" si="47"/>
        <v>0</v>
      </c>
      <c r="K65" s="2"/>
      <c r="L65" s="7">
        <f t="shared" si="48"/>
        <v>39.25</v>
      </c>
      <c r="M65" s="2"/>
      <c r="N65" s="6">
        <f t="shared" si="49"/>
        <v>0</v>
      </c>
      <c r="O65" s="11"/>
      <c r="P65" s="7">
        <v>450.15</v>
      </c>
      <c r="Q65" s="2"/>
      <c r="R65" s="6">
        <f t="shared" si="50"/>
        <v>5.9544989768288439E-2</v>
      </c>
      <c r="S65" s="2"/>
      <c r="T65" s="7"/>
      <c r="U65" s="2"/>
      <c r="V65" s="6">
        <f t="shared" si="51"/>
        <v>0</v>
      </c>
      <c r="W65" s="2"/>
      <c r="X65" s="7">
        <f t="shared" si="52"/>
        <v>450.15</v>
      </c>
      <c r="Y65" s="2"/>
      <c r="Z65" s="6">
        <f t="shared" si="53"/>
        <v>0</v>
      </c>
    </row>
    <row r="66" spans="1:26" s="53" customFormat="1" x14ac:dyDescent="0.25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25">
      <c r="A67" s="10"/>
      <c r="B67" s="28" t="s">
        <v>0</v>
      </c>
      <c r="C67" s="10"/>
      <c r="D67" s="4">
        <f>SUM(OSRRefD25x_0)</f>
        <v>3557.1</v>
      </c>
      <c r="E67" s="4"/>
      <c r="F67" s="12">
        <f t="shared" ref="F67:F72" si="54">IF(D$12=0,0,D67/D$12)</f>
        <v>325.14625228519196</v>
      </c>
      <c r="G67" s="4"/>
      <c r="H67" s="4">
        <f>SUM(OSRRefH25x_0)</f>
        <v>13500</v>
      </c>
      <c r="I67" s="4"/>
      <c r="J67" s="12">
        <f t="shared" ref="J67:J72" si="55">IF(H$12=0,0,H67/H$12)</f>
        <v>0</v>
      </c>
      <c r="K67" s="4"/>
      <c r="L67" s="4">
        <f t="shared" ref="L67:L72" si="56">+D67-H67</f>
        <v>-9942.9</v>
      </c>
      <c r="M67" s="4"/>
      <c r="N67" s="12">
        <f t="shared" ref="N67:N72" si="57">IF(H67=0,0,L67/H67)</f>
        <v>-0.73651111111111112</v>
      </c>
      <c r="O67" s="10"/>
      <c r="P67" s="4">
        <f>SUM(OSRRefP25x_0)</f>
        <v>89290.5</v>
      </c>
      <c r="Q67" s="4"/>
      <c r="R67" s="12">
        <f t="shared" ref="R67:R72" si="58">IF(P$12=0,0,P67/P$12)</f>
        <v>11.811178293691789</v>
      </c>
      <c r="S67" s="4"/>
      <c r="T67" s="4">
        <f>SUM(OSRRefT25x_0)</f>
        <v>96000</v>
      </c>
      <c r="U67" s="4"/>
      <c r="V67" s="12">
        <f t="shared" ref="V67:V72" si="59">IF(T$12=0,0,T67/T$12)</f>
        <v>8.3478260869565215</v>
      </c>
      <c r="W67" s="4"/>
      <c r="X67" s="4">
        <f t="shared" ref="X67:X72" si="60">+P67-T67</f>
        <v>-6709.5</v>
      </c>
      <c r="Y67" s="4"/>
      <c r="Z67" s="12">
        <f t="shared" ref="Z67:Z72" si="61">IF(T67=0,0,X67/T67)</f>
        <v>-6.9890624999999998E-2</v>
      </c>
    </row>
    <row r="68" spans="1:26" s="24" customFormat="1" hidden="1" outlineLevel="1" x14ac:dyDescent="0.25">
      <c r="A68" s="44"/>
      <c r="B68" s="11" t="str">
        <f>CONCATENATE("          ", "4098", " - ", "TAXABLE SALES-GRAD RENTALS")</f>
        <v xml:space="preserve">          4098 - TAXABLE SALES-GRAD RENTALS</v>
      </c>
      <c r="C68" s="11"/>
      <c r="D68" s="2">
        <f>--320</f>
        <v>320</v>
      </c>
      <c r="E68" s="2"/>
      <c r="F68" s="19">
        <f t="shared" si="54"/>
        <v>29.250457038391225</v>
      </c>
      <c r="G68" s="2"/>
      <c r="H68" s="2"/>
      <c r="I68" s="2"/>
      <c r="J68" s="19">
        <f t="shared" si="55"/>
        <v>0</v>
      </c>
      <c r="K68" s="2"/>
      <c r="L68" s="2">
        <f t="shared" si="56"/>
        <v>320</v>
      </c>
      <c r="M68" s="2"/>
      <c r="N68" s="19">
        <f t="shared" si="57"/>
        <v>0</v>
      </c>
      <c r="O68" s="11"/>
      <c r="P68" s="2">
        <f>--1946.85</f>
        <v>1946.85</v>
      </c>
      <c r="Q68" s="2"/>
      <c r="R68" s="19">
        <f t="shared" si="58"/>
        <v>0.25752563219014185</v>
      </c>
      <c r="S68" s="2"/>
      <c r="T68" s="2"/>
      <c r="U68" s="2"/>
      <c r="V68" s="19">
        <f t="shared" si="59"/>
        <v>0</v>
      </c>
      <c r="W68" s="2"/>
      <c r="X68" s="2">
        <f t="shared" si="60"/>
        <v>1946.85</v>
      </c>
      <c r="Y68" s="2"/>
      <c r="Z68" s="19">
        <f t="shared" si="61"/>
        <v>0</v>
      </c>
    </row>
    <row r="69" spans="1:26" s="24" customFormat="1" hidden="1" outlineLevel="1" x14ac:dyDescent="0.25">
      <c r="A69" s="44"/>
      <c r="B69" s="11" t="str">
        <f>CONCATENATE("          ", "4197", " - ", "NON-TAXABLE SALES-RETURNED CHE")</f>
        <v xml:space="preserve">          4197 - NON-TAXABLE SALES-RETURNED CHE</v>
      </c>
      <c r="C69" s="11"/>
      <c r="D69" s="2">
        <f>0</f>
        <v>0</v>
      </c>
      <c r="E69" s="2"/>
      <c r="F69" s="19">
        <f t="shared" si="54"/>
        <v>0</v>
      </c>
      <c r="G69" s="2"/>
      <c r="H69" s="2"/>
      <c r="I69" s="2"/>
      <c r="J69" s="19">
        <f t="shared" si="55"/>
        <v>0</v>
      </c>
      <c r="K69" s="2"/>
      <c r="L69" s="2">
        <f t="shared" si="56"/>
        <v>0</v>
      </c>
      <c r="M69" s="2"/>
      <c r="N69" s="19">
        <f t="shared" si="57"/>
        <v>0</v>
      </c>
      <c r="O69" s="11"/>
      <c r="P69" s="2">
        <f>--30</f>
        <v>30</v>
      </c>
      <c r="Q69" s="2"/>
      <c r="R69" s="19">
        <f t="shared" si="58"/>
        <v>3.9683432034847343E-3</v>
      </c>
      <c r="S69" s="2"/>
      <c r="T69" s="2"/>
      <c r="U69" s="2"/>
      <c r="V69" s="19">
        <f t="shared" si="59"/>
        <v>0</v>
      </c>
      <c r="W69" s="2"/>
      <c r="X69" s="2">
        <f t="shared" si="60"/>
        <v>30</v>
      </c>
      <c r="Y69" s="2"/>
      <c r="Z69" s="19">
        <f t="shared" si="61"/>
        <v>0</v>
      </c>
    </row>
    <row r="70" spans="1:26" s="24" customFormat="1" hidden="1" outlineLevel="1" x14ac:dyDescent="0.25">
      <c r="A70" s="44"/>
      <c r="B70" s="11" t="str">
        <f>CONCATENATE("          ", "4198", " - ", "NON-TAXABLE SALES-GRAD RENTALS")</f>
        <v xml:space="preserve">          4198 - NON-TAXABLE SALES-GRAD RENTALS</v>
      </c>
      <c r="C70" s="11"/>
      <c r="D70" s="2">
        <f>--3237.1</f>
        <v>3237.1</v>
      </c>
      <c r="E70" s="2"/>
      <c r="F70" s="19">
        <f t="shared" si="54"/>
        <v>295.89579524680073</v>
      </c>
      <c r="G70" s="2"/>
      <c r="H70" s="2"/>
      <c r="I70" s="2"/>
      <c r="J70" s="19">
        <f t="shared" si="55"/>
        <v>0</v>
      </c>
      <c r="K70" s="2"/>
      <c r="L70" s="2">
        <f t="shared" si="56"/>
        <v>3237.1</v>
      </c>
      <c r="M70" s="2"/>
      <c r="N70" s="19">
        <f t="shared" si="57"/>
        <v>0</v>
      </c>
      <c r="O70" s="11"/>
      <c r="P70" s="2">
        <f>--3732.1</f>
        <v>3732.1</v>
      </c>
      <c r="Q70" s="2"/>
      <c r="R70" s="19">
        <f t="shared" si="58"/>
        <v>0.49367512232417926</v>
      </c>
      <c r="S70" s="2"/>
      <c r="T70" s="2"/>
      <c r="U70" s="2"/>
      <c r="V70" s="19">
        <f t="shared" si="59"/>
        <v>0</v>
      </c>
      <c r="W70" s="2"/>
      <c r="X70" s="2">
        <f t="shared" si="60"/>
        <v>3732.1</v>
      </c>
      <c r="Y70" s="2"/>
      <c r="Z70" s="19">
        <f t="shared" si="61"/>
        <v>0</v>
      </c>
    </row>
    <row r="71" spans="1:26" s="24" customFormat="1" hidden="1" outlineLevel="1" x14ac:dyDescent="0.25">
      <c r="A71" s="44"/>
      <c r="B71" s="11" t="str">
        <f>CONCATENATE("          ", "9160", " - ", "MISC. INCOME")</f>
        <v xml:space="preserve">          9160 - MISC. INCOME</v>
      </c>
      <c r="C71" s="11"/>
      <c r="D71" s="2">
        <f t="shared" ref="D71:D72" si="62">0</f>
        <v>0</v>
      </c>
      <c r="E71" s="2"/>
      <c r="F71" s="19">
        <f t="shared" si="54"/>
        <v>0</v>
      </c>
      <c r="G71" s="2"/>
      <c r="H71" s="2">
        <v>13500</v>
      </c>
      <c r="I71" s="2"/>
      <c r="J71" s="19">
        <f t="shared" si="55"/>
        <v>0</v>
      </c>
      <c r="K71" s="2"/>
      <c r="L71" s="2">
        <f t="shared" si="56"/>
        <v>-13500</v>
      </c>
      <c r="M71" s="2"/>
      <c r="N71" s="19">
        <f t="shared" si="57"/>
        <v>-1</v>
      </c>
      <c r="O71" s="11"/>
      <c r="P71" s="2">
        <f>--22475</f>
        <v>22475</v>
      </c>
      <c r="Q71" s="2"/>
      <c r="R71" s="19">
        <f t="shared" si="58"/>
        <v>2.9729504499439803</v>
      </c>
      <c r="S71" s="2"/>
      <c r="T71" s="2">
        <v>96000</v>
      </c>
      <c r="U71" s="2"/>
      <c r="V71" s="19">
        <f t="shared" si="59"/>
        <v>8.3478260869565215</v>
      </c>
      <c r="W71" s="2"/>
      <c r="X71" s="2">
        <f t="shared" si="60"/>
        <v>-73525</v>
      </c>
      <c r="Y71" s="2"/>
      <c r="Z71" s="19">
        <f t="shared" si="61"/>
        <v>-0.76588541666666665</v>
      </c>
    </row>
    <row r="72" spans="1:26" s="24" customFormat="1" hidden="1" outlineLevel="1" x14ac:dyDescent="0.25">
      <c r="A72" s="44"/>
      <c r="B72" s="11" t="str">
        <f>CONCATENATE("          ", "9163", " - ", "MISC. INCOME")</f>
        <v xml:space="preserve">          9163 - MISC. INCOME</v>
      </c>
      <c r="C72" s="11"/>
      <c r="D72" s="2">
        <f t="shared" si="62"/>
        <v>0</v>
      </c>
      <c r="E72" s="2"/>
      <c r="F72" s="19">
        <f t="shared" si="54"/>
        <v>0</v>
      </c>
      <c r="G72" s="2"/>
      <c r="H72" s="2"/>
      <c r="I72" s="2"/>
      <c r="J72" s="19">
        <f t="shared" si="55"/>
        <v>0</v>
      </c>
      <c r="K72" s="2"/>
      <c r="L72" s="2">
        <f t="shared" si="56"/>
        <v>0</v>
      </c>
      <c r="M72" s="2"/>
      <c r="N72" s="19">
        <f t="shared" si="57"/>
        <v>0</v>
      </c>
      <c r="O72" s="11"/>
      <c r="P72" s="2">
        <f>--61106.55</f>
        <v>61106.55</v>
      </c>
      <c r="Q72" s="2"/>
      <c r="R72" s="19">
        <f t="shared" si="58"/>
        <v>8.0830587460300034</v>
      </c>
      <c r="S72" s="2"/>
      <c r="T72" s="2"/>
      <c r="U72" s="2"/>
      <c r="V72" s="19">
        <f t="shared" si="59"/>
        <v>0</v>
      </c>
      <c r="W72" s="2"/>
      <c r="X72" s="2">
        <f t="shared" si="60"/>
        <v>61106.55</v>
      </c>
      <c r="Y72" s="2"/>
      <c r="Z72" s="19">
        <f t="shared" si="61"/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9" t="s">
        <v>3</v>
      </c>
      <c r="C74" s="29"/>
      <c r="D74" s="21">
        <f>+D27-D29+D67</f>
        <v>17232.169999999998</v>
      </c>
      <c r="E74" s="14"/>
      <c r="F74" s="20">
        <f>IF(D$12=0,0,D74/D$12)</f>
        <v>1575.1526508226691</v>
      </c>
      <c r="G74" s="14"/>
      <c r="H74" s="21">
        <f>+H27-H29+H67</f>
        <v>33770.565279855771</v>
      </c>
      <c r="I74" s="14"/>
      <c r="J74" s="20">
        <f>IF(H$12=0,0,H74/H$12)</f>
        <v>0</v>
      </c>
      <c r="K74" s="16"/>
      <c r="L74" s="21">
        <f>+D74-H74</f>
        <v>-16538.395279855773</v>
      </c>
      <c r="M74" s="16"/>
      <c r="N74" s="20">
        <f>IF(H74=0,0,L74/H74)</f>
        <v>-0.48972811508491298</v>
      </c>
      <c r="O74" s="28"/>
      <c r="P74" s="21">
        <f>+P27-P29+P67</f>
        <v>104195.18</v>
      </c>
      <c r="Q74" s="14"/>
      <c r="R74" s="20">
        <f>IF(P$12=0,0,P74/P$12)</f>
        <v>13.782741146295617</v>
      </c>
      <c r="S74" s="14"/>
      <c r="T74" s="21">
        <f>+T27-T29+T67</f>
        <v>139489.12243110576</v>
      </c>
      <c r="U74" s="14"/>
      <c r="V74" s="20">
        <f>IF(T$12=0,0,T74/T$12)</f>
        <v>12.129488907052675</v>
      </c>
      <c r="W74" s="16"/>
      <c r="X74" s="21">
        <f>+P74-T74</f>
        <v>-35293.942431105766</v>
      </c>
      <c r="Y74" s="16"/>
      <c r="Z74" s="20">
        <f>IF(T74=0,0,X74/T74)</f>
        <v>-0.25302290111214648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14</v>
      </c>
      <c r="C76" s="10"/>
      <c r="D76" s="4">
        <v>-26.96</v>
      </c>
      <c r="E76" s="4"/>
      <c r="F76" s="12">
        <f>IF(D$12=0,0,D76/D$12)</f>
        <v>-2.4643510054844611</v>
      </c>
      <c r="G76" s="4"/>
      <c r="H76" s="4">
        <v>-65</v>
      </c>
      <c r="I76" s="4"/>
      <c r="J76" s="12">
        <f>IF(H$12=0,0,H76/H$12)</f>
        <v>0</v>
      </c>
      <c r="K76" s="4"/>
      <c r="L76" s="4">
        <f>+D76-H76</f>
        <v>38.04</v>
      </c>
      <c r="M76" s="4"/>
      <c r="N76" s="12">
        <f>IF(H76=0,0,L76/H76)</f>
        <v>-0.58523076923076922</v>
      </c>
      <c r="O76" s="10"/>
      <c r="P76" s="4">
        <v>788.38</v>
      </c>
      <c r="Q76" s="4"/>
      <c r="R76" s="12">
        <f>IF(P$12=0,0,P76/P$12)</f>
        <v>0.10428541382544317</v>
      </c>
      <c r="S76" s="4"/>
      <c r="T76" s="4">
        <v>1416</v>
      </c>
      <c r="U76" s="4"/>
      <c r="V76" s="12">
        <f>IF(T$12=0,0,T76/T$12)</f>
        <v>0.1231304347826087</v>
      </c>
      <c r="W76" s="4"/>
      <c r="X76" s="4">
        <f>+P76-T76</f>
        <v>-627.62</v>
      </c>
      <c r="Y76" s="4"/>
      <c r="Z76" s="12">
        <f>IF(T76=0,0,X76/T76)</f>
        <v>-0.44323446327683619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4</v>
      </c>
      <c r="C78" s="29"/>
      <c r="D78" s="34">
        <f>+D74-D76</f>
        <v>17259.129999999997</v>
      </c>
      <c r="E78" s="14"/>
      <c r="F78" s="32">
        <f>IF(D$12=0,0,D78/D$12)</f>
        <v>1577.6170018281534</v>
      </c>
      <c r="G78" s="14"/>
      <c r="H78" s="34">
        <f>+H74-H76</f>
        <v>33835.565279855771</v>
      </c>
      <c r="I78" s="14"/>
      <c r="J78" s="32">
        <f>IF(H$12=0,0,H78/H$12)</f>
        <v>0</v>
      </c>
      <c r="K78" s="16"/>
      <c r="L78" s="34">
        <f>D78-H78</f>
        <v>-16576.435279855774</v>
      </c>
      <c r="M78" s="16"/>
      <c r="N78" s="32">
        <f>IF(H78=0,0,L78/H78)</f>
        <v>-0.48991158098737791</v>
      </c>
      <c r="O78" s="28"/>
      <c r="P78" s="34">
        <f>+P74-P76</f>
        <v>103406.79999999999</v>
      </c>
      <c r="Q78" s="14"/>
      <c r="R78" s="32">
        <f>IF(P$12=0,0,P78/P$12)</f>
        <v>13.678455732470173</v>
      </c>
      <c r="S78" s="14"/>
      <c r="T78" s="34">
        <f>+T74-T76</f>
        <v>138073.12243110576</v>
      </c>
      <c r="U78" s="14"/>
      <c r="V78" s="32">
        <f>IF(T$12=0,0,T78/T$12)</f>
        <v>12.006358472270065</v>
      </c>
      <c r="W78" s="16"/>
      <c r="X78" s="34">
        <f>P78-T78</f>
        <v>-34666.322431105771</v>
      </c>
      <c r="Y78" s="16"/>
      <c r="Z78" s="32">
        <f>IF(T78=0,0,X78/T78)</f>
        <v>-0.25107219870690761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5</v>
      </c>
      <c r="C81" s="29"/>
      <c r="D81" s="31">
        <f>SUM(D78:D80)</f>
        <v>17259.129999999997</v>
      </c>
      <c r="E81" s="14"/>
      <c r="F81" s="30">
        <f>IF(D$12=0,0,D81/D$12)</f>
        <v>1577.6170018281534</v>
      </c>
      <c r="G81" s="14"/>
      <c r="H81" s="31">
        <f>SUM(H78:H80)</f>
        <v>33835.565279855771</v>
      </c>
      <c r="I81" s="14"/>
      <c r="J81" s="30">
        <f>IF(H$12=0,0,H81/H$12)</f>
        <v>0</v>
      </c>
      <c r="K81" s="16"/>
      <c r="L81" s="31">
        <f>+D81-H81</f>
        <v>-16576.435279855774</v>
      </c>
      <c r="M81" s="16"/>
      <c r="N81" s="30">
        <f>IF(H81=0,0,L81/H81)</f>
        <v>-0.48991158098737791</v>
      </c>
      <c r="O81" s="28"/>
      <c r="P81" s="31">
        <f>SUM(P78:P80)</f>
        <v>103406.79999999999</v>
      </c>
      <c r="Q81" s="14"/>
      <c r="R81" s="30">
        <f>IF(P$12=0,0,P81/P$12)</f>
        <v>13.678455732470173</v>
      </c>
      <c r="S81" s="14"/>
      <c r="T81" s="31">
        <f>SUM(T78:T80)</f>
        <v>138073.12243110576</v>
      </c>
      <c r="U81" s="14"/>
      <c r="V81" s="30">
        <f>IF(T$12=0,0,T81/T$12)</f>
        <v>12.006358472270065</v>
      </c>
      <c r="W81" s="16"/>
      <c r="X81" s="31">
        <f>+P81-T81</f>
        <v>-34666.322431105771</v>
      </c>
      <c r="Y81" s="16"/>
      <c r="Z81" s="30">
        <f>IF(T81=0,0,X81/T81)</f>
        <v>-0.25107219870690761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6" x14ac:dyDescent="0.25">
      <c r="A83" s="9"/>
      <c r="B83" s="63">
        <v>43879.546301192131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7" t="s">
        <v>314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60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311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215124.26000000007</v>
      </c>
      <c r="E12" s="4"/>
      <c r="F12" s="12"/>
      <c r="G12" s="4"/>
      <c r="H12" s="4">
        <f>SUM(OSRRefH13x_0)</f>
        <v>293922</v>
      </c>
      <c r="I12" s="4"/>
      <c r="J12" s="12"/>
      <c r="K12" s="4"/>
      <c r="L12" s="4">
        <f t="shared" ref="L12:L38" si="0">+D12-H12</f>
        <v>-78797.739999999932</v>
      </c>
      <c r="M12" s="4"/>
      <c r="N12" s="12">
        <f t="shared" ref="N12:N38" si="1">IF(H12=0,0,L12/H12)</f>
        <v>-0.26809064990031345</v>
      </c>
      <c r="O12" s="10"/>
      <c r="P12" s="4">
        <f>SUM(OSRRefP13x_0)</f>
        <v>1798506.0199999998</v>
      </c>
      <c r="Q12" s="4"/>
      <c r="R12" s="12"/>
      <c r="S12" s="4"/>
      <c r="T12" s="4">
        <f>SUM(OSRRefT13x_0)</f>
        <v>1715899</v>
      </c>
      <c r="U12" s="4"/>
      <c r="V12" s="12"/>
      <c r="W12" s="4"/>
      <c r="X12" s="4">
        <f t="shared" ref="X12:X38" si="2">+P12-T12</f>
        <v>82607.019999999786</v>
      </c>
      <c r="Y12" s="4"/>
      <c r="Z12" s="12">
        <f t="shared" ref="Z12:Z38" si="3">IF(T12=0,0,X12/T12)</f>
        <v>4.8142122584137984E-2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258650.99999999997</v>
      </c>
      <c r="I13" s="2"/>
      <c r="J13" s="19"/>
      <c r="K13" s="2"/>
      <c r="L13" s="2">
        <f t="shared" si="0"/>
        <v>-258650.99999999997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1509990</v>
      </c>
      <c r="U13" s="2"/>
      <c r="V13" s="19"/>
      <c r="W13" s="2"/>
      <c r="X13" s="2">
        <f t="shared" si="2"/>
        <v>-1509990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--27353.95</f>
        <v>27353.95</v>
      </c>
      <c r="E14" s="2"/>
      <c r="F14" s="19"/>
      <c r="G14" s="2"/>
      <c r="H14" s="2"/>
      <c r="I14" s="2"/>
      <c r="J14" s="19"/>
      <c r="K14" s="2"/>
      <c r="L14" s="2">
        <f t="shared" si="0"/>
        <v>27353.95</v>
      </c>
      <c r="M14" s="2"/>
      <c r="N14" s="19">
        <f t="shared" si="1"/>
        <v>0</v>
      </c>
      <c r="O14" s="11"/>
      <c r="P14" s="2">
        <f>--271489</f>
        <v>271489</v>
      </c>
      <c r="Q14" s="2"/>
      <c r="R14" s="19"/>
      <c r="S14" s="2"/>
      <c r="T14" s="2"/>
      <c r="U14" s="2"/>
      <c r="V14" s="19"/>
      <c r="W14" s="2"/>
      <c r="X14" s="2">
        <f t="shared" si="2"/>
        <v>271489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--164778.22</f>
        <v>164778.22</v>
      </c>
      <c r="E15" s="2"/>
      <c r="F15" s="19"/>
      <c r="G15" s="2"/>
      <c r="H15" s="2"/>
      <c r="I15" s="2"/>
      <c r="J15" s="19"/>
      <c r="K15" s="2"/>
      <c r="L15" s="2">
        <f t="shared" si="0"/>
        <v>164778.22</v>
      </c>
      <c r="M15" s="2"/>
      <c r="N15" s="19">
        <f t="shared" si="1"/>
        <v>0</v>
      </c>
      <c r="O15" s="11"/>
      <c r="P15" s="2">
        <f>--1507113.48</f>
        <v>1507113.48</v>
      </c>
      <c r="Q15" s="2"/>
      <c r="R15" s="19"/>
      <c r="S15" s="2"/>
      <c r="T15" s="2"/>
      <c r="U15" s="2"/>
      <c r="V15" s="19"/>
      <c r="W15" s="2"/>
      <c r="X15" s="2">
        <f t="shared" si="2"/>
        <v>1507113.48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--13898.03</f>
        <v>13898.03</v>
      </c>
      <c r="E16" s="2"/>
      <c r="F16" s="19"/>
      <c r="G16" s="2"/>
      <c r="H16" s="2"/>
      <c r="I16" s="2"/>
      <c r="J16" s="19"/>
      <c r="K16" s="2"/>
      <c r="L16" s="2">
        <f t="shared" si="0"/>
        <v>13898.03</v>
      </c>
      <c r="M16" s="2"/>
      <c r="N16" s="19">
        <f t="shared" si="1"/>
        <v>0</v>
      </c>
      <c r="O16" s="11"/>
      <c r="P16" s="2">
        <f>--84329.23</f>
        <v>84329.23</v>
      </c>
      <c r="Q16" s="2"/>
      <c r="R16" s="19"/>
      <c r="S16" s="2"/>
      <c r="T16" s="2"/>
      <c r="U16" s="2"/>
      <c r="V16" s="19"/>
      <c r="W16" s="2"/>
      <c r="X16" s="2">
        <f t="shared" si="2"/>
        <v>84329.23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--4407.94</f>
        <v>4407.9399999999996</v>
      </c>
      <c r="Q18" s="2"/>
      <c r="R18" s="19"/>
      <c r="S18" s="2"/>
      <c r="T18" s="2"/>
      <c r="U18" s="2"/>
      <c r="V18" s="19"/>
      <c r="W18" s="2"/>
      <c r="X18" s="2">
        <f t="shared" si="2"/>
        <v>4407.9399999999996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--7282.64</f>
        <v>7282.64</v>
      </c>
      <c r="E19" s="2"/>
      <c r="F19" s="19"/>
      <c r="G19" s="2"/>
      <c r="H19" s="2"/>
      <c r="I19" s="2"/>
      <c r="J19" s="19"/>
      <c r="K19" s="2"/>
      <c r="L19" s="2">
        <f t="shared" si="0"/>
        <v>7282.64</v>
      </c>
      <c r="M19" s="2"/>
      <c r="N19" s="19">
        <f t="shared" si="1"/>
        <v>0</v>
      </c>
      <c r="O19" s="11"/>
      <c r="P19" s="2">
        <f>--40361.11</f>
        <v>40361.11</v>
      </c>
      <c r="Q19" s="2"/>
      <c r="R19" s="19"/>
      <c r="S19" s="2"/>
      <c r="T19" s="2"/>
      <c r="U19" s="2"/>
      <c r="V19" s="19"/>
      <c r="W19" s="2"/>
      <c r="X19" s="2">
        <f t="shared" si="2"/>
        <v>40361.11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--118.97</f>
        <v>118.97</v>
      </c>
      <c r="E20" s="2"/>
      <c r="F20" s="19"/>
      <c r="G20" s="2"/>
      <c r="H20" s="2"/>
      <c r="I20" s="2"/>
      <c r="J20" s="19"/>
      <c r="K20" s="2"/>
      <c r="L20" s="2">
        <f t="shared" si="0"/>
        <v>118.97</v>
      </c>
      <c r="M20" s="2"/>
      <c r="N20" s="19">
        <f t="shared" si="1"/>
        <v>0</v>
      </c>
      <c r="O20" s="11"/>
      <c r="P20" s="2">
        <f>--1055.88</f>
        <v>1055.8800000000001</v>
      </c>
      <c r="Q20" s="2"/>
      <c r="R20" s="19"/>
      <c r="S20" s="2"/>
      <c r="T20" s="2"/>
      <c r="U20" s="2"/>
      <c r="V20" s="19"/>
      <c r="W20" s="2"/>
      <c r="X20" s="2">
        <f t="shared" si="2"/>
        <v>1055.8800000000001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35271</v>
      </c>
      <c r="I21" s="2"/>
      <c r="J21" s="19"/>
      <c r="K21" s="2"/>
      <c r="L21" s="2">
        <f t="shared" si="0"/>
        <v>-35271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205909</v>
      </c>
      <c r="U21" s="2"/>
      <c r="V21" s="19"/>
      <c r="W21" s="2"/>
      <c r="X21" s="2">
        <f t="shared" si="2"/>
        <v>-205909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--343.91</f>
        <v>343.91</v>
      </c>
      <c r="E22" s="2"/>
      <c r="F22" s="19"/>
      <c r="G22" s="2"/>
      <c r="H22" s="2"/>
      <c r="I22" s="2"/>
      <c r="J22" s="19"/>
      <c r="K22" s="2"/>
      <c r="L22" s="2">
        <f t="shared" si="0"/>
        <v>343.91</v>
      </c>
      <c r="M22" s="2"/>
      <c r="N22" s="19">
        <f t="shared" si="1"/>
        <v>0</v>
      </c>
      <c r="O22" s="11"/>
      <c r="P22" s="2">
        <f>--1806.42</f>
        <v>1806.42</v>
      </c>
      <c r="Q22" s="2"/>
      <c r="R22" s="19"/>
      <c r="S22" s="2"/>
      <c r="T22" s="2"/>
      <c r="U22" s="2"/>
      <c r="V22" s="19"/>
      <c r="W22" s="2"/>
      <c r="X22" s="2">
        <f t="shared" si="2"/>
        <v>1806.42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--16176.97</f>
        <v>16176.97</v>
      </c>
      <c r="E23" s="2"/>
      <c r="F23" s="19"/>
      <c r="G23" s="2"/>
      <c r="H23" s="2"/>
      <c r="I23" s="2"/>
      <c r="J23" s="19"/>
      <c r="K23" s="2"/>
      <c r="L23" s="2">
        <f t="shared" si="0"/>
        <v>16176.97</v>
      </c>
      <c r="M23" s="2"/>
      <c r="N23" s="19">
        <f t="shared" si="1"/>
        <v>0</v>
      </c>
      <c r="O23" s="11"/>
      <c r="P23" s="2">
        <f>--86971.97</f>
        <v>86971.97</v>
      </c>
      <c r="Q23" s="2"/>
      <c r="R23" s="19"/>
      <c r="S23" s="2"/>
      <c r="T23" s="2"/>
      <c r="U23" s="2"/>
      <c r="V23" s="19"/>
      <c r="W23" s="2"/>
      <c r="X23" s="2">
        <f t="shared" si="2"/>
        <v>86971.97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--777.81</f>
        <v>777.81</v>
      </c>
      <c r="E24" s="2"/>
      <c r="F24" s="19"/>
      <c r="G24" s="2"/>
      <c r="H24" s="2"/>
      <c r="I24" s="2"/>
      <c r="J24" s="19"/>
      <c r="K24" s="2"/>
      <c r="L24" s="2">
        <f t="shared" si="0"/>
        <v>777.81</v>
      </c>
      <c r="M24" s="2"/>
      <c r="N24" s="19">
        <f t="shared" si="1"/>
        <v>0</v>
      </c>
      <c r="O24" s="11"/>
      <c r="P24" s="2">
        <f>--4349.44</f>
        <v>4349.4399999999996</v>
      </c>
      <c r="Q24" s="2"/>
      <c r="R24" s="19"/>
      <c r="S24" s="2"/>
      <c r="T24" s="2"/>
      <c r="U24" s="2"/>
      <c r="V24" s="19"/>
      <c r="W24" s="2"/>
      <c r="X24" s="2">
        <f t="shared" si="2"/>
        <v>4349.4399999999996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--2728</f>
        <v>2728</v>
      </c>
      <c r="Q25" s="2"/>
      <c r="R25" s="19"/>
      <c r="S25" s="2"/>
      <c r="T25" s="2"/>
      <c r="U25" s="2"/>
      <c r="V25" s="19"/>
      <c r="W25" s="2"/>
      <c r="X25" s="2">
        <f t="shared" si="2"/>
        <v>2728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--1925.98</f>
        <v>1925.98</v>
      </c>
      <c r="E26" s="2"/>
      <c r="F26" s="19"/>
      <c r="G26" s="2"/>
      <c r="H26" s="2"/>
      <c r="I26" s="2"/>
      <c r="J26" s="19"/>
      <c r="K26" s="2"/>
      <c r="L26" s="2">
        <f t="shared" si="0"/>
        <v>1925.98</v>
      </c>
      <c r="M26" s="2"/>
      <c r="N26" s="19">
        <f t="shared" si="1"/>
        <v>0</v>
      </c>
      <c r="O26" s="11"/>
      <c r="P26" s="2">
        <f>--11327.82</f>
        <v>11327.82</v>
      </c>
      <c r="Q26" s="2"/>
      <c r="R26" s="19"/>
      <c r="S26" s="2"/>
      <c r="T26" s="2"/>
      <c r="U26" s="2"/>
      <c r="V26" s="19"/>
      <c r="W26" s="2"/>
      <c r="X26" s="2">
        <f t="shared" si="2"/>
        <v>11327.82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--326.92</f>
        <v>326.92</v>
      </c>
      <c r="E27" s="2"/>
      <c r="F27" s="19"/>
      <c r="G27" s="2"/>
      <c r="H27" s="2"/>
      <c r="I27" s="2"/>
      <c r="J27" s="19"/>
      <c r="K27" s="2"/>
      <c r="L27" s="2">
        <f t="shared" si="0"/>
        <v>326.92</v>
      </c>
      <c r="M27" s="2"/>
      <c r="N27" s="19">
        <f t="shared" si="1"/>
        <v>0</v>
      </c>
      <c r="O27" s="11"/>
      <c r="P27" s="2">
        <f>--1980.28</f>
        <v>1980.28</v>
      </c>
      <c r="Q27" s="2"/>
      <c r="R27" s="19"/>
      <c r="S27" s="2"/>
      <c r="T27" s="2"/>
      <c r="U27" s="2"/>
      <c r="V27" s="19"/>
      <c r="W27" s="2"/>
      <c r="X27" s="2">
        <f t="shared" si="2"/>
        <v>1980.28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--219.96</f>
        <v>219.96</v>
      </c>
      <c r="Q28" s="2"/>
      <c r="R28" s="19"/>
      <c r="S28" s="2"/>
      <c r="T28" s="2"/>
      <c r="U28" s="2"/>
      <c r="V28" s="19"/>
      <c r="W28" s="2"/>
      <c r="X28" s="2">
        <f t="shared" si="2"/>
        <v>219.96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-642.85</f>
        <v>-642.85</v>
      </c>
      <c r="E29" s="2"/>
      <c r="F29" s="19"/>
      <c r="G29" s="2"/>
      <c r="H29" s="2"/>
      <c r="I29" s="2"/>
      <c r="J29" s="19"/>
      <c r="K29" s="2"/>
      <c r="L29" s="2">
        <f t="shared" si="0"/>
        <v>-642.85</v>
      </c>
      <c r="M29" s="2"/>
      <c r="N29" s="19">
        <f t="shared" si="1"/>
        <v>0</v>
      </c>
      <c r="O29" s="11"/>
      <c r="P29" s="2">
        <f>-6449.84</f>
        <v>-6449.84</v>
      </c>
      <c r="Q29" s="2"/>
      <c r="R29" s="19"/>
      <c r="S29" s="2"/>
      <c r="T29" s="2"/>
      <c r="U29" s="2"/>
      <c r="V29" s="19"/>
      <c r="W29" s="2"/>
      <c r="X29" s="2">
        <f t="shared" si="2"/>
        <v>-6449.84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-15229.61</f>
        <v>-15229.61</v>
      </c>
      <c r="E30" s="2"/>
      <c r="F30" s="19"/>
      <c r="G30" s="2"/>
      <c r="H30" s="2"/>
      <c r="I30" s="2"/>
      <c r="J30" s="19"/>
      <c r="K30" s="2"/>
      <c r="L30" s="2">
        <f t="shared" si="0"/>
        <v>-15229.61</v>
      </c>
      <c r="M30" s="2"/>
      <c r="N30" s="19">
        <f t="shared" si="1"/>
        <v>0</v>
      </c>
      <c r="O30" s="11"/>
      <c r="P30" s="2">
        <f>-202883.19</f>
        <v>-202883.19</v>
      </c>
      <c r="Q30" s="2"/>
      <c r="R30" s="19"/>
      <c r="S30" s="2"/>
      <c r="T30" s="2"/>
      <c r="U30" s="2"/>
      <c r="V30" s="19"/>
      <c r="W30" s="2"/>
      <c r="X30" s="2">
        <f t="shared" si="2"/>
        <v>-202883.19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-1632.57</f>
        <v>-1632.57</v>
      </c>
      <c r="E31" s="2"/>
      <c r="F31" s="19"/>
      <c r="G31" s="2"/>
      <c r="H31" s="2"/>
      <c r="I31" s="2"/>
      <c r="J31" s="19"/>
      <c r="K31" s="2"/>
      <c r="L31" s="2">
        <f t="shared" si="0"/>
        <v>-1632.57</v>
      </c>
      <c r="M31" s="2"/>
      <c r="N31" s="19">
        <f t="shared" si="1"/>
        <v>0</v>
      </c>
      <c r="O31" s="11"/>
      <c r="P31" s="2">
        <f>-4914.72</f>
        <v>-4914.72</v>
      </c>
      <c r="Q31" s="2"/>
      <c r="R31" s="19"/>
      <c r="S31" s="2"/>
      <c r="T31" s="2"/>
      <c r="U31" s="2"/>
      <c r="V31" s="19"/>
      <c r="W31" s="2"/>
      <c r="X31" s="2">
        <f t="shared" si="2"/>
        <v>-4914.72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 t="shared" ref="D32:D33" si="5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 t="shared" si="5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-655.98</f>
        <v>-655.98</v>
      </c>
      <c r="Q33" s="2"/>
      <c r="R33" s="19"/>
      <c r="S33" s="2"/>
      <c r="T33" s="2"/>
      <c r="U33" s="2"/>
      <c r="V33" s="19"/>
      <c r="W33" s="2"/>
      <c r="X33" s="2">
        <f t="shared" si="2"/>
        <v>-655.98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>-304.12</f>
        <v>-304.12</v>
      </c>
      <c r="E34" s="2"/>
      <c r="F34" s="19"/>
      <c r="G34" s="2"/>
      <c r="H34" s="2"/>
      <c r="I34" s="2"/>
      <c r="J34" s="19"/>
      <c r="K34" s="2"/>
      <c r="L34" s="2">
        <f t="shared" si="0"/>
        <v>-304.12</v>
      </c>
      <c r="M34" s="2"/>
      <c r="N34" s="19">
        <f t="shared" si="1"/>
        <v>0</v>
      </c>
      <c r="O34" s="11"/>
      <c r="P34" s="2">
        <f>-3292.01</f>
        <v>-3292.01</v>
      </c>
      <c r="Q34" s="2"/>
      <c r="R34" s="19"/>
      <c r="S34" s="2"/>
      <c r="T34" s="2"/>
      <c r="U34" s="2"/>
      <c r="V34" s="19"/>
      <c r="W34" s="2"/>
      <c r="X34" s="2">
        <f t="shared" si="2"/>
        <v>-3292.01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 t="shared" ref="D35:D37" si="6"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-3.99</f>
        <v>-3.99</v>
      </c>
      <c r="Q35" s="2"/>
      <c r="R35" s="19"/>
      <c r="S35" s="2"/>
      <c r="T35" s="2"/>
      <c r="U35" s="2"/>
      <c r="V35" s="19"/>
      <c r="W35" s="2"/>
      <c r="X35" s="2">
        <f t="shared" si="2"/>
        <v>-3.99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 t="shared" si="6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 t="shared" si="6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>-49.99</f>
        <v>-49.99</v>
      </c>
      <c r="E38" s="2"/>
      <c r="F38" s="19"/>
      <c r="G38" s="2"/>
      <c r="H38" s="2"/>
      <c r="I38" s="2"/>
      <c r="J38" s="19"/>
      <c r="K38" s="2"/>
      <c r="L38" s="2">
        <f t="shared" si="0"/>
        <v>-49.99</v>
      </c>
      <c r="M38" s="2"/>
      <c r="N38" s="19">
        <f t="shared" si="1"/>
        <v>0</v>
      </c>
      <c r="O38" s="11"/>
      <c r="P38" s="2">
        <f>-104.96</f>
        <v>-104.96</v>
      </c>
      <c r="Q38" s="2"/>
      <c r="R38" s="19"/>
      <c r="S38" s="2"/>
      <c r="T38" s="2"/>
      <c r="U38" s="2"/>
      <c r="V38" s="19"/>
      <c r="W38" s="2"/>
      <c r="X38" s="2">
        <f t="shared" si="2"/>
        <v>-104.96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8" t="s">
        <v>8</v>
      </c>
      <c r="C40" s="10"/>
      <c r="D40" s="4">
        <f>SUM(OSRRefD16x_0)</f>
        <v>181262.43</v>
      </c>
      <c r="E40" s="4"/>
      <c r="F40" s="12">
        <f t="shared" ref="F40:F54" si="7">IF(D$12=0,0,D40/D$12)</f>
        <v>0.84259408957409054</v>
      </c>
      <c r="G40" s="4"/>
      <c r="H40" s="4">
        <f>SUM(OSRRefH16x_0)</f>
        <v>229542</v>
      </c>
      <c r="I40" s="4"/>
      <c r="J40" s="12">
        <f t="shared" ref="J40:J54" si="8">IF(H$12=0,0,H40/H$12)</f>
        <v>0.78096229611937862</v>
      </c>
      <c r="K40" s="4"/>
      <c r="L40" s="4">
        <f t="shared" ref="L40:L54" si="9">+D40-H40</f>
        <v>-48279.570000000007</v>
      </c>
      <c r="M40" s="4"/>
      <c r="N40" s="12">
        <f t="shared" ref="N40:N54" si="10">IF(H40=0,0,L40/H40)</f>
        <v>-0.21033000496641141</v>
      </c>
      <c r="O40" s="10"/>
      <c r="P40" s="4">
        <f>SUM(OSRRefP16x_0)</f>
        <v>1588309.2800000005</v>
      </c>
      <c r="Q40" s="4"/>
      <c r="R40" s="12">
        <f t="shared" ref="R40:R54" si="11">IF(P$12=0,0,P40/P$12)</f>
        <v>0.88312703006687776</v>
      </c>
      <c r="S40" s="4"/>
      <c r="T40" s="4">
        <f>SUM(OSRRefT16x_0)</f>
        <v>1340054</v>
      </c>
      <c r="U40" s="4"/>
      <c r="V40" s="12">
        <f t="shared" ref="V40:V54" si="12">IF(T$12=0,0,T40/T$12)</f>
        <v>0.78096321520089473</v>
      </c>
      <c r="W40" s="4"/>
      <c r="X40" s="4">
        <f t="shared" ref="X40:X54" si="13">+P40-T40</f>
        <v>248255.28000000049</v>
      </c>
      <c r="Y40" s="4"/>
      <c r="Z40" s="12">
        <f t="shared" ref="Z40:Z54" si="14">IF(T40=0,0,X40/T40)</f>
        <v>0.18525766872081312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7"/>
        <v>0</v>
      </c>
      <c r="G41" s="2"/>
      <c r="H41" s="2">
        <v>229542</v>
      </c>
      <c r="I41" s="2"/>
      <c r="J41" s="19">
        <f t="shared" si="8"/>
        <v>0.78096229611937862</v>
      </c>
      <c r="K41" s="2"/>
      <c r="L41" s="2">
        <f t="shared" si="9"/>
        <v>-229542</v>
      </c>
      <c r="M41" s="2"/>
      <c r="N41" s="19">
        <f t="shared" si="10"/>
        <v>-1</v>
      </c>
      <c r="O41" s="11"/>
      <c r="P41" s="2"/>
      <c r="Q41" s="2"/>
      <c r="R41" s="19">
        <f t="shared" si="11"/>
        <v>0</v>
      </c>
      <c r="S41" s="2"/>
      <c r="T41" s="2">
        <v>1340054</v>
      </c>
      <c r="U41" s="2"/>
      <c r="V41" s="19">
        <f t="shared" si="12"/>
        <v>0.78096321520089473</v>
      </c>
      <c r="W41" s="2"/>
      <c r="X41" s="2">
        <f t="shared" si="13"/>
        <v>-1340054</v>
      </c>
      <c r="Y41" s="2"/>
      <c r="Z41" s="19">
        <f t="shared" si="14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32346.16</v>
      </c>
      <c r="E42" s="2"/>
      <c r="F42" s="19">
        <f t="shared" si="7"/>
        <v>0.15036035452254426</v>
      </c>
      <c r="G42" s="2"/>
      <c r="H42" s="2"/>
      <c r="I42" s="2"/>
      <c r="J42" s="19">
        <f t="shared" si="8"/>
        <v>0</v>
      </c>
      <c r="K42" s="2"/>
      <c r="L42" s="2">
        <f t="shared" si="9"/>
        <v>32346.16</v>
      </c>
      <c r="M42" s="2"/>
      <c r="N42" s="19">
        <f t="shared" si="10"/>
        <v>0</v>
      </c>
      <c r="O42" s="11"/>
      <c r="P42" s="2">
        <v>219755.59</v>
      </c>
      <c r="Q42" s="2"/>
      <c r="R42" s="19">
        <f t="shared" si="11"/>
        <v>0.12218785344960927</v>
      </c>
      <c r="S42" s="2"/>
      <c r="T42" s="2"/>
      <c r="U42" s="2"/>
      <c r="V42" s="19">
        <f t="shared" si="12"/>
        <v>0</v>
      </c>
      <c r="W42" s="2"/>
      <c r="X42" s="2">
        <f t="shared" si="13"/>
        <v>219755.59</v>
      </c>
      <c r="Y42" s="2"/>
      <c r="Z42" s="19">
        <f t="shared" si="14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159135.18</v>
      </c>
      <c r="E43" s="2"/>
      <c r="F43" s="19">
        <f t="shared" si="7"/>
        <v>0.73973609485048286</v>
      </c>
      <c r="G43" s="2"/>
      <c r="H43" s="2"/>
      <c r="I43" s="2"/>
      <c r="J43" s="19">
        <f t="shared" si="8"/>
        <v>0</v>
      </c>
      <c r="K43" s="2"/>
      <c r="L43" s="2">
        <f t="shared" si="9"/>
        <v>159135.18</v>
      </c>
      <c r="M43" s="2"/>
      <c r="N43" s="19">
        <f t="shared" si="10"/>
        <v>0</v>
      </c>
      <c r="O43" s="11"/>
      <c r="P43" s="2">
        <v>1167313.1600000001</v>
      </c>
      <c r="Q43" s="2"/>
      <c r="R43" s="19">
        <f t="shared" si="11"/>
        <v>0.64904601208952317</v>
      </c>
      <c r="S43" s="2"/>
      <c r="T43" s="2"/>
      <c r="U43" s="2"/>
      <c r="V43" s="19">
        <f t="shared" si="12"/>
        <v>0</v>
      </c>
      <c r="W43" s="2"/>
      <c r="X43" s="2">
        <f t="shared" si="13"/>
        <v>1167313.1600000001</v>
      </c>
      <c r="Y43" s="2"/>
      <c r="Z43" s="19">
        <f t="shared" si="14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10446.64</v>
      </c>
      <c r="E44" s="2"/>
      <c r="F44" s="19">
        <f t="shared" si="7"/>
        <v>4.8560957281154601E-2</v>
      </c>
      <c r="G44" s="2"/>
      <c r="H44" s="2"/>
      <c r="I44" s="2"/>
      <c r="J44" s="19">
        <f t="shared" si="8"/>
        <v>0</v>
      </c>
      <c r="K44" s="2"/>
      <c r="L44" s="2">
        <f t="shared" si="9"/>
        <v>10446.64</v>
      </c>
      <c r="M44" s="2"/>
      <c r="N44" s="19">
        <f t="shared" si="10"/>
        <v>0</v>
      </c>
      <c r="O44" s="11"/>
      <c r="P44" s="2">
        <v>64898.07</v>
      </c>
      <c r="Q44" s="2"/>
      <c r="R44" s="19">
        <f t="shared" si="11"/>
        <v>3.6084433011794981E-2</v>
      </c>
      <c r="S44" s="2"/>
      <c r="T44" s="2"/>
      <c r="U44" s="2"/>
      <c r="V44" s="19">
        <f t="shared" si="12"/>
        <v>0</v>
      </c>
      <c r="W44" s="2"/>
      <c r="X44" s="2">
        <f t="shared" si="13"/>
        <v>64898.07</v>
      </c>
      <c r="Y44" s="2"/>
      <c r="Z44" s="19">
        <f t="shared" si="14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/>
      <c r="E45" s="2"/>
      <c r="F45" s="19">
        <f t="shared" si="7"/>
        <v>0</v>
      </c>
      <c r="G45" s="2"/>
      <c r="H45" s="2"/>
      <c r="I45" s="2"/>
      <c r="J45" s="19">
        <f t="shared" si="8"/>
        <v>0</v>
      </c>
      <c r="K45" s="2"/>
      <c r="L45" s="2">
        <f t="shared" si="9"/>
        <v>0</v>
      </c>
      <c r="M45" s="2"/>
      <c r="N45" s="19">
        <f t="shared" si="10"/>
        <v>0</v>
      </c>
      <c r="O45" s="11"/>
      <c r="P45" s="2">
        <v>2728</v>
      </c>
      <c r="Q45" s="2"/>
      <c r="R45" s="19">
        <f t="shared" si="11"/>
        <v>1.5168144947326895E-3</v>
      </c>
      <c r="S45" s="2"/>
      <c r="T45" s="2"/>
      <c r="U45" s="2"/>
      <c r="V45" s="19">
        <f t="shared" si="12"/>
        <v>0</v>
      </c>
      <c r="W45" s="2"/>
      <c r="X45" s="2">
        <f t="shared" si="13"/>
        <v>2728</v>
      </c>
      <c r="Y45" s="2"/>
      <c r="Z45" s="19">
        <f t="shared" si="14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/>
      <c r="E46" s="2"/>
      <c r="F46" s="19">
        <f t="shared" si="7"/>
        <v>0</v>
      </c>
      <c r="G46" s="2"/>
      <c r="H46" s="2"/>
      <c r="I46" s="2"/>
      <c r="J46" s="19">
        <f t="shared" si="8"/>
        <v>0</v>
      </c>
      <c r="K46" s="2"/>
      <c r="L46" s="2">
        <f t="shared" si="9"/>
        <v>0</v>
      </c>
      <c r="M46" s="2"/>
      <c r="N46" s="19">
        <f t="shared" si="10"/>
        <v>0</v>
      </c>
      <c r="O46" s="11"/>
      <c r="P46" s="2">
        <v>7860.66</v>
      </c>
      <c r="Q46" s="2"/>
      <c r="R46" s="19">
        <f t="shared" si="11"/>
        <v>4.3706609333451106E-3</v>
      </c>
      <c r="S46" s="2"/>
      <c r="T46" s="2"/>
      <c r="U46" s="2"/>
      <c r="V46" s="19">
        <f t="shared" si="12"/>
        <v>0</v>
      </c>
      <c r="W46" s="2"/>
      <c r="X46" s="2">
        <f t="shared" si="13"/>
        <v>7860.66</v>
      </c>
      <c r="Y46" s="2"/>
      <c r="Z46" s="19">
        <f t="shared" si="14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>
        <v>4327.1400000000003</v>
      </c>
      <c r="E47" s="2"/>
      <c r="F47" s="19">
        <f t="shared" si="7"/>
        <v>2.0114607250711746E-2</v>
      </c>
      <c r="G47" s="2"/>
      <c r="H47" s="2"/>
      <c r="I47" s="2"/>
      <c r="J47" s="19">
        <f t="shared" si="8"/>
        <v>0</v>
      </c>
      <c r="K47" s="2"/>
      <c r="L47" s="2">
        <f t="shared" si="9"/>
        <v>4327.1400000000003</v>
      </c>
      <c r="M47" s="2"/>
      <c r="N47" s="19">
        <f t="shared" si="10"/>
        <v>0</v>
      </c>
      <c r="O47" s="11"/>
      <c r="P47" s="2">
        <v>24931.52</v>
      </c>
      <c r="Q47" s="2"/>
      <c r="R47" s="19">
        <f t="shared" si="11"/>
        <v>1.3862350040952326E-2</v>
      </c>
      <c r="S47" s="2"/>
      <c r="T47" s="2"/>
      <c r="U47" s="2"/>
      <c r="V47" s="19">
        <f t="shared" si="12"/>
        <v>0</v>
      </c>
      <c r="W47" s="2"/>
      <c r="X47" s="2">
        <f t="shared" si="13"/>
        <v>24931.52</v>
      </c>
      <c r="Y47" s="2"/>
      <c r="Z47" s="19">
        <f t="shared" si="14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/>
      <c r="E48" s="2"/>
      <c r="F48" s="19">
        <f t="shared" si="7"/>
        <v>0</v>
      </c>
      <c r="G48" s="2"/>
      <c r="H48" s="2"/>
      <c r="I48" s="2"/>
      <c r="J48" s="19">
        <f t="shared" si="8"/>
        <v>0</v>
      </c>
      <c r="K48" s="2"/>
      <c r="L48" s="2">
        <f t="shared" si="9"/>
        <v>0</v>
      </c>
      <c r="M48" s="2"/>
      <c r="N48" s="19">
        <f t="shared" si="10"/>
        <v>0</v>
      </c>
      <c r="O48" s="11"/>
      <c r="P48" s="2">
        <v>88.75</v>
      </c>
      <c r="Q48" s="2"/>
      <c r="R48" s="19">
        <f t="shared" si="11"/>
        <v>4.9346512612729545E-5</v>
      </c>
      <c r="S48" s="2"/>
      <c r="T48" s="2"/>
      <c r="U48" s="2"/>
      <c r="V48" s="19">
        <f t="shared" si="12"/>
        <v>0</v>
      </c>
      <c r="W48" s="2"/>
      <c r="X48" s="2">
        <f t="shared" si="13"/>
        <v>88.75</v>
      </c>
      <c r="Y48" s="2"/>
      <c r="Z48" s="19">
        <f t="shared" si="14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-206288</v>
      </c>
      <c r="E49" s="2"/>
      <c r="F49" s="19">
        <f t="shared" si="7"/>
        <v>-0.95892485580194409</v>
      </c>
      <c r="G49" s="2"/>
      <c r="H49" s="2"/>
      <c r="I49" s="2"/>
      <c r="J49" s="19">
        <f t="shared" si="8"/>
        <v>0</v>
      </c>
      <c r="K49" s="2"/>
      <c r="L49" s="2">
        <f t="shared" si="9"/>
        <v>-206288</v>
      </c>
      <c r="M49" s="2"/>
      <c r="N49" s="19">
        <f t="shared" si="10"/>
        <v>0</v>
      </c>
      <c r="O49" s="11"/>
      <c r="P49" s="2">
        <v>-1487929</v>
      </c>
      <c r="Q49" s="2"/>
      <c r="R49" s="19">
        <f t="shared" si="11"/>
        <v>-0.82731388355319502</v>
      </c>
      <c r="S49" s="2"/>
      <c r="T49" s="2"/>
      <c r="U49" s="2"/>
      <c r="V49" s="19">
        <f t="shared" si="12"/>
        <v>0</v>
      </c>
      <c r="W49" s="2"/>
      <c r="X49" s="2">
        <f t="shared" si="13"/>
        <v>-1487929</v>
      </c>
      <c r="Y49" s="2"/>
      <c r="Z49" s="19">
        <f t="shared" si="14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181262</v>
      </c>
      <c r="E50" s="2"/>
      <c r="F50" s="19">
        <f t="shared" si="7"/>
        <v>0.84259209072932983</v>
      </c>
      <c r="G50" s="2"/>
      <c r="H50" s="2"/>
      <c r="I50" s="2"/>
      <c r="J50" s="19">
        <f t="shared" si="8"/>
        <v>0</v>
      </c>
      <c r="K50" s="2"/>
      <c r="L50" s="2">
        <f t="shared" si="9"/>
        <v>181262</v>
      </c>
      <c r="M50" s="2"/>
      <c r="N50" s="19">
        <f t="shared" si="10"/>
        <v>0</v>
      </c>
      <c r="O50" s="11"/>
      <c r="P50" s="2">
        <v>1588307</v>
      </c>
      <c r="Q50" s="2"/>
      <c r="R50" s="19">
        <f t="shared" si="11"/>
        <v>0.88312576234801832</v>
      </c>
      <c r="S50" s="2"/>
      <c r="T50" s="2"/>
      <c r="U50" s="2"/>
      <c r="V50" s="19">
        <f t="shared" si="12"/>
        <v>0</v>
      </c>
      <c r="W50" s="2"/>
      <c r="X50" s="2">
        <f t="shared" si="13"/>
        <v>1588307</v>
      </c>
      <c r="Y50" s="2"/>
      <c r="Z50" s="19">
        <f t="shared" si="14"/>
        <v>0</v>
      </c>
    </row>
    <row r="51" spans="1:26" s="24" customFormat="1" hidden="1" outlineLevel="1" x14ac:dyDescent="0.25">
      <c r="A51" s="44"/>
      <c r="B51" s="11" t="str">
        <f>CONCATENATE("          ", "5581", " - ", "FREIGHT-IN-ELECTRONICS")</f>
        <v xml:space="preserve">          5581 - FREIGHT-IN-ELECTRONICS</v>
      </c>
      <c r="C51" s="11"/>
      <c r="D51" s="2"/>
      <c r="E51" s="2"/>
      <c r="F51" s="19">
        <f t="shared" si="7"/>
        <v>0</v>
      </c>
      <c r="G51" s="2"/>
      <c r="H51" s="2"/>
      <c r="I51" s="2"/>
      <c r="J51" s="19">
        <f t="shared" si="8"/>
        <v>0</v>
      </c>
      <c r="K51" s="2"/>
      <c r="L51" s="2">
        <f t="shared" si="9"/>
        <v>0</v>
      </c>
      <c r="M51" s="2"/>
      <c r="N51" s="19">
        <f t="shared" si="10"/>
        <v>0</v>
      </c>
      <c r="O51" s="11"/>
      <c r="P51" s="2">
        <v>105.75</v>
      </c>
      <c r="Q51" s="2"/>
      <c r="R51" s="19">
        <f t="shared" si="11"/>
        <v>5.8798802352632666E-5</v>
      </c>
      <c r="S51" s="2"/>
      <c r="T51" s="2"/>
      <c r="U51" s="2"/>
      <c r="V51" s="19">
        <f t="shared" si="12"/>
        <v>0</v>
      </c>
      <c r="W51" s="2"/>
      <c r="X51" s="2">
        <f t="shared" si="13"/>
        <v>105.75</v>
      </c>
      <c r="Y51" s="2"/>
      <c r="Z51" s="19">
        <f t="shared" si="14"/>
        <v>0</v>
      </c>
    </row>
    <row r="52" spans="1:26" s="24" customFormat="1" hidden="1" outlineLevel="1" x14ac:dyDescent="0.25">
      <c r="A52" s="44"/>
      <c r="B52" s="11" t="str">
        <f>CONCATENATE("          ", "5582", " - ", "FREIGHT-IN-COMPUTER HARDWARE")</f>
        <v xml:space="preserve">          5582 - FREIGHT-IN-COMPUTER HARDWARE</v>
      </c>
      <c r="C52" s="11"/>
      <c r="D52" s="2"/>
      <c r="E52" s="2"/>
      <c r="F52" s="19">
        <f t="shared" si="7"/>
        <v>0</v>
      </c>
      <c r="G52" s="2"/>
      <c r="H52" s="2"/>
      <c r="I52" s="2"/>
      <c r="J52" s="19">
        <f t="shared" si="8"/>
        <v>0</v>
      </c>
      <c r="K52" s="2"/>
      <c r="L52" s="2">
        <f t="shared" si="9"/>
        <v>0</v>
      </c>
      <c r="M52" s="2"/>
      <c r="N52" s="19">
        <f t="shared" si="10"/>
        <v>0</v>
      </c>
      <c r="O52" s="11"/>
      <c r="P52" s="2">
        <v>4.84</v>
      </c>
      <c r="Q52" s="2"/>
      <c r="R52" s="19">
        <f t="shared" si="11"/>
        <v>2.6911224906547717E-6</v>
      </c>
      <c r="S52" s="2"/>
      <c r="T52" s="2"/>
      <c r="U52" s="2"/>
      <c r="V52" s="19">
        <f t="shared" si="12"/>
        <v>0</v>
      </c>
      <c r="W52" s="2"/>
      <c r="X52" s="2">
        <f t="shared" si="13"/>
        <v>4.84</v>
      </c>
      <c r="Y52" s="2"/>
      <c r="Z52" s="19">
        <f t="shared" si="14"/>
        <v>0</v>
      </c>
    </row>
    <row r="53" spans="1:26" s="24" customFormat="1" hidden="1" outlineLevel="1" x14ac:dyDescent="0.25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/>
      <c r="E53" s="2"/>
      <c r="F53" s="19">
        <f t="shared" si="7"/>
        <v>0</v>
      </c>
      <c r="G53" s="2"/>
      <c r="H53" s="2"/>
      <c r="I53" s="2"/>
      <c r="J53" s="19">
        <f t="shared" si="8"/>
        <v>0</v>
      </c>
      <c r="K53" s="2"/>
      <c r="L53" s="2">
        <f t="shared" si="9"/>
        <v>0</v>
      </c>
      <c r="M53" s="2"/>
      <c r="N53" s="19">
        <f t="shared" si="10"/>
        <v>0</v>
      </c>
      <c r="O53" s="11"/>
      <c r="P53" s="2">
        <v>49.12</v>
      </c>
      <c r="Q53" s="2"/>
      <c r="R53" s="19">
        <f t="shared" si="11"/>
        <v>2.731155717788479E-5</v>
      </c>
      <c r="S53" s="2"/>
      <c r="T53" s="2"/>
      <c r="U53" s="2"/>
      <c r="V53" s="19">
        <f t="shared" si="12"/>
        <v>0</v>
      </c>
      <c r="W53" s="2"/>
      <c r="X53" s="2">
        <f t="shared" si="13"/>
        <v>49.12</v>
      </c>
      <c r="Y53" s="2"/>
      <c r="Z53" s="19">
        <f t="shared" si="14"/>
        <v>0</v>
      </c>
    </row>
    <row r="54" spans="1:26" s="24" customFormat="1" hidden="1" outlineLevel="1" x14ac:dyDescent="0.25">
      <c r="A54" s="44"/>
      <c r="B54" s="11" t="str">
        <f>CONCATENATE("          ", "5586", " - ", "FREIGHT-IN-COMPUTER SUPPLIES")</f>
        <v xml:space="preserve">          5586 - FREIGHT-IN-COMPUTER SUPPLIES</v>
      </c>
      <c r="C54" s="11"/>
      <c r="D54" s="2">
        <v>33.31</v>
      </c>
      <c r="E54" s="2"/>
      <c r="F54" s="19">
        <f t="shared" si="7"/>
        <v>1.5484074181126755E-4</v>
      </c>
      <c r="G54" s="2"/>
      <c r="H54" s="2"/>
      <c r="I54" s="2"/>
      <c r="J54" s="19">
        <f t="shared" si="8"/>
        <v>0</v>
      </c>
      <c r="K54" s="2"/>
      <c r="L54" s="2">
        <f t="shared" si="9"/>
        <v>33.31</v>
      </c>
      <c r="M54" s="2"/>
      <c r="N54" s="19">
        <f t="shared" si="10"/>
        <v>0</v>
      </c>
      <c r="O54" s="11"/>
      <c r="P54" s="2">
        <v>195.82</v>
      </c>
      <c r="Q54" s="2"/>
      <c r="R54" s="19">
        <f t="shared" si="11"/>
        <v>1.0887925746281351E-4</v>
      </c>
      <c r="S54" s="2"/>
      <c r="T54" s="2"/>
      <c r="U54" s="2"/>
      <c r="V54" s="19">
        <f t="shared" si="12"/>
        <v>0</v>
      </c>
      <c r="W54" s="2"/>
      <c r="X54" s="2">
        <f t="shared" si="13"/>
        <v>195.82</v>
      </c>
      <c r="Y54" s="2"/>
      <c r="Z54" s="19">
        <f t="shared" si="14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9" t="s">
        <v>6</v>
      </c>
      <c r="C56" s="29"/>
      <c r="D56" s="21">
        <f>D12-D40</f>
        <v>33861.830000000075</v>
      </c>
      <c r="E56" s="14"/>
      <c r="F56" s="20">
        <f>IF(D$12=0,0,D56/D$12)</f>
        <v>0.15740591042590948</v>
      </c>
      <c r="G56" s="14"/>
      <c r="H56" s="21">
        <f>H12-H40</f>
        <v>64380</v>
      </c>
      <c r="I56" s="14"/>
      <c r="J56" s="20">
        <f>IF(H$12=0,0,H56/H$12)</f>
        <v>0.21903770388062138</v>
      </c>
      <c r="K56" s="16"/>
      <c r="L56" s="21">
        <f>+D56-H56</f>
        <v>-30518.169999999925</v>
      </c>
      <c r="M56" s="16"/>
      <c r="N56" s="20">
        <f>IF(H56=0,0,L56/H56)</f>
        <v>-0.47403184218701344</v>
      </c>
      <c r="O56" s="28"/>
      <c r="P56" s="21">
        <f>P12-P40</f>
        <v>210196.73999999929</v>
      </c>
      <c r="Q56" s="14"/>
      <c r="R56" s="20">
        <f>IF(P$12=0,0,P56/P$12)</f>
        <v>0.11687296993312223</v>
      </c>
      <c r="S56" s="14"/>
      <c r="T56" s="21">
        <f>T12-T40</f>
        <v>375845</v>
      </c>
      <c r="U56" s="14"/>
      <c r="V56" s="20">
        <f>IF(T$12=0,0,T56/T$12)</f>
        <v>0.21903678479910532</v>
      </c>
      <c r="W56" s="16"/>
      <c r="X56" s="21">
        <f>+P56-T56</f>
        <v>-165648.26000000071</v>
      </c>
      <c r="Y56" s="16"/>
      <c r="Z56" s="20">
        <f>IF(T56=0,0,X56/T56)</f>
        <v>-0.44073556918410706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8" t="s">
        <v>9</v>
      </c>
      <c r="C58" s="10"/>
      <c r="D58" s="22">
        <f>SUM(OSRRefD22x_0)</f>
        <v>17632.02</v>
      </c>
      <c r="E58" s="22"/>
      <c r="F58" s="35">
        <f t="shared" ref="F58:F69" si="15">IF(D$12=0,0,D58/D$12)</f>
        <v>8.1962025110510525E-2</v>
      </c>
      <c r="G58" s="22"/>
      <c r="H58" s="22">
        <f>SUM(OSRRefH22x_0)</f>
        <v>17447.266163196156</v>
      </c>
      <c r="I58" s="22"/>
      <c r="J58" s="35">
        <f t="shared" ref="J58:J69" si="16">IF(H$12=0,0,H58/H$12)</f>
        <v>5.9360191354155718E-2</v>
      </c>
      <c r="K58" s="4"/>
      <c r="L58" s="22">
        <f t="shared" ref="L58:L69" si="17">+D58-H58</f>
        <v>184.75383680384402</v>
      </c>
      <c r="M58" s="4"/>
      <c r="N58" s="35">
        <f t="shared" ref="N58:N69" si="18">IF(H58=0,0,L58/H58)</f>
        <v>1.0589271412249669E-2</v>
      </c>
      <c r="O58" s="10"/>
      <c r="P58" s="22">
        <f>SUM(OSRRefP22x_0)</f>
        <v>146065.96</v>
      </c>
      <c r="Q58" s="22"/>
      <c r="R58" s="35">
        <f t="shared" ref="R58:R69" si="19">IF(P$12=0,0,P58/P$12)</f>
        <v>8.1215163238652938E-2</v>
      </c>
      <c r="S58" s="22"/>
      <c r="T58" s="22">
        <f>SUM(OSRRefT22x_0)</f>
        <v>115347.03867035615</v>
      </c>
      <c r="U58" s="22"/>
      <c r="V58" s="35">
        <f t="shared" ref="V58:V69" si="20">IF(T$12=0,0,T58/T$12)</f>
        <v>6.7222510573382327E-2</v>
      </c>
      <c r="W58" s="4"/>
      <c r="X58" s="22">
        <f t="shared" ref="X58:X69" si="21">+P58-T58</f>
        <v>30718.921329643839</v>
      </c>
      <c r="Y58" s="4"/>
      <c r="Z58" s="35">
        <f t="shared" ref="Z58:Z69" si="22">IF(T58=0,0,X58/T58)</f>
        <v>0.26631738173559638</v>
      </c>
    </row>
    <row r="59" spans="1:26" s="27" customFormat="1" outlineLevel="1" collapsed="1" x14ac:dyDescent="0.25">
      <c r="A59" s="26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3177.6899999999996</v>
      </c>
      <c r="E59" s="1"/>
      <c r="F59" s="5">
        <f t="shared" si="15"/>
        <v>1.4771416296795157E-2</v>
      </c>
      <c r="G59" s="1"/>
      <c r="H59" s="1">
        <f>SUM(OSRRefH22_0x_0)</f>
        <v>2654.071424734615</v>
      </c>
      <c r="I59" s="1"/>
      <c r="J59" s="5">
        <f t="shared" si="16"/>
        <v>9.0298494999850806E-3</v>
      </c>
      <c r="K59" s="1"/>
      <c r="L59" s="1">
        <f t="shared" si="17"/>
        <v>523.61857526538461</v>
      </c>
      <c r="M59" s="1"/>
      <c r="N59" s="5">
        <f t="shared" si="18"/>
        <v>0.19728880330254944</v>
      </c>
      <c r="O59" s="13"/>
      <c r="P59" s="1">
        <f>SUM(OSRRefP22_0x_0)</f>
        <v>21398.9</v>
      </c>
      <c r="Q59" s="1"/>
      <c r="R59" s="5">
        <f t="shared" si="19"/>
        <v>1.1898153112659586E-2</v>
      </c>
      <c r="S59" s="1"/>
      <c r="T59" s="1">
        <f>SUM(OSRRefT22_0x_0)</f>
        <v>18339.874891894611</v>
      </c>
      <c r="U59" s="1"/>
      <c r="V59" s="5">
        <f t="shared" si="20"/>
        <v>1.0688201864966768E-2</v>
      </c>
      <c r="W59" s="1"/>
      <c r="X59" s="1">
        <f t="shared" si="21"/>
        <v>3059.0251081053902</v>
      </c>
      <c r="Y59" s="1"/>
      <c r="Z59" s="5">
        <f t="shared" si="22"/>
        <v>0.16679639998293228</v>
      </c>
    </row>
    <row r="60" spans="1:26" s="24" customFormat="1" hidden="1" outlineLevel="2" x14ac:dyDescent="0.25">
      <c r="A60" s="25"/>
      <c r="B60" s="11" t="str">
        <f>CONCATENATE("          ", "6111", " - ", "F.I.C.A.")</f>
        <v xml:space="preserve">          6111 - F.I.C.A.</v>
      </c>
      <c r="C60" s="11"/>
      <c r="D60" s="7">
        <v>597.77</v>
      </c>
      <c r="E60" s="2"/>
      <c r="F60" s="6">
        <f t="shared" si="15"/>
        <v>2.7787196107031341E-3</v>
      </c>
      <c r="G60" s="2"/>
      <c r="H60" s="7">
        <v>434.26097839615403</v>
      </c>
      <c r="I60" s="2"/>
      <c r="J60" s="6">
        <f t="shared" si="16"/>
        <v>1.4774701396838414E-3</v>
      </c>
      <c r="K60" s="2"/>
      <c r="L60" s="7">
        <f t="shared" si="17"/>
        <v>163.50902160384595</v>
      </c>
      <c r="M60" s="2"/>
      <c r="N60" s="6">
        <f t="shared" si="18"/>
        <v>0.37652248241997249</v>
      </c>
      <c r="O60" s="11"/>
      <c r="P60" s="7">
        <v>4825.51</v>
      </c>
      <c r="Q60" s="2"/>
      <c r="R60" s="6">
        <f t="shared" si="19"/>
        <v>2.6830658036941131E-3</v>
      </c>
      <c r="S60" s="2"/>
      <c r="T60" s="7">
        <v>3546.7002623561539</v>
      </c>
      <c r="U60" s="2"/>
      <c r="V60" s="6">
        <f t="shared" si="20"/>
        <v>2.0669633016606186E-3</v>
      </c>
      <c r="W60" s="2"/>
      <c r="X60" s="7">
        <f t="shared" si="21"/>
        <v>1278.8097376438463</v>
      </c>
      <c r="Y60" s="2"/>
      <c r="Z60" s="6">
        <f t="shared" si="22"/>
        <v>0.36056323992665334</v>
      </c>
    </row>
    <row r="61" spans="1:26" s="24" customFormat="1" hidden="1" outlineLevel="2" x14ac:dyDescent="0.25">
      <c r="A61" s="25"/>
      <c r="B61" s="11" t="str">
        <f>CONCATENATE("          ", "6112", " - ", "COMPENSATION INSURANCE")</f>
        <v xml:space="preserve">          6112 - COMPENSATION INSURANCE</v>
      </c>
      <c r="C61" s="11"/>
      <c r="D61" s="7">
        <v>192.57</v>
      </c>
      <c r="E61" s="2"/>
      <c r="F61" s="6">
        <f t="shared" si="15"/>
        <v>8.9515705945949532E-4</v>
      </c>
      <c r="G61" s="2"/>
      <c r="H61" s="7">
        <v>216.41155507692301</v>
      </c>
      <c r="I61" s="2"/>
      <c r="J61" s="6">
        <f t="shared" si="16"/>
        <v>7.3628906674873945E-4</v>
      </c>
      <c r="K61" s="2"/>
      <c r="L61" s="7">
        <f t="shared" si="17"/>
        <v>-23.841555076923015</v>
      </c>
      <c r="M61" s="2"/>
      <c r="N61" s="6">
        <f t="shared" si="18"/>
        <v>-0.11016766211235157</v>
      </c>
      <c r="O61" s="11"/>
      <c r="P61" s="7">
        <v>1153.18</v>
      </c>
      <c r="Q61" s="2"/>
      <c r="R61" s="6">
        <f t="shared" si="19"/>
        <v>6.4118773425067555E-4</v>
      </c>
      <c r="S61" s="2"/>
      <c r="T61" s="7">
        <v>1385.325413076921</v>
      </c>
      <c r="U61" s="2"/>
      <c r="V61" s="6">
        <f t="shared" si="20"/>
        <v>8.0734671042813181E-4</v>
      </c>
      <c r="W61" s="2"/>
      <c r="X61" s="7">
        <f t="shared" si="21"/>
        <v>-232.14541307692093</v>
      </c>
      <c r="Y61" s="2"/>
      <c r="Z61" s="6">
        <f t="shared" si="22"/>
        <v>-0.1675746441128998</v>
      </c>
    </row>
    <row r="62" spans="1:26" s="24" customFormat="1" hidden="1" outlineLevel="2" x14ac:dyDescent="0.25">
      <c r="A62" s="25"/>
      <c r="B62" s="11" t="str">
        <f>CONCATENATE("          ", "6113", " - ", "GROUP INSURANCE")</f>
        <v xml:space="preserve">          6113 - GROUP INSURANCE</v>
      </c>
      <c r="C62" s="11"/>
      <c r="D62" s="7">
        <v>1376.77</v>
      </c>
      <c r="E62" s="2"/>
      <c r="F62" s="6">
        <f t="shared" si="15"/>
        <v>6.3998825608975922E-3</v>
      </c>
      <c r="G62" s="2"/>
      <c r="H62" s="7">
        <v>1186.2</v>
      </c>
      <c r="I62" s="2"/>
      <c r="J62" s="6">
        <f t="shared" si="16"/>
        <v>4.035764590605671E-3</v>
      </c>
      <c r="K62" s="2"/>
      <c r="L62" s="7">
        <f t="shared" si="17"/>
        <v>190.56999999999994</v>
      </c>
      <c r="M62" s="2"/>
      <c r="N62" s="6">
        <f t="shared" si="18"/>
        <v>0.16065587590625521</v>
      </c>
      <c r="O62" s="11"/>
      <c r="P62" s="7">
        <v>7811.59</v>
      </c>
      <c r="Q62" s="2"/>
      <c r="R62" s="6">
        <f t="shared" si="19"/>
        <v>4.3433771770194024E-3</v>
      </c>
      <c r="S62" s="2"/>
      <c r="T62" s="7">
        <v>8303.4</v>
      </c>
      <c r="U62" s="2"/>
      <c r="V62" s="6">
        <f t="shared" si="20"/>
        <v>4.8390960073990364E-3</v>
      </c>
      <c r="W62" s="2"/>
      <c r="X62" s="7">
        <f t="shared" si="21"/>
        <v>-491.80999999999949</v>
      </c>
      <c r="Y62" s="2"/>
      <c r="Z62" s="6">
        <f t="shared" si="22"/>
        <v>-5.9229953994749084E-2</v>
      </c>
    </row>
    <row r="63" spans="1:26" s="24" customFormat="1" hidden="1" outlineLevel="2" x14ac:dyDescent="0.25">
      <c r="A63" s="25"/>
      <c r="B63" s="11" t="str">
        <f>CONCATENATE("          ", "6114", " - ", "STATE UNEMPLOYMENT INSURANCE")</f>
        <v xml:space="preserve">          6114 - STATE UNEMPLOYMENT INSURANCE</v>
      </c>
      <c r="C63" s="11"/>
      <c r="D63" s="7">
        <v>26.35</v>
      </c>
      <c r="E63" s="2"/>
      <c r="F63" s="6">
        <f t="shared" si="15"/>
        <v>1.2248734754508856E-4</v>
      </c>
      <c r="G63" s="2"/>
      <c r="H63" s="7">
        <v>29.614212800000001</v>
      </c>
      <c r="I63" s="2"/>
      <c r="J63" s="6">
        <f t="shared" si="16"/>
        <v>1.0075534597614333E-4</v>
      </c>
      <c r="K63" s="2"/>
      <c r="L63" s="7">
        <f t="shared" si="17"/>
        <v>-3.2642127999999992</v>
      </c>
      <c r="M63" s="2"/>
      <c r="N63" s="6">
        <f t="shared" si="18"/>
        <v>-0.11022453380898239</v>
      </c>
      <c r="O63" s="11"/>
      <c r="P63" s="7">
        <v>186.25</v>
      </c>
      <c r="Q63" s="2"/>
      <c r="R63" s="6">
        <f t="shared" si="19"/>
        <v>1.0355817435629157E-4</v>
      </c>
      <c r="S63" s="2"/>
      <c r="T63" s="7">
        <v>189.57084599999999</v>
      </c>
      <c r="U63" s="2"/>
      <c r="V63" s="6">
        <f t="shared" si="20"/>
        <v>1.1047902353227083E-4</v>
      </c>
      <c r="W63" s="2"/>
      <c r="X63" s="7">
        <f t="shared" si="21"/>
        <v>-3.3208459999999889</v>
      </c>
      <c r="Y63" s="2"/>
      <c r="Z63" s="6">
        <f t="shared" si="22"/>
        <v>-1.7517704172718567E-2</v>
      </c>
    </row>
    <row r="64" spans="1:26" s="24" customFormat="1" hidden="1" outlineLevel="2" x14ac:dyDescent="0.25">
      <c r="A64" s="25"/>
      <c r="B64" s="11" t="str">
        <f>CONCATENATE("          ", "6115", " - ", "P.E.R.S.")</f>
        <v xml:space="preserve">          6115 - P.E.R.S.</v>
      </c>
      <c r="C64" s="11"/>
      <c r="D64" s="7">
        <v>400.55</v>
      </c>
      <c r="E64" s="2"/>
      <c r="F64" s="6">
        <f t="shared" si="15"/>
        <v>1.8619471369709761E-3</v>
      </c>
      <c r="G64" s="2"/>
      <c r="H64" s="7">
        <v>367.528640769231</v>
      </c>
      <c r="I64" s="2"/>
      <c r="J64" s="6">
        <f t="shared" si="16"/>
        <v>1.2504291640953416E-3</v>
      </c>
      <c r="K64" s="2"/>
      <c r="L64" s="7">
        <f t="shared" si="17"/>
        <v>33.021359230769008</v>
      </c>
      <c r="M64" s="2"/>
      <c r="N64" s="6">
        <f t="shared" si="18"/>
        <v>8.984703657830824E-2</v>
      </c>
      <c r="O64" s="11"/>
      <c r="P64" s="7">
        <v>1686.47</v>
      </c>
      <c r="Q64" s="2"/>
      <c r="R64" s="6">
        <f t="shared" si="19"/>
        <v>9.3770606339143659E-4</v>
      </c>
      <c r="S64" s="2"/>
      <c r="T64" s="7">
        <v>2278.6775727692329</v>
      </c>
      <c r="U64" s="2"/>
      <c r="V64" s="6">
        <f t="shared" si="20"/>
        <v>1.3279788453570013E-3</v>
      </c>
      <c r="W64" s="2"/>
      <c r="X64" s="7">
        <f t="shared" si="21"/>
        <v>-592.20757276923291</v>
      </c>
      <c r="Y64" s="2"/>
      <c r="Z64" s="6">
        <f t="shared" si="22"/>
        <v>-0.25989090332316495</v>
      </c>
    </row>
    <row r="65" spans="1:26" s="24" customFormat="1" hidden="1" outlineLevel="2" x14ac:dyDescent="0.25">
      <c r="A65" s="25"/>
      <c r="B65" s="11" t="str">
        <f>CONCATENATE("          ", "6116", " - ", "EDUCATIONAL BENEFITS")</f>
        <v xml:space="preserve">          6116 - EDUCATIONAL BENEFITS</v>
      </c>
      <c r="C65" s="11"/>
      <c r="D65" s="7"/>
      <c r="E65" s="2"/>
      <c r="F65" s="6">
        <f t="shared" si="15"/>
        <v>0</v>
      </c>
      <c r="G65" s="2"/>
      <c r="H65" s="7">
        <v>0</v>
      </c>
      <c r="I65" s="2"/>
      <c r="J65" s="6">
        <f t="shared" si="16"/>
        <v>0</v>
      </c>
      <c r="K65" s="2"/>
      <c r="L65" s="7">
        <f t="shared" si="17"/>
        <v>0</v>
      </c>
      <c r="M65" s="2"/>
      <c r="N65" s="6">
        <f t="shared" si="18"/>
        <v>0</v>
      </c>
      <c r="O65" s="11"/>
      <c r="P65" s="7"/>
      <c r="Q65" s="2"/>
      <c r="R65" s="6">
        <f t="shared" si="19"/>
        <v>0</v>
      </c>
      <c r="S65" s="2"/>
      <c r="T65" s="7">
        <v>0</v>
      </c>
      <c r="U65" s="2"/>
      <c r="V65" s="6">
        <f t="shared" si="20"/>
        <v>0</v>
      </c>
      <c r="W65" s="2"/>
      <c r="X65" s="7">
        <f t="shared" si="21"/>
        <v>0</v>
      </c>
      <c r="Y65" s="2"/>
      <c r="Z65" s="6">
        <f t="shared" si="22"/>
        <v>0</v>
      </c>
    </row>
    <row r="66" spans="1:26" s="24" customFormat="1" hidden="1" outlineLevel="2" x14ac:dyDescent="0.25">
      <c r="A66" s="25"/>
      <c r="B66" s="11" t="str">
        <f>CONCATENATE("          ", "6117", " - ", "RETIREMENT STAFF HOURLY")</f>
        <v xml:space="preserve">          6117 - RETIREMENT STAFF HOURLY</v>
      </c>
      <c r="C66" s="11"/>
      <c r="D66" s="7">
        <v>163.13</v>
      </c>
      <c r="E66" s="2"/>
      <c r="F66" s="6">
        <f t="shared" si="15"/>
        <v>7.5830592049450833E-4</v>
      </c>
      <c r="G66" s="2"/>
      <c r="H66" s="7"/>
      <c r="I66" s="2"/>
      <c r="J66" s="6">
        <f t="shared" si="16"/>
        <v>0</v>
      </c>
      <c r="K66" s="2"/>
      <c r="L66" s="7">
        <f t="shared" si="17"/>
        <v>163.13</v>
      </c>
      <c r="M66" s="2"/>
      <c r="N66" s="6">
        <f t="shared" si="18"/>
        <v>0</v>
      </c>
      <c r="O66" s="11"/>
      <c r="P66" s="7">
        <v>1195.3599999999999</v>
      </c>
      <c r="Q66" s="2"/>
      <c r="R66" s="6">
        <f t="shared" si="19"/>
        <v>6.6464053314650566E-4</v>
      </c>
      <c r="S66" s="2"/>
      <c r="T66" s="7"/>
      <c r="U66" s="2"/>
      <c r="V66" s="6">
        <f t="shared" si="20"/>
        <v>0</v>
      </c>
      <c r="W66" s="2"/>
      <c r="X66" s="7">
        <f t="shared" si="21"/>
        <v>1195.3599999999999</v>
      </c>
      <c r="Y66" s="2"/>
      <c r="Z66" s="6">
        <f t="shared" si="22"/>
        <v>0</v>
      </c>
    </row>
    <row r="67" spans="1:26" s="24" customFormat="1" hidden="1" outlineLevel="2" x14ac:dyDescent="0.25">
      <c r="A67" s="25"/>
      <c r="B67" s="11" t="str">
        <f>CONCATENATE("          ", "6118", " - ", "VACATION")</f>
        <v xml:space="preserve">          6118 - VACATION</v>
      </c>
      <c r="C67" s="11"/>
      <c r="D67" s="7">
        <v>67.989999999999995</v>
      </c>
      <c r="E67" s="2"/>
      <c r="F67" s="6">
        <f t="shared" si="15"/>
        <v>3.1604989599964215E-4</v>
      </c>
      <c r="G67" s="2"/>
      <c r="H67" s="7">
        <v>213.679442307692</v>
      </c>
      <c r="I67" s="2"/>
      <c r="J67" s="6">
        <f t="shared" si="16"/>
        <v>7.2699370005542964E-4</v>
      </c>
      <c r="K67" s="2"/>
      <c r="L67" s="7">
        <f t="shared" si="17"/>
        <v>-145.68944230769199</v>
      </c>
      <c r="M67" s="2"/>
      <c r="N67" s="6">
        <f t="shared" si="18"/>
        <v>-0.68181309691881142</v>
      </c>
      <c r="O67" s="11"/>
      <c r="P67" s="7">
        <v>1599.08</v>
      </c>
      <c r="Q67" s="2"/>
      <c r="R67" s="6">
        <f t="shared" si="19"/>
        <v>8.8911573395789923E-4</v>
      </c>
      <c r="S67" s="2"/>
      <c r="T67" s="7">
        <v>1324.8125423076922</v>
      </c>
      <c r="U67" s="2"/>
      <c r="V67" s="6">
        <f t="shared" si="20"/>
        <v>7.7208072404476736E-4</v>
      </c>
      <c r="W67" s="2"/>
      <c r="X67" s="7">
        <f t="shared" si="21"/>
        <v>274.26745769230774</v>
      </c>
      <c r="Y67" s="2"/>
      <c r="Z67" s="6">
        <f t="shared" si="22"/>
        <v>0.20702359687398567</v>
      </c>
    </row>
    <row r="68" spans="1:26" s="24" customFormat="1" hidden="1" outlineLevel="2" x14ac:dyDescent="0.25">
      <c r="A68" s="25"/>
      <c r="B68" s="11" t="str">
        <f>CONCATENATE("          ", "6119", " - ", "SICK LEAVE")</f>
        <v xml:space="preserve">          6119 - SICK LEAVE</v>
      </c>
      <c r="C68" s="11"/>
      <c r="D68" s="7">
        <v>177.56</v>
      </c>
      <c r="E68" s="2"/>
      <c r="F68" s="6">
        <f t="shared" si="15"/>
        <v>8.2538343188257772E-4</v>
      </c>
      <c r="G68" s="2"/>
      <c r="H68" s="7">
        <v>206.376595384615</v>
      </c>
      <c r="I68" s="2"/>
      <c r="J68" s="6">
        <f t="shared" si="16"/>
        <v>7.0214749281991484E-4</v>
      </c>
      <c r="K68" s="2"/>
      <c r="L68" s="7">
        <f t="shared" si="17"/>
        <v>-28.816595384614999</v>
      </c>
      <c r="M68" s="2"/>
      <c r="N68" s="6">
        <f t="shared" si="18"/>
        <v>-0.13963112111095144</v>
      </c>
      <c r="O68" s="11"/>
      <c r="P68" s="7">
        <v>1805.68</v>
      </c>
      <c r="Q68" s="2"/>
      <c r="R68" s="6">
        <f t="shared" si="19"/>
        <v>1.0039888551498983E-3</v>
      </c>
      <c r="S68" s="2"/>
      <c r="T68" s="7">
        <v>1311.3882553846129</v>
      </c>
      <c r="U68" s="2"/>
      <c r="V68" s="6">
        <f t="shared" si="20"/>
        <v>7.6425725254494162E-4</v>
      </c>
      <c r="W68" s="2"/>
      <c r="X68" s="7">
        <f t="shared" si="21"/>
        <v>494.29174461538719</v>
      </c>
      <c r="Y68" s="2"/>
      <c r="Z68" s="6">
        <f t="shared" si="22"/>
        <v>0.37692250375569969</v>
      </c>
    </row>
    <row r="69" spans="1:26" s="24" customFormat="1" hidden="1" outlineLevel="2" x14ac:dyDescent="0.25">
      <c r="A69" s="25"/>
      <c r="B69" s="11" t="str">
        <f>CONCATENATE("          ", "6156", " - ", "EMPLOYEE MEALS")</f>
        <v xml:space="preserve">          6156 - EMPLOYEE MEALS</v>
      </c>
      <c r="C69" s="11"/>
      <c r="D69" s="7">
        <v>175</v>
      </c>
      <c r="E69" s="2"/>
      <c r="F69" s="6">
        <f t="shared" si="15"/>
        <v>8.1348333284214408E-4</v>
      </c>
      <c r="G69" s="2"/>
      <c r="H69" s="7"/>
      <c r="I69" s="2"/>
      <c r="J69" s="6">
        <f t="shared" si="16"/>
        <v>0</v>
      </c>
      <c r="K69" s="2"/>
      <c r="L69" s="7">
        <f t="shared" si="17"/>
        <v>175</v>
      </c>
      <c r="M69" s="2"/>
      <c r="N69" s="6">
        <f t="shared" si="18"/>
        <v>0</v>
      </c>
      <c r="O69" s="11"/>
      <c r="P69" s="7">
        <v>1135.78</v>
      </c>
      <c r="Q69" s="2"/>
      <c r="R69" s="6">
        <f t="shared" si="19"/>
        <v>6.3151303769336286E-4</v>
      </c>
      <c r="S69" s="2"/>
      <c r="T69" s="7"/>
      <c r="U69" s="2"/>
      <c r="V69" s="6">
        <f t="shared" si="20"/>
        <v>0</v>
      </c>
      <c r="W69" s="2"/>
      <c r="X69" s="7">
        <f t="shared" si="21"/>
        <v>1135.78</v>
      </c>
      <c r="Y69" s="2"/>
      <c r="Z69" s="6">
        <f t="shared" si="22"/>
        <v>0</v>
      </c>
    </row>
    <row r="70" spans="1:26" s="27" customFormat="1" outlineLevel="1" collapsed="1" x14ac:dyDescent="0.25">
      <c r="A70" s="26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12027.429999999998</v>
      </c>
      <c r="E70" s="1"/>
      <c r="F70" s="5">
        <f t="shared" ref="F70:F80" si="23">IF(D$12=0,0,D70/D$12)</f>
        <v>5.59092219538605E-2</v>
      </c>
      <c r="G70" s="1"/>
      <c r="H70" s="1">
        <f>SUM(OSRRefH22_1x_0)</f>
        <v>11048.194738461541</v>
      </c>
      <c r="I70" s="1"/>
      <c r="J70" s="5">
        <f t="shared" ref="J70:J80" si="24">IF(H$12=0,0,H70/H$12)</f>
        <v>3.7588866224581831E-2</v>
      </c>
      <c r="K70" s="1"/>
      <c r="L70" s="1">
        <f t="shared" ref="L70:L80" si="25">+D70-H70</f>
        <v>979.23526153845705</v>
      </c>
      <c r="M70" s="1"/>
      <c r="N70" s="5">
        <f t="shared" ref="N70:N80" si="26">IF(H70=0,0,L70/H70)</f>
        <v>8.8633055871969124E-2</v>
      </c>
      <c r="O70" s="13"/>
      <c r="P70" s="1">
        <f>SUM(OSRRefP22_1x_0)</f>
        <v>69315.930000000008</v>
      </c>
      <c r="Q70" s="1"/>
      <c r="R70" s="5">
        <f t="shared" ref="R70:R80" si="27">IF(P$12=0,0,P70/P$12)</f>
        <v>3.854083846769666E-2</v>
      </c>
      <c r="S70" s="1"/>
      <c r="T70" s="1">
        <f>SUM(OSRRefT22_1x_0)</f>
        <v>70792.163778461545</v>
      </c>
      <c r="U70" s="1"/>
      <c r="V70" s="5">
        <f t="shared" ref="V70:V80" si="28">IF(T$12=0,0,T70/T$12)</f>
        <v>4.1256602969324853E-2</v>
      </c>
      <c r="W70" s="1"/>
      <c r="X70" s="1">
        <f t="shared" ref="X70:X80" si="29">+P70-T70</f>
        <v>-1476.2337784615374</v>
      </c>
      <c r="Y70" s="1"/>
      <c r="Z70" s="5">
        <f t="shared" ref="Z70:Z80" si="30">IF(T70=0,0,X70/T70)</f>
        <v>-2.0853067623152383E-2</v>
      </c>
    </row>
    <row r="71" spans="1:26" s="24" customFormat="1" hidden="1" outlineLevel="2" x14ac:dyDescent="0.25">
      <c r="A71" s="25"/>
      <c r="B71" s="11" t="str">
        <f>CONCATENATE("          ", "6001", " - ", "ADMINISTRATIVE SALARIES")</f>
        <v xml:space="preserve">          6001 - ADMINISTRATIVE SALARIES</v>
      </c>
      <c r="C71" s="11"/>
      <c r="D71" s="7"/>
      <c r="E71" s="2"/>
      <c r="F71" s="6">
        <f t="shared" si="23"/>
        <v>0</v>
      </c>
      <c r="G71" s="2"/>
      <c r="H71" s="7">
        <v>3931.7017384615406</v>
      </c>
      <c r="I71" s="2"/>
      <c r="J71" s="6">
        <f t="shared" si="24"/>
        <v>1.3376684081019932E-2</v>
      </c>
      <c r="K71" s="2"/>
      <c r="L71" s="7">
        <f t="shared" si="25"/>
        <v>-3931.7017384615406</v>
      </c>
      <c r="M71" s="2"/>
      <c r="N71" s="6">
        <f t="shared" si="26"/>
        <v>-1</v>
      </c>
      <c r="O71" s="11"/>
      <c r="P71" s="7"/>
      <c r="Q71" s="2"/>
      <c r="R71" s="6">
        <f t="shared" si="27"/>
        <v>0</v>
      </c>
      <c r="S71" s="2"/>
      <c r="T71" s="7">
        <v>24376.55077846154</v>
      </c>
      <c r="U71" s="2"/>
      <c r="V71" s="6">
        <f t="shared" si="28"/>
        <v>1.420628532242372E-2</v>
      </c>
      <c r="W71" s="2"/>
      <c r="X71" s="7">
        <f t="shared" si="29"/>
        <v>-24376.55077846154</v>
      </c>
      <c r="Y71" s="2"/>
      <c r="Z71" s="6">
        <f t="shared" si="30"/>
        <v>-1</v>
      </c>
    </row>
    <row r="72" spans="1:26" s="24" customFormat="1" hidden="1" outlineLevel="2" x14ac:dyDescent="0.25">
      <c r="A72" s="25"/>
      <c r="B72" s="11" t="str">
        <f>CONCATENATE("          ", "6002", " - ", "STAFF SALARIES")</f>
        <v xml:space="preserve">          6002 - STAFF SALARIES</v>
      </c>
      <c r="C72" s="11"/>
      <c r="D72" s="7">
        <v>4760.5600000000004</v>
      </c>
      <c r="E72" s="2"/>
      <c r="F72" s="6">
        <f t="shared" si="23"/>
        <v>2.2129349799971415E-2</v>
      </c>
      <c r="G72" s="2"/>
      <c r="H72" s="7">
        <v>0</v>
      </c>
      <c r="I72" s="2"/>
      <c r="J72" s="6">
        <f t="shared" si="24"/>
        <v>0</v>
      </c>
      <c r="K72" s="2"/>
      <c r="L72" s="7">
        <f t="shared" si="25"/>
        <v>4760.5600000000004</v>
      </c>
      <c r="M72" s="2"/>
      <c r="N72" s="6">
        <f t="shared" si="26"/>
        <v>0</v>
      </c>
      <c r="O72" s="11"/>
      <c r="P72" s="7">
        <v>23538.7</v>
      </c>
      <c r="Q72" s="2"/>
      <c r="R72" s="6">
        <f t="shared" si="27"/>
        <v>1.3087918382391628E-2</v>
      </c>
      <c r="S72" s="2"/>
      <c r="T72" s="7">
        <v>0</v>
      </c>
      <c r="U72" s="2"/>
      <c r="V72" s="6">
        <f t="shared" si="28"/>
        <v>0</v>
      </c>
      <c r="W72" s="2"/>
      <c r="X72" s="7">
        <f t="shared" si="29"/>
        <v>23538.7</v>
      </c>
      <c r="Y72" s="2"/>
      <c r="Z72" s="6">
        <f t="shared" si="30"/>
        <v>0</v>
      </c>
    </row>
    <row r="73" spans="1:26" s="24" customFormat="1" hidden="1" outlineLevel="2" x14ac:dyDescent="0.25">
      <c r="A73" s="25"/>
      <c r="B73" s="11" t="str">
        <f>CONCATENATE("          ", "6003", " - ", "STAFF HOURLY-9 MONTH")</f>
        <v xml:space="preserve">          6003 - STAFF HOURLY-9 MONTH</v>
      </c>
      <c r="C73" s="11"/>
      <c r="D73" s="7"/>
      <c r="E73" s="2"/>
      <c r="F73" s="6">
        <f t="shared" si="23"/>
        <v>0</v>
      </c>
      <c r="G73" s="2"/>
      <c r="H73" s="7">
        <v>0</v>
      </c>
      <c r="I73" s="2"/>
      <c r="J73" s="6">
        <f t="shared" si="24"/>
        <v>0</v>
      </c>
      <c r="K73" s="2"/>
      <c r="L73" s="7">
        <f t="shared" si="25"/>
        <v>0</v>
      </c>
      <c r="M73" s="2"/>
      <c r="N73" s="6">
        <f t="shared" si="26"/>
        <v>0</v>
      </c>
      <c r="O73" s="11"/>
      <c r="P73" s="7"/>
      <c r="Q73" s="2"/>
      <c r="R73" s="6">
        <f t="shared" si="27"/>
        <v>0</v>
      </c>
      <c r="S73" s="2"/>
      <c r="T73" s="7">
        <v>0</v>
      </c>
      <c r="U73" s="2"/>
      <c r="V73" s="6">
        <f t="shared" si="28"/>
        <v>0</v>
      </c>
      <c r="W73" s="2"/>
      <c r="X73" s="7">
        <f t="shared" si="29"/>
        <v>0</v>
      </c>
      <c r="Y73" s="2"/>
      <c r="Z73" s="6">
        <f t="shared" si="30"/>
        <v>0</v>
      </c>
    </row>
    <row r="74" spans="1:26" s="24" customFormat="1" hidden="1" outlineLevel="2" x14ac:dyDescent="0.25">
      <c r="A74" s="25"/>
      <c r="B74" s="11" t="str">
        <f>CONCATENATE("          ", "6004", " - ", "STAFF HOURLY")</f>
        <v xml:space="preserve">          6004 - STAFF HOURLY</v>
      </c>
      <c r="C74" s="11"/>
      <c r="D74" s="7"/>
      <c r="E74" s="2"/>
      <c r="F74" s="6">
        <f t="shared" si="23"/>
        <v>0</v>
      </c>
      <c r="G74" s="2"/>
      <c r="H74" s="7">
        <v>1400.8</v>
      </c>
      <c r="I74" s="2"/>
      <c r="J74" s="6">
        <f t="shared" si="24"/>
        <v>4.7658902702077417E-3</v>
      </c>
      <c r="K74" s="2"/>
      <c r="L74" s="7">
        <f t="shared" si="25"/>
        <v>-1400.8</v>
      </c>
      <c r="M74" s="2"/>
      <c r="N74" s="6">
        <f t="shared" si="26"/>
        <v>-1</v>
      </c>
      <c r="O74" s="11"/>
      <c r="P74" s="7"/>
      <c r="Q74" s="2"/>
      <c r="R74" s="6">
        <f t="shared" si="27"/>
        <v>0</v>
      </c>
      <c r="S74" s="2"/>
      <c r="T74" s="7">
        <v>10468.92</v>
      </c>
      <c r="U74" s="2"/>
      <c r="V74" s="6">
        <f t="shared" si="28"/>
        <v>6.1011283298142843E-3</v>
      </c>
      <c r="W74" s="2"/>
      <c r="X74" s="7">
        <f t="shared" si="29"/>
        <v>-10468.92</v>
      </c>
      <c r="Y74" s="2"/>
      <c r="Z74" s="6">
        <f t="shared" si="30"/>
        <v>-1</v>
      </c>
    </row>
    <row r="75" spans="1:26" s="24" customFormat="1" hidden="1" outlineLevel="2" x14ac:dyDescent="0.25">
      <c r="A75" s="25"/>
      <c r="B75" s="11" t="str">
        <f>CONCATENATE("          ", "6005", " - ", "TEMPORARY WAGES-HOURLY")</f>
        <v xml:space="preserve">          6005 - TEMPORARY WAGES-HOURLY</v>
      </c>
      <c r="C75" s="11"/>
      <c r="D75" s="7">
        <v>3463.74</v>
      </c>
      <c r="E75" s="2"/>
      <c r="F75" s="6">
        <f t="shared" si="23"/>
        <v>1.6101112910277989E-2</v>
      </c>
      <c r="G75" s="2"/>
      <c r="H75" s="7">
        <v>0</v>
      </c>
      <c r="I75" s="2"/>
      <c r="J75" s="6">
        <f t="shared" si="24"/>
        <v>0</v>
      </c>
      <c r="K75" s="2"/>
      <c r="L75" s="7">
        <f t="shared" si="25"/>
        <v>3463.74</v>
      </c>
      <c r="M75" s="2"/>
      <c r="N75" s="6">
        <f t="shared" si="26"/>
        <v>0</v>
      </c>
      <c r="O75" s="11"/>
      <c r="P75" s="7">
        <v>23123.030000000002</v>
      </c>
      <c r="Q75" s="2"/>
      <c r="R75" s="6">
        <f t="shared" si="27"/>
        <v>1.2856798777910126E-2</v>
      </c>
      <c r="S75" s="2"/>
      <c r="T75" s="7">
        <v>0</v>
      </c>
      <c r="U75" s="2"/>
      <c r="V75" s="6">
        <f t="shared" si="28"/>
        <v>0</v>
      </c>
      <c r="W75" s="2"/>
      <c r="X75" s="7">
        <f t="shared" si="29"/>
        <v>23123.030000000002</v>
      </c>
      <c r="Y75" s="2"/>
      <c r="Z75" s="6">
        <f t="shared" si="30"/>
        <v>0</v>
      </c>
    </row>
    <row r="76" spans="1:26" s="24" customFormat="1" hidden="1" outlineLevel="2" x14ac:dyDescent="0.25">
      <c r="A76" s="25"/>
      <c r="B76" s="11" t="str">
        <f>CONCATENATE("          ", "6006", " - ", "TEMPORARY PART TIME")</f>
        <v xml:space="preserve">          6006 - TEMPORARY PART TIME</v>
      </c>
      <c r="C76" s="11"/>
      <c r="D76" s="7">
        <v>299.06</v>
      </c>
      <c r="E76" s="2"/>
      <c r="F76" s="6">
        <f t="shared" si="23"/>
        <v>1.3901732886844092E-3</v>
      </c>
      <c r="G76" s="2"/>
      <c r="H76" s="7">
        <v>0</v>
      </c>
      <c r="I76" s="2"/>
      <c r="J76" s="6">
        <f t="shared" si="24"/>
        <v>0</v>
      </c>
      <c r="K76" s="2"/>
      <c r="L76" s="7">
        <f t="shared" si="25"/>
        <v>299.06</v>
      </c>
      <c r="M76" s="2"/>
      <c r="N76" s="6">
        <f t="shared" si="26"/>
        <v>0</v>
      </c>
      <c r="O76" s="11"/>
      <c r="P76" s="7">
        <v>8541.2199999999993</v>
      </c>
      <c r="Q76" s="2"/>
      <c r="R76" s="6">
        <f t="shared" si="27"/>
        <v>4.7490638924856093E-3</v>
      </c>
      <c r="S76" s="2"/>
      <c r="T76" s="7">
        <v>0</v>
      </c>
      <c r="U76" s="2"/>
      <c r="V76" s="6">
        <f t="shared" si="28"/>
        <v>0</v>
      </c>
      <c r="W76" s="2"/>
      <c r="X76" s="7">
        <f t="shared" si="29"/>
        <v>8541.2199999999993</v>
      </c>
      <c r="Y76" s="2"/>
      <c r="Z76" s="6">
        <f t="shared" si="30"/>
        <v>0</v>
      </c>
    </row>
    <row r="77" spans="1:26" s="24" customFormat="1" hidden="1" outlineLevel="2" x14ac:dyDescent="0.25">
      <c r="A77" s="25"/>
      <c r="B77" s="11" t="str">
        <f>CONCATENATE("          ", "6007", " - ", "STUDENT HOURLY")</f>
        <v xml:space="preserve">          6007 - STUDENT HOURLY</v>
      </c>
      <c r="C77" s="11"/>
      <c r="D77" s="7">
        <v>3504.07</v>
      </c>
      <c r="E77" s="2"/>
      <c r="F77" s="6">
        <f t="shared" si="23"/>
        <v>1.6288585954926698E-2</v>
      </c>
      <c r="G77" s="2"/>
      <c r="H77" s="7">
        <v>0</v>
      </c>
      <c r="I77" s="2"/>
      <c r="J77" s="6">
        <f t="shared" si="24"/>
        <v>0</v>
      </c>
      <c r="K77" s="2"/>
      <c r="L77" s="7">
        <f t="shared" si="25"/>
        <v>3504.07</v>
      </c>
      <c r="M77" s="2"/>
      <c r="N77" s="6">
        <f t="shared" si="26"/>
        <v>0</v>
      </c>
      <c r="O77" s="11"/>
      <c r="P77" s="7">
        <v>14112.98</v>
      </c>
      <c r="Q77" s="2"/>
      <c r="R77" s="6">
        <f t="shared" si="27"/>
        <v>7.8470574149092937E-3</v>
      </c>
      <c r="S77" s="2"/>
      <c r="T77" s="7">
        <v>9378.75</v>
      </c>
      <c r="U77" s="2"/>
      <c r="V77" s="6">
        <f t="shared" si="28"/>
        <v>5.4657937326147987E-3</v>
      </c>
      <c r="W77" s="2"/>
      <c r="X77" s="7">
        <f t="shared" si="29"/>
        <v>4734.2299999999996</v>
      </c>
      <c r="Y77" s="2"/>
      <c r="Z77" s="6">
        <f t="shared" si="30"/>
        <v>0.50478262028521925</v>
      </c>
    </row>
    <row r="78" spans="1:26" s="24" customFormat="1" hidden="1" outlineLevel="2" x14ac:dyDescent="0.25">
      <c r="A78" s="25"/>
      <c r="B78" s="11" t="str">
        <f>CONCATENATE("          ", "6008", " - ", "STUDENT HOURLY-FICA EXEMPT")</f>
        <v xml:space="preserve">          6008 - STUDENT HOURLY-FICA EXEMPT</v>
      </c>
      <c r="C78" s="11"/>
      <c r="D78" s="7"/>
      <c r="E78" s="2"/>
      <c r="F78" s="6">
        <f t="shared" si="23"/>
        <v>0</v>
      </c>
      <c r="G78" s="2"/>
      <c r="H78" s="7">
        <v>5715.6930000000002</v>
      </c>
      <c r="I78" s="2"/>
      <c r="J78" s="6">
        <f t="shared" si="24"/>
        <v>1.9446291873354157E-2</v>
      </c>
      <c r="K78" s="2"/>
      <c r="L78" s="7">
        <f t="shared" si="25"/>
        <v>-5715.6930000000002</v>
      </c>
      <c r="M78" s="2"/>
      <c r="N78" s="6">
        <f t="shared" si="26"/>
        <v>-1</v>
      </c>
      <c r="O78" s="11"/>
      <c r="P78" s="7"/>
      <c r="Q78" s="2"/>
      <c r="R78" s="6">
        <f t="shared" si="27"/>
        <v>0</v>
      </c>
      <c r="S78" s="2"/>
      <c r="T78" s="7">
        <v>26567.942999999999</v>
      </c>
      <c r="U78" s="2"/>
      <c r="V78" s="6">
        <f t="shared" si="28"/>
        <v>1.5483395584472046E-2</v>
      </c>
      <c r="W78" s="2"/>
      <c r="X78" s="7">
        <f t="shared" si="29"/>
        <v>-26567.942999999999</v>
      </c>
      <c r="Y78" s="2"/>
      <c r="Z78" s="6">
        <f t="shared" si="30"/>
        <v>-1</v>
      </c>
    </row>
    <row r="79" spans="1:26" s="24" customFormat="1" hidden="1" outlineLevel="2" x14ac:dyDescent="0.25">
      <c r="A79" s="25"/>
      <c r="B79" s="11" t="str">
        <f>CONCATENATE("          ", "6009", " - ", "TEMPORARY-SEASONAL")</f>
        <v xml:space="preserve">          6009 - TEMPORARY-SEASONAL</v>
      </c>
      <c r="C79" s="11"/>
      <c r="D79" s="7"/>
      <c r="E79" s="2"/>
      <c r="F79" s="6">
        <f t="shared" si="23"/>
        <v>0</v>
      </c>
      <c r="G79" s="2"/>
      <c r="H79" s="7">
        <v>0</v>
      </c>
      <c r="I79" s="2"/>
      <c r="J79" s="6">
        <f t="shared" si="24"/>
        <v>0</v>
      </c>
      <c r="K79" s="2"/>
      <c r="L79" s="7">
        <f t="shared" si="25"/>
        <v>0</v>
      </c>
      <c r="M79" s="2"/>
      <c r="N79" s="6">
        <f t="shared" si="26"/>
        <v>0</v>
      </c>
      <c r="O79" s="11"/>
      <c r="P79" s="7"/>
      <c r="Q79" s="2"/>
      <c r="R79" s="6">
        <f t="shared" si="27"/>
        <v>0</v>
      </c>
      <c r="S79" s="2"/>
      <c r="T79" s="7">
        <v>0</v>
      </c>
      <c r="U79" s="2"/>
      <c r="V79" s="6">
        <f t="shared" si="28"/>
        <v>0</v>
      </c>
      <c r="W79" s="2"/>
      <c r="X79" s="7">
        <f t="shared" si="29"/>
        <v>0</v>
      </c>
      <c r="Y79" s="2"/>
      <c r="Z79" s="6">
        <f t="shared" si="30"/>
        <v>0</v>
      </c>
    </row>
    <row r="80" spans="1:26" s="24" customFormat="1" hidden="1" outlineLevel="2" x14ac:dyDescent="0.25">
      <c r="A80" s="25"/>
      <c r="B80" s="11" t="str">
        <f>CONCATENATE("          ", "6010", " - ", "GRATUITY")</f>
        <v xml:space="preserve">          6010 - GRATUITY</v>
      </c>
      <c r="C80" s="11"/>
      <c r="D80" s="7"/>
      <c r="E80" s="2"/>
      <c r="F80" s="6">
        <f t="shared" si="23"/>
        <v>0</v>
      </c>
      <c r="G80" s="2"/>
      <c r="H80" s="7">
        <v>0</v>
      </c>
      <c r="I80" s="2"/>
      <c r="J80" s="6">
        <f t="shared" si="24"/>
        <v>0</v>
      </c>
      <c r="K80" s="2"/>
      <c r="L80" s="7">
        <f t="shared" si="25"/>
        <v>0</v>
      </c>
      <c r="M80" s="2"/>
      <c r="N80" s="6">
        <f t="shared" si="26"/>
        <v>0</v>
      </c>
      <c r="O80" s="11"/>
      <c r="P80" s="7"/>
      <c r="Q80" s="2"/>
      <c r="R80" s="6">
        <f t="shared" si="27"/>
        <v>0</v>
      </c>
      <c r="S80" s="2"/>
      <c r="T80" s="7">
        <v>0</v>
      </c>
      <c r="U80" s="2"/>
      <c r="V80" s="6">
        <f t="shared" si="28"/>
        <v>0</v>
      </c>
      <c r="W80" s="2"/>
      <c r="X80" s="7">
        <f t="shared" si="29"/>
        <v>0</v>
      </c>
      <c r="Y80" s="2"/>
      <c r="Z80" s="6">
        <f t="shared" si="30"/>
        <v>0</v>
      </c>
    </row>
    <row r="81" spans="1:26" s="27" customFormat="1" outlineLevel="1" collapsed="1" x14ac:dyDescent="0.25">
      <c r="A81" s="26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140.44999999999999</v>
      </c>
      <c r="E81" s="1"/>
      <c r="F81" s="5">
        <f t="shared" ref="F81:F97" si="31">IF(D$12=0,0,D81/D$12)</f>
        <v>6.5287848055816647E-4</v>
      </c>
      <c r="G81" s="1"/>
      <c r="H81" s="1">
        <f>SUM(OSRRefH22_2x_0)</f>
        <v>250</v>
      </c>
      <c r="I81" s="1"/>
      <c r="J81" s="5">
        <f t="shared" ref="J81:J97" si="32">IF(H$12=0,0,H81/H$12)</f>
        <v>8.5056579636774384E-4</v>
      </c>
      <c r="K81" s="1"/>
      <c r="L81" s="1">
        <f t="shared" ref="L81:L97" si="33">+D81-H81</f>
        <v>-109.55000000000001</v>
      </c>
      <c r="M81" s="1"/>
      <c r="N81" s="5">
        <f t="shared" ref="N81:N97" si="34">IF(H81=0,0,L81/H81)</f>
        <v>-0.43820000000000003</v>
      </c>
      <c r="O81" s="13"/>
      <c r="P81" s="1">
        <f>SUM(OSRRefP22_2x_0)</f>
        <v>1648.83</v>
      </c>
      <c r="Q81" s="1"/>
      <c r="R81" s="5">
        <f t="shared" ref="R81:R97" si="35">IF(P$12=0,0,P81/P$12)</f>
        <v>9.1677758187320394E-4</v>
      </c>
      <c r="S81" s="1"/>
      <c r="T81" s="1">
        <f>SUM(OSRRefT22_2x_0)</f>
        <v>1750</v>
      </c>
      <c r="U81" s="1"/>
      <c r="V81" s="5">
        <f t="shared" ref="V81:V97" si="36">IF(T$12=0,0,T81/T$12)</f>
        <v>1.0198735473358281E-3</v>
      </c>
      <c r="W81" s="1"/>
      <c r="X81" s="1">
        <f t="shared" ref="X81:X97" si="37">+P81-T81</f>
        <v>-101.17000000000007</v>
      </c>
      <c r="Y81" s="1"/>
      <c r="Z81" s="5">
        <f t="shared" ref="Z81:Z97" si="38">IF(T81=0,0,X81/T81)</f>
        <v>-5.7811428571428611E-2</v>
      </c>
    </row>
    <row r="82" spans="1:26" s="24" customFormat="1" hidden="1" outlineLevel="2" x14ac:dyDescent="0.25">
      <c r="A82" s="25"/>
      <c r="B82" s="11" t="str">
        <f>CONCATENATE("          ", "6362", " - ", "ADVERTISING EXPENSE")</f>
        <v xml:space="preserve">          6362 - ADVERTISING EXPENSE</v>
      </c>
      <c r="C82" s="11"/>
      <c r="D82" s="7">
        <v>140.44999999999999</v>
      </c>
      <c r="E82" s="2"/>
      <c r="F82" s="6">
        <f t="shared" si="31"/>
        <v>6.5287848055816647E-4</v>
      </c>
      <c r="G82" s="2"/>
      <c r="H82" s="7">
        <v>250</v>
      </c>
      <c r="I82" s="2"/>
      <c r="J82" s="6">
        <f t="shared" si="32"/>
        <v>8.5056579636774384E-4</v>
      </c>
      <c r="K82" s="2"/>
      <c r="L82" s="7">
        <f t="shared" si="33"/>
        <v>-109.55000000000001</v>
      </c>
      <c r="M82" s="2"/>
      <c r="N82" s="6">
        <f t="shared" si="34"/>
        <v>-0.43820000000000003</v>
      </c>
      <c r="O82" s="11"/>
      <c r="P82" s="7">
        <v>1648.83</v>
      </c>
      <c r="Q82" s="2"/>
      <c r="R82" s="6">
        <f t="shared" si="35"/>
        <v>9.1677758187320394E-4</v>
      </c>
      <c r="S82" s="2"/>
      <c r="T82" s="7">
        <v>1750</v>
      </c>
      <c r="U82" s="2"/>
      <c r="V82" s="6">
        <f t="shared" si="36"/>
        <v>1.0198735473358281E-3</v>
      </c>
      <c r="W82" s="2"/>
      <c r="X82" s="7">
        <f t="shared" si="37"/>
        <v>-101.17000000000007</v>
      </c>
      <c r="Y82" s="2"/>
      <c r="Z82" s="6">
        <f t="shared" si="38"/>
        <v>-5.7811428571428611E-2</v>
      </c>
    </row>
    <row r="83" spans="1:26" s="27" customFormat="1" outlineLevel="1" collapsed="1" x14ac:dyDescent="0.25">
      <c r="A83" s="26"/>
      <c r="B83" s="13" t="str">
        <f>CONCATENATE("     ","Depreciation                                      ")</f>
        <v xml:space="preserve">     Depreciation                                      </v>
      </c>
      <c r="C83" s="13"/>
      <c r="D83" s="1">
        <f>SUM(OSRRefD22_3x_0)</f>
        <v>280.44</v>
      </c>
      <c r="E83" s="1"/>
      <c r="F83" s="5">
        <f t="shared" si="31"/>
        <v>1.303618662070005E-3</v>
      </c>
      <c r="G83" s="1"/>
      <c r="H83" s="1">
        <f>SUM(OSRRefH22_3x_0)</f>
        <v>0</v>
      </c>
      <c r="I83" s="1"/>
      <c r="J83" s="5">
        <f t="shared" si="32"/>
        <v>0</v>
      </c>
      <c r="K83" s="1"/>
      <c r="L83" s="1">
        <f t="shared" si="33"/>
        <v>280.44</v>
      </c>
      <c r="M83" s="1"/>
      <c r="N83" s="5">
        <f t="shared" si="34"/>
        <v>0</v>
      </c>
      <c r="O83" s="13"/>
      <c r="P83" s="1">
        <f>SUM(OSRRefP22_3x_0)</f>
        <v>1963.08</v>
      </c>
      <c r="Q83" s="1"/>
      <c r="R83" s="5">
        <f t="shared" si="35"/>
        <v>1.0915059378005308E-3</v>
      </c>
      <c r="S83" s="1"/>
      <c r="T83" s="1">
        <f>SUM(OSRRefT22_3x_0)</f>
        <v>0</v>
      </c>
      <c r="U83" s="1"/>
      <c r="V83" s="5">
        <f t="shared" si="36"/>
        <v>0</v>
      </c>
      <c r="W83" s="1"/>
      <c r="X83" s="1">
        <f t="shared" si="37"/>
        <v>1963.08</v>
      </c>
      <c r="Y83" s="1"/>
      <c r="Z83" s="5">
        <f t="shared" si="38"/>
        <v>0</v>
      </c>
    </row>
    <row r="84" spans="1:26" s="24" customFormat="1" hidden="1" outlineLevel="2" x14ac:dyDescent="0.25">
      <c r="A84" s="25"/>
      <c r="B84" s="11" t="str">
        <f>CONCATENATE("          ", "6322", " - ", "EQUIPMENT DEPRECIATION EXPENSE")</f>
        <v xml:space="preserve">          6322 - EQUIPMENT DEPRECIATION EXPENSE</v>
      </c>
      <c r="C84" s="11"/>
      <c r="D84" s="7">
        <v>280.44</v>
      </c>
      <c r="E84" s="2"/>
      <c r="F84" s="6">
        <f t="shared" si="31"/>
        <v>1.303618662070005E-3</v>
      </c>
      <c r="G84" s="2"/>
      <c r="H84" s="7"/>
      <c r="I84" s="2"/>
      <c r="J84" s="6">
        <f t="shared" si="32"/>
        <v>0</v>
      </c>
      <c r="K84" s="2"/>
      <c r="L84" s="7">
        <f t="shared" si="33"/>
        <v>280.44</v>
      </c>
      <c r="M84" s="2"/>
      <c r="N84" s="6">
        <f t="shared" si="34"/>
        <v>0</v>
      </c>
      <c r="O84" s="11"/>
      <c r="P84" s="7">
        <v>1963.08</v>
      </c>
      <c r="Q84" s="2"/>
      <c r="R84" s="6">
        <f t="shared" si="35"/>
        <v>1.0915059378005308E-3</v>
      </c>
      <c r="S84" s="2"/>
      <c r="T84" s="7"/>
      <c r="U84" s="2"/>
      <c r="V84" s="6">
        <f t="shared" si="36"/>
        <v>0</v>
      </c>
      <c r="W84" s="2"/>
      <c r="X84" s="7">
        <f t="shared" si="37"/>
        <v>1963.08</v>
      </c>
      <c r="Y84" s="2"/>
      <c r="Z84" s="6">
        <f t="shared" si="38"/>
        <v>0</v>
      </c>
    </row>
    <row r="85" spans="1:26" s="27" customFormat="1" outlineLevel="1" collapsed="1" x14ac:dyDescent="0.25">
      <c r="A85" s="26"/>
      <c r="B85" s="13" t="str">
        <f>CONCATENATE("     ","Discounts and Markdowns                           ")</f>
        <v xml:space="preserve">     Discounts and Markdowns                           </v>
      </c>
      <c r="C85" s="13"/>
      <c r="D85" s="1">
        <f>SUM(OSRRefD22_4x_0)</f>
        <v>1440.51</v>
      </c>
      <c r="E85" s="1"/>
      <c r="F85" s="5">
        <f t="shared" si="31"/>
        <v>6.6961764330996402E-3</v>
      </c>
      <c r="G85" s="1"/>
      <c r="H85" s="1">
        <f>SUM(OSRRefH22_4x_0)</f>
        <v>2500</v>
      </c>
      <c r="I85" s="1"/>
      <c r="J85" s="5">
        <f t="shared" si="32"/>
        <v>8.505657963677438E-3</v>
      </c>
      <c r="K85" s="1"/>
      <c r="L85" s="1">
        <f t="shared" si="33"/>
        <v>-1059.49</v>
      </c>
      <c r="M85" s="1"/>
      <c r="N85" s="5">
        <f t="shared" si="34"/>
        <v>-0.42379600000000001</v>
      </c>
      <c r="O85" s="13"/>
      <c r="P85" s="1">
        <f>SUM(OSRRefP22_4x_0)</f>
        <v>50711.17</v>
      </c>
      <c r="Q85" s="1"/>
      <c r="R85" s="5">
        <f t="shared" si="35"/>
        <v>2.8196274817028417E-2</v>
      </c>
      <c r="S85" s="1"/>
      <c r="T85" s="1">
        <f>SUM(OSRRefT22_4x_0)</f>
        <v>17500</v>
      </c>
      <c r="U85" s="1"/>
      <c r="V85" s="5">
        <f t="shared" si="36"/>
        <v>1.019873547335828E-2</v>
      </c>
      <c r="W85" s="1"/>
      <c r="X85" s="1">
        <f t="shared" si="37"/>
        <v>33211.17</v>
      </c>
      <c r="Y85" s="1"/>
      <c r="Z85" s="5">
        <f t="shared" si="38"/>
        <v>1.8977811428571427</v>
      </c>
    </row>
    <row r="86" spans="1:26" s="24" customFormat="1" hidden="1" outlineLevel="2" x14ac:dyDescent="0.25">
      <c r="A86" s="25"/>
      <c r="B86" s="11" t="str">
        <f>CONCATENATE("          ", "6382", " - ", "DISCOUNTS/MARK DOWNS")</f>
        <v xml:space="preserve">          6382 - DISCOUNTS/MARK DOWNS</v>
      </c>
      <c r="C86" s="11"/>
      <c r="D86" s="7">
        <v>1440.51</v>
      </c>
      <c r="E86" s="2"/>
      <c r="F86" s="6">
        <f t="shared" si="31"/>
        <v>6.6961764330996402E-3</v>
      </c>
      <c r="G86" s="2"/>
      <c r="H86" s="7">
        <v>2500</v>
      </c>
      <c r="I86" s="2"/>
      <c r="J86" s="6">
        <f t="shared" si="32"/>
        <v>8.505657963677438E-3</v>
      </c>
      <c r="K86" s="2"/>
      <c r="L86" s="7">
        <f t="shared" si="33"/>
        <v>-1059.49</v>
      </c>
      <c r="M86" s="2"/>
      <c r="N86" s="6">
        <f t="shared" si="34"/>
        <v>-0.42379600000000001</v>
      </c>
      <c r="O86" s="11"/>
      <c r="P86" s="7">
        <v>50711.17</v>
      </c>
      <c r="Q86" s="2"/>
      <c r="R86" s="6">
        <f t="shared" si="35"/>
        <v>2.8196274817028417E-2</v>
      </c>
      <c r="S86" s="2"/>
      <c r="T86" s="7">
        <v>17500</v>
      </c>
      <c r="U86" s="2"/>
      <c r="V86" s="6">
        <f t="shared" si="36"/>
        <v>1.019873547335828E-2</v>
      </c>
      <c r="W86" s="2"/>
      <c r="X86" s="7">
        <f t="shared" si="37"/>
        <v>33211.17</v>
      </c>
      <c r="Y86" s="2"/>
      <c r="Z86" s="6">
        <f t="shared" si="38"/>
        <v>1.8977811428571427</v>
      </c>
    </row>
    <row r="87" spans="1:26" s="27" customFormat="1" outlineLevel="1" collapsed="1" x14ac:dyDescent="0.25">
      <c r="A87" s="26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SUM(OSRRefD22_5x_0)</f>
        <v>0</v>
      </c>
      <c r="E87" s="1"/>
      <c r="F87" s="5">
        <f t="shared" si="31"/>
        <v>0</v>
      </c>
      <c r="G87" s="1"/>
      <c r="H87" s="1">
        <f>SUM(OSRRefH22_5x_0)</f>
        <v>40</v>
      </c>
      <c r="I87" s="1"/>
      <c r="J87" s="5">
        <f t="shared" si="32"/>
        <v>1.3609052741883902E-4</v>
      </c>
      <c r="K87" s="1"/>
      <c r="L87" s="1">
        <f t="shared" si="33"/>
        <v>-40</v>
      </c>
      <c r="M87" s="1"/>
      <c r="N87" s="5">
        <f t="shared" si="34"/>
        <v>-1</v>
      </c>
      <c r="O87" s="13"/>
      <c r="P87" s="1">
        <f>SUM(OSRRefP22_5x_0)</f>
        <v>0</v>
      </c>
      <c r="Q87" s="1"/>
      <c r="R87" s="5">
        <f t="shared" si="35"/>
        <v>0</v>
      </c>
      <c r="S87" s="1"/>
      <c r="T87" s="1">
        <f>SUM(OSRRefT22_5x_0)</f>
        <v>280</v>
      </c>
      <c r="U87" s="1"/>
      <c r="V87" s="5">
        <f t="shared" si="36"/>
        <v>1.631797675737325E-4</v>
      </c>
      <c r="W87" s="1"/>
      <c r="X87" s="1">
        <f t="shared" si="37"/>
        <v>-280</v>
      </c>
      <c r="Y87" s="1"/>
      <c r="Z87" s="5">
        <f t="shared" si="38"/>
        <v>-1</v>
      </c>
    </row>
    <row r="88" spans="1:26" s="24" customFormat="1" hidden="1" outlineLevel="2" x14ac:dyDescent="0.25">
      <c r="A88" s="25"/>
      <c r="B88" s="11" t="str">
        <f>CONCATENATE("          ", "6277", " - ", "EMPLOYEE APPRECIATION")</f>
        <v xml:space="preserve">          6277 - EMPLOYEE APPRECIATION</v>
      </c>
      <c r="C88" s="11"/>
      <c r="D88" s="7"/>
      <c r="E88" s="2"/>
      <c r="F88" s="6">
        <f t="shared" si="31"/>
        <v>0</v>
      </c>
      <c r="G88" s="2"/>
      <c r="H88" s="7">
        <v>40</v>
      </c>
      <c r="I88" s="2"/>
      <c r="J88" s="6">
        <f t="shared" si="32"/>
        <v>1.3609052741883902E-4</v>
      </c>
      <c r="K88" s="2"/>
      <c r="L88" s="7">
        <f t="shared" si="33"/>
        <v>-40</v>
      </c>
      <c r="M88" s="2"/>
      <c r="N88" s="6">
        <f t="shared" si="34"/>
        <v>-1</v>
      </c>
      <c r="O88" s="11"/>
      <c r="P88" s="7"/>
      <c r="Q88" s="2"/>
      <c r="R88" s="6">
        <f t="shared" si="35"/>
        <v>0</v>
      </c>
      <c r="S88" s="2"/>
      <c r="T88" s="7">
        <v>280</v>
      </c>
      <c r="U88" s="2"/>
      <c r="V88" s="6">
        <f t="shared" si="36"/>
        <v>1.631797675737325E-4</v>
      </c>
      <c r="W88" s="2"/>
      <c r="X88" s="7">
        <f t="shared" si="37"/>
        <v>-280</v>
      </c>
      <c r="Y88" s="2"/>
      <c r="Z88" s="6">
        <f t="shared" si="38"/>
        <v>-1</v>
      </c>
    </row>
    <row r="89" spans="1:26" s="27" customFormat="1" outlineLevel="1" collapsed="1" x14ac:dyDescent="0.25">
      <c r="A89" s="26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0</v>
      </c>
      <c r="E89" s="1"/>
      <c r="F89" s="5">
        <f t="shared" si="31"/>
        <v>0</v>
      </c>
      <c r="G89" s="1"/>
      <c r="H89" s="1">
        <f>SUM(OSRRefH22_6x_0)</f>
        <v>25</v>
      </c>
      <c r="I89" s="1"/>
      <c r="J89" s="5">
        <f t="shared" si="32"/>
        <v>8.5056579636774376E-5</v>
      </c>
      <c r="K89" s="1"/>
      <c r="L89" s="1">
        <f t="shared" si="33"/>
        <v>-25</v>
      </c>
      <c r="M89" s="1"/>
      <c r="N89" s="5">
        <f t="shared" si="34"/>
        <v>-1</v>
      </c>
      <c r="O89" s="13"/>
      <c r="P89" s="1">
        <f>SUM(OSRRefP22_6x_0)</f>
        <v>41.61</v>
      </c>
      <c r="Q89" s="1"/>
      <c r="R89" s="5">
        <f t="shared" si="35"/>
        <v>2.3135869181021703E-5</v>
      </c>
      <c r="S89" s="1"/>
      <c r="T89" s="1">
        <f>SUM(OSRRefT22_6x_0)</f>
        <v>175</v>
      </c>
      <c r="U89" s="1"/>
      <c r="V89" s="5">
        <f t="shared" si="36"/>
        <v>1.0198735473358281E-4</v>
      </c>
      <c r="W89" s="1"/>
      <c r="X89" s="1">
        <f t="shared" si="37"/>
        <v>-133.38999999999999</v>
      </c>
      <c r="Y89" s="1"/>
      <c r="Z89" s="5">
        <f t="shared" si="38"/>
        <v>-0.76222857142857137</v>
      </c>
    </row>
    <row r="90" spans="1:26" s="24" customFormat="1" hidden="1" outlineLevel="2" x14ac:dyDescent="0.25">
      <c r="A90" s="25"/>
      <c r="B90" s="11" t="str">
        <f>CONCATENATE("          ", "6305", " - ", "FREIGHT OUT")</f>
        <v xml:space="preserve">          6305 - FREIGHT OUT</v>
      </c>
      <c r="C90" s="11"/>
      <c r="D90" s="7"/>
      <c r="E90" s="2"/>
      <c r="F90" s="6">
        <f t="shared" si="31"/>
        <v>0</v>
      </c>
      <c r="G90" s="2"/>
      <c r="H90" s="7">
        <v>25</v>
      </c>
      <c r="I90" s="2"/>
      <c r="J90" s="6">
        <f t="shared" si="32"/>
        <v>8.5056579636774376E-5</v>
      </c>
      <c r="K90" s="2"/>
      <c r="L90" s="7">
        <f t="shared" si="33"/>
        <v>-25</v>
      </c>
      <c r="M90" s="2"/>
      <c r="N90" s="6">
        <f t="shared" si="34"/>
        <v>-1</v>
      </c>
      <c r="O90" s="11"/>
      <c r="P90" s="7">
        <v>41.61</v>
      </c>
      <c r="Q90" s="2"/>
      <c r="R90" s="6">
        <f t="shared" si="35"/>
        <v>2.3135869181021703E-5</v>
      </c>
      <c r="S90" s="2"/>
      <c r="T90" s="7">
        <v>175</v>
      </c>
      <c r="U90" s="2"/>
      <c r="V90" s="6">
        <f t="shared" si="36"/>
        <v>1.0198735473358281E-4</v>
      </c>
      <c r="W90" s="2"/>
      <c r="X90" s="7">
        <f t="shared" si="37"/>
        <v>-133.38999999999999</v>
      </c>
      <c r="Y90" s="2"/>
      <c r="Z90" s="6">
        <f t="shared" si="38"/>
        <v>-0.76222857142857137</v>
      </c>
    </row>
    <row r="91" spans="1:26" s="27" customFormat="1" outlineLevel="1" collapsed="1" x14ac:dyDescent="0.25">
      <c r="A91" s="26"/>
      <c r="B91" s="13" t="str">
        <f>CONCATENATE("     ","Repair and Maintenance                            ")</f>
        <v xml:space="preserve">     Repair and Maintenance                            </v>
      </c>
      <c r="C91" s="13"/>
      <c r="D91" s="1">
        <f>SUM(OSRRefD22_7x_0)</f>
        <v>0</v>
      </c>
      <c r="E91" s="1"/>
      <c r="F91" s="5">
        <f t="shared" si="31"/>
        <v>0</v>
      </c>
      <c r="G91" s="1"/>
      <c r="H91" s="1">
        <f>SUM(OSRRefH22_7x_0)</f>
        <v>0</v>
      </c>
      <c r="I91" s="1"/>
      <c r="J91" s="5">
        <f t="shared" si="32"/>
        <v>0</v>
      </c>
      <c r="K91" s="1"/>
      <c r="L91" s="1">
        <f t="shared" si="33"/>
        <v>0</v>
      </c>
      <c r="M91" s="1"/>
      <c r="N91" s="5">
        <f t="shared" si="34"/>
        <v>0</v>
      </c>
      <c r="O91" s="13"/>
      <c r="P91" s="1">
        <f>SUM(OSRRefP22_7x_0)</f>
        <v>197.18</v>
      </c>
      <c r="Q91" s="1"/>
      <c r="R91" s="5">
        <f t="shared" si="35"/>
        <v>1.0963544064200577E-4</v>
      </c>
      <c r="S91" s="1"/>
      <c r="T91" s="1">
        <f>SUM(OSRRefT22_7x_0)</f>
        <v>0</v>
      </c>
      <c r="U91" s="1"/>
      <c r="V91" s="5">
        <f t="shared" si="36"/>
        <v>0</v>
      </c>
      <c r="W91" s="1"/>
      <c r="X91" s="1">
        <f t="shared" si="37"/>
        <v>197.18</v>
      </c>
      <c r="Y91" s="1"/>
      <c r="Z91" s="5">
        <f t="shared" si="38"/>
        <v>0</v>
      </c>
    </row>
    <row r="92" spans="1:26" s="24" customFormat="1" hidden="1" outlineLevel="2" x14ac:dyDescent="0.25">
      <c r="A92" s="25"/>
      <c r="B92" s="11" t="str">
        <f>CONCATENATE("          ", "6375", " - ", "OUTSIDE REPAIRS &amp; MAINTENANCE")</f>
        <v xml:space="preserve">          6375 - OUTSIDE REPAIRS &amp; MAINTENANCE</v>
      </c>
      <c r="C92" s="11"/>
      <c r="D92" s="7"/>
      <c r="E92" s="2"/>
      <c r="F92" s="6">
        <f t="shared" si="31"/>
        <v>0</v>
      </c>
      <c r="G92" s="2"/>
      <c r="H92" s="7"/>
      <c r="I92" s="2"/>
      <c r="J92" s="6">
        <f t="shared" si="32"/>
        <v>0</v>
      </c>
      <c r="K92" s="2"/>
      <c r="L92" s="7">
        <f t="shared" si="33"/>
        <v>0</v>
      </c>
      <c r="M92" s="2"/>
      <c r="N92" s="6">
        <f t="shared" si="34"/>
        <v>0</v>
      </c>
      <c r="O92" s="11"/>
      <c r="P92" s="7">
        <v>197.18</v>
      </c>
      <c r="Q92" s="2"/>
      <c r="R92" s="6">
        <f t="shared" si="35"/>
        <v>1.0963544064200577E-4</v>
      </c>
      <c r="S92" s="2"/>
      <c r="T92" s="7"/>
      <c r="U92" s="2"/>
      <c r="V92" s="6">
        <f t="shared" si="36"/>
        <v>0</v>
      </c>
      <c r="W92" s="2"/>
      <c r="X92" s="7">
        <f t="shared" si="37"/>
        <v>197.18</v>
      </c>
      <c r="Y92" s="2"/>
      <c r="Z92" s="6">
        <f t="shared" si="38"/>
        <v>0</v>
      </c>
    </row>
    <row r="93" spans="1:26" s="27" customFormat="1" outlineLevel="1" collapsed="1" x14ac:dyDescent="0.25">
      <c r="A93" s="26"/>
      <c r="B93" s="13" t="str">
        <f>CONCATENATE("     ","Subscriptions &amp; Dues                              ")</f>
        <v xml:space="preserve">     Subscriptions &amp; Dues                              </v>
      </c>
      <c r="C93" s="13"/>
      <c r="D93" s="1">
        <f>SUM(OSRRefD22_8x_0)</f>
        <v>0</v>
      </c>
      <c r="E93" s="1"/>
      <c r="F93" s="5">
        <f t="shared" si="31"/>
        <v>0</v>
      </c>
      <c r="G93" s="1"/>
      <c r="H93" s="1">
        <f>SUM(OSRRefH22_8x_0)</f>
        <v>0</v>
      </c>
      <c r="I93" s="1"/>
      <c r="J93" s="5">
        <f t="shared" si="32"/>
        <v>0</v>
      </c>
      <c r="K93" s="1"/>
      <c r="L93" s="1">
        <f t="shared" si="33"/>
        <v>0</v>
      </c>
      <c r="M93" s="1"/>
      <c r="N93" s="5">
        <f t="shared" si="34"/>
        <v>0</v>
      </c>
      <c r="O93" s="13"/>
      <c r="P93" s="1">
        <f>SUM(OSRRefP22_8x_0)</f>
        <v>-5000</v>
      </c>
      <c r="Q93" s="1"/>
      <c r="R93" s="5">
        <f t="shared" si="35"/>
        <v>-2.7800852176185658E-3</v>
      </c>
      <c r="S93" s="1"/>
      <c r="T93" s="1">
        <f>SUM(OSRRefT22_8x_0)</f>
        <v>0</v>
      </c>
      <c r="U93" s="1"/>
      <c r="V93" s="5">
        <f t="shared" si="36"/>
        <v>0</v>
      </c>
      <c r="W93" s="1"/>
      <c r="X93" s="1">
        <f t="shared" si="37"/>
        <v>-5000</v>
      </c>
      <c r="Y93" s="1"/>
      <c r="Z93" s="5">
        <f t="shared" si="38"/>
        <v>0</v>
      </c>
    </row>
    <row r="94" spans="1:26" s="24" customFormat="1" hidden="1" outlineLevel="2" x14ac:dyDescent="0.25">
      <c r="A94" s="25"/>
      <c r="B94" s="11" t="str">
        <f>CONCATENATE("          ", "6258", " - ", "MEMBERSHIP DUES")</f>
        <v xml:space="preserve">          6258 - MEMBERSHIP DUES</v>
      </c>
      <c r="C94" s="11"/>
      <c r="D94" s="7"/>
      <c r="E94" s="2"/>
      <c r="F94" s="6">
        <f t="shared" si="31"/>
        <v>0</v>
      </c>
      <c r="G94" s="2"/>
      <c r="H94" s="7"/>
      <c r="I94" s="2"/>
      <c r="J94" s="6">
        <f t="shared" si="32"/>
        <v>0</v>
      </c>
      <c r="K94" s="2"/>
      <c r="L94" s="7">
        <f t="shared" si="33"/>
        <v>0</v>
      </c>
      <c r="M94" s="2"/>
      <c r="N94" s="6">
        <f t="shared" si="34"/>
        <v>0</v>
      </c>
      <c r="O94" s="11"/>
      <c r="P94" s="7">
        <v>-5000</v>
      </c>
      <c r="Q94" s="2"/>
      <c r="R94" s="6">
        <f t="shared" si="35"/>
        <v>-2.7800852176185658E-3</v>
      </c>
      <c r="S94" s="2"/>
      <c r="T94" s="7"/>
      <c r="U94" s="2"/>
      <c r="V94" s="6">
        <f t="shared" si="36"/>
        <v>0</v>
      </c>
      <c r="W94" s="2"/>
      <c r="X94" s="7">
        <f t="shared" si="37"/>
        <v>-5000</v>
      </c>
      <c r="Y94" s="2"/>
      <c r="Z94" s="6">
        <f t="shared" si="38"/>
        <v>0</v>
      </c>
    </row>
    <row r="95" spans="1:26" s="27" customFormat="1" outlineLevel="1" collapsed="1" x14ac:dyDescent="0.25">
      <c r="A95" s="26"/>
      <c r="B95" s="13" t="str">
        <f>CONCATENATE("     ","Supplies                                          ")</f>
        <v xml:space="preserve">     Supplies                                          </v>
      </c>
      <c r="C95" s="13"/>
      <c r="D95" s="1">
        <f>SUM(OSRRefD22_9x_0)</f>
        <v>311.60000000000002</v>
      </c>
      <c r="E95" s="1"/>
      <c r="F95" s="5">
        <f t="shared" si="31"/>
        <v>1.4484651800777835E-3</v>
      </c>
      <c r="G95" s="1"/>
      <c r="H95" s="1">
        <f>SUM(OSRRefH22_9x_0)</f>
        <v>275</v>
      </c>
      <c r="I95" s="1"/>
      <c r="J95" s="5">
        <f t="shared" si="32"/>
        <v>9.3562237600451821E-4</v>
      </c>
      <c r="K95" s="1"/>
      <c r="L95" s="1">
        <f t="shared" si="33"/>
        <v>36.600000000000023</v>
      </c>
      <c r="M95" s="1"/>
      <c r="N95" s="5">
        <f t="shared" si="34"/>
        <v>0.13309090909090918</v>
      </c>
      <c r="O95" s="13"/>
      <c r="P95" s="1">
        <f>SUM(OSRRefP22_9x_0)</f>
        <v>3013.63</v>
      </c>
      <c r="Q95" s="1"/>
      <c r="R95" s="5">
        <f t="shared" si="35"/>
        <v>1.6756296428743678E-3</v>
      </c>
      <c r="S95" s="1"/>
      <c r="T95" s="1">
        <f>SUM(OSRRefT22_9x_0)</f>
        <v>1925</v>
      </c>
      <c r="U95" s="1"/>
      <c r="V95" s="5">
        <f t="shared" si="36"/>
        <v>1.1218609020694108E-3</v>
      </c>
      <c r="W95" s="1"/>
      <c r="X95" s="1">
        <f t="shared" si="37"/>
        <v>1088.6300000000001</v>
      </c>
      <c r="Y95" s="1"/>
      <c r="Z95" s="5">
        <f t="shared" si="38"/>
        <v>0.56552207792207798</v>
      </c>
    </row>
    <row r="96" spans="1:26" s="24" customFormat="1" hidden="1" outlineLevel="2" x14ac:dyDescent="0.25">
      <c r="A96" s="25"/>
      <c r="B96" s="11" t="str">
        <f>CONCATENATE("          ", "6241", " - ", "OFFICE EXPENSE")</f>
        <v xml:space="preserve">          6241 - OFFICE EXPENSE</v>
      </c>
      <c r="C96" s="11"/>
      <c r="D96" s="7">
        <v>311.60000000000002</v>
      </c>
      <c r="E96" s="2"/>
      <c r="F96" s="6">
        <f t="shared" si="31"/>
        <v>1.4484651800777835E-3</v>
      </c>
      <c r="G96" s="2"/>
      <c r="H96" s="7">
        <v>275</v>
      </c>
      <c r="I96" s="2"/>
      <c r="J96" s="6">
        <f t="shared" si="32"/>
        <v>9.3562237600451821E-4</v>
      </c>
      <c r="K96" s="2"/>
      <c r="L96" s="7">
        <f t="shared" si="33"/>
        <v>36.600000000000023</v>
      </c>
      <c r="M96" s="2"/>
      <c r="N96" s="6">
        <f t="shared" si="34"/>
        <v>0.13309090909090918</v>
      </c>
      <c r="O96" s="11"/>
      <c r="P96" s="7">
        <v>1004.25</v>
      </c>
      <c r="Q96" s="2"/>
      <c r="R96" s="6">
        <f t="shared" si="35"/>
        <v>5.5838011595868897E-4</v>
      </c>
      <c r="S96" s="2"/>
      <c r="T96" s="7">
        <v>1925</v>
      </c>
      <c r="U96" s="2"/>
      <c r="V96" s="6">
        <f t="shared" si="36"/>
        <v>1.1218609020694108E-3</v>
      </c>
      <c r="W96" s="2"/>
      <c r="X96" s="7">
        <f t="shared" si="37"/>
        <v>-920.75</v>
      </c>
      <c r="Y96" s="2"/>
      <c r="Z96" s="6">
        <f t="shared" si="38"/>
        <v>-0.4783116883116883</v>
      </c>
    </row>
    <row r="97" spans="1:26" s="24" customFormat="1" hidden="1" outlineLevel="2" x14ac:dyDescent="0.25">
      <c r="A97" s="25"/>
      <c r="B97" s="11" t="str">
        <f>CONCATENATE("          ", "6247", " - ", "STORE SUPPLIES")</f>
        <v xml:space="preserve">          6247 - STORE SUPPLIES</v>
      </c>
      <c r="C97" s="11"/>
      <c r="D97" s="7"/>
      <c r="E97" s="2"/>
      <c r="F97" s="6">
        <f t="shared" si="31"/>
        <v>0</v>
      </c>
      <c r="G97" s="2"/>
      <c r="H97" s="7"/>
      <c r="I97" s="2"/>
      <c r="J97" s="6">
        <f t="shared" si="32"/>
        <v>0</v>
      </c>
      <c r="K97" s="2"/>
      <c r="L97" s="7">
        <f t="shared" si="33"/>
        <v>0</v>
      </c>
      <c r="M97" s="2"/>
      <c r="N97" s="6">
        <f t="shared" si="34"/>
        <v>0</v>
      </c>
      <c r="O97" s="11"/>
      <c r="P97" s="7">
        <v>2009.38</v>
      </c>
      <c r="Q97" s="2"/>
      <c r="R97" s="6">
        <f t="shared" si="35"/>
        <v>1.1172495269156789E-3</v>
      </c>
      <c r="S97" s="2"/>
      <c r="T97" s="7"/>
      <c r="U97" s="2"/>
      <c r="V97" s="6">
        <f t="shared" si="36"/>
        <v>0</v>
      </c>
      <c r="W97" s="2"/>
      <c r="X97" s="7">
        <f t="shared" si="37"/>
        <v>2009.38</v>
      </c>
      <c r="Y97" s="2"/>
      <c r="Z97" s="6">
        <f t="shared" si="38"/>
        <v>0</v>
      </c>
    </row>
    <row r="98" spans="1:26" s="27" customFormat="1" outlineLevel="1" collapsed="1" x14ac:dyDescent="0.25">
      <c r="A98" s="26"/>
      <c r="B98" s="13" t="str">
        <f>CONCATENATE("     ","Telephone/Data Lines                              ")</f>
        <v xml:space="preserve">     Telephone/Data Lines                              </v>
      </c>
      <c r="C98" s="13"/>
      <c r="D98" s="1">
        <f>SUM(OSRRefD22_10x_0)</f>
        <v>253.9</v>
      </c>
      <c r="E98" s="1"/>
      <c r="F98" s="5">
        <f t="shared" ref="F98:F100" si="39">IF(D$12=0,0,D98/D$12)</f>
        <v>1.1802481040492593E-3</v>
      </c>
      <c r="G98" s="1"/>
      <c r="H98" s="1">
        <f>SUM(OSRRefH22_10x_0)</f>
        <v>280</v>
      </c>
      <c r="I98" s="1"/>
      <c r="J98" s="5">
        <f t="shared" ref="J98:J100" si="40">IF(H$12=0,0,H98/H$12)</f>
        <v>9.5263369193187306E-4</v>
      </c>
      <c r="K98" s="1"/>
      <c r="L98" s="1">
        <f t="shared" ref="L98:L100" si="41">+D98-H98</f>
        <v>-26.099999999999994</v>
      </c>
      <c r="M98" s="1"/>
      <c r="N98" s="5">
        <f t="shared" ref="N98:N100" si="42">IF(H98=0,0,L98/H98)</f>
        <v>-9.3214285714285694E-2</v>
      </c>
      <c r="O98" s="13"/>
      <c r="P98" s="1">
        <f>SUM(OSRRefP22_10x_0)</f>
        <v>1790.05</v>
      </c>
      <c r="Q98" s="1"/>
      <c r="R98" s="5">
        <f t="shared" ref="R98:R100" si="43">IF(P$12=0,0,P98/P$12)</f>
        <v>9.9529830875962262E-4</v>
      </c>
      <c r="S98" s="1"/>
      <c r="T98" s="1">
        <f>SUM(OSRRefT22_10x_0)</f>
        <v>1960</v>
      </c>
      <c r="U98" s="1"/>
      <c r="V98" s="5">
        <f t="shared" ref="V98:V100" si="44">IF(T$12=0,0,T98/T$12)</f>
        <v>1.1422583730161275E-3</v>
      </c>
      <c r="W98" s="1"/>
      <c r="X98" s="1">
        <f t="shared" ref="X98:X100" si="45">+P98-T98</f>
        <v>-169.95000000000005</v>
      </c>
      <c r="Y98" s="1"/>
      <c r="Z98" s="5">
        <f t="shared" ref="Z98:Z100" si="46">IF(T98=0,0,X98/T98)</f>
        <v>-8.6709183673469414E-2</v>
      </c>
    </row>
    <row r="99" spans="1:26" s="24" customFormat="1" hidden="1" outlineLevel="2" x14ac:dyDescent="0.25">
      <c r="A99" s="25"/>
      <c r="B99" s="11" t="str">
        <f>CONCATENATE("          ", "6303", " - ", "DATA PHONE LINES")</f>
        <v xml:space="preserve">          6303 - DATA PHONE LINES</v>
      </c>
      <c r="C99" s="11"/>
      <c r="D99" s="7"/>
      <c r="E99" s="2"/>
      <c r="F99" s="6">
        <f t="shared" si="39"/>
        <v>0</v>
      </c>
      <c r="G99" s="2"/>
      <c r="H99" s="7">
        <v>280</v>
      </c>
      <c r="I99" s="2"/>
      <c r="J99" s="6">
        <f t="shared" si="40"/>
        <v>9.5263369193187306E-4</v>
      </c>
      <c r="K99" s="2"/>
      <c r="L99" s="7">
        <f t="shared" si="41"/>
        <v>-280</v>
      </c>
      <c r="M99" s="2"/>
      <c r="N99" s="6">
        <f t="shared" si="42"/>
        <v>-1</v>
      </c>
      <c r="O99" s="11"/>
      <c r="P99" s="7"/>
      <c r="Q99" s="2"/>
      <c r="R99" s="6">
        <f t="shared" si="43"/>
        <v>0</v>
      </c>
      <c r="S99" s="2"/>
      <c r="T99" s="7">
        <v>1960</v>
      </c>
      <c r="U99" s="2"/>
      <c r="V99" s="6">
        <f t="shared" si="44"/>
        <v>1.1422583730161275E-3</v>
      </c>
      <c r="W99" s="2"/>
      <c r="X99" s="7">
        <f t="shared" si="45"/>
        <v>-1960</v>
      </c>
      <c r="Y99" s="2"/>
      <c r="Z99" s="6">
        <f t="shared" si="46"/>
        <v>-1</v>
      </c>
    </row>
    <row r="100" spans="1:26" s="24" customFormat="1" hidden="1" outlineLevel="2" x14ac:dyDescent="0.25">
      <c r="A100" s="25"/>
      <c r="B100" s="11" t="str">
        <f>CONCATENATE("          ", "6309", " - ", "TELEPHONE")</f>
        <v xml:space="preserve">          6309 - TELEPHONE</v>
      </c>
      <c r="C100" s="11"/>
      <c r="D100" s="7">
        <v>253.9</v>
      </c>
      <c r="E100" s="2"/>
      <c r="F100" s="6">
        <f t="shared" si="39"/>
        <v>1.1802481040492593E-3</v>
      </c>
      <c r="G100" s="2"/>
      <c r="H100" s="7"/>
      <c r="I100" s="2"/>
      <c r="J100" s="6">
        <f t="shared" si="40"/>
        <v>0</v>
      </c>
      <c r="K100" s="2"/>
      <c r="L100" s="7">
        <f t="shared" si="41"/>
        <v>253.9</v>
      </c>
      <c r="M100" s="2"/>
      <c r="N100" s="6">
        <f t="shared" si="42"/>
        <v>0</v>
      </c>
      <c r="O100" s="11"/>
      <c r="P100" s="7">
        <v>1790.05</v>
      </c>
      <c r="Q100" s="2"/>
      <c r="R100" s="6">
        <f t="shared" si="43"/>
        <v>9.9529830875962262E-4</v>
      </c>
      <c r="S100" s="2"/>
      <c r="T100" s="7"/>
      <c r="U100" s="2"/>
      <c r="V100" s="6">
        <f t="shared" si="44"/>
        <v>0</v>
      </c>
      <c r="W100" s="2"/>
      <c r="X100" s="7">
        <f t="shared" si="45"/>
        <v>1790.05</v>
      </c>
      <c r="Y100" s="2"/>
      <c r="Z100" s="6">
        <f t="shared" si="46"/>
        <v>0</v>
      </c>
    </row>
    <row r="101" spans="1:26" s="27" customFormat="1" outlineLevel="1" collapsed="1" x14ac:dyDescent="0.25">
      <c r="A101" s="26"/>
      <c r="B101" s="13" t="str">
        <f>CONCATENATE("     ","Training                                          ")</f>
        <v xml:space="preserve">     Training                                          </v>
      </c>
      <c r="C101" s="13"/>
      <c r="D101" s="1">
        <f>SUM(OSRRefD22_11x_0)</f>
        <v>0</v>
      </c>
      <c r="E101" s="1"/>
      <c r="F101" s="5">
        <f t="shared" ref="F101:F104" si="47">IF(D$12=0,0,D101/D$12)</f>
        <v>0</v>
      </c>
      <c r="G101" s="1"/>
      <c r="H101" s="1">
        <f>SUM(OSRRefH22_11x_0)</f>
        <v>375</v>
      </c>
      <c r="I101" s="1"/>
      <c r="J101" s="5">
        <f t="shared" ref="J101:J104" si="48">IF(H$12=0,0,H101/H$12)</f>
        <v>1.2758486945516157E-3</v>
      </c>
      <c r="K101" s="1"/>
      <c r="L101" s="1">
        <f t="shared" ref="L101:L104" si="49">+D101-H101</f>
        <v>-375</v>
      </c>
      <c r="M101" s="1"/>
      <c r="N101" s="5">
        <f t="shared" ref="N101:N104" si="50">IF(H101=0,0,L101/H101)</f>
        <v>-1</v>
      </c>
      <c r="O101" s="13"/>
      <c r="P101" s="1">
        <f>SUM(OSRRefP22_11x_0)</f>
        <v>1163.6400000000001</v>
      </c>
      <c r="Q101" s="1"/>
      <c r="R101" s="5">
        <f t="shared" ref="R101:R104" si="51">IF(P$12=0,0,P101/P$12)</f>
        <v>6.4700367252593365E-4</v>
      </c>
      <c r="S101" s="1"/>
      <c r="T101" s="1">
        <f>SUM(OSRRefT22_11x_0)</f>
        <v>2625</v>
      </c>
      <c r="U101" s="1"/>
      <c r="V101" s="5">
        <f t="shared" ref="V101:V104" si="52">IF(T$12=0,0,T101/T$12)</f>
        <v>1.529810321003742E-3</v>
      </c>
      <c r="W101" s="1"/>
      <c r="X101" s="1">
        <f t="shared" ref="X101:X104" si="53">+P101-T101</f>
        <v>-1461.36</v>
      </c>
      <c r="Y101" s="1"/>
      <c r="Z101" s="5">
        <f t="shared" ref="Z101:Z104" si="54">IF(T101=0,0,X101/T101)</f>
        <v>-0.55670857142857144</v>
      </c>
    </row>
    <row r="102" spans="1:26" s="24" customFormat="1" hidden="1" outlineLevel="2" x14ac:dyDescent="0.25">
      <c r="A102" s="25"/>
      <c r="B102" s="11" t="str">
        <f>CONCATENATE("          ", "6376", " - ", "TRAINING")</f>
        <v xml:space="preserve">          6376 - TRAINING</v>
      </c>
      <c r="C102" s="11"/>
      <c r="D102" s="7"/>
      <c r="E102" s="2"/>
      <c r="F102" s="6">
        <f t="shared" si="47"/>
        <v>0</v>
      </c>
      <c r="G102" s="2"/>
      <c r="H102" s="7">
        <v>375</v>
      </c>
      <c r="I102" s="2"/>
      <c r="J102" s="6">
        <f t="shared" si="48"/>
        <v>1.2758486945516157E-3</v>
      </c>
      <c r="K102" s="2"/>
      <c r="L102" s="7">
        <f t="shared" si="49"/>
        <v>-375</v>
      </c>
      <c r="M102" s="2"/>
      <c r="N102" s="6">
        <f t="shared" si="50"/>
        <v>-1</v>
      </c>
      <c r="O102" s="11"/>
      <c r="P102" s="7">
        <v>1163.6400000000001</v>
      </c>
      <c r="Q102" s="2"/>
      <c r="R102" s="6">
        <f t="shared" si="51"/>
        <v>6.4700367252593365E-4</v>
      </c>
      <c r="S102" s="2"/>
      <c r="T102" s="7">
        <v>2625</v>
      </c>
      <c r="U102" s="2"/>
      <c r="V102" s="6">
        <f t="shared" si="52"/>
        <v>1.529810321003742E-3</v>
      </c>
      <c r="W102" s="2"/>
      <c r="X102" s="7">
        <f t="shared" si="53"/>
        <v>-1461.36</v>
      </c>
      <c r="Y102" s="2"/>
      <c r="Z102" s="6">
        <f t="shared" si="54"/>
        <v>-0.55670857142857144</v>
      </c>
    </row>
    <row r="103" spans="1:26" s="27" customFormat="1" outlineLevel="1" collapsed="1" x14ac:dyDescent="0.25">
      <c r="A103" s="26"/>
      <c r="B103" s="13" t="str">
        <f>CONCATENATE("     ","Travel                                            ")</f>
        <v xml:space="preserve">     Travel                                            </v>
      </c>
      <c r="C103" s="13"/>
      <c r="D103" s="1">
        <f>SUM(OSRRefD22_12x_0)</f>
        <v>0</v>
      </c>
      <c r="E103" s="1"/>
      <c r="F103" s="5">
        <f t="shared" si="47"/>
        <v>0</v>
      </c>
      <c r="G103" s="1"/>
      <c r="H103" s="1">
        <f>SUM(OSRRefH22_12x_0)</f>
        <v>0</v>
      </c>
      <c r="I103" s="1"/>
      <c r="J103" s="5">
        <f t="shared" si="48"/>
        <v>0</v>
      </c>
      <c r="K103" s="1"/>
      <c r="L103" s="1">
        <f t="shared" si="49"/>
        <v>0</v>
      </c>
      <c r="M103" s="1"/>
      <c r="N103" s="5">
        <f t="shared" si="50"/>
        <v>0</v>
      </c>
      <c r="O103" s="13"/>
      <c r="P103" s="1">
        <f>SUM(OSRRefP22_12x_0)</f>
        <v>-178.06</v>
      </c>
      <c r="Q103" s="1"/>
      <c r="R103" s="5">
        <f t="shared" si="51"/>
        <v>-9.9004394769832359E-5</v>
      </c>
      <c r="S103" s="1"/>
      <c r="T103" s="1">
        <f>SUM(OSRRefT22_12x_0)</f>
        <v>0</v>
      </c>
      <c r="U103" s="1"/>
      <c r="V103" s="5">
        <f t="shared" si="52"/>
        <v>0</v>
      </c>
      <c r="W103" s="1"/>
      <c r="X103" s="1">
        <f t="shared" si="53"/>
        <v>-178.06</v>
      </c>
      <c r="Y103" s="1"/>
      <c r="Z103" s="5">
        <f t="shared" si="54"/>
        <v>0</v>
      </c>
    </row>
    <row r="104" spans="1:26" s="24" customFormat="1" hidden="1" outlineLevel="2" x14ac:dyDescent="0.25">
      <c r="A104" s="25"/>
      <c r="B104" s="11" t="str">
        <f>CONCATENATE("          ", "6292", " - ", "TRAVEL/CONFERENCE")</f>
        <v xml:space="preserve">          6292 - TRAVEL/CONFERENCE</v>
      </c>
      <c r="C104" s="11"/>
      <c r="D104" s="7"/>
      <c r="E104" s="2"/>
      <c r="F104" s="6">
        <f t="shared" si="47"/>
        <v>0</v>
      </c>
      <c r="G104" s="2"/>
      <c r="H104" s="7"/>
      <c r="I104" s="2"/>
      <c r="J104" s="6">
        <f t="shared" si="48"/>
        <v>0</v>
      </c>
      <c r="K104" s="2"/>
      <c r="L104" s="7">
        <f t="shared" si="49"/>
        <v>0</v>
      </c>
      <c r="M104" s="2"/>
      <c r="N104" s="6">
        <f t="shared" si="50"/>
        <v>0</v>
      </c>
      <c r="O104" s="11"/>
      <c r="P104" s="7">
        <v>-178.06</v>
      </c>
      <c r="Q104" s="2"/>
      <c r="R104" s="6">
        <f t="shared" si="51"/>
        <v>-9.9004394769832359E-5</v>
      </c>
      <c r="S104" s="2"/>
      <c r="T104" s="7"/>
      <c r="U104" s="2"/>
      <c r="V104" s="6">
        <f t="shared" si="52"/>
        <v>0</v>
      </c>
      <c r="W104" s="2"/>
      <c r="X104" s="7">
        <f t="shared" si="53"/>
        <v>-178.06</v>
      </c>
      <c r="Y104" s="2"/>
      <c r="Z104" s="6">
        <f t="shared" si="54"/>
        <v>0</v>
      </c>
    </row>
    <row r="105" spans="1:26" s="53" customFormat="1" x14ac:dyDescent="0.25">
      <c r="A105" s="36"/>
      <c r="B105" s="36"/>
      <c r="C105" s="36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6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25">
      <c r="A106" s="10"/>
      <c r="B106" s="28" t="s">
        <v>0</v>
      </c>
      <c r="C106" s="10"/>
      <c r="D106" s="4">
        <f>SUM(OSRRefD25x_0)</f>
        <v>5983.15</v>
      </c>
      <c r="E106" s="4"/>
      <c r="F106" s="12">
        <f t="shared" ref="F106:F110" si="55">IF(D$12=0,0,D106/D$12)</f>
        <v>2.7812530302254137E-2</v>
      </c>
      <c r="G106" s="4"/>
      <c r="H106" s="4">
        <f>SUM(OSRRefH25x_0)</f>
        <v>2025</v>
      </c>
      <c r="I106" s="4"/>
      <c r="J106" s="12">
        <f t="shared" ref="J106:J110" si="56">IF(H$12=0,0,H106/H$12)</f>
        <v>6.8895829505787251E-3</v>
      </c>
      <c r="K106" s="4"/>
      <c r="L106" s="4">
        <f t="shared" ref="L106:L110" si="57">+D106-H106</f>
        <v>3958.1499999999996</v>
      </c>
      <c r="M106" s="4"/>
      <c r="N106" s="12">
        <f t="shared" ref="N106:N110" si="58">IF(H106=0,0,L106/H106)</f>
        <v>1.9546419753086417</v>
      </c>
      <c r="O106" s="10"/>
      <c r="P106" s="4">
        <f>SUM(OSRRefP25x_0)</f>
        <v>13219.810000000001</v>
      </c>
      <c r="Q106" s="4"/>
      <c r="R106" s="12">
        <f t="shared" ref="R106:R110" si="59">IF(P$12=0,0,P106/P$12)</f>
        <v>7.3504396721452191E-3</v>
      </c>
      <c r="S106" s="4"/>
      <c r="T106" s="4">
        <f>SUM(OSRRefT25x_0)</f>
        <v>13500</v>
      </c>
      <c r="U106" s="4"/>
      <c r="V106" s="12">
        <f t="shared" ref="V106:V110" si="60">IF(T$12=0,0,T106/T$12)</f>
        <v>7.8675959365906729E-3</v>
      </c>
      <c r="W106" s="4"/>
      <c r="X106" s="4">
        <f t="shared" ref="X106:X110" si="61">+P106-T106</f>
        <v>-280.18999999999869</v>
      </c>
      <c r="Y106" s="4"/>
      <c r="Z106" s="12">
        <f t="shared" ref="Z106:Z110" si="62">IF(T106=0,0,X106/T106)</f>
        <v>-2.0754814814814719E-2</v>
      </c>
    </row>
    <row r="107" spans="1:26" s="24" customFormat="1" hidden="1" outlineLevel="1" x14ac:dyDescent="0.25">
      <c r="A107" s="44"/>
      <c r="B107" s="11" t="str">
        <f>CONCATENATE("          ", "4187", " - ", "NON-TAXABLE SALES-COMPUTER REP")</f>
        <v xml:space="preserve">          4187 - NON-TAXABLE SALES-COMPUTER REP</v>
      </c>
      <c r="C107" s="11"/>
      <c r="D107" s="2">
        <f>--1922.01</f>
        <v>1922.01</v>
      </c>
      <c r="E107" s="2"/>
      <c r="F107" s="19">
        <f t="shared" si="55"/>
        <v>8.9344177174624541E-3</v>
      </c>
      <c r="G107" s="2"/>
      <c r="H107" s="2"/>
      <c r="I107" s="2"/>
      <c r="J107" s="19">
        <f t="shared" si="56"/>
        <v>0</v>
      </c>
      <c r="K107" s="2"/>
      <c r="L107" s="2">
        <f t="shared" si="57"/>
        <v>1922.01</v>
      </c>
      <c r="M107" s="2"/>
      <c r="N107" s="19">
        <f t="shared" si="58"/>
        <v>0</v>
      </c>
      <c r="O107" s="11"/>
      <c r="P107" s="2">
        <f>--15110.93</f>
        <v>15110.93</v>
      </c>
      <c r="Q107" s="2"/>
      <c r="R107" s="19">
        <f t="shared" si="59"/>
        <v>8.4019346234937824E-3</v>
      </c>
      <c r="S107" s="2"/>
      <c r="T107" s="2"/>
      <c r="U107" s="2"/>
      <c r="V107" s="19">
        <f t="shared" si="60"/>
        <v>0</v>
      </c>
      <c r="W107" s="2"/>
      <c r="X107" s="2">
        <f t="shared" si="61"/>
        <v>15110.93</v>
      </c>
      <c r="Y107" s="2"/>
      <c r="Z107" s="19">
        <f t="shared" si="62"/>
        <v>0</v>
      </c>
    </row>
    <row r="108" spans="1:26" s="24" customFormat="1" hidden="1" outlineLevel="1" x14ac:dyDescent="0.25">
      <c r="A108" s="44"/>
      <c r="B108" s="11" t="str">
        <f>CONCATENATE("          ", "4387", " - ", "SALES RETURN NON TAXABLE-COMPU")</f>
        <v xml:space="preserve">          4387 - SALES RETURN NON TAXABLE-COMPU</v>
      </c>
      <c r="C108" s="11"/>
      <c r="D108" s="2">
        <f t="shared" ref="D108:D109" si="63">0</f>
        <v>0</v>
      </c>
      <c r="E108" s="2"/>
      <c r="F108" s="19">
        <f t="shared" si="55"/>
        <v>0</v>
      </c>
      <c r="G108" s="2"/>
      <c r="H108" s="2"/>
      <c r="I108" s="2"/>
      <c r="J108" s="19">
        <f t="shared" si="56"/>
        <v>0</v>
      </c>
      <c r="K108" s="2"/>
      <c r="L108" s="2">
        <f t="shared" si="57"/>
        <v>0</v>
      </c>
      <c r="M108" s="2"/>
      <c r="N108" s="19">
        <f t="shared" si="58"/>
        <v>0</v>
      </c>
      <c r="O108" s="11"/>
      <c r="P108" s="2">
        <f>-7889</f>
        <v>-7889</v>
      </c>
      <c r="Q108" s="2"/>
      <c r="R108" s="19">
        <f t="shared" si="59"/>
        <v>-4.3864184563585729E-3</v>
      </c>
      <c r="S108" s="2"/>
      <c r="T108" s="2"/>
      <c r="U108" s="2"/>
      <c r="V108" s="19">
        <f t="shared" si="60"/>
        <v>0</v>
      </c>
      <c r="W108" s="2"/>
      <c r="X108" s="2">
        <f t="shared" si="61"/>
        <v>-7889</v>
      </c>
      <c r="Y108" s="2"/>
      <c r="Z108" s="19">
        <f t="shared" si="62"/>
        <v>0</v>
      </c>
    </row>
    <row r="109" spans="1:26" s="24" customFormat="1" hidden="1" outlineLevel="1" x14ac:dyDescent="0.25">
      <c r="A109" s="44"/>
      <c r="B109" s="11" t="str">
        <f>CONCATENATE("          ", "5087", " - ", "PURCHASES @ COST-COMPUTER REPA")</f>
        <v xml:space="preserve">          5087 - PURCHASES @ COST-COMPUTER REPA</v>
      </c>
      <c r="C109" s="11"/>
      <c r="D109" s="2">
        <f t="shared" si="63"/>
        <v>0</v>
      </c>
      <c r="E109" s="2"/>
      <c r="F109" s="19">
        <f t="shared" si="55"/>
        <v>0</v>
      </c>
      <c r="G109" s="2"/>
      <c r="H109" s="2"/>
      <c r="I109" s="2"/>
      <c r="J109" s="19">
        <f t="shared" si="56"/>
        <v>0</v>
      </c>
      <c r="K109" s="2"/>
      <c r="L109" s="2">
        <f t="shared" si="57"/>
        <v>0</v>
      </c>
      <c r="M109" s="2"/>
      <c r="N109" s="19">
        <f t="shared" si="58"/>
        <v>0</v>
      </c>
      <c r="O109" s="11"/>
      <c r="P109" s="2">
        <f>-56.72</f>
        <v>-56.72</v>
      </c>
      <c r="Q109" s="2"/>
      <c r="R109" s="19">
        <f t="shared" si="59"/>
        <v>-3.1537286708665008E-5</v>
      </c>
      <c r="S109" s="2"/>
      <c r="T109" s="2"/>
      <c r="U109" s="2"/>
      <c r="V109" s="19">
        <f t="shared" si="60"/>
        <v>0</v>
      </c>
      <c r="W109" s="2"/>
      <c r="X109" s="2">
        <f t="shared" si="61"/>
        <v>-56.72</v>
      </c>
      <c r="Y109" s="2"/>
      <c r="Z109" s="19">
        <f t="shared" si="62"/>
        <v>0</v>
      </c>
    </row>
    <row r="110" spans="1:26" s="24" customFormat="1" hidden="1" outlineLevel="1" x14ac:dyDescent="0.25">
      <c r="A110" s="44"/>
      <c r="B110" s="11" t="str">
        <f>CONCATENATE("          ", "9150", " - ", "MISC. INCOME")</f>
        <v xml:space="preserve">          9150 - MISC. INCOME</v>
      </c>
      <c r="C110" s="11"/>
      <c r="D110" s="2">
        <f>--4061.14</f>
        <v>4061.14</v>
      </c>
      <c r="E110" s="2"/>
      <c r="F110" s="19">
        <f t="shared" si="55"/>
        <v>1.8878112584791686E-2</v>
      </c>
      <c r="G110" s="2"/>
      <c r="H110" s="2">
        <v>2025</v>
      </c>
      <c r="I110" s="2"/>
      <c r="J110" s="19">
        <f t="shared" si="56"/>
        <v>6.8895829505787251E-3</v>
      </c>
      <c r="K110" s="2"/>
      <c r="L110" s="2">
        <f t="shared" si="57"/>
        <v>2036.1399999999999</v>
      </c>
      <c r="M110" s="2"/>
      <c r="N110" s="19">
        <f t="shared" si="58"/>
        <v>1.0055012345679011</v>
      </c>
      <c r="O110" s="11"/>
      <c r="P110" s="2">
        <f>--6054.6</f>
        <v>6054.6</v>
      </c>
      <c r="Q110" s="2"/>
      <c r="R110" s="19">
        <f t="shared" si="59"/>
        <v>3.3664607917186741E-3</v>
      </c>
      <c r="S110" s="2"/>
      <c r="T110" s="2">
        <v>13500</v>
      </c>
      <c r="U110" s="2"/>
      <c r="V110" s="19">
        <f t="shared" si="60"/>
        <v>7.8675959365906729E-3</v>
      </c>
      <c r="W110" s="2"/>
      <c r="X110" s="2">
        <f t="shared" si="61"/>
        <v>-7445.4</v>
      </c>
      <c r="Y110" s="2"/>
      <c r="Z110" s="19">
        <f t="shared" si="62"/>
        <v>-0.55151111111111106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9" t="s">
        <v>3</v>
      </c>
      <c r="C112" s="29"/>
      <c r="D112" s="21">
        <f>+D56-D58+D106</f>
        <v>22212.960000000072</v>
      </c>
      <c r="E112" s="14"/>
      <c r="F112" s="20">
        <f>IF(D$12=0,0,D112/D$12)</f>
        <v>0.1032564156176531</v>
      </c>
      <c r="G112" s="14"/>
      <c r="H112" s="21">
        <f>+H56-H58+H106</f>
        <v>48957.733836803847</v>
      </c>
      <c r="I112" s="14"/>
      <c r="J112" s="20">
        <f>IF(H$12=0,0,H112/H$12)</f>
        <v>0.1665670954770444</v>
      </c>
      <c r="K112" s="16"/>
      <c r="L112" s="21">
        <f>+D112-H112</f>
        <v>-26744.773836803775</v>
      </c>
      <c r="M112" s="16"/>
      <c r="N112" s="20">
        <f>IF(H112=0,0,L112/H112)</f>
        <v>-0.54628292081400354</v>
      </c>
      <c r="O112" s="28"/>
      <c r="P112" s="21">
        <f>+P56-P58+P106</f>
        <v>77350.589999999298</v>
      </c>
      <c r="Q112" s="14"/>
      <c r="R112" s="20">
        <f>IF(P$12=0,0,P112/P$12)</f>
        <v>4.3008246366614503E-2</v>
      </c>
      <c r="S112" s="14"/>
      <c r="T112" s="21">
        <f>+T56-T58+T106</f>
        <v>273997.96132964385</v>
      </c>
      <c r="U112" s="14"/>
      <c r="V112" s="20">
        <f>IF(T$12=0,0,T112/T$12)</f>
        <v>0.15968187016231367</v>
      </c>
      <c r="W112" s="16"/>
      <c r="X112" s="21">
        <f>+P112-T112</f>
        <v>-196647.37132964455</v>
      </c>
      <c r="Y112" s="16"/>
      <c r="Z112" s="20">
        <f>IF(T112=0,0,X112/T112)</f>
        <v>-0.71769647619042076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2"/>
      <c r="B114" s="10" t="s">
        <v>14</v>
      </c>
      <c r="C114" s="10"/>
      <c r="D114" s="4">
        <v>16541.28</v>
      </c>
      <c r="E114" s="4"/>
      <c r="F114" s="12">
        <f>IF(D$12=0,0,D114/D$12)</f>
        <v>7.6891746193572003E-2</v>
      </c>
      <c r="G114" s="4"/>
      <c r="H114" s="4">
        <v>28097</v>
      </c>
      <c r="I114" s="4"/>
      <c r="J114" s="12">
        <f>IF(H$12=0,0,H114/H$12)</f>
        <v>9.5593388722177999E-2</v>
      </c>
      <c r="K114" s="4"/>
      <c r="L114" s="4">
        <f>+D114-H114</f>
        <v>-11555.720000000001</v>
      </c>
      <c r="M114" s="4"/>
      <c r="N114" s="12">
        <f>IF(H114=0,0,L114/H114)</f>
        <v>-0.41127949603160485</v>
      </c>
      <c r="O114" s="10"/>
      <c r="P114" s="4">
        <v>187558.7</v>
      </c>
      <c r="Q114" s="4"/>
      <c r="R114" s="12">
        <f>IF(P$12=0,0,P114/P$12)</f>
        <v>0.10428583386115106</v>
      </c>
      <c r="S114" s="4"/>
      <c r="T114" s="4">
        <v>211268</v>
      </c>
      <c r="U114" s="4"/>
      <c r="V114" s="12">
        <f>IF(T$12=0,0,T114/T$12)</f>
        <v>0.12312379691345469</v>
      </c>
      <c r="W114" s="4"/>
      <c r="X114" s="4">
        <f>+P114-T114</f>
        <v>-23709.299999999988</v>
      </c>
      <c r="Y114" s="4"/>
      <c r="Z114" s="12">
        <f>IF(T114=0,0,X114/T114)</f>
        <v>-0.11222381051555365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9" t="s">
        <v>4</v>
      </c>
      <c r="C116" s="29"/>
      <c r="D116" s="34">
        <f>+D112-D114</f>
        <v>5671.6800000000731</v>
      </c>
      <c r="E116" s="14"/>
      <c r="F116" s="32">
        <f>IF(D$12=0,0,D116/D$12)</f>
        <v>2.6364669424081093E-2</v>
      </c>
      <c r="G116" s="14"/>
      <c r="H116" s="34">
        <f>+H112-H114</f>
        <v>20860.733836803847</v>
      </c>
      <c r="I116" s="14"/>
      <c r="J116" s="32">
        <f>IF(H$12=0,0,H116/H$12)</f>
        <v>7.0973706754866417E-2</v>
      </c>
      <c r="K116" s="16"/>
      <c r="L116" s="34">
        <f>D116-H116</f>
        <v>-15189.053836803774</v>
      </c>
      <c r="M116" s="16"/>
      <c r="N116" s="32">
        <f>IF(H116=0,0,L116/H116)</f>
        <v>-0.72811694716157438</v>
      </c>
      <c r="O116" s="28"/>
      <c r="P116" s="34">
        <f>+P112-P114</f>
        <v>-110208.11000000071</v>
      </c>
      <c r="Q116" s="14"/>
      <c r="R116" s="32">
        <f>IF(P$12=0,0,P116/P$12)</f>
        <v>-6.1277587494536566E-2</v>
      </c>
      <c r="S116" s="14"/>
      <c r="T116" s="34">
        <f>+T112-T114</f>
        <v>62729.961329643847</v>
      </c>
      <c r="U116" s="14"/>
      <c r="V116" s="32">
        <f>IF(T$12=0,0,T116/T$12)</f>
        <v>3.6558073248858965E-2</v>
      </c>
      <c r="W116" s="16"/>
      <c r="X116" s="34">
        <f>P116-T116</f>
        <v>-172938.07132964456</v>
      </c>
      <c r="Y116" s="16"/>
      <c r="Z116" s="32">
        <f>IF(T116=0,0,X116/T116)</f>
        <v>-2.7568655816773231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9" t="s">
        <v>5</v>
      </c>
      <c r="C119" s="29"/>
      <c r="D119" s="31">
        <f>SUM(D116:D118)</f>
        <v>5671.6800000000731</v>
      </c>
      <c r="E119" s="14"/>
      <c r="F119" s="30">
        <f>IF(D$12=0,0,D119/D$12)</f>
        <v>2.6364669424081093E-2</v>
      </c>
      <c r="G119" s="14"/>
      <c r="H119" s="31">
        <f>SUM(H116:H118)</f>
        <v>20860.733836803847</v>
      </c>
      <c r="I119" s="14"/>
      <c r="J119" s="30">
        <f>IF(H$12=0,0,H119/H$12)</f>
        <v>7.0973706754866417E-2</v>
      </c>
      <c r="K119" s="16"/>
      <c r="L119" s="31">
        <f>+D119-H119</f>
        <v>-15189.053836803774</v>
      </c>
      <c r="M119" s="16"/>
      <c r="N119" s="30">
        <f>IF(H119=0,0,L119/H119)</f>
        <v>-0.72811694716157438</v>
      </c>
      <c r="O119" s="28"/>
      <c r="P119" s="31">
        <f>SUM(P116:P118)</f>
        <v>-110208.11000000071</v>
      </c>
      <c r="Q119" s="14"/>
      <c r="R119" s="30">
        <f>IF(P$12=0,0,P119/P$12)</f>
        <v>-6.1277587494536566E-2</v>
      </c>
      <c r="S119" s="14"/>
      <c r="T119" s="31">
        <f>SUM(T116:T118)</f>
        <v>62729.961329643847</v>
      </c>
      <c r="U119" s="14"/>
      <c r="V119" s="30">
        <f>IF(T$12=0,0,T119/T$12)</f>
        <v>3.6558073248858965E-2</v>
      </c>
      <c r="W119" s="16"/>
      <c r="X119" s="31">
        <f>+P119-T119</f>
        <v>-172938.07132964456</v>
      </c>
      <c r="Y119" s="16"/>
      <c r="Z119" s="30">
        <f>IF(T119=0,0,X119/T119)</f>
        <v>-2.7568655816773231</v>
      </c>
    </row>
    <row r="120" spans="1:26" ht="15.75" thickTop="1" x14ac:dyDescent="0.25">
      <c r="A120" s="9"/>
      <c r="C120" s="9"/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25">
      <c r="A121" s="9"/>
      <c r="B121" s="63">
        <v>43879.545915011571</v>
      </c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A122" s="9"/>
      <c r="B122" s="57" t="s">
        <v>314</v>
      </c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A123" s="9"/>
      <c r="B123" s="60"/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25"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","317", " - ", "Computer Store")</f>
        <v>Department 317 - Computer Store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215124.26000000007</v>
      </c>
      <c r="E12" s="4"/>
      <c r="F12" s="12"/>
      <c r="G12" s="4"/>
      <c r="H12" s="4">
        <f>SUM(OSRRefH13x_0)</f>
        <v>293922</v>
      </c>
      <c r="I12" s="4"/>
      <c r="J12" s="12"/>
      <c r="K12" s="4"/>
      <c r="L12" s="4">
        <f t="shared" ref="L12:L38" si="0">+D12-H12</f>
        <v>-78797.739999999932</v>
      </c>
      <c r="M12" s="4"/>
      <c r="N12" s="12">
        <f t="shared" ref="N12:N38" si="1">IF(H12=0,0,L12/H12)</f>
        <v>-0.26809064990031345</v>
      </c>
      <c r="O12" s="10"/>
      <c r="P12" s="4">
        <f>SUM(OSRRefP13x_0)</f>
        <v>1798506.0199999998</v>
      </c>
      <c r="Q12" s="4"/>
      <c r="R12" s="12"/>
      <c r="S12" s="4"/>
      <c r="T12" s="4">
        <f>SUM(OSRRefT13x_0)</f>
        <v>1715899</v>
      </c>
      <c r="U12" s="4"/>
      <c r="V12" s="12"/>
      <c r="W12" s="4"/>
      <c r="X12" s="4">
        <f t="shared" ref="X12:X38" si="2">+P12-T12</f>
        <v>82607.019999999786</v>
      </c>
      <c r="Y12" s="4"/>
      <c r="Z12" s="12">
        <f t="shared" ref="Z12:Z38" si="3">IF(T12=0,0,X12/T12)</f>
        <v>4.8142122584137984E-2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258650.99999999997</v>
      </c>
      <c r="I13" s="2"/>
      <c r="J13" s="19"/>
      <c r="K13" s="2"/>
      <c r="L13" s="2">
        <f t="shared" si="0"/>
        <v>-258650.99999999997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1509990</v>
      </c>
      <c r="U13" s="2"/>
      <c r="V13" s="19"/>
      <c r="W13" s="2"/>
      <c r="X13" s="2">
        <f t="shared" si="2"/>
        <v>-1509990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--27353.95</f>
        <v>27353.95</v>
      </c>
      <c r="E14" s="2"/>
      <c r="F14" s="19"/>
      <c r="G14" s="2"/>
      <c r="H14" s="2"/>
      <c r="I14" s="2"/>
      <c r="J14" s="19"/>
      <c r="K14" s="2"/>
      <c r="L14" s="2">
        <f t="shared" si="0"/>
        <v>27353.95</v>
      </c>
      <c r="M14" s="2"/>
      <c r="N14" s="19">
        <f t="shared" si="1"/>
        <v>0</v>
      </c>
      <c r="O14" s="11"/>
      <c r="P14" s="2">
        <f>--271489</f>
        <v>271489</v>
      </c>
      <c r="Q14" s="2"/>
      <c r="R14" s="19"/>
      <c r="S14" s="2"/>
      <c r="T14" s="2"/>
      <c r="U14" s="2"/>
      <c r="V14" s="19"/>
      <c r="W14" s="2"/>
      <c r="X14" s="2">
        <f t="shared" si="2"/>
        <v>271489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--164778.22</f>
        <v>164778.22</v>
      </c>
      <c r="E15" s="2"/>
      <c r="F15" s="19"/>
      <c r="G15" s="2"/>
      <c r="H15" s="2"/>
      <c r="I15" s="2"/>
      <c r="J15" s="19"/>
      <c r="K15" s="2"/>
      <c r="L15" s="2">
        <f t="shared" si="0"/>
        <v>164778.22</v>
      </c>
      <c r="M15" s="2"/>
      <c r="N15" s="19">
        <f t="shared" si="1"/>
        <v>0</v>
      </c>
      <c r="O15" s="11"/>
      <c r="P15" s="2">
        <f>--1507113.48</f>
        <v>1507113.48</v>
      </c>
      <c r="Q15" s="2"/>
      <c r="R15" s="19"/>
      <c r="S15" s="2"/>
      <c r="T15" s="2"/>
      <c r="U15" s="2"/>
      <c r="V15" s="19"/>
      <c r="W15" s="2"/>
      <c r="X15" s="2">
        <f t="shared" si="2"/>
        <v>1507113.48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--13898.03</f>
        <v>13898.03</v>
      </c>
      <c r="E16" s="2"/>
      <c r="F16" s="19"/>
      <c r="G16" s="2"/>
      <c r="H16" s="2"/>
      <c r="I16" s="2"/>
      <c r="J16" s="19"/>
      <c r="K16" s="2"/>
      <c r="L16" s="2">
        <f t="shared" si="0"/>
        <v>13898.03</v>
      </c>
      <c r="M16" s="2"/>
      <c r="N16" s="19">
        <f t="shared" si="1"/>
        <v>0</v>
      </c>
      <c r="O16" s="11"/>
      <c r="P16" s="2">
        <f>--84329.23</f>
        <v>84329.23</v>
      </c>
      <c r="Q16" s="2"/>
      <c r="R16" s="19"/>
      <c r="S16" s="2"/>
      <c r="T16" s="2"/>
      <c r="U16" s="2"/>
      <c r="V16" s="19"/>
      <c r="W16" s="2"/>
      <c r="X16" s="2">
        <f t="shared" si="2"/>
        <v>84329.23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--4407.94</f>
        <v>4407.9399999999996</v>
      </c>
      <c r="Q18" s="2"/>
      <c r="R18" s="19"/>
      <c r="S18" s="2"/>
      <c r="T18" s="2"/>
      <c r="U18" s="2"/>
      <c r="V18" s="19"/>
      <c r="W18" s="2"/>
      <c r="X18" s="2">
        <f t="shared" si="2"/>
        <v>4407.9399999999996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--7282.64</f>
        <v>7282.64</v>
      </c>
      <c r="E19" s="2"/>
      <c r="F19" s="19"/>
      <c r="G19" s="2"/>
      <c r="H19" s="2"/>
      <c r="I19" s="2"/>
      <c r="J19" s="19"/>
      <c r="K19" s="2"/>
      <c r="L19" s="2">
        <f t="shared" si="0"/>
        <v>7282.64</v>
      </c>
      <c r="M19" s="2"/>
      <c r="N19" s="19">
        <f t="shared" si="1"/>
        <v>0</v>
      </c>
      <c r="O19" s="11"/>
      <c r="P19" s="2">
        <f>--40361.11</f>
        <v>40361.11</v>
      </c>
      <c r="Q19" s="2"/>
      <c r="R19" s="19"/>
      <c r="S19" s="2"/>
      <c r="T19" s="2"/>
      <c r="U19" s="2"/>
      <c r="V19" s="19"/>
      <c r="W19" s="2"/>
      <c r="X19" s="2">
        <f t="shared" si="2"/>
        <v>40361.11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--118.97</f>
        <v>118.97</v>
      </c>
      <c r="E20" s="2"/>
      <c r="F20" s="19"/>
      <c r="G20" s="2"/>
      <c r="H20" s="2"/>
      <c r="I20" s="2"/>
      <c r="J20" s="19"/>
      <c r="K20" s="2"/>
      <c r="L20" s="2">
        <f t="shared" si="0"/>
        <v>118.97</v>
      </c>
      <c r="M20" s="2"/>
      <c r="N20" s="19">
        <f t="shared" si="1"/>
        <v>0</v>
      </c>
      <c r="O20" s="11"/>
      <c r="P20" s="2">
        <f>--1055.88</f>
        <v>1055.8800000000001</v>
      </c>
      <c r="Q20" s="2"/>
      <c r="R20" s="19"/>
      <c r="S20" s="2"/>
      <c r="T20" s="2"/>
      <c r="U20" s="2"/>
      <c r="V20" s="19"/>
      <c r="W20" s="2"/>
      <c r="X20" s="2">
        <f t="shared" si="2"/>
        <v>1055.8800000000001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35271</v>
      </c>
      <c r="I21" s="2"/>
      <c r="J21" s="19"/>
      <c r="K21" s="2"/>
      <c r="L21" s="2">
        <f t="shared" si="0"/>
        <v>-35271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205909</v>
      </c>
      <c r="U21" s="2"/>
      <c r="V21" s="19"/>
      <c r="W21" s="2"/>
      <c r="X21" s="2">
        <f t="shared" si="2"/>
        <v>-205909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--343.91</f>
        <v>343.91</v>
      </c>
      <c r="E22" s="2"/>
      <c r="F22" s="19"/>
      <c r="G22" s="2"/>
      <c r="H22" s="2"/>
      <c r="I22" s="2"/>
      <c r="J22" s="19"/>
      <c r="K22" s="2"/>
      <c r="L22" s="2">
        <f t="shared" si="0"/>
        <v>343.91</v>
      </c>
      <c r="M22" s="2"/>
      <c r="N22" s="19">
        <f t="shared" si="1"/>
        <v>0</v>
      </c>
      <c r="O22" s="11"/>
      <c r="P22" s="2">
        <f>--1806.42</f>
        <v>1806.42</v>
      </c>
      <c r="Q22" s="2"/>
      <c r="R22" s="19"/>
      <c r="S22" s="2"/>
      <c r="T22" s="2"/>
      <c r="U22" s="2"/>
      <c r="V22" s="19"/>
      <c r="W22" s="2"/>
      <c r="X22" s="2">
        <f t="shared" si="2"/>
        <v>1806.42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--16176.97</f>
        <v>16176.97</v>
      </c>
      <c r="E23" s="2"/>
      <c r="F23" s="19"/>
      <c r="G23" s="2"/>
      <c r="H23" s="2"/>
      <c r="I23" s="2"/>
      <c r="J23" s="19"/>
      <c r="K23" s="2"/>
      <c r="L23" s="2">
        <f t="shared" si="0"/>
        <v>16176.97</v>
      </c>
      <c r="M23" s="2"/>
      <c r="N23" s="19">
        <f t="shared" si="1"/>
        <v>0</v>
      </c>
      <c r="O23" s="11"/>
      <c r="P23" s="2">
        <f>--86971.97</f>
        <v>86971.97</v>
      </c>
      <c r="Q23" s="2"/>
      <c r="R23" s="19"/>
      <c r="S23" s="2"/>
      <c r="T23" s="2"/>
      <c r="U23" s="2"/>
      <c r="V23" s="19"/>
      <c r="W23" s="2"/>
      <c r="X23" s="2">
        <f t="shared" si="2"/>
        <v>86971.97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--777.81</f>
        <v>777.81</v>
      </c>
      <c r="E24" s="2"/>
      <c r="F24" s="19"/>
      <c r="G24" s="2"/>
      <c r="H24" s="2"/>
      <c r="I24" s="2"/>
      <c r="J24" s="19"/>
      <c r="K24" s="2"/>
      <c r="L24" s="2">
        <f t="shared" si="0"/>
        <v>777.81</v>
      </c>
      <c r="M24" s="2"/>
      <c r="N24" s="19">
        <f t="shared" si="1"/>
        <v>0</v>
      </c>
      <c r="O24" s="11"/>
      <c r="P24" s="2">
        <f>--4349.44</f>
        <v>4349.4399999999996</v>
      </c>
      <c r="Q24" s="2"/>
      <c r="R24" s="19"/>
      <c r="S24" s="2"/>
      <c r="T24" s="2"/>
      <c r="U24" s="2"/>
      <c r="V24" s="19"/>
      <c r="W24" s="2"/>
      <c r="X24" s="2">
        <f t="shared" si="2"/>
        <v>4349.4399999999996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--2728</f>
        <v>2728</v>
      </c>
      <c r="Q25" s="2"/>
      <c r="R25" s="19"/>
      <c r="S25" s="2"/>
      <c r="T25" s="2"/>
      <c r="U25" s="2"/>
      <c r="V25" s="19"/>
      <c r="W25" s="2"/>
      <c r="X25" s="2">
        <f t="shared" si="2"/>
        <v>2728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--1925.98</f>
        <v>1925.98</v>
      </c>
      <c r="E26" s="2"/>
      <c r="F26" s="19"/>
      <c r="G26" s="2"/>
      <c r="H26" s="2"/>
      <c r="I26" s="2"/>
      <c r="J26" s="19"/>
      <c r="K26" s="2"/>
      <c r="L26" s="2">
        <f t="shared" si="0"/>
        <v>1925.98</v>
      </c>
      <c r="M26" s="2"/>
      <c r="N26" s="19">
        <f t="shared" si="1"/>
        <v>0</v>
      </c>
      <c r="O26" s="11"/>
      <c r="P26" s="2">
        <f>--11327.82</f>
        <v>11327.82</v>
      </c>
      <c r="Q26" s="2"/>
      <c r="R26" s="19"/>
      <c r="S26" s="2"/>
      <c r="T26" s="2"/>
      <c r="U26" s="2"/>
      <c r="V26" s="19"/>
      <c r="W26" s="2"/>
      <c r="X26" s="2">
        <f t="shared" si="2"/>
        <v>11327.82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--326.92</f>
        <v>326.92</v>
      </c>
      <c r="E27" s="2"/>
      <c r="F27" s="19"/>
      <c r="G27" s="2"/>
      <c r="H27" s="2"/>
      <c r="I27" s="2"/>
      <c r="J27" s="19"/>
      <c r="K27" s="2"/>
      <c r="L27" s="2">
        <f t="shared" si="0"/>
        <v>326.92</v>
      </c>
      <c r="M27" s="2"/>
      <c r="N27" s="19">
        <f t="shared" si="1"/>
        <v>0</v>
      </c>
      <c r="O27" s="11"/>
      <c r="P27" s="2">
        <f>--1980.28</f>
        <v>1980.28</v>
      </c>
      <c r="Q27" s="2"/>
      <c r="R27" s="19"/>
      <c r="S27" s="2"/>
      <c r="T27" s="2"/>
      <c r="U27" s="2"/>
      <c r="V27" s="19"/>
      <c r="W27" s="2"/>
      <c r="X27" s="2">
        <f t="shared" si="2"/>
        <v>1980.28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--219.96</f>
        <v>219.96</v>
      </c>
      <c r="Q28" s="2"/>
      <c r="R28" s="19"/>
      <c r="S28" s="2"/>
      <c r="T28" s="2"/>
      <c r="U28" s="2"/>
      <c r="V28" s="19"/>
      <c r="W28" s="2"/>
      <c r="X28" s="2">
        <f t="shared" si="2"/>
        <v>219.96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-642.85</f>
        <v>-642.85</v>
      </c>
      <c r="E29" s="2"/>
      <c r="F29" s="19"/>
      <c r="G29" s="2"/>
      <c r="H29" s="2"/>
      <c r="I29" s="2"/>
      <c r="J29" s="19"/>
      <c r="K29" s="2"/>
      <c r="L29" s="2">
        <f t="shared" si="0"/>
        <v>-642.85</v>
      </c>
      <c r="M29" s="2"/>
      <c r="N29" s="19">
        <f t="shared" si="1"/>
        <v>0</v>
      </c>
      <c r="O29" s="11"/>
      <c r="P29" s="2">
        <f>-6449.84</f>
        <v>-6449.84</v>
      </c>
      <c r="Q29" s="2"/>
      <c r="R29" s="19"/>
      <c r="S29" s="2"/>
      <c r="T29" s="2"/>
      <c r="U29" s="2"/>
      <c r="V29" s="19"/>
      <c r="W29" s="2"/>
      <c r="X29" s="2">
        <f t="shared" si="2"/>
        <v>-6449.84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-15229.61</f>
        <v>-15229.61</v>
      </c>
      <c r="E30" s="2"/>
      <c r="F30" s="19"/>
      <c r="G30" s="2"/>
      <c r="H30" s="2"/>
      <c r="I30" s="2"/>
      <c r="J30" s="19"/>
      <c r="K30" s="2"/>
      <c r="L30" s="2">
        <f t="shared" si="0"/>
        <v>-15229.61</v>
      </c>
      <c r="M30" s="2"/>
      <c r="N30" s="19">
        <f t="shared" si="1"/>
        <v>0</v>
      </c>
      <c r="O30" s="11"/>
      <c r="P30" s="2">
        <f>-202883.19</f>
        <v>-202883.19</v>
      </c>
      <c r="Q30" s="2"/>
      <c r="R30" s="19"/>
      <c r="S30" s="2"/>
      <c r="T30" s="2"/>
      <c r="U30" s="2"/>
      <c r="V30" s="19"/>
      <c r="W30" s="2"/>
      <c r="X30" s="2">
        <f t="shared" si="2"/>
        <v>-202883.19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-1632.57</f>
        <v>-1632.57</v>
      </c>
      <c r="E31" s="2"/>
      <c r="F31" s="19"/>
      <c r="G31" s="2"/>
      <c r="H31" s="2"/>
      <c r="I31" s="2"/>
      <c r="J31" s="19"/>
      <c r="K31" s="2"/>
      <c r="L31" s="2">
        <f t="shared" si="0"/>
        <v>-1632.57</v>
      </c>
      <c r="M31" s="2"/>
      <c r="N31" s="19">
        <f t="shared" si="1"/>
        <v>0</v>
      </c>
      <c r="O31" s="11"/>
      <c r="P31" s="2">
        <f>-4914.72</f>
        <v>-4914.72</v>
      </c>
      <c r="Q31" s="2"/>
      <c r="R31" s="19"/>
      <c r="S31" s="2"/>
      <c r="T31" s="2"/>
      <c r="U31" s="2"/>
      <c r="V31" s="19"/>
      <c r="W31" s="2"/>
      <c r="X31" s="2">
        <f t="shared" si="2"/>
        <v>-4914.72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 t="shared" ref="D32:D33" si="5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 t="shared" si="5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-655.98</f>
        <v>-655.98</v>
      </c>
      <c r="Q33" s="2"/>
      <c r="R33" s="19"/>
      <c r="S33" s="2"/>
      <c r="T33" s="2"/>
      <c r="U33" s="2"/>
      <c r="V33" s="19"/>
      <c r="W33" s="2"/>
      <c r="X33" s="2">
        <f t="shared" si="2"/>
        <v>-655.98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>-304.12</f>
        <v>-304.12</v>
      </c>
      <c r="E34" s="2"/>
      <c r="F34" s="19"/>
      <c r="G34" s="2"/>
      <c r="H34" s="2"/>
      <c r="I34" s="2"/>
      <c r="J34" s="19"/>
      <c r="K34" s="2"/>
      <c r="L34" s="2">
        <f t="shared" si="0"/>
        <v>-304.12</v>
      </c>
      <c r="M34" s="2"/>
      <c r="N34" s="19">
        <f t="shared" si="1"/>
        <v>0</v>
      </c>
      <c r="O34" s="11"/>
      <c r="P34" s="2">
        <f>-3292.01</f>
        <v>-3292.01</v>
      </c>
      <c r="Q34" s="2"/>
      <c r="R34" s="19"/>
      <c r="S34" s="2"/>
      <c r="T34" s="2"/>
      <c r="U34" s="2"/>
      <c r="V34" s="19"/>
      <c r="W34" s="2"/>
      <c r="X34" s="2">
        <f t="shared" si="2"/>
        <v>-3292.01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 t="shared" ref="D35:D37" si="6"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-3.99</f>
        <v>-3.99</v>
      </c>
      <c r="Q35" s="2"/>
      <c r="R35" s="19"/>
      <c r="S35" s="2"/>
      <c r="T35" s="2"/>
      <c r="U35" s="2"/>
      <c r="V35" s="19"/>
      <c r="W35" s="2"/>
      <c r="X35" s="2">
        <f t="shared" si="2"/>
        <v>-3.99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 t="shared" si="6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 t="shared" si="6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>-49.99</f>
        <v>-49.99</v>
      </c>
      <c r="E38" s="2"/>
      <c r="F38" s="19"/>
      <c r="G38" s="2"/>
      <c r="H38" s="2"/>
      <c r="I38" s="2"/>
      <c r="J38" s="19"/>
      <c r="K38" s="2"/>
      <c r="L38" s="2">
        <f t="shared" si="0"/>
        <v>-49.99</v>
      </c>
      <c r="M38" s="2"/>
      <c r="N38" s="19">
        <f t="shared" si="1"/>
        <v>0</v>
      </c>
      <c r="O38" s="11"/>
      <c r="P38" s="2">
        <f>-104.96</f>
        <v>-104.96</v>
      </c>
      <c r="Q38" s="2"/>
      <c r="R38" s="19"/>
      <c r="S38" s="2"/>
      <c r="T38" s="2"/>
      <c r="U38" s="2"/>
      <c r="V38" s="19"/>
      <c r="W38" s="2"/>
      <c r="X38" s="2">
        <f t="shared" si="2"/>
        <v>-104.96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8" t="s">
        <v>8</v>
      </c>
      <c r="C40" s="10"/>
      <c r="D40" s="4">
        <f>SUM(OSRRefD16x_0)</f>
        <v>181262.43</v>
      </c>
      <c r="E40" s="4"/>
      <c r="F40" s="12">
        <f t="shared" ref="F40:F54" si="7">IF(D$12=0,0,D40/D$12)</f>
        <v>0.84259408957409054</v>
      </c>
      <c r="G40" s="4"/>
      <c r="H40" s="4">
        <f>SUM(OSRRefH16x_0)</f>
        <v>229542</v>
      </c>
      <c r="I40" s="4"/>
      <c r="J40" s="12">
        <f t="shared" ref="J40:J54" si="8">IF(H$12=0,0,H40/H$12)</f>
        <v>0.78096229611937862</v>
      </c>
      <c r="K40" s="4"/>
      <c r="L40" s="4">
        <f t="shared" ref="L40:L54" si="9">+D40-H40</f>
        <v>-48279.570000000007</v>
      </c>
      <c r="M40" s="4"/>
      <c r="N40" s="12">
        <f t="shared" ref="N40:N54" si="10">IF(H40=0,0,L40/H40)</f>
        <v>-0.21033000496641141</v>
      </c>
      <c r="O40" s="10"/>
      <c r="P40" s="4">
        <f>SUM(OSRRefP16x_0)</f>
        <v>1588309.2800000005</v>
      </c>
      <c r="Q40" s="4"/>
      <c r="R40" s="12">
        <f t="shared" ref="R40:R54" si="11">IF(P$12=0,0,P40/P$12)</f>
        <v>0.88312703006687776</v>
      </c>
      <c r="S40" s="4"/>
      <c r="T40" s="4">
        <f>SUM(OSRRefT16x_0)</f>
        <v>1340054</v>
      </c>
      <c r="U40" s="4"/>
      <c r="V40" s="12">
        <f t="shared" ref="V40:V54" si="12">IF(T$12=0,0,T40/T$12)</f>
        <v>0.78096321520089473</v>
      </c>
      <c r="W40" s="4"/>
      <c r="X40" s="4">
        <f t="shared" ref="X40:X54" si="13">+P40-T40</f>
        <v>248255.28000000049</v>
      </c>
      <c r="Y40" s="4"/>
      <c r="Z40" s="12">
        <f t="shared" ref="Z40:Z54" si="14">IF(T40=0,0,X40/T40)</f>
        <v>0.18525766872081312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7"/>
        <v>0</v>
      </c>
      <c r="G41" s="2"/>
      <c r="H41" s="2">
        <v>229542</v>
      </c>
      <c r="I41" s="2"/>
      <c r="J41" s="19">
        <f t="shared" si="8"/>
        <v>0.78096229611937862</v>
      </c>
      <c r="K41" s="2"/>
      <c r="L41" s="2">
        <f t="shared" si="9"/>
        <v>-229542</v>
      </c>
      <c r="M41" s="2"/>
      <c r="N41" s="19">
        <f t="shared" si="10"/>
        <v>-1</v>
      </c>
      <c r="O41" s="11"/>
      <c r="P41" s="2"/>
      <c r="Q41" s="2"/>
      <c r="R41" s="19">
        <f t="shared" si="11"/>
        <v>0</v>
      </c>
      <c r="S41" s="2"/>
      <c r="T41" s="2">
        <v>1340054</v>
      </c>
      <c r="U41" s="2"/>
      <c r="V41" s="19">
        <f t="shared" si="12"/>
        <v>0.78096321520089473</v>
      </c>
      <c r="W41" s="2"/>
      <c r="X41" s="2">
        <f t="shared" si="13"/>
        <v>-1340054</v>
      </c>
      <c r="Y41" s="2"/>
      <c r="Z41" s="19">
        <f t="shared" si="14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32346.16</v>
      </c>
      <c r="E42" s="2"/>
      <c r="F42" s="19">
        <f t="shared" si="7"/>
        <v>0.15036035452254426</v>
      </c>
      <c r="G42" s="2"/>
      <c r="H42" s="2"/>
      <c r="I42" s="2"/>
      <c r="J42" s="19">
        <f t="shared" si="8"/>
        <v>0</v>
      </c>
      <c r="K42" s="2"/>
      <c r="L42" s="2">
        <f t="shared" si="9"/>
        <v>32346.16</v>
      </c>
      <c r="M42" s="2"/>
      <c r="N42" s="19">
        <f t="shared" si="10"/>
        <v>0</v>
      </c>
      <c r="O42" s="11"/>
      <c r="P42" s="2">
        <v>219755.59</v>
      </c>
      <c r="Q42" s="2"/>
      <c r="R42" s="19">
        <f t="shared" si="11"/>
        <v>0.12218785344960927</v>
      </c>
      <c r="S42" s="2"/>
      <c r="T42" s="2"/>
      <c r="U42" s="2"/>
      <c r="V42" s="19">
        <f t="shared" si="12"/>
        <v>0</v>
      </c>
      <c r="W42" s="2"/>
      <c r="X42" s="2">
        <f t="shared" si="13"/>
        <v>219755.59</v>
      </c>
      <c r="Y42" s="2"/>
      <c r="Z42" s="19">
        <f t="shared" si="14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159135.18</v>
      </c>
      <c r="E43" s="2"/>
      <c r="F43" s="19">
        <f t="shared" si="7"/>
        <v>0.73973609485048286</v>
      </c>
      <c r="G43" s="2"/>
      <c r="H43" s="2"/>
      <c r="I43" s="2"/>
      <c r="J43" s="19">
        <f t="shared" si="8"/>
        <v>0</v>
      </c>
      <c r="K43" s="2"/>
      <c r="L43" s="2">
        <f t="shared" si="9"/>
        <v>159135.18</v>
      </c>
      <c r="M43" s="2"/>
      <c r="N43" s="19">
        <f t="shared" si="10"/>
        <v>0</v>
      </c>
      <c r="O43" s="11"/>
      <c r="P43" s="2">
        <v>1167313.1600000001</v>
      </c>
      <c r="Q43" s="2"/>
      <c r="R43" s="19">
        <f t="shared" si="11"/>
        <v>0.64904601208952317</v>
      </c>
      <c r="S43" s="2"/>
      <c r="T43" s="2"/>
      <c r="U43" s="2"/>
      <c r="V43" s="19">
        <f t="shared" si="12"/>
        <v>0</v>
      </c>
      <c r="W43" s="2"/>
      <c r="X43" s="2">
        <f t="shared" si="13"/>
        <v>1167313.1600000001</v>
      </c>
      <c r="Y43" s="2"/>
      <c r="Z43" s="19">
        <f t="shared" si="14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10446.64</v>
      </c>
      <c r="E44" s="2"/>
      <c r="F44" s="19">
        <f t="shared" si="7"/>
        <v>4.8560957281154601E-2</v>
      </c>
      <c r="G44" s="2"/>
      <c r="H44" s="2"/>
      <c r="I44" s="2"/>
      <c r="J44" s="19">
        <f t="shared" si="8"/>
        <v>0</v>
      </c>
      <c r="K44" s="2"/>
      <c r="L44" s="2">
        <f t="shared" si="9"/>
        <v>10446.64</v>
      </c>
      <c r="M44" s="2"/>
      <c r="N44" s="19">
        <f t="shared" si="10"/>
        <v>0</v>
      </c>
      <c r="O44" s="11"/>
      <c r="P44" s="2">
        <v>64898.07</v>
      </c>
      <c r="Q44" s="2"/>
      <c r="R44" s="19">
        <f t="shared" si="11"/>
        <v>3.6084433011794981E-2</v>
      </c>
      <c r="S44" s="2"/>
      <c r="T44" s="2"/>
      <c r="U44" s="2"/>
      <c r="V44" s="19">
        <f t="shared" si="12"/>
        <v>0</v>
      </c>
      <c r="W44" s="2"/>
      <c r="X44" s="2">
        <f t="shared" si="13"/>
        <v>64898.07</v>
      </c>
      <c r="Y44" s="2"/>
      <c r="Z44" s="19">
        <f t="shared" si="14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/>
      <c r="E45" s="2"/>
      <c r="F45" s="19">
        <f t="shared" si="7"/>
        <v>0</v>
      </c>
      <c r="G45" s="2"/>
      <c r="H45" s="2"/>
      <c r="I45" s="2"/>
      <c r="J45" s="19">
        <f t="shared" si="8"/>
        <v>0</v>
      </c>
      <c r="K45" s="2"/>
      <c r="L45" s="2">
        <f t="shared" si="9"/>
        <v>0</v>
      </c>
      <c r="M45" s="2"/>
      <c r="N45" s="19">
        <f t="shared" si="10"/>
        <v>0</v>
      </c>
      <c r="O45" s="11"/>
      <c r="P45" s="2">
        <v>2728</v>
      </c>
      <c r="Q45" s="2"/>
      <c r="R45" s="19">
        <f t="shared" si="11"/>
        <v>1.5168144947326895E-3</v>
      </c>
      <c r="S45" s="2"/>
      <c r="T45" s="2"/>
      <c r="U45" s="2"/>
      <c r="V45" s="19">
        <f t="shared" si="12"/>
        <v>0</v>
      </c>
      <c r="W45" s="2"/>
      <c r="X45" s="2">
        <f t="shared" si="13"/>
        <v>2728</v>
      </c>
      <c r="Y45" s="2"/>
      <c r="Z45" s="19">
        <f t="shared" si="14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/>
      <c r="E46" s="2"/>
      <c r="F46" s="19">
        <f t="shared" si="7"/>
        <v>0</v>
      </c>
      <c r="G46" s="2"/>
      <c r="H46" s="2"/>
      <c r="I46" s="2"/>
      <c r="J46" s="19">
        <f t="shared" si="8"/>
        <v>0</v>
      </c>
      <c r="K46" s="2"/>
      <c r="L46" s="2">
        <f t="shared" si="9"/>
        <v>0</v>
      </c>
      <c r="M46" s="2"/>
      <c r="N46" s="19">
        <f t="shared" si="10"/>
        <v>0</v>
      </c>
      <c r="O46" s="11"/>
      <c r="P46" s="2">
        <v>7860.66</v>
      </c>
      <c r="Q46" s="2"/>
      <c r="R46" s="19">
        <f t="shared" si="11"/>
        <v>4.3706609333451106E-3</v>
      </c>
      <c r="S46" s="2"/>
      <c r="T46" s="2"/>
      <c r="U46" s="2"/>
      <c r="V46" s="19">
        <f t="shared" si="12"/>
        <v>0</v>
      </c>
      <c r="W46" s="2"/>
      <c r="X46" s="2">
        <f t="shared" si="13"/>
        <v>7860.66</v>
      </c>
      <c r="Y46" s="2"/>
      <c r="Z46" s="19">
        <f t="shared" si="14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>
        <v>4327.1400000000003</v>
      </c>
      <c r="E47" s="2"/>
      <c r="F47" s="19">
        <f t="shared" si="7"/>
        <v>2.0114607250711746E-2</v>
      </c>
      <c r="G47" s="2"/>
      <c r="H47" s="2"/>
      <c r="I47" s="2"/>
      <c r="J47" s="19">
        <f t="shared" si="8"/>
        <v>0</v>
      </c>
      <c r="K47" s="2"/>
      <c r="L47" s="2">
        <f t="shared" si="9"/>
        <v>4327.1400000000003</v>
      </c>
      <c r="M47" s="2"/>
      <c r="N47" s="19">
        <f t="shared" si="10"/>
        <v>0</v>
      </c>
      <c r="O47" s="11"/>
      <c r="P47" s="2">
        <v>24931.52</v>
      </c>
      <c r="Q47" s="2"/>
      <c r="R47" s="19">
        <f t="shared" si="11"/>
        <v>1.3862350040952326E-2</v>
      </c>
      <c r="S47" s="2"/>
      <c r="T47" s="2"/>
      <c r="U47" s="2"/>
      <c r="V47" s="19">
        <f t="shared" si="12"/>
        <v>0</v>
      </c>
      <c r="W47" s="2"/>
      <c r="X47" s="2">
        <f t="shared" si="13"/>
        <v>24931.52</v>
      </c>
      <c r="Y47" s="2"/>
      <c r="Z47" s="19">
        <f t="shared" si="14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/>
      <c r="E48" s="2"/>
      <c r="F48" s="19">
        <f t="shared" si="7"/>
        <v>0</v>
      </c>
      <c r="G48" s="2"/>
      <c r="H48" s="2"/>
      <c r="I48" s="2"/>
      <c r="J48" s="19">
        <f t="shared" si="8"/>
        <v>0</v>
      </c>
      <c r="K48" s="2"/>
      <c r="L48" s="2">
        <f t="shared" si="9"/>
        <v>0</v>
      </c>
      <c r="M48" s="2"/>
      <c r="N48" s="19">
        <f t="shared" si="10"/>
        <v>0</v>
      </c>
      <c r="O48" s="11"/>
      <c r="P48" s="2">
        <v>88.75</v>
      </c>
      <c r="Q48" s="2"/>
      <c r="R48" s="19">
        <f t="shared" si="11"/>
        <v>4.9346512612729545E-5</v>
      </c>
      <c r="S48" s="2"/>
      <c r="T48" s="2"/>
      <c r="U48" s="2"/>
      <c r="V48" s="19">
        <f t="shared" si="12"/>
        <v>0</v>
      </c>
      <c r="W48" s="2"/>
      <c r="X48" s="2">
        <f t="shared" si="13"/>
        <v>88.75</v>
      </c>
      <c r="Y48" s="2"/>
      <c r="Z48" s="19">
        <f t="shared" si="14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-206288</v>
      </c>
      <c r="E49" s="2"/>
      <c r="F49" s="19">
        <f t="shared" si="7"/>
        <v>-0.95892485580194409</v>
      </c>
      <c r="G49" s="2"/>
      <c r="H49" s="2"/>
      <c r="I49" s="2"/>
      <c r="J49" s="19">
        <f t="shared" si="8"/>
        <v>0</v>
      </c>
      <c r="K49" s="2"/>
      <c r="L49" s="2">
        <f t="shared" si="9"/>
        <v>-206288</v>
      </c>
      <c r="M49" s="2"/>
      <c r="N49" s="19">
        <f t="shared" si="10"/>
        <v>0</v>
      </c>
      <c r="O49" s="11"/>
      <c r="P49" s="2">
        <v>-1487929</v>
      </c>
      <c r="Q49" s="2"/>
      <c r="R49" s="19">
        <f t="shared" si="11"/>
        <v>-0.82731388355319502</v>
      </c>
      <c r="S49" s="2"/>
      <c r="T49" s="2"/>
      <c r="U49" s="2"/>
      <c r="V49" s="19">
        <f t="shared" si="12"/>
        <v>0</v>
      </c>
      <c r="W49" s="2"/>
      <c r="X49" s="2">
        <f t="shared" si="13"/>
        <v>-1487929</v>
      </c>
      <c r="Y49" s="2"/>
      <c r="Z49" s="19">
        <f t="shared" si="14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181262</v>
      </c>
      <c r="E50" s="2"/>
      <c r="F50" s="19">
        <f t="shared" si="7"/>
        <v>0.84259209072932983</v>
      </c>
      <c r="G50" s="2"/>
      <c r="H50" s="2"/>
      <c r="I50" s="2"/>
      <c r="J50" s="19">
        <f t="shared" si="8"/>
        <v>0</v>
      </c>
      <c r="K50" s="2"/>
      <c r="L50" s="2">
        <f t="shared" si="9"/>
        <v>181262</v>
      </c>
      <c r="M50" s="2"/>
      <c r="N50" s="19">
        <f t="shared" si="10"/>
        <v>0</v>
      </c>
      <c r="O50" s="11"/>
      <c r="P50" s="2">
        <v>1588307</v>
      </c>
      <c r="Q50" s="2"/>
      <c r="R50" s="19">
        <f t="shared" si="11"/>
        <v>0.88312576234801832</v>
      </c>
      <c r="S50" s="2"/>
      <c r="T50" s="2"/>
      <c r="U50" s="2"/>
      <c r="V50" s="19">
        <f t="shared" si="12"/>
        <v>0</v>
      </c>
      <c r="W50" s="2"/>
      <c r="X50" s="2">
        <f t="shared" si="13"/>
        <v>1588307</v>
      </c>
      <c r="Y50" s="2"/>
      <c r="Z50" s="19">
        <f t="shared" si="14"/>
        <v>0</v>
      </c>
    </row>
    <row r="51" spans="1:26" s="24" customFormat="1" hidden="1" outlineLevel="1" x14ac:dyDescent="0.25">
      <c r="A51" s="44"/>
      <c r="B51" s="11" t="str">
        <f>CONCATENATE("          ", "5581", " - ", "FREIGHT-IN-ELECTRONICS")</f>
        <v xml:space="preserve">          5581 - FREIGHT-IN-ELECTRONICS</v>
      </c>
      <c r="C51" s="11"/>
      <c r="D51" s="2"/>
      <c r="E51" s="2"/>
      <c r="F51" s="19">
        <f t="shared" si="7"/>
        <v>0</v>
      </c>
      <c r="G51" s="2"/>
      <c r="H51" s="2"/>
      <c r="I51" s="2"/>
      <c r="J51" s="19">
        <f t="shared" si="8"/>
        <v>0</v>
      </c>
      <c r="K51" s="2"/>
      <c r="L51" s="2">
        <f t="shared" si="9"/>
        <v>0</v>
      </c>
      <c r="M51" s="2"/>
      <c r="N51" s="19">
        <f t="shared" si="10"/>
        <v>0</v>
      </c>
      <c r="O51" s="11"/>
      <c r="P51" s="2">
        <v>105.75</v>
      </c>
      <c r="Q51" s="2"/>
      <c r="R51" s="19">
        <f t="shared" si="11"/>
        <v>5.8798802352632666E-5</v>
      </c>
      <c r="S51" s="2"/>
      <c r="T51" s="2"/>
      <c r="U51" s="2"/>
      <c r="V51" s="19">
        <f t="shared" si="12"/>
        <v>0</v>
      </c>
      <c r="W51" s="2"/>
      <c r="X51" s="2">
        <f t="shared" si="13"/>
        <v>105.75</v>
      </c>
      <c r="Y51" s="2"/>
      <c r="Z51" s="19">
        <f t="shared" si="14"/>
        <v>0</v>
      </c>
    </row>
    <row r="52" spans="1:26" s="24" customFormat="1" hidden="1" outlineLevel="1" x14ac:dyDescent="0.25">
      <c r="A52" s="44"/>
      <c r="B52" s="11" t="str">
        <f>CONCATENATE("          ", "5582", " - ", "FREIGHT-IN-COMPUTER HARDWARE")</f>
        <v xml:space="preserve">          5582 - FREIGHT-IN-COMPUTER HARDWARE</v>
      </c>
      <c r="C52" s="11"/>
      <c r="D52" s="2"/>
      <c r="E52" s="2"/>
      <c r="F52" s="19">
        <f t="shared" si="7"/>
        <v>0</v>
      </c>
      <c r="G52" s="2"/>
      <c r="H52" s="2"/>
      <c r="I52" s="2"/>
      <c r="J52" s="19">
        <f t="shared" si="8"/>
        <v>0</v>
      </c>
      <c r="K52" s="2"/>
      <c r="L52" s="2">
        <f t="shared" si="9"/>
        <v>0</v>
      </c>
      <c r="M52" s="2"/>
      <c r="N52" s="19">
        <f t="shared" si="10"/>
        <v>0</v>
      </c>
      <c r="O52" s="11"/>
      <c r="P52" s="2">
        <v>4.84</v>
      </c>
      <c r="Q52" s="2"/>
      <c r="R52" s="19">
        <f t="shared" si="11"/>
        <v>2.6911224906547717E-6</v>
      </c>
      <c r="S52" s="2"/>
      <c r="T52" s="2"/>
      <c r="U52" s="2"/>
      <c r="V52" s="19">
        <f t="shared" si="12"/>
        <v>0</v>
      </c>
      <c r="W52" s="2"/>
      <c r="X52" s="2">
        <f t="shared" si="13"/>
        <v>4.84</v>
      </c>
      <c r="Y52" s="2"/>
      <c r="Z52" s="19">
        <f t="shared" si="14"/>
        <v>0</v>
      </c>
    </row>
    <row r="53" spans="1:26" s="24" customFormat="1" hidden="1" outlineLevel="1" x14ac:dyDescent="0.25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/>
      <c r="E53" s="2"/>
      <c r="F53" s="19">
        <f t="shared" si="7"/>
        <v>0</v>
      </c>
      <c r="G53" s="2"/>
      <c r="H53" s="2"/>
      <c r="I53" s="2"/>
      <c r="J53" s="19">
        <f t="shared" si="8"/>
        <v>0</v>
      </c>
      <c r="K53" s="2"/>
      <c r="L53" s="2">
        <f t="shared" si="9"/>
        <v>0</v>
      </c>
      <c r="M53" s="2"/>
      <c r="N53" s="19">
        <f t="shared" si="10"/>
        <v>0</v>
      </c>
      <c r="O53" s="11"/>
      <c r="P53" s="2">
        <v>49.12</v>
      </c>
      <c r="Q53" s="2"/>
      <c r="R53" s="19">
        <f t="shared" si="11"/>
        <v>2.731155717788479E-5</v>
      </c>
      <c r="S53" s="2"/>
      <c r="T53" s="2"/>
      <c r="U53" s="2"/>
      <c r="V53" s="19">
        <f t="shared" si="12"/>
        <v>0</v>
      </c>
      <c r="W53" s="2"/>
      <c r="X53" s="2">
        <f t="shared" si="13"/>
        <v>49.12</v>
      </c>
      <c r="Y53" s="2"/>
      <c r="Z53" s="19">
        <f t="shared" si="14"/>
        <v>0</v>
      </c>
    </row>
    <row r="54" spans="1:26" s="24" customFormat="1" hidden="1" outlineLevel="1" x14ac:dyDescent="0.25">
      <c r="A54" s="44"/>
      <c r="B54" s="11" t="str">
        <f>CONCATENATE("          ", "5586", " - ", "FREIGHT-IN-COMPUTER SUPPLIES")</f>
        <v xml:space="preserve">          5586 - FREIGHT-IN-COMPUTER SUPPLIES</v>
      </c>
      <c r="C54" s="11"/>
      <c r="D54" s="2">
        <v>33.31</v>
      </c>
      <c r="E54" s="2"/>
      <c r="F54" s="19">
        <f t="shared" si="7"/>
        <v>1.5484074181126755E-4</v>
      </c>
      <c r="G54" s="2"/>
      <c r="H54" s="2"/>
      <c r="I54" s="2"/>
      <c r="J54" s="19">
        <f t="shared" si="8"/>
        <v>0</v>
      </c>
      <c r="K54" s="2"/>
      <c r="L54" s="2">
        <f t="shared" si="9"/>
        <v>33.31</v>
      </c>
      <c r="M54" s="2"/>
      <c r="N54" s="19">
        <f t="shared" si="10"/>
        <v>0</v>
      </c>
      <c r="O54" s="11"/>
      <c r="P54" s="2">
        <v>195.82</v>
      </c>
      <c r="Q54" s="2"/>
      <c r="R54" s="19">
        <f t="shared" si="11"/>
        <v>1.0887925746281351E-4</v>
      </c>
      <c r="S54" s="2"/>
      <c r="T54" s="2"/>
      <c r="U54" s="2"/>
      <c r="V54" s="19">
        <f t="shared" si="12"/>
        <v>0</v>
      </c>
      <c r="W54" s="2"/>
      <c r="X54" s="2">
        <f t="shared" si="13"/>
        <v>195.82</v>
      </c>
      <c r="Y54" s="2"/>
      <c r="Z54" s="19">
        <f t="shared" si="14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9" t="s">
        <v>6</v>
      </c>
      <c r="C56" s="29"/>
      <c r="D56" s="21">
        <f>D12-D40</f>
        <v>33861.830000000075</v>
      </c>
      <c r="E56" s="14"/>
      <c r="F56" s="20">
        <f>IF(D$12=0,0,D56/D$12)</f>
        <v>0.15740591042590948</v>
      </c>
      <c r="G56" s="14"/>
      <c r="H56" s="21">
        <f>H12-H40</f>
        <v>64380</v>
      </c>
      <c r="I56" s="14"/>
      <c r="J56" s="20">
        <f>IF(H$12=0,0,H56/H$12)</f>
        <v>0.21903770388062138</v>
      </c>
      <c r="K56" s="16"/>
      <c r="L56" s="21">
        <f>+D56-H56</f>
        <v>-30518.169999999925</v>
      </c>
      <c r="M56" s="16"/>
      <c r="N56" s="20">
        <f>IF(H56=0,0,L56/H56)</f>
        <v>-0.47403184218701344</v>
      </c>
      <c r="O56" s="28"/>
      <c r="P56" s="21">
        <f>P12-P40</f>
        <v>210196.73999999929</v>
      </c>
      <c r="Q56" s="14"/>
      <c r="R56" s="20">
        <f>IF(P$12=0,0,P56/P$12)</f>
        <v>0.11687296993312223</v>
      </c>
      <c r="S56" s="14"/>
      <c r="T56" s="21">
        <f>T12-T40</f>
        <v>375845</v>
      </c>
      <c r="U56" s="14"/>
      <c r="V56" s="20">
        <f>IF(T$12=0,0,T56/T$12)</f>
        <v>0.21903678479910532</v>
      </c>
      <c r="W56" s="16"/>
      <c r="X56" s="21">
        <f>+P56-T56</f>
        <v>-165648.26000000071</v>
      </c>
      <c r="Y56" s="16"/>
      <c r="Z56" s="20">
        <f>IF(T56=0,0,X56/T56)</f>
        <v>-0.44073556918410706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8" t="s">
        <v>9</v>
      </c>
      <c r="C58" s="10"/>
      <c r="D58" s="22">
        <f>SUM(OSRRefD22x_0)</f>
        <v>17632.02</v>
      </c>
      <c r="E58" s="22"/>
      <c r="F58" s="35">
        <f t="shared" ref="F58:F69" si="15">IF(D$12=0,0,D58/D$12)</f>
        <v>8.1962025110510525E-2</v>
      </c>
      <c r="G58" s="22"/>
      <c r="H58" s="22">
        <f>SUM(OSRRefH22x_0)</f>
        <v>17447.266163196156</v>
      </c>
      <c r="I58" s="22"/>
      <c r="J58" s="35">
        <f t="shared" ref="J58:J69" si="16">IF(H$12=0,0,H58/H$12)</f>
        <v>5.9360191354155718E-2</v>
      </c>
      <c r="K58" s="4"/>
      <c r="L58" s="22">
        <f t="shared" ref="L58:L69" si="17">+D58-H58</f>
        <v>184.75383680384402</v>
      </c>
      <c r="M58" s="4"/>
      <c r="N58" s="35">
        <f t="shared" ref="N58:N69" si="18">IF(H58=0,0,L58/H58)</f>
        <v>1.0589271412249669E-2</v>
      </c>
      <c r="O58" s="10"/>
      <c r="P58" s="22">
        <f>SUM(OSRRefP22x_0)</f>
        <v>146065.96</v>
      </c>
      <c r="Q58" s="22"/>
      <c r="R58" s="35">
        <f t="shared" ref="R58:R69" si="19">IF(P$12=0,0,P58/P$12)</f>
        <v>8.1215163238652938E-2</v>
      </c>
      <c r="S58" s="22"/>
      <c r="T58" s="22">
        <f>SUM(OSRRefT22x_0)</f>
        <v>115347.03867035615</v>
      </c>
      <c r="U58" s="22"/>
      <c r="V58" s="35">
        <f t="shared" ref="V58:V69" si="20">IF(T$12=0,0,T58/T$12)</f>
        <v>6.7222510573382327E-2</v>
      </c>
      <c r="W58" s="4"/>
      <c r="X58" s="22">
        <f t="shared" ref="X58:X69" si="21">+P58-T58</f>
        <v>30718.921329643839</v>
      </c>
      <c r="Y58" s="4"/>
      <c r="Z58" s="35">
        <f t="shared" ref="Z58:Z69" si="22">IF(T58=0,0,X58/T58)</f>
        <v>0.26631738173559638</v>
      </c>
    </row>
    <row r="59" spans="1:26" s="27" customFormat="1" outlineLevel="1" collapsed="1" x14ac:dyDescent="0.25">
      <c r="A59" s="26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3177.6899999999996</v>
      </c>
      <c r="E59" s="1"/>
      <c r="F59" s="5">
        <f t="shared" si="15"/>
        <v>1.4771416296795157E-2</v>
      </c>
      <c r="G59" s="1"/>
      <c r="H59" s="1">
        <f>SUM(OSRRefH22_0x_0)</f>
        <v>2654.071424734615</v>
      </c>
      <c r="I59" s="1"/>
      <c r="J59" s="5">
        <f t="shared" si="16"/>
        <v>9.0298494999850806E-3</v>
      </c>
      <c r="K59" s="1"/>
      <c r="L59" s="1">
        <f t="shared" si="17"/>
        <v>523.61857526538461</v>
      </c>
      <c r="M59" s="1"/>
      <c r="N59" s="5">
        <f t="shared" si="18"/>
        <v>0.19728880330254944</v>
      </c>
      <c r="O59" s="13"/>
      <c r="P59" s="1">
        <f>SUM(OSRRefP22_0x_0)</f>
        <v>21398.9</v>
      </c>
      <c r="Q59" s="1"/>
      <c r="R59" s="5">
        <f t="shared" si="19"/>
        <v>1.1898153112659586E-2</v>
      </c>
      <c r="S59" s="1"/>
      <c r="T59" s="1">
        <f>SUM(OSRRefT22_0x_0)</f>
        <v>18339.874891894611</v>
      </c>
      <c r="U59" s="1"/>
      <c r="V59" s="5">
        <f t="shared" si="20"/>
        <v>1.0688201864966768E-2</v>
      </c>
      <c r="W59" s="1"/>
      <c r="X59" s="1">
        <f t="shared" si="21"/>
        <v>3059.0251081053902</v>
      </c>
      <c r="Y59" s="1"/>
      <c r="Z59" s="5">
        <f t="shared" si="22"/>
        <v>0.16679639998293228</v>
      </c>
    </row>
    <row r="60" spans="1:26" s="24" customFormat="1" hidden="1" outlineLevel="2" x14ac:dyDescent="0.25">
      <c r="A60" s="25"/>
      <c r="B60" s="11" t="str">
        <f>CONCATENATE("          ", "6111", " - ", "F.I.C.A.")</f>
        <v xml:space="preserve">          6111 - F.I.C.A.</v>
      </c>
      <c r="C60" s="11"/>
      <c r="D60" s="7">
        <v>597.77</v>
      </c>
      <c r="E60" s="2"/>
      <c r="F60" s="6">
        <f t="shared" si="15"/>
        <v>2.7787196107031341E-3</v>
      </c>
      <c r="G60" s="2"/>
      <c r="H60" s="7">
        <v>434.26097839615403</v>
      </c>
      <c r="I60" s="2"/>
      <c r="J60" s="6">
        <f t="shared" si="16"/>
        <v>1.4774701396838414E-3</v>
      </c>
      <c r="K60" s="2"/>
      <c r="L60" s="7">
        <f t="shared" si="17"/>
        <v>163.50902160384595</v>
      </c>
      <c r="M60" s="2"/>
      <c r="N60" s="6">
        <f t="shared" si="18"/>
        <v>0.37652248241997249</v>
      </c>
      <c r="O60" s="11"/>
      <c r="P60" s="7">
        <v>4825.51</v>
      </c>
      <c r="Q60" s="2"/>
      <c r="R60" s="6">
        <f t="shared" si="19"/>
        <v>2.6830658036941131E-3</v>
      </c>
      <c r="S60" s="2"/>
      <c r="T60" s="7">
        <v>3546.7002623561539</v>
      </c>
      <c r="U60" s="2"/>
      <c r="V60" s="6">
        <f t="shared" si="20"/>
        <v>2.0669633016606186E-3</v>
      </c>
      <c r="W60" s="2"/>
      <c r="X60" s="7">
        <f t="shared" si="21"/>
        <v>1278.8097376438463</v>
      </c>
      <c r="Y60" s="2"/>
      <c r="Z60" s="6">
        <f t="shared" si="22"/>
        <v>0.36056323992665334</v>
      </c>
    </row>
    <row r="61" spans="1:26" s="24" customFormat="1" hidden="1" outlineLevel="2" x14ac:dyDescent="0.25">
      <c r="A61" s="25"/>
      <c r="B61" s="11" t="str">
        <f>CONCATENATE("          ", "6112", " - ", "COMPENSATION INSURANCE")</f>
        <v xml:space="preserve">          6112 - COMPENSATION INSURANCE</v>
      </c>
      <c r="C61" s="11"/>
      <c r="D61" s="7">
        <v>192.57</v>
      </c>
      <c r="E61" s="2"/>
      <c r="F61" s="6">
        <f t="shared" si="15"/>
        <v>8.9515705945949532E-4</v>
      </c>
      <c r="G61" s="2"/>
      <c r="H61" s="7">
        <v>216.41155507692301</v>
      </c>
      <c r="I61" s="2"/>
      <c r="J61" s="6">
        <f t="shared" si="16"/>
        <v>7.3628906674873945E-4</v>
      </c>
      <c r="K61" s="2"/>
      <c r="L61" s="7">
        <f t="shared" si="17"/>
        <v>-23.841555076923015</v>
      </c>
      <c r="M61" s="2"/>
      <c r="N61" s="6">
        <f t="shared" si="18"/>
        <v>-0.11016766211235157</v>
      </c>
      <c r="O61" s="11"/>
      <c r="P61" s="7">
        <v>1153.18</v>
      </c>
      <c r="Q61" s="2"/>
      <c r="R61" s="6">
        <f t="shared" si="19"/>
        <v>6.4118773425067555E-4</v>
      </c>
      <c r="S61" s="2"/>
      <c r="T61" s="7">
        <v>1385.325413076921</v>
      </c>
      <c r="U61" s="2"/>
      <c r="V61" s="6">
        <f t="shared" si="20"/>
        <v>8.0734671042813181E-4</v>
      </c>
      <c r="W61" s="2"/>
      <c r="X61" s="7">
        <f t="shared" si="21"/>
        <v>-232.14541307692093</v>
      </c>
      <c r="Y61" s="2"/>
      <c r="Z61" s="6">
        <f t="shared" si="22"/>
        <v>-0.1675746441128998</v>
      </c>
    </row>
    <row r="62" spans="1:26" s="24" customFormat="1" hidden="1" outlineLevel="2" x14ac:dyDescent="0.25">
      <c r="A62" s="25"/>
      <c r="B62" s="11" t="str">
        <f>CONCATENATE("          ", "6113", " - ", "GROUP INSURANCE")</f>
        <v xml:space="preserve">          6113 - GROUP INSURANCE</v>
      </c>
      <c r="C62" s="11"/>
      <c r="D62" s="7">
        <v>1376.77</v>
      </c>
      <c r="E62" s="2"/>
      <c r="F62" s="6">
        <f t="shared" si="15"/>
        <v>6.3998825608975922E-3</v>
      </c>
      <c r="G62" s="2"/>
      <c r="H62" s="7">
        <v>1186.2</v>
      </c>
      <c r="I62" s="2"/>
      <c r="J62" s="6">
        <f t="shared" si="16"/>
        <v>4.035764590605671E-3</v>
      </c>
      <c r="K62" s="2"/>
      <c r="L62" s="7">
        <f t="shared" si="17"/>
        <v>190.56999999999994</v>
      </c>
      <c r="M62" s="2"/>
      <c r="N62" s="6">
        <f t="shared" si="18"/>
        <v>0.16065587590625521</v>
      </c>
      <c r="O62" s="11"/>
      <c r="P62" s="7">
        <v>7811.59</v>
      </c>
      <c r="Q62" s="2"/>
      <c r="R62" s="6">
        <f t="shared" si="19"/>
        <v>4.3433771770194024E-3</v>
      </c>
      <c r="S62" s="2"/>
      <c r="T62" s="7">
        <v>8303.4</v>
      </c>
      <c r="U62" s="2"/>
      <c r="V62" s="6">
        <f t="shared" si="20"/>
        <v>4.8390960073990364E-3</v>
      </c>
      <c r="W62" s="2"/>
      <c r="X62" s="7">
        <f t="shared" si="21"/>
        <v>-491.80999999999949</v>
      </c>
      <c r="Y62" s="2"/>
      <c r="Z62" s="6">
        <f t="shared" si="22"/>
        <v>-5.9229953994749084E-2</v>
      </c>
    </row>
    <row r="63" spans="1:26" s="24" customFormat="1" hidden="1" outlineLevel="2" x14ac:dyDescent="0.25">
      <c r="A63" s="25"/>
      <c r="B63" s="11" t="str">
        <f>CONCATENATE("          ", "6114", " - ", "STATE UNEMPLOYMENT INSURANCE")</f>
        <v xml:space="preserve">          6114 - STATE UNEMPLOYMENT INSURANCE</v>
      </c>
      <c r="C63" s="11"/>
      <c r="D63" s="7">
        <v>26.35</v>
      </c>
      <c r="E63" s="2"/>
      <c r="F63" s="6">
        <f t="shared" si="15"/>
        <v>1.2248734754508856E-4</v>
      </c>
      <c r="G63" s="2"/>
      <c r="H63" s="7">
        <v>29.614212800000001</v>
      </c>
      <c r="I63" s="2"/>
      <c r="J63" s="6">
        <f t="shared" si="16"/>
        <v>1.0075534597614333E-4</v>
      </c>
      <c r="K63" s="2"/>
      <c r="L63" s="7">
        <f t="shared" si="17"/>
        <v>-3.2642127999999992</v>
      </c>
      <c r="M63" s="2"/>
      <c r="N63" s="6">
        <f t="shared" si="18"/>
        <v>-0.11022453380898239</v>
      </c>
      <c r="O63" s="11"/>
      <c r="P63" s="7">
        <v>186.25</v>
      </c>
      <c r="Q63" s="2"/>
      <c r="R63" s="6">
        <f t="shared" si="19"/>
        <v>1.0355817435629157E-4</v>
      </c>
      <c r="S63" s="2"/>
      <c r="T63" s="7">
        <v>189.57084599999999</v>
      </c>
      <c r="U63" s="2"/>
      <c r="V63" s="6">
        <f t="shared" si="20"/>
        <v>1.1047902353227083E-4</v>
      </c>
      <c r="W63" s="2"/>
      <c r="X63" s="7">
        <f t="shared" si="21"/>
        <v>-3.3208459999999889</v>
      </c>
      <c r="Y63" s="2"/>
      <c r="Z63" s="6">
        <f t="shared" si="22"/>
        <v>-1.7517704172718567E-2</v>
      </c>
    </row>
    <row r="64" spans="1:26" s="24" customFormat="1" hidden="1" outlineLevel="2" x14ac:dyDescent="0.25">
      <c r="A64" s="25"/>
      <c r="B64" s="11" t="str">
        <f>CONCATENATE("          ", "6115", " - ", "P.E.R.S.")</f>
        <v xml:space="preserve">          6115 - P.E.R.S.</v>
      </c>
      <c r="C64" s="11"/>
      <c r="D64" s="7">
        <v>400.55</v>
      </c>
      <c r="E64" s="2"/>
      <c r="F64" s="6">
        <f t="shared" si="15"/>
        <v>1.8619471369709761E-3</v>
      </c>
      <c r="G64" s="2"/>
      <c r="H64" s="7">
        <v>367.528640769231</v>
      </c>
      <c r="I64" s="2"/>
      <c r="J64" s="6">
        <f t="shared" si="16"/>
        <v>1.2504291640953416E-3</v>
      </c>
      <c r="K64" s="2"/>
      <c r="L64" s="7">
        <f t="shared" si="17"/>
        <v>33.021359230769008</v>
      </c>
      <c r="M64" s="2"/>
      <c r="N64" s="6">
        <f t="shared" si="18"/>
        <v>8.984703657830824E-2</v>
      </c>
      <c r="O64" s="11"/>
      <c r="P64" s="7">
        <v>1686.47</v>
      </c>
      <c r="Q64" s="2"/>
      <c r="R64" s="6">
        <f t="shared" si="19"/>
        <v>9.3770606339143659E-4</v>
      </c>
      <c r="S64" s="2"/>
      <c r="T64" s="7">
        <v>2278.6775727692329</v>
      </c>
      <c r="U64" s="2"/>
      <c r="V64" s="6">
        <f t="shared" si="20"/>
        <v>1.3279788453570013E-3</v>
      </c>
      <c r="W64" s="2"/>
      <c r="X64" s="7">
        <f t="shared" si="21"/>
        <v>-592.20757276923291</v>
      </c>
      <c r="Y64" s="2"/>
      <c r="Z64" s="6">
        <f t="shared" si="22"/>
        <v>-0.25989090332316495</v>
      </c>
    </row>
    <row r="65" spans="1:26" s="24" customFormat="1" hidden="1" outlineLevel="2" x14ac:dyDescent="0.25">
      <c r="A65" s="25"/>
      <c r="B65" s="11" t="str">
        <f>CONCATENATE("          ", "6116", " - ", "EDUCATIONAL BENEFITS")</f>
        <v xml:space="preserve">          6116 - EDUCATIONAL BENEFITS</v>
      </c>
      <c r="C65" s="11"/>
      <c r="D65" s="7"/>
      <c r="E65" s="2"/>
      <c r="F65" s="6">
        <f t="shared" si="15"/>
        <v>0</v>
      </c>
      <c r="G65" s="2"/>
      <c r="H65" s="7">
        <v>0</v>
      </c>
      <c r="I65" s="2"/>
      <c r="J65" s="6">
        <f t="shared" si="16"/>
        <v>0</v>
      </c>
      <c r="K65" s="2"/>
      <c r="L65" s="7">
        <f t="shared" si="17"/>
        <v>0</v>
      </c>
      <c r="M65" s="2"/>
      <c r="N65" s="6">
        <f t="shared" si="18"/>
        <v>0</v>
      </c>
      <c r="O65" s="11"/>
      <c r="P65" s="7"/>
      <c r="Q65" s="2"/>
      <c r="R65" s="6">
        <f t="shared" si="19"/>
        <v>0</v>
      </c>
      <c r="S65" s="2"/>
      <c r="T65" s="7">
        <v>0</v>
      </c>
      <c r="U65" s="2"/>
      <c r="V65" s="6">
        <f t="shared" si="20"/>
        <v>0</v>
      </c>
      <c r="W65" s="2"/>
      <c r="X65" s="7">
        <f t="shared" si="21"/>
        <v>0</v>
      </c>
      <c r="Y65" s="2"/>
      <c r="Z65" s="6">
        <f t="shared" si="22"/>
        <v>0</v>
      </c>
    </row>
    <row r="66" spans="1:26" s="24" customFormat="1" hidden="1" outlineLevel="2" x14ac:dyDescent="0.25">
      <c r="A66" s="25"/>
      <c r="B66" s="11" t="str">
        <f>CONCATENATE("          ", "6117", " - ", "RETIREMENT STAFF HOURLY")</f>
        <v xml:space="preserve">          6117 - RETIREMENT STAFF HOURLY</v>
      </c>
      <c r="C66" s="11"/>
      <c r="D66" s="7">
        <v>163.13</v>
      </c>
      <c r="E66" s="2"/>
      <c r="F66" s="6">
        <f t="shared" si="15"/>
        <v>7.5830592049450833E-4</v>
      </c>
      <c r="G66" s="2"/>
      <c r="H66" s="7"/>
      <c r="I66" s="2"/>
      <c r="J66" s="6">
        <f t="shared" si="16"/>
        <v>0</v>
      </c>
      <c r="K66" s="2"/>
      <c r="L66" s="7">
        <f t="shared" si="17"/>
        <v>163.13</v>
      </c>
      <c r="M66" s="2"/>
      <c r="N66" s="6">
        <f t="shared" si="18"/>
        <v>0</v>
      </c>
      <c r="O66" s="11"/>
      <c r="P66" s="7">
        <v>1195.3599999999999</v>
      </c>
      <c r="Q66" s="2"/>
      <c r="R66" s="6">
        <f t="shared" si="19"/>
        <v>6.6464053314650566E-4</v>
      </c>
      <c r="S66" s="2"/>
      <c r="T66" s="7"/>
      <c r="U66" s="2"/>
      <c r="V66" s="6">
        <f t="shared" si="20"/>
        <v>0</v>
      </c>
      <c r="W66" s="2"/>
      <c r="X66" s="7">
        <f t="shared" si="21"/>
        <v>1195.3599999999999</v>
      </c>
      <c r="Y66" s="2"/>
      <c r="Z66" s="6">
        <f t="shared" si="22"/>
        <v>0</v>
      </c>
    </row>
    <row r="67" spans="1:26" s="24" customFormat="1" hidden="1" outlineLevel="2" x14ac:dyDescent="0.25">
      <c r="A67" s="25"/>
      <c r="B67" s="11" t="str">
        <f>CONCATENATE("          ", "6118", " - ", "VACATION")</f>
        <v xml:space="preserve">          6118 - VACATION</v>
      </c>
      <c r="C67" s="11"/>
      <c r="D67" s="7">
        <v>67.989999999999995</v>
      </c>
      <c r="E67" s="2"/>
      <c r="F67" s="6">
        <f t="shared" si="15"/>
        <v>3.1604989599964215E-4</v>
      </c>
      <c r="G67" s="2"/>
      <c r="H67" s="7">
        <v>213.679442307692</v>
      </c>
      <c r="I67" s="2"/>
      <c r="J67" s="6">
        <f t="shared" si="16"/>
        <v>7.2699370005542964E-4</v>
      </c>
      <c r="K67" s="2"/>
      <c r="L67" s="7">
        <f t="shared" si="17"/>
        <v>-145.68944230769199</v>
      </c>
      <c r="M67" s="2"/>
      <c r="N67" s="6">
        <f t="shared" si="18"/>
        <v>-0.68181309691881142</v>
      </c>
      <c r="O67" s="11"/>
      <c r="P67" s="7">
        <v>1599.08</v>
      </c>
      <c r="Q67" s="2"/>
      <c r="R67" s="6">
        <f t="shared" si="19"/>
        <v>8.8911573395789923E-4</v>
      </c>
      <c r="S67" s="2"/>
      <c r="T67" s="7">
        <v>1324.8125423076922</v>
      </c>
      <c r="U67" s="2"/>
      <c r="V67" s="6">
        <f t="shared" si="20"/>
        <v>7.7208072404476736E-4</v>
      </c>
      <c r="W67" s="2"/>
      <c r="X67" s="7">
        <f t="shared" si="21"/>
        <v>274.26745769230774</v>
      </c>
      <c r="Y67" s="2"/>
      <c r="Z67" s="6">
        <f t="shared" si="22"/>
        <v>0.20702359687398567</v>
      </c>
    </row>
    <row r="68" spans="1:26" s="24" customFormat="1" hidden="1" outlineLevel="2" x14ac:dyDescent="0.25">
      <c r="A68" s="25"/>
      <c r="B68" s="11" t="str">
        <f>CONCATENATE("          ", "6119", " - ", "SICK LEAVE")</f>
        <v xml:space="preserve">          6119 - SICK LEAVE</v>
      </c>
      <c r="C68" s="11"/>
      <c r="D68" s="7">
        <v>177.56</v>
      </c>
      <c r="E68" s="2"/>
      <c r="F68" s="6">
        <f t="shared" si="15"/>
        <v>8.2538343188257772E-4</v>
      </c>
      <c r="G68" s="2"/>
      <c r="H68" s="7">
        <v>206.376595384615</v>
      </c>
      <c r="I68" s="2"/>
      <c r="J68" s="6">
        <f t="shared" si="16"/>
        <v>7.0214749281991484E-4</v>
      </c>
      <c r="K68" s="2"/>
      <c r="L68" s="7">
        <f t="shared" si="17"/>
        <v>-28.816595384614999</v>
      </c>
      <c r="M68" s="2"/>
      <c r="N68" s="6">
        <f t="shared" si="18"/>
        <v>-0.13963112111095144</v>
      </c>
      <c r="O68" s="11"/>
      <c r="P68" s="7">
        <v>1805.68</v>
      </c>
      <c r="Q68" s="2"/>
      <c r="R68" s="6">
        <f t="shared" si="19"/>
        <v>1.0039888551498983E-3</v>
      </c>
      <c r="S68" s="2"/>
      <c r="T68" s="7">
        <v>1311.3882553846129</v>
      </c>
      <c r="U68" s="2"/>
      <c r="V68" s="6">
        <f t="shared" si="20"/>
        <v>7.6425725254494162E-4</v>
      </c>
      <c r="W68" s="2"/>
      <c r="X68" s="7">
        <f t="shared" si="21"/>
        <v>494.29174461538719</v>
      </c>
      <c r="Y68" s="2"/>
      <c r="Z68" s="6">
        <f t="shared" si="22"/>
        <v>0.37692250375569969</v>
      </c>
    </row>
    <row r="69" spans="1:26" s="24" customFormat="1" hidden="1" outlineLevel="2" x14ac:dyDescent="0.25">
      <c r="A69" s="25"/>
      <c r="B69" s="11" t="str">
        <f>CONCATENATE("          ", "6156", " - ", "EMPLOYEE MEALS")</f>
        <v xml:space="preserve">          6156 - EMPLOYEE MEALS</v>
      </c>
      <c r="C69" s="11"/>
      <c r="D69" s="7">
        <v>175</v>
      </c>
      <c r="E69" s="2"/>
      <c r="F69" s="6">
        <f t="shared" si="15"/>
        <v>8.1348333284214408E-4</v>
      </c>
      <c r="G69" s="2"/>
      <c r="H69" s="7"/>
      <c r="I69" s="2"/>
      <c r="J69" s="6">
        <f t="shared" si="16"/>
        <v>0</v>
      </c>
      <c r="K69" s="2"/>
      <c r="L69" s="7">
        <f t="shared" si="17"/>
        <v>175</v>
      </c>
      <c r="M69" s="2"/>
      <c r="N69" s="6">
        <f t="shared" si="18"/>
        <v>0</v>
      </c>
      <c r="O69" s="11"/>
      <c r="P69" s="7">
        <v>1135.78</v>
      </c>
      <c r="Q69" s="2"/>
      <c r="R69" s="6">
        <f t="shared" si="19"/>
        <v>6.3151303769336286E-4</v>
      </c>
      <c r="S69" s="2"/>
      <c r="T69" s="7"/>
      <c r="U69" s="2"/>
      <c r="V69" s="6">
        <f t="shared" si="20"/>
        <v>0</v>
      </c>
      <c r="W69" s="2"/>
      <c r="X69" s="7">
        <f t="shared" si="21"/>
        <v>1135.78</v>
      </c>
      <c r="Y69" s="2"/>
      <c r="Z69" s="6">
        <f t="shared" si="22"/>
        <v>0</v>
      </c>
    </row>
    <row r="70" spans="1:26" s="27" customFormat="1" outlineLevel="1" collapsed="1" x14ac:dyDescent="0.25">
      <c r="A70" s="26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12027.429999999998</v>
      </c>
      <c r="E70" s="1"/>
      <c r="F70" s="5">
        <f t="shared" ref="F70:F80" si="23">IF(D$12=0,0,D70/D$12)</f>
        <v>5.59092219538605E-2</v>
      </c>
      <c r="G70" s="1"/>
      <c r="H70" s="1">
        <f>SUM(OSRRefH22_1x_0)</f>
        <v>11048.194738461541</v>
      </c>
      <c r="I70" s="1"/>
      <c r="J70" s="5">
        <f t="shared" ref="J70:J80" si="24">IF(H$12=0,0,H70/H$12)</f>
        <v>3.7588866224581831E-2</v>
      </c>
      <c r="K70" s="1"/>
      <c r="L70" s="1">
        <f t="shared" ref="L70:L80" si="25">+D70-H70</f>
        <v>979.23526153845705</v>
      </c>
      <c r="M70" s="1"/>
      <c r="N70" s="5">
        <f t="shared" ref="N70:N80" si="26">IF(H70=0,0,L70/H70)</f>
        <v>8.8633055871969124E-2</v>
      </c>
      <c r="O70" s="13"/>
      <c r="P70" s="1">
        <f>SUM(OSRRefP22_1x_0)</f>
        <v>69315.930000000008</v>
      </c>
      <c r="Q70" s="1"/>
      <c r="R70" s="5">
        <f t="shared" ref="R70:R80" si="27">IF(P$12=0,0,P70/P$12)</f>
        <v>3.854083846769666E-2</v>
      </c>
      <c r="S70" s="1"/>
      <c r="T70" s="1">
        <f>SUM(OSRRefT22_1x_0)</f>
        <v>70792.163778461545</v>
      </c>
      <c r="U70" s="1"/>
      <c r="V70" s="5">
        <f t="shared" ref="V70:V80" si="28">IF(T$12=0,0,T70/T$12)</f>
        <v>4.1256602969324853E-2</v>
      </c>
      <c r="W70" s="1"/>
      <c r="X70" s="1">
        <f t="shared" ref="X70:X80" si="29">+P70-T70</f>
        <v>-1476.2337784615374</v>
      </c>
      <c r="Y70" s="1"/>
      <c r="Z70" s="5">
        <f t="shared" ref="Z70:Z80" si="30">IF(T70=0,0,X70/T70)</f>
        <v>-2.0853067623152383E-2</v>
      </c>
    </row>
    <row r="71" spans="1:26" s="24" customFormat="1" hidden="1" outlineLevel="2" x14ac:dyDescent="0.25">
      <c r="A71" s="25"/>
      <c r="B71" s="11" t="str">
        <f>CONCATENATE("          ", "6001", " - ", "ADMINISTRATIVE SALARIES")</f>
        <v xml:space="preserve">          6001 - ADMINISTRATIVE SALARIES</v>
      </c>
      <c r="C71" s="11"/>
      <c r="D71" s="7"/>
      <c r="E71" s="2"/>
      <c r="F71" s="6">
        <f t="shared" si="23"/>
        <v>0</v>
      </c>
      <c r="G71" s="2"/>
      <c r="H71" s="7">
        <v>3931.7017384615406</v>
      </c>
      <c r="I71" s="2"/>
      <c r="J71" s="6">
        <f t="shared" si="24"/>
        <v>1.3376684081019932E-2</v>
      </c>
      <c r="K71" s="2"/>
      <c r="L71" s="7">
        <f t="shared" si="25"/>
        <v>-3931.7017384615406</v>
      </c>
      <c r="M71" s="2"/>
      <c r="N71" s="6">
        <f t="shared" si="26"/>
        <v>-1</v>
      </c>
      <c r="O71" s="11"/>
      <c r="P71" s="7"/>
      <c r="Q71" s="2"/>
      <c r="R71" s="6">
        <f t="shared" si="27"/>
        <v>0</v>
      </c>
      <c r="S71" s="2"/>
      <c r="T71" s="7">
        <v>24376.55077846154</v>
      </c>
      <c r="U71" s="2"/>
      <c r="V71" s="6">
        <f t="shared" si="28"/>
        <v>1.420628532242372E-2</v>
      </c>
      <c r="W71" s="2"/>
      <c r="X71" s="7">
        <f t="shared" si="29"/>
        <v>-24376.55077846154</v>
      </c>
      <c r="Y71" s="2"/>
      <c r="Z71" s="6">
        <f t="shared" si="30"/>
        <v>-1</v>
      </c>
    </row>
    <row r="72" spans="1:26" s="24" customFormat="1" hidden="1" outlineLevel="2" x14ac:dyDescent="0.25">
      <c r="A72" s="25"/>
      <c r="B72" s="11" t="str">
        <f>CONCATENATE("          ", "6002", " - ", "STAFF SALARIES")</f>
        <v xml:space="preserve">          6002 - STAFF SALARIES</v>
      </c>
      <c r="C72" s="11"/>
      <c r="D72" s="7">
        <v>4760.5600000000004</v>
      </c>
      <c r="E72" s="2"/>
      <c r="F72" s="6">
        <f t="shared" si="23"/>
        <v>2.2129349799971415E-2</v>
      </c>
      <c r="G72" s="2"/>
      <c r="H72" s="7">
        <v>0</v>
      </c>
      <c r="I72" s="2"/>
      <c r="J72" s="6">
        <f t="shared" si="24"/>
        <v>0</v>
      </c>
      <c r="K72" s="2"/>
      <c r="L72" s="7">
        <f t="shared" si="25"/>
        <v>4760.5600000000004</v>
      </c>
      <c r="M72" s="2"/>
      <c r="N72" s="6">
        <f t="shared" si="26"/>
        <v>0</v>
      </c>
      <c r="O72" s="11"/>
      <c r="P72" s="7">
        <v>23538.7</v>
      </c>
      <c r="Q72" s="2"/>
      <c r="R72" s="6">
        <f t="shared" si="27"/>
        <v>1.3087918382391628E-2</v>
      </c>
      <c r="S72" s="2"/>
      <c r="T72" s="7">
        <v>0</v>
      </c>
      <c r="U72" s="2"/>
      <c r="V72" s="6">
        <f t="shared" si="28"/>
        <v>0</v>
      </c>
      <c r="W72" s="2"/>
      <c r="X72" s="7">
        <f t="shared" si="29"/>
        <v>23538.7</v>
      </c>
      <c r="Y72" s="2"/>
      <c r="Z72" s="6">
        <f t="shared" si="30"/>
        <v>0</v>
      </c>
    </row>
    <row r="73" spans="1:26" s="24" customFormat="1" hidden="1" outlineLevel="2" x14ac:dyDescent="0.25">
      <c r="A73" s="25"/>
      <c r="B73" s="11" t="str">
        <f>CONCATENATE("          ", "6003", " - ", "STAFF HOURLY-9 MONTH")</f>
        <v xml:space="preserve">          6003 - STAFF HOURLY-9 MONTH</v>
      </c>
      <c r="C73" s="11"/>
      <c r="D73" s="7"/>
      <c r="E73" s="2"/>
      <c r="F73" s="6">
        <f t="shared" si="23"/>
        <v>0</v>
      </c>
      <c r="G73" s="2"/>
      <c r="H73" s="7">
        <v>0</v>
      </c>
      <c r="I73" s="2"/>
      <c r="J73" s="6">
        <f t="shared" si="24"/>
        <v>0</v>
      </c>
      <c r="K73" s="2"/>
      <c r="L73" s="7">
        <f t="shared" si="25"/>
        <v>0</v>
      </c>
      <c r="M73" s="2"/>
      <c r="N73" s="6">
        <f t="shared" si="26"/>
        <v>0</v>
      </c>
      <c r="O73" s="11"/>
      <c r="P73" s="7"/>
      <c r="Q73" s="2"/>
      <c r="R73" s="6">
        <f t="shared" si="27"/>
        <v>0</v>
      </c>
      <c r="S73" s="2"/>
      <c r="T73" s="7">
        <v>0</v>
      </c>
      <c r="U73" s="2"/>
      <c r="V73" s="6">
        <f t="shared" si="28"/>
        <v>0</v>
      </c>
      <c r="W73" s="2"/>
      <c r="X73" s="7">
        <f t="shared" si="29"/>
        <v>0</v>
      </c>
      <c r="Y73" s="2"/>
      <c r="Z73" s="6">
        <f t="shared" si="30"/>
        <v>0</v>
      </c>
    </row>
    <row r="74" spans="1:26" s="24" customFormat="1" hidden="1" outlineLevel="2" x14ac:dyDescent="0.25">
      <c r="A74" s="25"/>
      <c r="B74" s="11" t="str">
        <f>CONCATENATE("          ", "6004", " - ", "STAFF HOURLY")</f>
        <v xml:space="preserve">          6004 - STAFF HOURLY</v>
      </c>
      <c r="C74" s="11"/>
      <c r="D74" s="7"/>
      <c r="E74" s="2"/>
      <c r="F74" s="6">
        <f t="shared" si="23"/>
        <v>0</v>
      </c>
      <c r="G74" s="2"/>
      <c r="H74" s="7">
        <v>1400.8</v>
      </c>
      <c r="I74" s="2"/>
      <c r="J74" s="6">
        <f t="shared" si="24"/>
        <v>4.7658902702077417E-3</v>
      </c>
      <c r="K74" s="2"/>
      <c r="L74" s="7">
        <f t="shared" si="25"/>
        <v>-1400.8</v>
      </c>
      <c r="M74" s="2"/>
      <c r="N74" s="6">
        <f t="shared" si="26"/>
        <v>-1</v>
      </c>
      <c r="O74" s="11"/>
      <c r="P74" s="7"/>
      <c r="Q74" s="2"/>
      <c r="R74" s="6">
        <f t="shared" si="27"/>
        <v>0</v>
      </c>
      <c r="S74" s="2"/>
      <c r="T74" s="7">
        <v>10468.92</v>
      </c>
      <c r="U74" s="2"/>
      <c r="V74" s="6">
        <f t="shared" si="28"/>
        <v>6.1011283298142843E-3</v>
      </c>
      <c r="W74" s="2"/>
      <c r="X74" s="7">
        <f t="shared" si="29"/>
        <v>-10468.92</v>
      </c>
      <c r="Y74" s="2"/>
      <c r="Z74" s="6">
        <f t="shared" si="30"/>
        <v>-1</v>
      </c>
    </row>
    <row r="75" spans="1:26" s="24" customFormat="1" hidden="1" outlineLevel="2" x14ac:dyDescent="0.25">
      <c r="A75" s="25"/>
      <c r="B75" s="11" t="str">
        <f>CONCATENATE("          ", "6005", " - ", "TEMPORARY WAGES-HOURLY")</f>
        <v xml:space="preserve">          6005 - TEMPORARY WAGES-HOURLY</v>
      </c>
      <c r="C75" s="11"/>
      <c r="D75" s="7">
        <v>3463.74</v>
      </c>
      <c r="E75" s="2"/>
      <c r="F75" s="6">
        <f t="shared" si="23"/>
        <v>1.6101112910277989E-2</v>
      </c>
      <c r="G75" s="2"/>
      <c r="H75" s="7">
        <v>0</v>
      </c>
      <c r="I75" s="2"/>
      <c r="J75" s="6">
        <f t="shared" si="24"/>
        <v>0</v>
      </c>
      <c r="K75" s="2"/>
      <c r="L75" s="7">
        <f t="shared" si="25"/>
        <v>3463.74</v>
      </c>
      <c r="M75" s="2"/>
      <c r="N75" s="6">
        <f t="shared" si="26"/>
        <v>0</v>
      </c>
      <c r="O75" s="11"/>
      <c r="P75" s="7">
        <v>23123.030000000002</v>
      </c>
      <c r="Q75" s="2"/>
      <c r="R75" s="6">
        <f t="shared" si="27"/>
        <v>1.2856798777910126E-2</v>
      </c>
      <c r="S75" s="2"/>
      <c r="T75" s="7">
        <v>0</v>
      </c>
      <c r="U75" s="2"/>
      <c r="V75" s="6">
        <f t="shared" si="28"/>
        <v>0</v>
      </c>
      <c r="W75" s="2"/>
      <c r="X75" s="7">
        <f t="shared" si="29"/>
        <v>23123.030000000002</v>
      </c>
      <c r="Y75" s="2"/>
      <c r="Z75" s="6">
        <f t="shared" si="30"/>
        <v>0</v>
      </c>
    </row>
    <row r="76" spans="1:26" s="24" customFormat="1" hidden="1" outlineLevel="2" x14ac:dyDescent="0.25">
      <c r="A76" s="25"/>
      <c r="B76" s="11" t="str">
        <f>CONCATENATE("          ", "6006", " - ", "TEMPORARY PART TIME")</f>
        <v xml:space="preserve">          6006 - TEMPORARY PART TIME</v>
      </c>
      <c r="C76" s="11"/>
      <c r="D76" s="7">
        <v>299.06</v>
      </c>
      <c r="E76" s="2"/>
      <c r="F76" s="6">
        <f t="shared" si="23"/>
        <v>1.3901732886844092E-3</v>
      </c>
      <c r="G76" s="2"/>
      <c r="H76" s="7">
        <v>0</v>
      </c>
      <c r="I76" s="2"/>
      <c r="J76" s="6">
        <f t="shared" si="24"/>
        <v>0</v>
      </c>
      <c r="K76" s="2"/>
      <c r="L76" s="7">
        <f t="shared" si="25"/>
        <v>299.06</v>
      </c>
      <c r="M76" s="2"/>
      <c r="N76" s="6">
        <f t="shared" si="26"/>
        <v>0</v>
      </c>
      <c r="O76" s="11"/>
      <c r="P76" s="7">
        <v>8541.2199999999993</v>
      </c>
      <c r="Q76" s="2"/>
      <c r="R76" s="6">
        <f t="shared" si="27"/>
        <v>4.7490638924856093E-3</v>
      </c>
      <c r="S76" s="2"/>
      <c r="T76" s="7">
        <v>0</v>
      </c>
      <c r="U76" s="2"/>
      <c r="V76" s="6">
        <f t="shared" si="28"/>
        <v>0</v>
      </c>
      <c r="W76" s="2"/>
      <c r="X76" s="7">
        <f t="shared" si="29"/>
        <v>8541.2199999999993</v>
      </c>
      <c r="Y76" s="2"/>
      <c r="Z76" s="6">
        <f t="shared" si="30"/>
        <v>0</v>
      </c>
    </row>
    <row r="77" spans="1:26" s="24" customFormat="1" hidden="1" outlineLevel="2" x14ac:dyDescent="0.25">
      <c r="A77" s="25"/>
      <c r="B77" s="11" t="str">
        <f>CONCATENATE("          ", "6007", " - ", "STUDENT HOURLY")</f>
        <v xml:space="preserve">          6007 - STUDENT HOURLY</v>
      </c>
      <c r="C77" s="11"/>
      <c r="D77" s="7">
        <v>3504.07</v>
      </c>
      <c r="E77" s="2"/>
      <c r="F77" s="6">
        <f t="shared" si="23"/>
        <v>1.6288585954926698E-2</v>
      </c>
      <c r="G77" s="2"/>
      <c r="H77" s="7">
        <v>0</v>
      </c>
      <c r="I77" s="2"/>
      <c r="J77" s="6">
        <f t="shared" si="24"/>
        <v>0</v>
      </c>
      <c r="K77" s="2"/>
      <c r="L77" s="7">
        <f t="shared" si="25"/>
        <v>3504.07</v>
      </c>
      <c r="M77" s="2"/>
      <c r="N77" s="6">
        <f t="shared" si="26"/>
        <v>0</v>
      </c>
      <c r="O77" s="11"/>
      <c r="P77" s="7">
        <v>14112.98</v>
      </c>
      <c r="Q77" s="2"/>
      <c r="R77" s="6">
        <f t="shared" si="27"/>
        <v>7.8470574149092937E-3</v>
      </c>
      <c r="S77" s="2"/>
      <c r="T77" s="7">
        <v>9378.75</v>
      </c>
      <c r="U77" s="2"/>
      <c r="V77" s="6">
        <f t="shared" si="28"/>
        <v>5.4657937326147987E-3</v>
      </c>
      <c r="W77" s="2"/>
      <c r="X77" s="7">
        <f t="shared" si="29"/>
        <v>4734.2299999999996</v>
      </c>
      <c r="Y77" s="2"/>
      <c r="Z77" s="6">
        <f t="shared" si="30"/>
        <v>0.50478262028521925</v>
      </c>
    </row>
    <row r="78" spans="1:26" s="24" customFormat="1" hidden="1" outlineLevel="2" x14ac:dyDescent="0.25">
      <c r="A78" s="25"/>
      <c r="B78" s="11" t="str">
        <f>CONCATENATE("          ", "6008", " - ", "STUDENT HOURLY-FICA EXEMPT")</f>
        <v xml:space="preserve">          6008 - STUDENT HOURLY-FICA EXEMPT</v>
      </c>
      <c r="C78" s="11"/>
      <c r="D78" s="7"/>
      <c r="E78" s="2"/>
      <c r="F78" s="6">
        <f t="shared" si="23"/>
        <v>0</v>
      </c>
      <c r="G78" s="2"/>
      <c r="H78" s="7">
        <v>5715.6930000000002</v>
      </c>
      <c r="I78" s="2"/>
      <c r="J78" s="6">
        <f t="shared" si="24"/>
        <v>1.9446291873354157E-2</v>
      </c>
      <c r="K78" s="2"/>
      <c r="L78" s="7">
        <f t="shared" si="25"/>
        <v>-5715.6930000000002</v>
      </c>
      <c r="M78" s="2"/>
      <c r="N78" s="6">
        <f t="shared" si="26"/>
        <v>-1</v>
      </c>
      <c r="O78" s="11"/>
      <c r="P78" s="7"/>
      <c r="Q78" s="2"/>
      <c r="R78" s="6">
        <f t="shared" si="27"/>
        <v>0</v>
      </c>
      <c r="S78" s="2"/>
      <c r="T78" s="7">
        <v>26567.942999999999</v>
      </c>
      <c r="U78" s="2"/>
      <c r="V78" s="6">
        <f t="shared" si="28"/>
        <v>1.5483395584472046E-2</v>
      </c>
      <c r="W78" s="2"/>
      <c r="X78" s="7">
        <f t="shared" si="29"/>
        <v>-26567.942999999999</v>
      </c>
      <c r="Y78" s="2"/>
      <c r="Z78" s="6">
        <f t="shared" si="30"/>
        <v>-1</v>
      </c>
    </row>
    <row r="79" spans="1:26" s="24" customFormat="1" hidden="1" outlineLevel="2" x14ac:dyDescent="0.25">
      <c r="A79" s="25"/>
      <c r="B79" s="11" t="str">
        <f>CONCATENATE("          ", "6009", " - ", "TEMPORARY-SEASONAL")</f>
        <v xml:space="preserve">          6009 - TEMPORARY-SEASONAL</v>
      </c>
      <c r="C79" s="11"/>
      <c r="D79" s="7"/>
      <c r="E79" s="2"/>
      <c r="F79" s="6">
        <f t="shared" si="23"/>
        <v>0</v>
      </c>
      <c r="G79" s="2"/>
      <c r="H79" s="7">
        <v>0</v>
      </c>
      <c r="I79" s="2"/>
      <c r="J79" s="6">
        <f t="shared" si="24"/>
        <v>0</v>
      </c>
      <c r="K79" s="2"/>
      <c r="L79" s="7">
        <f t="shared" si="25"/>
        <v>0</v>
      </c>
      <c r="M79" s="2"/>
      <c r="N79" s="6">
        <f t="shared" si="26"/>
        <v>0</v>
      </c>
      <c r="O79" s="11"/>
      <c r="P79" s="7"/>
      <c r="Q79" s="2"/>
      <c r="R79" s="6">
        <f t="shared" si="27"/>
        <v>0</v>
      </c>
      <c r="S79" s="2"/>
      <c r="T79" s="7">
        <v>0</v>
      </c>
      <c r="U79" s="2"/>
      <c r="V79" s="6">
        <f t="shared" si="28"/>
        <v>0</v>
      </c>
      <c r="W79" s="2"/>
      <c r="X79" s="7">
        <f t="shared" si="29"/>
        <v>0</v>
      </c>
      <c r="Y79" s="2"/>
      <c r="Z79" s="6">
        <f t="shared" si="30"/>
        <v>0</v>
      </c>
    </row>
    <row r="80" spans="1:26" s="24" customFormat="1" hidden="1" outlineLevel="2" x14ac:dyDescent="0.25">
      <c r="A80" s="25"/>
      <c r="B80" s="11" t="str">
        <f>CONCATENATE("          ", "6010", " - ", "GRATUITY")</f>
        <v xml:space="preserve">          6010 - GRATUITY</v>
      </c>
      <c r="C80" s="11"/>
      <c r="D80" s="7"/>
      <c r="E80" s="2"/>
      <c r="F80" s="6">
        <f t="shared" si="23"/>
        <v>0</v>
      </c>
      <c r="G80" s="2"/>
      <c r="H80" s="7">
        <v>0</v>
      </c>
      <c r="I80" s="2"/>
      <c r="J80" s="6">
        <f t="shared" si="24"/>
        <v>0</v>
      </c>
      <c r="K80" s="2"/>
      <c r="L80" s="7">
        <f t="shared" si="25"/>
        <v>0</v>
      </c>
      <c r="M80" s="2"/>
      <c r="N80" s="6">
        <f t="shared" si="26"/>
        <v>0</v>
      </c>
      <c r="O80" s="11"/>
      <c r="P80" s="7"/>
      <c r="Q80" s="2"/>
      <c r="R80" s="6">
        <f t="shared" si="27"/>
        <v>0</v>
      </c>
      <c r="S80" s="2"/>
      <c r="T80" s="7">
        <v>0</v>
      </c>
      <c r="U80" s="2"/>
      <c r="V80" s="6">
        <f t="shared" si="28"/>
        <v>0</v>
      </c>
      <c r="W80" s="2"/>
      <c r="X80" s="7">
        <f t="shared" si="29"/>
        <v>0</v>
      </c>
      <c r="Y80" s="2"/>
      <c r="Z80" s="6">
        <f t="shared" si="30"/>
        <v>0</v>
      </c>
    </row>
    <row r="81" spans="1:26" s="27" customFormat="1" outlineLevel="1" collapsed="1" x14ac:dyDescent="0.25">
      <c r="A81" s="26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140.44999999999999</v>
      </c>
      <c r="E81" s="1"/>
      <c r="F81" s="5">
        <f t="shared" ref="F81:F97" si="31">IF(D$12=0,0,D81/D$12)</f>
        <v>6.5287848055816647E-4</v>
      </c>
      <c r="G81" s="1"/>
      <c r="H81" s="1">
        <f>SUM(OSRRefH22_2x_0)</f>
        <v>250</v>
      </c>
      <c r="I81" s="1"/>
      <c r="J81" s="5">
        <f t="shared" ref="J81:J97" si="32">IF(H$12=0,0,H81/H$12)</f>
        <v>8.5056579636774384E-4</v>
      </c>
      <c r="K81" s="1"/>
      <c r="L81" s="1">
        <f t="shared" ref="L81:L97" si="33">+D81-H81</f>
        <v>-109.55000000000001</v>
      </c>
      <c r="M81" s="1"/>
      <c r="N81" s="5">
        <f t="shared" ref="N81:N97" si="34">IF(H81=0,0,L81/H81)</f>
        <v>-0.43820000000000003</v>
      </c>
      <c r="O81" s="13"/>
      <c r="P81" s="1">
        <f>SUM(OSRRefP22_2x_0)</f>
        <v>1648.83</v>
      </c>
      <c r="Q81" s="1"/>
      <c r="R81" s="5">
        <f t="shared" ref="R81:R97" si="35">IF(P$12=0,0,P81/P$12)</f>
        <v>9.1677758187320394E-4</v>
      </c>
      <c r="S81" s="1"/>
      <c r="T81" s="1">
        <f>SUM(OSRRefT22_2x_0)</f>
        <v>1750</v>
      </c>
      <c r="U81" s="1"/>
      <c r="V81" s="5">
        <f t="shared" ref="V81:V97" si="36">IF(T$12=0,0,T81/T$12)</f>
        <v>1.0198735473358281E-3</v>
      </c>
      <c r="W81" s="1"/>
      <c r="X81" s="1">
        <f t="shared" ref="X81:X97" si="37">+P81-T81</f>
        <v>-101.17000000000007</v>
      </c>
      <c r="Y81" s="1"/>
      <c r="Z81" s="5">
        <f t="shared" ref="Z81:Z97" si="38">IF(T81=0,0,X81/T81)</f>
        <v>-5.7811428571428611E-2</v>
      </c>
    </row>
    <row r="82" spans="1:26" s="24" customFormat="1" hidden="1" outlineLevel="2" x14ac:dyDescent="0.25">
      <c r="A82" s="25"/>
      <c r="B82" s="11" t="str">
        <f>CONCATENATE("          ", "6362", " - ", "ADVERTISING EXPENSE")</f>
        <v xml:space="preserve">          6362 - ADVERTISING EXPENSE</v>
      </c>
      <c r="C82" s="11"/>
      <c r="D82" s="7">
        <v>140.44999999999999</v>
      </c>
      <c r="E82" s="2"/>
      <c r="F82" s="6">
        <f t="shared" si="31"/>
        <v>6.5287848055816647E-4</v>
      </c>
      <c r="G82" s="2"/>
      <c r="H82" s="7">
        <v>250</v>
      </c>
      <c r="I82" s="2"/>
      <c r="J82" s="6">
        <f t="shared" si="32"/>
        <v>8.5056579636774384E-4</v>
      </c>
      <c r="K82" s="2"/>
      <c r="L82" s="7">
        <f t="shared" si="33"/>
        <v>-109.55000000000001</v>
      </c>
      <c r="M82" s="2"/>
      <c r="N82" s="6">
        <f t="shared" si="34"/>
        <v>-0.43820000000000003</v>
      </c>
      <c r="O82" s="11"/>
      <c r="P82" s="7">
        <v>1648.83</v>
      </c>
      <c r="Q82" s="2"/>
      <c r="R82" s="6">
        <f t="shared" si="35"/>
        <v>9.1677758187320394E-4</v>
      </c>
      <c r="S82" s="2"/>
      <c r="T82" s="7">
        <v>1750</v>
      </c>
      <c r="U82" s="2"/>
      <c r="V82" s="6">
        <f t="shared" si="36"/>
        <v>1.0198735473358281E-3</v>
      </c>
      <c r="W82" s="2"/>
      <c r="X82" s="7">
        <f t="shared" si="37"/>
        <v>-101.17000000000007</v>
      </c>
      <c r="Y82" s="2"/>
      <c r="Z82" s="6">
        <f t="shared" si="38"/>
        <v>-5.7811428571428611E-2</v>
      </c>
    </row>
    <row r="83" spans="1:26" s="27" customFormat="1" outlineLevel="1" collapsed="1" x14ac:dyDescent="0.25">
      <c r="A83" s="26"/>
      <c r="B83" s="13" t="str">
        <f>CONCATENATE("     ","Depreciation                                      ")</f>
        <v xml:space="preserve">     Depreciation                                      </v>
      </c>
      <c r="C83" s="13"/>
      <c r="D83" s="1">
        <f>SUM(OSRRefD22_3x_0)</f>
        <v>280.44</v>
      </c>
      <c r="E83" s="1"/>
      <c r="F83" s="5">
        <f t="shared" si="31"/>
        <v>1.303618662070005E-3</v>
      </c>
      <c r="G83" s="1"/>
      <c r="H83" s="1">
        <f>SUM(OSRRefH22_3x_0)</f>
        <v>0</v>
      </c>
      <c r="I83" s="1"/>
      <c r="J83" s="5">
        <f t="shared" si="32"/>
        <v>0</v>
      </c>
      <c r="K83" s="1"/>
      <c r="L83" s="1">
        <f t="shared" si="33"/>
        <v>280.44</v>
      </c>
      <c r="M83" s="1"/>
      <c r="N83" s="5">
        <f t="shared" si="34"/>
        <v>0</v>
      </c>
      <c r="O83" s="13"/>
      <c r="P83" s="1">
        <f>SUM(OSRRefP22_3x_0)</f>
        <v>1963.08</v>
      </c>
      <c r="Q83" s="1"/>
      <c r="R83" s="5">
        <f t="shared" si="35"/>
        <v>1.0915059378005308E-3</v>
      </c>
      <c r="S83" s="1"/>
      <c r="T83" s="1">
        <f>SUM(OSRRefT22_3x_0)</f>
        <v>0</v>
      </c>
      <c r="U83" s="1"/>
      <c r="V83" s="5">
        <f t="shared" si="36"/>
        <v>0</v>
      </c>
      <c r="W83" s="1"/>
      <c r="X83" s="1">
        <f t="shared" si="37"/>
        <v>1963.08</v>
      </c>
      <c r="Y83" s="1"/>
      <c r="Z83" s="5">
        <f t="shared" si="38"/>
        <v>0</v>
      </c>
    </row>
    <row r="84" spans="1:26" s="24" customFormat="1" hidden="1" outlineLevel="2" x14ac:dyDescent="0.25">
      <c r="A84" s="25"/>
      <c r="B84" s="11" t="str">
        <f>CONCATENATE("          ", "6322", " - ", "EQUIPMENT DEPRECIATION EXPENSE")</f>
        <v xml:space="preserve">          6322 - EQUIPMENT DEPRECIATION EXPENSE</v>
      </c>
      <c r="C84" s="11"/>
      <c r="D84" s="7">
        <v>280.44</v>
      </c>
      <c r="E84" s="2"/>
      <c r="F84" s="6">
        <f t="shared" si="31"/>
        <v>1.303618662070005E-3</v>
      </c>
      <c r="G84" s="2"/>
      <c r="H84" s="7"/>
      <c r="I84" s="2"/>
      <c r="J84" s="6">
        <f t="shared" si="32"/>
        <v>0</v>
      </c>
      <c r="K84" s="2"/>
      <c r="L84" s="7">
        <f t="shared" si="33"/>
        <v>280.44</v>
      </c>
      <c r="M84" s="2"/>
      <c r="N84" s="6">
        <f t="shared" si="34"/>
        <v>0</v>
      </c>
      <c r="O84" s="11"/>
      <c r="P84" s="7">
        <v>1963.08</v>
      </c>
      <c r="Q84" s="2"/>
      <c r="R84" s="6">
        <f t="shared" si="35"/>
        <v>1.0915059378005308E-3</v>
      </c>
      <c r="S84" s="2"/>
      <c r="T84" s="7"/>
      <c r="U84" s="2"/>
      <c r="V84" s="6">
        <f t="shared" si="36"/>
        <v>0</v>
      </c>
      <c r="W84" s="2"/>
      <c r="X84" s="7">
        <f t="shared" si="37"/>
        <v>1963.08</v>
      </c>
      <c r="Y84" s="2"/>
      <c r="Z84" s="6">
        <f t="shared" si="38"/>
        <v>0</v>
      </c>
    </row>
    <row r="85" spans="1:26" s="27" customFormat="1" outlineLevel="1" collapsed="1" x14ac:dyDescent="0.25">
      <c r="A85" s="26"/>
      <c r="B85" s="13" t="str">
        <f>CONCATENATE("     ","Discounts and Markdowns                           ")</f>
        <v xml:space="preserve">     Discounts and Markdowns                           </v>
      </c>
      <c r="C85" s="13"/>
      <c r="D85" s="1">
        <f>SUM(OSRRefD22_4x_0)</f>
        <v>1440.51</v>
      </c>
      <c r="E85" s="1"/>
      <c r="F85" s="5">
        <f t="shared" si="31"/>
        <v>6.6961764330996402E-3</v>
      </c>
      <c r="G85" s="1"/>
      <c r="H85" s="1">
        <f>SUM(OSRRefH22_4x_0)</f>
        <v>2500</v>
      </c>
      <c r="I85" s="1"/>
      <c r="J85" s="5">
        <f t="shared" si="32"/>
        <v>8.505657963677438E-3</v>
      </c>
      <c r="K85" s="1"/>
      <c r="L85" s="1">
        <f t="shared" si="33"/>
        <v>-1059.49</v>
      </c>
      <c r="M85" s="1"/>
      <c r="N85" s="5">
        <f t="shared" si="34"/>
        <v>-0.42379600000000001</v>
      </c>
      <c r="O85" s="13"/>
      <c r="P85" s="1">
        <f>SUM(OSRRefP22_4x_0)</f>
        <v>50711.17</v>
      </c>
      <c r="Q85" s="1"/>
      <c r="R85" s="5">
        <f t="shared" si="35"/>
        <v>2.8196274817028417E-2</v>
      </c>
      <c r="S85" s="1"/>
      <c r="T85" s="1">
        <f>SUM(OSRRefT22_4x_0)</f>
        <v>17500</v>
      </c>
      <c r="U85" s="1"/>
      <c r="V85" s="5">
        <f t="shared" si="36"/>
        <v>1.019873547335828E-2</v>
      </c>
      <c r="W85" s="1"/>
      <c r="X85" s="1">
        <f t="shared" si="37"/>
        <v>33211.17</v>
      </c>
      <c r="Y85" s="1"/>
      <c r="Z85" s="5">
        <f t="shared" si="38"/>
        <v>1.8977811428571427</v>
      </c>
    </row>
    <row r="86" spans="1:26" s="24" customFormat="1" hidden="1" outlineLevel="2" x14ac:dyDescent="0.25">
      <c r="A86" s="25"/>
      <c r="B86" s="11" t="str">
        <f>CONCATENATE("          ", "6382", " - ", "DISCOUNTS/MARK DOWNS")</f>
        <v xml:space="preserve">          6382 - DISCOUNTS/MARK DOWNS</v>
      </c>
      <c r="C86" s="11"/>
      <c r="D86" s="7">
        <v>1440.51</v>
      </c>
      <c r="E86" s="2"/>
      <c r="F86" s="6">
        <f t="shared" si="31"/>
        <v>6.6961764330996402E-3</v>
      </c>
      <c r="G86" s="2"/>
      <c r="H86" s="7">
        <v>2500</v>
      </c>
      <c r="I86" s="2"/>
      <c r="J86" s="6">
        <f t="shared" si="32"/>
        <v>8.505657963677438E-3</v>
      </c>
      <c r="K86" s="2"/>
      <c r="L86" s="7">
        <f t="shared" si="33"/>
        <v>-1059.49</v>
      </c>
      <c r="M86" s="2"/>
      <c r="N86" s="6">
        <f t="shared" si="34"/>
        <v>-0.42379600000000001</v>
      </c>
      <c r="O86" s="11"/>
      <c r="P86" s="7">
        <v>50711.17</v>
      </c>
      <c r="Q86" s="2"/>
      <c r="R86" s="6">
        <f t="shared" si="35"/>
        <v>2.8196274817028417E-2</v>
      </c>
      <c r="S86" s="2"/>
      <c r="T86" s="7">
        <v>17500</v>
      </c>
      <c r="U86" s="2"/>
      <c r="V86" s="6">
        <f t="shared" si="36"/>
        <v>1.019873547335828E-2</v>
      </c>
      <c r="W86" s="2"/>
      <c r="X86" s="7">
        <f t="shared" si="37"/>
        <v>33211.17</v>
      </c>
      <c r="Y86" s="2"/>
      <c r="Z86" s="6">
        <f t="shared" si="38"/>
        <v>1.8977811428571427</v>
      </c>
    </row>
    <row r="87" spans="1:26" s="27" customFormat="1" outlineLevel="1" collapsed="1" x14ac:dyDescent="0.25">
      <c r="A87" s="26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SUM(OSRRefD22_5x_0)</f>
        <v>0</v>
      </c>
      <c r="E87" s="1"/>
      <c r="F87" s="5">
        <f t="shared" si="31"/>
        <v>0</v>
      </c>
      <c r="G87" s="1"/>
      <c r="H87" s="1">
        <f>SUM(OSRRefH22_5x_0)</f>
        <v>40</v>
      </c>
      <c r="I87" s="1"/>
      <c r="J87" s="5">
        <f t="shared" si="32"/>
        <v>1.3609052741883902E-4</v>
      </c>
      <c r="K87" s="1"/>
      <c r="L87" s="1">
        <f t="shared" si="33"/>
        <v>-40</v>
      </c>
      <c r="M87" s="1"/>
      <c r="N87" s="5">
        <f t="shared" si="34"/>
        <v>-1</v>
      </c>
      <c r="O87" s="13"/>
      <c r="P87" s="1">
        <f>SUM(OSRRefP22_5x_0)</f>
        <v>0</v>
      </c>
      <c r="Q87" s="1"/>
      <c r="R87" s="5">
        <f t="shared" si="35"/>
        <v>0</v>
      </c>
      <c r="S87" s="1"/>
      <c r="T87" s="1">
        <f>SUM(OSRRefT22_5x_0)</f>
        <v>280</v>
      </c>
      <c r="U87" s="1"/>
      <c r="V87" s="5">
        <f t="shared" si="36"/>
        <v>1.631797675737325E-4</v>
      </c>
      <c r="W87" s="1"/>
      <c r="X87" s="1">
        <f t="shared" si="37"/>
        <v>-280</v>
      </c>
      <c r="Y87" s="1"/>
      <c r="Z87" s="5">
        <f t="shared" si="38"/>
        <v>-1</v>
      </c>
    </row>
    <row r="88" spans="1:26" s="24" customFormat="1" hidden="1" outlineLevel="2" x14ac:dyDescent="0.25">
      <c r="A88" s="25"/>
      <c r="B88" s="11" t="str">
        <f>CONCATENATE("          ", "6277", " - ", "EMPLOYEE APPRECIATION")</f>
        <v xml:space="preserve">          6277 - EMPLOYEE APPRECIATION</v>
      </c>
      <c r="C88" s="11"/>
      <c r="D88" s="7"/>
      <c r="E88" s="2"/>
      <c r="F88" s="6">
        <f t="shared" si="31"/>
        <v>0</v>
      </c>
      <c r="G88" s="2"/>
      <c r="H88" s="7">
        <v>40</v>
      </c>
      <c r="I88" s="2"/>
      <c r="J88" s="6">
        <f t="shared" si="32"/>
        <v>1.3609052741883902E-4</v>
      </c>
      <c r="K88" s="2"/>
      <c r="L88" s="7">
        <f t="shared" si="33"/>
        <v>-40</v>
      </c>
      <c r="M88" s="2"/>
      <c r="N88" s="6">
        <f t="shared" si="34"/>
        <v>-1</v>
      </c>
      <c r="O88" s="11"/>
      <c r="P88" s="7"/>
      <c r="Q88" s="2"/>
      <c r="R88" s="6">
        <f t="shared" si="35"/>
        <v>0</v>
      </c>
      <c r="S88" s="2"/>
      <c r="T88" s="7">
        <v>280</v>
      </c>
      <c r="U88" s="2"/>
      <c r="V88" s="6">
        <f t="shared" si="36"/>
        <v>1.631797675737325E-4</v>
      </c>
      <c r="W88" s="2"/>
      <c r="X88" s="7">
        <f t="shared" si="37"/>
        <v>-280</v>
      </c>
      <c r="Y88" s="2"/>
      <c r="Z88" s="6">
        <f t="shared" si="38"/>
        <v>-1</v>
      </c>
    </row>
    <row r="89" spans="1:26" s="27" customFormat="1" outlineLevel="1" collapsed="1" x14ac:dyDescent="0.25">
      <c r="A89" s="26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0</v>
      </c>
      <c r="E89" s="1"/>
      <c r="F89" s="5">
        <f t="shared" si="31"/>
        <v>0</v>
      </c>
      <c r="G89" s="1"/>
      <c r="H89" s="1">
        <f>SUM(OSRRefH22_6x_0)</f>
        <v>25</v>
      </c>
      <c r="I89" s="1"/>
      <c r="J89" s="5">
        <f t="shared" si="32"/>
        <v>8.5056579636774376E-5</v>
      </c>
      <c r="K89" s="1"/>
      <c r="L89" s="1">
        <f t="shared" si="33"/>
        <v>-25</v>
      </c>
      <c r="M89" s="1"/>
      <c r="N89" s="5">
        <f t="shared" si="34"/>
        <v>-1</v>
      </c>
      <c r="O89" s="13"/>
      <c r="P89" s="1">
        <f>SUM(OSRRefP22_6x_0)</f>
        <v>41.61</v>
      </c>
      <c r="Q89" s="1"/>
      <c r="R89" s="5">
        <f t="shared" si="35"/>
        <v>2.3135869181021703E-5</v>
      </c>
      <c r="S89" s="1"/>
      <c r="T89" s="1">
        <f>SUM(OSRRefT22_6x_0)</f>
        <v>175</v>
      </c>
      <c r="U89" s="1"/>
      <c r="V89" s="5">
        <f t="shared" si="36"/>
        <v>1.0198735473358281E-4</v>
      </c>
      <c r="W89" s="1"/>
      <c r="X89" s="1">
        <f t="shared" si="37"/>
        <v>-133.38999999999999</v>
      </c>
      <c r="Y89" s="1"/>
      <c r="Z89" s="5">
        <f t="shared" si="38"/>
        <v>-0.76222857142857137</v>
      </c>
    </row>
    <row r="90" spans="1:26" s="24" customFormat="1" hidden="1" outlineLevel="2" x14ac:dyDescent="0.25">
      <c r="A90" s="25"/>
      <c r="B90" s="11" t="str">
        <f>CONCATENATE("          ", "6305", " - ", "FREIGHT OUT")</f>
        <v xml:space="preserve">          6305 - FREIGHT OUT</v>
      </c>
      <c r="C90" s="11"/>
      <c r="D90" s="7"/>
      <c r="E90" s="2"/>
      <c r="F90" s="6">
        <f t="shared" si="31"/>
        <v>0</v>
      </c>
      <c r="G90" s="2"/>
      <c r="H90" s="7">
        <v>25</v>
      </c>
      <c r="I90" s="2"/>
      <c r="J90" s="6">
        <f t="shared" si="32"/>
        <v>8.5056579636774376E-5</v>
      </c>
      <c r="K90" s="2"/>
      <c r="L90" s="7">
        <f t="shared" si="33"/>
        <v>-25</v>
      </c>
      <c r="M90" s="2"/>
      <c r="N90" s="6">
        <f t="shared" si="34"/>
        <v>-1</v>
      </c>
      <c r="O90" s="11"/>
      <c r="P90" s="7">
        <v>41.61</v>
      </c>
      <c r="Q90" s="2"/>
      <c r="R90" s="6">
        <f t="shared" si="35"/>
        <v>2.3135869181021703E-5</v>
      </c>
      <c r="S90" s="2"/>
      <c r="T90" s="7">
        <v>175</v>
      </c>
      <c r="U90" s="2"/>
      <c r="V90" s="6">
        <f t="shared" si="36"/>
        <v>1.0198735473358281E-4</v>
      </c>
      <c r="W90" s="2"/>
      <c r="X90" s="7">
        <f t="shared" si="37"/>
        <v>-133.38999999999999</v>
      </c>
      <c r="Y90" s="2"/>
      <c r="Z90" s="6">
        <f t="shared" si="38"/>
        <v>-0.76222857142857137</v>
      </c>
    </row>
    <row r="91" spans="1:26" s="27" customFormat="1" outlineLevel="1" collapsed="1" x14ac:dyDescent="0.25">
      <c r="A91" s="26"/>
      <c r="B91" s="13" t="str">
        <f>CONCATENATE("     ","Repair and Maintenance                            ")</f>
        <v xml:space="preserve">     Repair and Maintenance                            </v>
      </c>
      <c r="C91" s="13"/>
      <c r="D91" s="1">
        <f>SUM(OSRRefD22_7x_0)</f>
        <v>0</v>
      </c>
      <c r="E91" s="1"/>
      <c r="F91" s="5">
        <f t="shared" si="31"/>
        <v>0</v>
      </c>
      <c r="G91" s="1"/>
      <c r="H91" s="1">
        <f>SUM(OSRRefH22_7x_0)</f>
        <v>0</v>
      </c>
      <c r="I91" s="1"/>
      <c r="J91" s="5">
        <f t="shared" si="32"/>
        <v>0</v>
      </c>
      <c r="K91" s="1"/>
      <c r="L91" s="1">
        <f t="shared" si="33"/>
        <v>0</v>
      </c>
      <c r="M91" s="1"/>
      <c r="N91" s="5">
        <f t="shared" si="34"/>
        <v>0</v>
      </c>
      <c r="O91" s="13"/>
      <c r="P91" s="1">
        <f>SUM(OSRRefP22_7x_0)</f>
        <v>197.18</v>
      </c>
      <c r="Q91" s="1"/>
      <c r="R91" s="5">
        <f t="shared" si="35"/>
        <v>1.0963544064200577E-4</v>
      </c>
      <c r="S91" s="1"/>
      <c r="T91" s="1">
        <f>SUM(OSRRefT22_7x_0)</f>
        <v>0</v>
      </c>
      <c r="U91" s="1"/>
      <c r="V91" s="5">
        <f t="shared" si="36"/>
        <v>0</v>
      </c>
      <c r="W91" s="1"/>
      <c r="X91" s="1">
        <f t="shared" si="37"/>
        <v>197.18</v>
      </c>
      <c r="Y91" s="1"/>
      <c r="Z91" s="5">
        <f t="shared" si="38"/>
        <v>0</v>
      </c>
    </row>
    <row r="92" spans="1:26" s="24" customFormat="1" hidden="1" outlineLevel="2" x14ac:dyDescent="0.25">
      <c r="A92" s="25"/>
      <c r="B92" s="11" t="str">
        <f>CONCATENATE("          ", "6375", " - ", "OUTSIDE REPAIRS &amp; MAINTENANCE")</f>
        <v xml:space="preserve">          6375 - OUTSIDE REPAIRS &amp; MAINTENANCE</v>
      </c>
      <c r="C92" s="11"/>
      <c r="D92" s="7"/>
      <c r="E92" s="2"/>
      <c r="F92" s="6">
        <f t="shared" si="31"/>
        <v>0</v>
      </c>
      <c r="G92" s="2"/>
      <c r="H92" s="7"/>
      <c r="I92" s="2"/>
      <c r="J92" s="6">
        <f t="shared" si="32"/>
        <v>0</v>
      </c>
      <c r="K92" s="2"/>
      <c r="L92" s="7">
        <f t="shared" si="33"/>
        <v>0</v>
      </c>
      <c r="M92" s="2"/>
      <c r="N92" s="6">
        <f t="shared" si="34"/>
        <v>0</v>
      </c>
      <c r="O92" s="11"/>
      <c r="P92" s="7">
        <v>197.18</v>
      </c>
      <c r="Q92" s="2"/>
      <c r="R92" s="6">
        <f t="shared" si="35"/>
        <v>1.0963544064200577E-4</v>
      </c>
      <c r="S92" s="2"/>
      <c r="T92" s="7"/>
      <c r="U92" s="2"/>
      <c r="V92" s="6">
        <f t="shared" si="36"/>
        <v>0</v>
      </c>
      <c r="W92" s="2"/>
      <c r="X92" s="7">
        <f t="shared" si="37"/>
        <v>197.18</v>
      </c>
      <c r="Y92" s="2"/>
      <c r="Z92" s="6">
        <f t="shared" si="38"/>
        <v>0</v>
      </c>
    </row>
    <row r="93" spans="1:26" s="27" customFormat="1" outlineLevel="1" collapsed="1" x14ac:dyDescent="0.25">
      <c r="A93" s="26"/>
      <c r="B93" s="13" t="str">
        <f>CONCATENATE("     ","Subscriptions &amp; Dues                              ")</f>
        <v xml:space="preserve">     Subscriptions &amp; Dues                              </v>
      </c>
      <c r="C93" s="13"/>
      <c r="D93" s="1">
        <f>SUM(OSRRefD22_8x_0)</f>
        <v>0</v>
      </c>
      <c r="E93" s="1"/>
      <c r="F93" s="5">
        <f t="shared" si="31"/>
        <v>0</v>
      </c>
      <c r="G93" s="1"/>
      <c r="H93" s="1">
        <f>SUM(OSRRefH22_8x_0)</f>
        <v>0</v>
      </c>
      <c r="I93" s="1"/>
      <c r="J93" s="5">
        <f t="shared" si="32"/>
        <v>0</v>
      </c>
      <c r="K93" s="1"/>
      <c r="L93" s="1">
        <f t="shared" si="33"/>
        <v>0</v>
      </c>
      <c r="M93" s="1"/>
      <c r="N93" s="5">
        <f t="shared" si="34"/>
        <v>0</v>
      </c>
      <c r="O93" s="13"/>
      <c r="P93" s="1">
        <f>SUM(OSRRefP22_8x_0)</f>
        <v>-5000</v>
      </c>
      <c r="Q93" s="1"/>
      <c r="R93" s="5">
        <f t="shared" si="35"/>
        <v>-2.7800852176185658E-3</v>
      </c>
      <c r="S93" s="1"/>
      <c r="T93" s="1">
        <f>SUM(OSRRefT22_8x_0)</f>
        <v>0</v>
      </c>
      <c r="U93" s="1"/>
      <c r="V93" s="5">
        <f t="shared" si="36"/>
        <v>0</v>
      </c>
      <c r="W93" s="1"/>
      <c r="X93" s="1">
        <f t="shared" si="37"/>
        <v>-5000</v>
      </c>
      <c r="Y93" s="1"/>
      <c r="Z93" s="5">
        <f t="shared" si="38"/>
        <v>0</v>
      </c>
    </row>
    <row r="94" spans="1:26" s="24" customFormat="1" hidden="1" outlineLevel="2" x14ac:dyDescent="0.25">
      <c r="A94" s="25"/>
      <c r="B94" s="11" t="str">
        <f>CONCATENATE("          ", "6258", " - ", "MEMBERSHIP DUES")</f>
        <v xml:space="preserve">          6258 - MEMBERSHIP DUES</v>
      </c>
      <c r="C94" s="11"/>
      <c r="D94" s="7"/>
      <c r="E94" s="2"/>
      <c r="F94" s="6">
        <f t="shared" si="31"/>
        <v>0</v>
      </c>
      <c r="G94" s="2"/>
      <c r="H94" s="7"/>
      <c r="I94" s="2"/>
      <c r="J94" s="6">
        <f t="shared" si="32"/>
        <v>0</v>
      </c>
      <c r="K94" s="2"/>
      <c r="L94" s="7">
        <f t="shared" si="33"/>
        <v>0</v>
      </c>
      <c r="M94" s="2"/>
      <c r="N94" s="6">
        <f t="shared" si="34"/>
        <v>0</v>
      </c>
      <c r="O94" s="11"/>
      <c r="P94" s="7">
        <v>-5000</v>
      </c>
      <c r="Q94" s="2"/>
      <c r="R94" s="6">
        <f t="shared" si="35"/>
        <v>-2.7800852176185658E-3</v>
      </c>
      <c r="S94" s="2"/>
      <c r="T94" s="7"/>
      <c r="U94" s="2"/>
      <c r="V94" s="6">
        <f t="shared" si="36"/>
        <v>0</v>
      </c>
      <c r="W94" s="2"/>
      <c r="X94" s="7">
        <f t="shared" si="37"/>
        <v>-5000</v>
      </c>
      <c r="Y94" s="2"/>
      <c r="Z94" s="6">
        <f t="shared" si="38"/>
        <v>0</v>
      </c>
    </row>
    <row r="95" spans="1:26" s="27" customFormat="1" outlineLevel="1" collapsed="1" x14ac:dyDescent="0.25">
      <c r="A95" s="26"/>
      <c r="B95" s="13" t="str">
        <f>CONCATENATE("     ","Supplies                                          ")</f>
        <v xml:space="preserve">     Supplies                                          </v>
      </c>
      <c r="C95" s="13"/>
      <c r="D95" s="1">
        <f>SUM(OSRRefD22_9x_0)</f>
        <v>311.60000000000002</v>
      </c>
      <c r="E95" s="1"/>
      <c r="F95" s="5">
        <f t="shared" si="31"/>
        <v>1.4484651800777835E-3</v>
      </c>
      <c r="G95" s="1"/>
      <c r="H95" s="1">
        <f>SUM(OSRRefH22_9x_0)</f>
        <v>275</v>
      </c>
      <c r="I95" s="1"/>
      <c r="J95" s="5">
        <f t="shared" si="32"/>
        <v>9.3562237600451821E-4</v>
      </c>
      <c r="K95" s="1"/>
      <c r="L95" s="1">
        <f t="shared" si="33"/>
        <v>36.600000000000023</v>
      </c>
      <c r="M95" s="1"/>
      <c r="N95" s="5">
        <f t="shared" si="34"/>
        <v>0.13309090909090918</v>
      </c>
      <c r="O95" s="13"/>
      <c r="P95" s="1">
        <f>SUM(OSRRefP22_9x_0)</f>
        <v>3013.63</v>
      </c>
      <c r="Q95" s="1"/>
      <c r="R95" s="5">
        <f t="shared" si="35"/>
        <v>1.6756296428743678E-3</v>
      </c>
      <c r="S95" s="1"/>
      <c r="T95" s="1">
        <f>SUM(OSRRefT22_9x_0)</f>
        <v>1925</v>
      </c>
      <c r="U95" s="1"/>
      <c r="V95" s="5">
        <f t="shared" si="36"/>
        <v>1.1218609020694108E-3</v>
      </c>
      <c r="W95" s="1"/>
      <c r="X95" s="1">
        <f t="shared" si="37"/>
        <v>1088.6300000000001</v>
      </c>
      <c r="Y95" s="1"/>
      <c r="Z95" s="5">
        <f t="shared" si="38"/>
        <v>0.56552207792207798</v>
      </c>
    </row>
    <row r="96" spans="1:26" s="24" customFormat="1" hidden="1" outlineLevel="2" x14ac:dyDescent="0.25">
      <c r="A96" s="25"/>
      <c r="B96" s="11" t="str">
        <f>CONCATENATE("          ", "6241", " - ", "OFFICE EXPENSE")</f>
        <v xml:space="preserve">          6241 - OFFICE EXPENSE</v>
      </c>
      <c r="C96" s="11"/>
      <c r="D96" s="7">
        <v>311.60000000000002</v>
      </c>
      <c r="E96" s="2"/>
      <c r="F96" s="6">
        <f t="shared" si="31"/>
        <v>1.4484651800777835E-3</v>
      </c>
      <c r="G96" s="2"/>
      <c r="H96" s="7">
        <v>275</v>
      </c>
      <c r="I96" s="2"/>
      <c r="J96" s="6">
        <f t="shared" si="32"/>
        <v>9.3562237600451821E-4</v>
      </c>
      <c r="K96" s="2"/>
      <c r="L96" s="7">
        <f t="shared" si="33"/>
        <v>36.600000000000023</v>
      </c>
      <c r="M96" s="2"/>
      <c r="N96" s="6">
        <f t="shared" si="34"/>
        <v>0.13309090909090918</v>
      </c>
      <c r="O96" s="11"/>
      <c r="P96" s="7">
        <v>1004.25</v>
      </c>
      <c r="Q96" s="2"/>
      <c r="R96" s="6">
        <f t="shared" si="35"/>
        <v>5.5838011595868897E-4</v>
      </c>
      <c r="S96" s="2"/>
      <c r="T96" s="7">
        <v>1925</v>
      </c>
      <c r="U96" s="2"/>
      <c r="V96" s="6">
        <f t="shared" si="36"/>
        <v>1.1218609020694108E-3</v>
      </c>
      <c r="W96" s="2"/>
      <c r="X96" s="7">
        <f t="shared" si="37"/>
        <v>-920.75</v>
      </c>
      <c r="Y96" s="2"/>
      <c r="Z96" s="6">
        <f t="shared" si="38"/>
        <v>-0.4783116883116883</v>
      </c>
    </row>
    <row r="97" spans="1:26" s="24" customFormat="1" hidden="1" outlineLevel="2" x14ac:dyDescent="0.25">
      <c r="A97" s="25"/>
      <c r="B97" s="11" t="str">
        <f>CONCATENATE("          ", "6247", " - ", "STORE SUPPLIES")</f>
        <v xml:space="preserve">          6247 - STORE SUPPLIES</v>
      </c>
      <c r="C97" s="11"/>
      <c r="D97" s="7"/>
      <c r="E97" s="2"/>
      <c r="F97" s="6">
        <f t="shared" si="31"/>
        <v>0</v>
      </c>
      <c r="G97" s="2"/>
      <c r="H97" s="7"/>
      <c r="I97" s="2"/>
      <c r="J97" s="6">
        <f t="shared" si="32"/>
        <v>0</v>
      </c>
      <c r="K97" s="2"/>
      <c r="L97" s="7">
        <f t="shared" si="33"/>
        <v>0</v>
      </c>
      <c r="M97" s="2"/>
      <c r="N97" s="6">
        <f t="shared" si="34"/>
        <v>0</v>
      </c>
      <c r="O97" s="11"/>
      <c r="P97" s="7">
        <v>2009.38</v>
      </c>
      <c r="Q97" s="2"/>
      <c r="R97" s="6">
        <f t="shared" si="35"/>
        <v>1.1172495269156789E-3</v>
      </c>
      <c r="S97" s="2"/>
      <c r="T97" s="7"/>
      <c r="U97" s="2"/>
      <c r="V97" s="6">
        <f t="shared" si="36"/>
        <v>0</v>
      </c>
      <c r="W97" s="2"/>
      <c r="X97" s="7">
        <f t="shared" si="37"/>
        <v>2009.38</v>
      </c>
      <c r="Y97" s="2"/>
      <c r="Z97" s="6">
        <f t="shared" si="38"/>
        <v>0</v>
      </c>
    </row>
    <row r="98" spans="1:26" s="27" customFormat="1" outlineLevel="1" collapsed="1" x14ac:dyDescent="0.25">
      <c r="A98" s="26"/>
      <c r="B98" s="13" t="str">
        <f>CONCATENATE("     ","Telephone/Data Lines                              ")</f>
        <v xml:space="preserve">     Telephone/Data Lines                              </v>
      </c>
      <c r="C98" s="13"/>
      <c r="D98" s="1">
        <f>SUM(OSRRefD22_10x_0)</f>
        <v>253.9</v>
      </c>
      <c r="E98" s="1"/>
      <c r="F98" s="5">
        <f t="shared" ref="F98:F100" si="39">IF(D$12=0,0,D98/D$12)</f>
        <v>1.1802481040492593E-3</v>
      </c>
      <c r="G98" s="1"/>
      <c r="H98" s="1">
        <f>SUM(OSRRefH22_10x_0)</f>
        <v>280</v>
      </c>
      <c r="I98" s="1"/>
      <c r="J98" s="5">
        <f t="shared" ref="J98:J100" si="40">IF(H$12=0,0,H98/H$12)</f>
        <v>9.5263369193187306E-4</v>
      </c>
      <c r="K98" s="1"/>
      <c r="L98" s="1">
        <f t="shared" ref="L98:L100" si="41">+D98-H98</f>
        <v>-26.099999999999994</v>
      </c>
      <c r="M98" s="1"/>
      <c r="N98" s="5">
        <f t="shared" ref="N98:N100" si="42">IF(H98=0,0,L98/H98)</f>
        <v>-9.3214285714285694E-2</v>
      </c>
      <c r="O98" s="13"/>
      <c r="P98" s="1">
        <f>SUM(OSRRefP22_10x_0)</f>
        <v>1790.05</v>
      </c>
      <c r="Q98" s="1"/>
      <c r="R98" s="5">
        <f t="shared" ref="R98:R100" si="43">IF(P$12=0,0,P98/P$12)</f>
        <v>9.9529830875962262E-4</v>
      </c>
      <c r="S98" s="1"/>
      <c r="T98" s="1">
        <f>SUM(OSRRefT22_10x_0)</f>
        <v>1960</v>
      </c>
      <c r="U98" s="1"/>
      <c r="V98" s="5">
        <f t="shared" ref="V98:V100" si="44">IF(T$12=0,0,T98/T$12)</f>
        <v>1.1422583730161275E-3</v>
      </c>
      <c r="W98" s="1"/>
      <c r="X98" s="1">
        <f t="shared" ref="X98:X100" si="45">+P98-T98</f>
        <v>-169.95000000000005</v>
      </c>
      <c r="Y98" s="1"/>
      <c r="Z98" s="5">
        <f t="shared" ref="Z98:Z100" si="46">IF(T98=0,0,X98/T98)</f>
        <v>-8.6709183673469414E-2</v>
      </c>
    </row>
    <row r="99" spans="1:26" s="24" customFormat="1" hidden="1" outlineLevel="2" x14ac:dyDescent="0.25">
      <c r="A99" s="25"/>
      <c r="B99" s="11" t="str">
        <f>CONCATENATE("          ", "6303", " - ", "DATA PHONE LINES")</f>
        <v xml:space="preserve">          6303 - DATA PHONE LINES</v>
      </c>
      <c r="C99" s="11"/>
      <c r="D99" s="7"/>
      <c r="E99" s="2"/>
      <c r="F99" s="6">
        <f t="shared" si="39"/>
        <v>0</v>
      </c>
      <c r="G99" s="2"/>
      <c r="H99" s="7">
        <v>280</v>
      </c>
      <c r="I99" s="2"/>
      <c r="J99" s="6">
        <f t="shared" si="40"/>
        <v>9.5263369193187306E-4</v>
      </c>
      <c r="K99" s="2"/>
      <c r="L99" s="7">
        <f t="shared" si="41"/>
        <v>-280</v>
      </c>
      <c r="M99" s="2"/>
      <c r="N99" s="6">
        <f t="shared" si="42"/>
        <v>-1</v>
      </c>
      <c r="O99" s="11"/>
      <c r="P99" s="7"/>
      <c r="Q99" s="2"/>
      <c r="R99" s="6">
        <f t="shared" si="43"/>
        <v>0</v>
      </c>
      <c r="S99" s="2"/>
      <c r="T99" s="7">
        <v>1960</v>
      </c>
      <c r="U99" s="2"/>
      <c r="V99" s="6">
        <f t="shared" si="44"/>
        <v>1.1422583730161275E-3</v>
      </c>
      <c r="W99" s="2"/>
      <c r="X99" s="7">
        <f t="shared" si="45"/>
        <v>-1960</v>
      </c>
      <c r="Y99" s="2"/>
      <c r="Z99" s="6">
        <f t="shared" si="46"/>
        <v>-1</v>
      </c>
    </row>
    <row r="100" spans="1:26" s="24" customFormat="1" hidden="1" outlineLevel="2" x14ac:dyDescent="0.25">
      <c r="A100" s="25"/>
      <c r="B100" s="11" t="str">
        <f>CONCATENATE("          ", "6309", " - ", "TELEPHONE")</f>
        <v xml:space="preserve">          6309 - TELEPHONE</v>
      </c>
      <c r="C100" s="11"/>
      <c r="D100" s="7">
        <v>253.9</v>
      </c>
      <c r="E100" s="2"/>
      <c r="F100" s="6">
        <f t="shared" si="39"/>
        <v>1.1802481040492593E-3</v>
      </c>
      <c r="G100" s="2"/>
      <c r="H100" s="7"/>
      <c r="I100" s="2"/>
      <c r="J100" s="6">
        <f t="shared" si="40"/>
        <v>0</v>
      </c>
      <c r="K100" s="2"/>
      <c r="L100" s="7">
        <f t="shared" si="41"/>
        <v>253.9</v>
      </c>
      <c r="M100" s="2"/>
      <c r="N100" s="6">
        <f t="shared" si="42"/>
        <v>0</v>
      </c>
      <c r="O100" s="11"/>
      <c r="P100" s="7">
        <v>1790.05</v>
      </c>
      <c r="Q100" s="2"/>
      <c r="R100" s="6">
        <f t="shared" si="43"/>
        <v>9.9529830875962262E-4</v>
      </c>
      <c r="S100" s="2"/>
      <c r="T100" s="7"/>
      <c r="U100" s="2"/>
      <c r="V100" s="6">
        <f t="shared" si="44"/>
        <v>0</v>
      </c>
      <c r="W100" s="2"/>
      <c r="X100" s="7">
        <f t="shared" si="45"/>
        <v>1790.05</v>
      </c>
      <c r="Y100" s="2"/>
      <c r="Z100" s="6">
        <f t="shared" si="46"/>
        <v>0</v>
      </c>
    </row>
    <row r="101" spans="1:26" s="27" customFormat="1" outlineLevel="1" collapsed="1" x14ac:dyDescent="0.25">
      <c r="A101" s="26"/>
      <c r="B101" s="13" t="str">
        <f>CONCATENATE("     ","Training                                          ")</f>
        <v xml:space="preserve">     Training                                          </v>
      </c>
      <c r="C101" s="13"/>
      <c r="D101" s="1">
        <f>SUM(OSRRefD22_11x_0)</f>
        <v>0</v>
      </c>
      <c r="E101" s="1"/>
      <c r="F101" s="5">
        <f t="shared" ref="F101:F104" si="47">IF(D$12=0,0,D101/D$12)</f>
        <v>0</v>
      </c>
      <c r="G101" s="1"/>
      <c r="H101" s="1">
        <f>SUM(OSRRefH22_11x_0)</f>
        <v>375</v>
      </c>
      <c r="I101" s="1"/>
      <c r="J101" s="5">
        <f t="shared" ref="J101:J104" si="48">IF(H$12=0,0,H101/H$12)</f>
        <v>1.2758486945516157E-3</v>
      </c>
      <c r="K101" s="1"/>
      <c r="L101" s="1">
        <f t="shared" ref="L101:L104" si="49">+D101-H101</f>
        <v>-375</v>
      </c>
      <c r="M101" s="1"/>
      <c r="N101" s="5">
        <f t="shared" ref="N101:N104" si="50">IF(H101=0,0,L101/H101)</f>
        <v>-1</v>
      </c>
      <c r="O101" s="13"/>
      <c r="P101" s="1">
        <f>SUM(OSRRefP22_11x_0)</f>
        <v>1163.6400000000001</v>
      </c>
      <c r="Q101" s="1"/>
      <c r="R101" s="5">
        <f t="shared" ref="R101:R104" si="51">IF(P$12=0,0,P101/P$12)</f>
        <v>6.4700367252593365E-4</v>
      </c>
      <c r="S101" s="1"/>
      <c r="T101" s="1">
        <f>SUM(OSRRefT22_11x_0)</f>
        <v>2625</v>
      </c>
      <c r="U101" s="1"/>
      <c r="V101" s="5">
        <f t="shared" ref="V101:V104" si="52">IF(T$12=0,0,T101/T$12)</f>
        <v>1.529810321003742E-3</v>
      </c>
      <c r="W101" s="1"/>
      <c r="X101" s="1">
        <f t="shared" ref="X101:X104" si="53">+P101-T101</f>
        <v>-1461.36</v>
      </c>
      <c r="Y101" s="1"/>
      <c r="Z101" s="5">
        <f t="shared" ref="Z101:Z104" si="54">IF(T101=0,0,X101/T101)</f>
        <v>-0.55670857142857144</v>
      </c>
    </row>
    <row r="102" spans="1:26" s="24" customFormat="1" hidden="1" outlineLevel="2" x14ac:dyDescent="0.25">
      <c r="A102" s="25"/>
      <c r="B102" s="11" t="str">
        <f>CONCATENATE("          ", "6376", " - ", "TRAINING")</f>
        <v xml:space="preserve">          6376 - TRAINING</v>
      </c>
      <c r="C102" s="11"/>
      <c r="D102" s="7"/>
      <c r="E102" s="2"/>
      <c r="F102" s="6">
        <f t="shared" si="47"/>
        <v>0</v>
      </c>
      <c r="G102" s="2"/>
      <c r="H102" s="7">
        <v>375</v>
      </c>
      <c r="I102" s="2"/>
      <c r="J102" s="6">
        <f t="shared" si="48"/>
        <v>1.2758486945516157E-3</v>
      </c>
      <c r="K102" s="2"/>
      <c r="L102" s="7">
        <f t="shared" si="49"/>
        <v>-375</v>
      </c>
      <c r="M102" s="2"/>
      <c r="N102" s="6">
        <f t="shared" si="50"/>
        <v>-1</v>
      </c>
      <c r="O102" s="11"/>
      <c r="P102" s="7">
        <v>1163.6400000000001</v>
      </c>
      <c r="Q102" s="2"/>
      <c r="R102" s="6">
        <f t="shared" si="51"/>
        <v>6.4700367252593365E-4</v>
      </c>
      <c r="S102" s="2"/>
      <c r="T102" s="7">
        <v>2625</v>
      </c>
      <c r="U102" s="2"/>
      <c r="V102" s="6">
        <f t="shared" si="52"/>
        <v>1.529810321003742E-3</v>
      </c>
      <c r="W102" s="2"/>
      <c r="X102" s="7">
        <f t="shared" si="53"/>
        <v>-1461.36</v>
      </c>
      <c r="Y102" s="2"/>
      <c r="Z102" s="6">
        <f t="shared" si="54"/>
        <v>-0.55670857142857144</v>
      </c>
    </row>
    <row r="103" spans="1:26" s="27" customFormat="1" outlineLevel="1" collapsed="1" x14ac:dyDescent="0.25">
      <c r="A103" s="26"/>
      <c r="B103" s="13" t="str">
        <f>CONCATENATE("     ","Travel                                            ")</f>
        <v xml:space="preserve">     Travel                                            </v>
      </c>
      <c r="C103" s="13"/>
      <c r="D103" s="1">
        <f>SUM(OSRRefD22_12x_0)</f>
        <v>0</v>
      </c>
      <c r="E103" s="1"/>
      <c r="F103" s="5">
        <f t="shared" si="47"/>
        <v>0</v>
      </c>
      <c r="G103" s="1"/>
      <c r="H103" s="1">
        <f>SUM(OSRRefH22_12x_0)</f>
        <v>0</v>
      </c>
      <c r="I103" s="1"/>
      <c r="J103" s="5">
        <f t="shared" si="48"/>
        <v>0</v>
      </c>
      <c r="K103" s="1"/>
      <c r="L103" s="1">
        <f t="shared" si="49"/>
        <v>0</v>
      </c>
      <c r="M103" s="1"/>
      <c r="N103" s="5">
        <f t="shared" si="50"/>
        <v>0</v>
      </c>
      <c r="O103" s="13"/>
      <c r="P103" s="1">
        <f>SUM(OSRRefP22_12x_0)</f>
        <v>-178.06</v>
      </c>
      <c r="Q103" s="1"/>
      <c r="R103" s="5">
        <f t="shared" si="51"/>
        <v>-9.9004394769832359E-5</v>
      </c>
      <c r="S103" s="1"/>
      <c r="T103" s="1">
        <f>SUM(OSRRefT22_12x_0)</f>
        <v>0</v>
      </c>
      <c r="U103" s="1"/>
      <c r="V103" s="5">
        <f t="shared" si="52"/>
        <v>0</v>
      </c>
      <c r="W103" s="1"/>
      <c r="X103" s="1">
        <f t="shared" si="53"/>
        <v>-178.06</v>
      </c>
      <c r="Y103" s="1"/>
      <c r="Z103" s="5">
        <f t="shared" si="54"/>
        <v>0</v>
      </c>
    </row>
    <row r="104" spans="1:26" s="24" customFormat="1" hidden="1" outlineLevel="2" x14ac:dyDescent="0.25">
      <c r="A104" s="25"/>
      <c r="B104" s="11" t="str">
        <f>CONCATENATE("          ", "6292", " - ", "TRAVEL/CONFERENCE")</f>
        <v xml:space="preserve">          6292 - TRAVEL/CONFERENCE</v>
      </c>
      <c r="C104" s="11"/>
      <c r="D104" s="7"/>
      <c r="E104" s="2"/>
      <c r="F104" s="6">
        <f t="shared" si="47"/>
        <v>0</v>
      </c>
      <c r="G104" s="2"/>
      <c r="H104" s="7"/>
      <c r="I104" s="2"/>
      <c r="J104" s="6">
        <f t="shared" si="48"/>
        <v>0</v>
      </c>
      <c r="K104" s="2"/>
      <c r="L104" s="7">
        <f t="shared" si="49"/>
        <v>0</v>
      </c>
      <c r="M104" s="2"/>
      <c r="N104" s="6">
        <f t="shared" si="50"/>
        <v>0</v>
      </c>
      <c r="O104" s="11"/>
      <c r="P104" s="7">
        <v>-178.06</v>
      </c>
      <c r="Q104" s="2"/>
      <c r="R104" s="6">
        <f t="shared" si="51"/>
        <v>-9.9004394769832359E-5</v>
      </c>
      <c r="S104" s="2"/>
      <c r="T104" s="7"/>
      <c r="U104" s="2"/>
      <c r="V104" s="6">
        <f t="shared" si="52"/>
        <v>0</v>
      </c>
      <c r="W104" s="2"/>
      <c r="X104" s="7">
        <f t="shared" si="53"/>
        <v>-178.06</v>
      </c>
      <c r="Y104" s="2"/>
      <c r="Z104" s="6">
        <f t="shared" si="54"/>
        <v>0</v>
      </c>
    </row>
    <row r="105" spans="1:26" s="53" customFormat="1" x14ac:dyDescent="0.25">
      <c r="A105" s="36"/>
      <c r="B105" s="36"/>
      <c r="C105" s="36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6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25">
      <c r="A106" s="10"/>
      <c r="B106" s="28" t="s">
        <v>0</v>
      </c>
      <c r="C106" s="10"/>
      <c r="D106" s="4">
        <f>SUM(OSRRefD25x_0)</f>
        <v>5983.15</v>
      </c>
      <c r="E106" s="4"/>
      <c r="F106" s="12">
        <f t="shared" ref="F106:F110" si="55">IF(D$12=0,0,D106/D$12)</f>
        <v>2.7812530302254137E-2</v>
      </c>
      <c r="G106" s="4"/>
      <c r="H106" s="4">
        <f>SUM(OSRRefH25x_0)</f>
        <v>2025</v>
      </c>
      <c r="I106" s="4"/>
      <c r="J106" s="12">
        <f t="shared" ref="J106:J110" si="56">IF(H$12=0,0,H106/H$12)</f>
        <v>6.8895829505787251E-3</v>
      </c>
      <c r="K106" s="4"/>
      <c r="L106" s="4">
        <f t="shared" ref="L106:L110" si="57">+D106-H106</f>
        <v>3958.1499999999996</v>
      </c>
      <c r="M106" s="4"/>
      <c r="N106" s="12">
        <f t="shared" ref="N106:N110" si="58">IF(H106=0,0,L106/H106)</f>
        <v>1.9546419753086417</v>
      </c>
      <c r="O106" s="10"/>
      <c r="P106" s="4">
        <f>SUM(OSRRefP25x_0)</f>
        <v>13219.810000000001</v>
      </c>
      <c r="Q106" s="4"/>
      <c r="R106" s="12">
        <f t="shared" ref="R106:R110" si="59">IF(P$12=0,0,P106/P$12)</f>
        <v>7.3504396721452191E-3</v>
      </c>
      <c r="S106" s="4"/>
      <c r="T106" s="4">
        <f>SUM(OSRRefT25x_0)</f>
        <v>13500</v>
      </c>
      <c r="U106" s="4"/>
      <c r="V106" s="12">
        <f t="shared" ref="V106:V110" si="60">IF(T$12=0,0,T106/T$12)</f>
        <v>7.8675959365906729E-3</v>
      </c>
      <c r="W106" s="4"/>
      <c r="X106" s="4">
        <f t="shared" ref="X106:X110" si="61">+P106-T106</f>
        <v>-280.18999999999869</v>
      </c>
      <c r="Y106" s="4"/>
      <c r="Z106" s="12">
        <f t="shared" ref="Z106:Z110" si="62">IF(T106=0,0,X106/T106)</f>
        <v>-2.0754814814814719E-2</v>
      </c>
    </row>
    <row r="107" spans="1:26" s="24" customFormat="1" hidden="1" outlineLevel="1" x14ac:dyDescent="0.25">
      <c r="A107" s="44"/>
      <c r="B107" s="11" t="str">
        <f>CONCATENATE("          ", "4187", " - ", "NON-TAXABLE SALES-COMPUTER REP")</f>
        <v xml:space="preserve">          4187 - NON-TAXABLE SALES-COMPUTER REP</v>
      </c>
      <c r="C107" s="11"/>
      <c r="D107" s="2">
        <f>--1922.01</f>
        <v>1922.01</v>
      </c>
      <c r="E107" s="2"/>
      <c r="F107" s="19">
        <f t="shared" si="55"/>
        <v>8.9344177174624541E-3</v>
      </c>
      <c r="G107" s="2"/>
      <c r="H107" s="2"/>
      <c r="I107" s="2"/>
      <c r="J107" s="19">
        <f t="shared" si="56"/>
        <v>0</v>
      </c>
      <c r="K107" s="2"/>
      <c r="L107" s="2">
        <f t="shared" si="57"/>
        <v>1922.01</v>
      </c>
      <c r="M107" s="2"/>
      <c r="N107" s="19">
        <f t="shared" si="58"/>
        <v>0</v>
      </c>
      <c r="O107" s="11"/>
      <c r="P107" s="2">
        <f>--15110.93</f>
        <v>15110.93</v>
      </c>
      <c r="Q107" s="2"/>
      <c r="R107" s="19">
        <f t="shared" si="59"/>
        <v>8.4019346234937824E-3</v>
      </c>
      <c r="S107" s="2"/>
      <c r="T107" s="2"/>
      <c r="U107" s="2"/>
      <c r="V107" s="19">
        <f t="shared" si="60"/>
        <v>0</v>
      </c>
      <c r="W107" s="2"/>
      <c r="X107" s="2">
        <f t="shared" si="61"/>
        <v>15110.93</v>
      </c>
      <c r="Y107" s="2"/>
      <c r="Z107" s="19">
        <f t="shared" si="62"/>
        <v>0</v>
      </c>
    </row>
    <row r="108" spans="1:26" s="24" customFormat="1" hidden="1" outlineLevel="1" x14ac:dyDescent="0.25">
      <c r="A108" s="44"/>
      <c r="B108" s="11" t="str">
        <f>CONCATENATE("          ", "4387", " - ", "SALES RETURN NON TAXABLE-COMPU")</f>
        <v xml:space="preserve">          4387 - SALES RETURN NON TAXABLE-COMPU</v>
      </c>
      <c r="C108" s="11"/>
      <c r="D108" s="2">
        <f t="shared" ref="D108:D109" si="63">0</f>
        <v>0</v>
      </c>
      <c r="E108" s="2"/>
      <c r="F108" s="19">
        <f t="shared" si="55"/>
        <v>0</v>
      </c>
      <c r="G108" s="2"/>
      <c r="H108" s="2"/>
      <c r="I108" s="2"/>
      <c r="J108" s="19">
        <f t="shared" si="56"/>
        <v>0</v>
      </c>
      <c r="K108" s="2"/>
      <c r="L108" s="2">
        <f t="shared" si="57"/>
        <v>0</v>
      </c>
      <c r="M108" s="2"/>
      <c r="N108" s="19">
        <f t="shared" si="58"/>
        <v>0</v>
      </c>
      <c r="O108" s="11"/>
      <c r="P108" s="2">
        <f>-7889</f>
        <v>-7889</v>
      </c>
      <c r="Q108" s="2"/>
      <c r="R108" s="19">
        <f t="shared" si="59"/>
        <v>-4.3864184563585729E-3</v>
      </c>
      <c r="S108" s="2"/>
      <c r="T108" s="2"/>
      <c r="U108" s="2"/>
      <c r="V108" s="19">
        <f t="shared" si="60"/>
        <v>0</v>
      </c>
      <c r="W108" s="2"/>
      <c r="X108" s="2">
        <f t="shared" si="61"/>
        <v>-7889</v>
      </c>
      <c r="Y108" s="2"/>
      <c r="Z108" s="19">
        <f t="shared" si="62"/>
        <v>0</v>
      </c>
    </row>
    <row r="109" spans="1:26" s="24" customFormat="1" hidden="1" outlineLevel="1" x14ac:dyDescent="0.25">
      <c r="A109" s="44"/>
      <c r="B109" s="11" t="str">
        <f>CONCATENATE("          ", "5087", " - ", "PURCHASES @ COST-COMPUTER REPA")</f>
        <v xml:space="preserve">          5087 - PURCHASES @ COST-COMPUTER REPA</v>
      </c>
      <c r="C109" s="11"/>
      <c r="D109" s="2">
        <f t="shared" si="63"/>
        <v>0</v>
      </c>
      <c r="E109" s="2"/>
      <c r="F109" s="19">
        <f t="shared" si="55"/>
        <v>0</v>
      </c>
      <c r="G109" s="2"/>
      <c r="H109" s="2"/>
      <c r="I109" s="2"/>
      <c r="J109" s="19">
        <f t="shared" si="56"/>
        <v>0</v>
      </c>
      <c r="K109" s="2"/>
      <c r="L109" s="2">
        <f t="shared" si="57"/>
        <v>0</v>
      </c>
      <c r="M109" s="2"/>
      <c r="N109" s="19">
        <f t="shared" si="58"/>
        <v>0</v>
      </c>
      <c r="O109" s="11"/>
      <c r="P109" s="2">
        <f>-56.72</f>
        <v>-56.72</v>
      </c>
      <c r="Q109" s="2"/>
      <c r="R109" s="19">
        <f t="shared" si="59"/>
        <v>-3.1537286708665008E-5</v>
      </c>
      <c r="S109" s="2"/>
      <c r="T109" s="2"/>
      <c r="U109" s="2"/>
      <c r="V109" s="19">
        <f t="shared" si="60"/>
        <v>0</v>
      </c>
      <c r="W109" s="2"/>
      <c r="X109" s="2">
        <f t="shared" si="61"/>
        <v>-56.72</v>
      </c>
      <c r="Y109" s="2"/>
      <c r="Z109" s="19">
        <f t="shared" si="62"/>
        <v>0</v>
      </c>
    </row>
    <row r="110" spans="1:26" s="24" customFormat="1" hidden="1" outlineLevel="1" x14ac:dyDescent="0.25">
      <c r="A110" s="44"/>
      <c r="B110" s="11" t="str">
        <f>CONCATENATE("          ", "9150", " - ", "MISC. INCOME")</f>
        <v xml:space="preserve">          9150 - MISC. INCOME</v>
      </c>
      <c r="C110" s="11"/>
      <c r="D110" s="2">
        <f>--4061.14</f>
        <v>4061.14</v>
      </c>
      <c r="E110" s="2"/>
      <c r="F110" s="19">
        <f t="shared" si="55"/>
        <v>1.8878112584791686E-2</v>
      </c>
      <c r="G110" s="2"/>
      <c r="H110" s="2">
        <v>2025</v>
      </c>
      <c r="I110" s="2"/>
      <c r="J110" s="19">
        <f t="shared" si="56"/>
        <v>6.8895829505787251E-3</v>
      </c>
      <c r="K110" s="2"/>
      <c r="L110" s="2">
        <f t="shared" si="57"/>
        <v>2036.1399999999999</v>
      </c>
      <c r="M110" s="2"/>
      <c r="N110" s="19">
        <f t="shared" si="58"/>
        <v>1.0055012345679011</v>
      </c>
      <c r="O110" s="11"/>
      <c r="P110" s="2">
        <f>--6054.6</f>
        <v>6054.6</v>
      </c>
      <c r="Q110" s="2"/>
      <c r="R110" s="19">
        <f t="shared" si="59"/>
        <v>3.3664607917186741E-3</v>
      </c>
      <c r="S110" s="2"/>
      <c r="T110" s="2">
        <v>13500</v>
      </c>
      <c r="U110" s="2"/>
      <c r="V110" s="19">
        <f t="shared" si="60"/>
        <v>7.8675959365906729E-3</v>
      </c>
      <c r="W110" s="2"/>
      <c r="X110" s="2">
        <f t="shared" si="61"/>
        <v>-7445.4</v>
      </c>
      <c r="Y110" s="2"/>
      <c r="Z110" s="19">
        <f t="shared" si="62"/>
        <v>-0.55151111111111106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9" t="s">
        <v>3</v>
      </c>
      <c r="C112" s="29"/>
      <c r="D112" s="21">
        <f>+D56-D58+D106</f>
        <v>22212.960000000072</v>
      </c>
      <c r="E112" s="14"/>
      <c r="F112" s="20">
        <f>IF(D$12=0,0,D112/D$12)</f>
        <v>0.1032564156176531</v>
      </c>
      <c r="G112" s="14"/>
      <c r="H112" s="21">
        <f>+H56-H58+H106</f>
        <v>48957.733836803847</v>
      </c>
      <c r="I112" s="14"/>
      <c r="J112" s="20">
        <f>IF(H$12=0,0,H112/H$12)</f>
        <v>0.1665670954770444</v>
      </c>
      <c r="K112" s="16"/>
      <c r="L112" s="21">
        <f>+D112-H112</f>
        <v>-26744.773836803775</v>
      </c>
      <c r="M112" s="16"/>
      <c r="N112" s="20">
        <f>IF(H112=0,0,L112/H112)</f>
        <v>-0.54628292081400354</v>
      </c>
      <c r="O112" s="28"/>
      <c r="P112" s="21">
        <f>+P56-P58+P106</f>
        <v>77350.589999999298</v>
      </c>
      <c r="Q112" s="14"/>
      <c r="R112" s="20">
        <f>IF(P$12=0,0,P112/P$12)</f>
        <v>4.3008246366614503E-2</v>
      </c>
      <c r="S112" s="14"/>
      <c r="T112" s="21">
        <f>+T56-T58+T106</f>
        <v>273997.96132964385</v>
      </c>
      <c r="U112" s="14"/>
      <c r="V112" s="20">
        <f>IF(T$12=0,0,T112/T$12)</f>
        <v>0.15968187016231367</v>
      </c>
      <c r="W112" s="16"/>
      <c r="X112" s="21">
        <f>+P112-T112</f>
        <v>-196647.37132964455</v>
      </c>
      <c r="Y112" s="16"/>
      <c r="Z112" s="20">
        <f>IF(T112=0,0,X112/T112)</f>
        <v>-0.71769647619042076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2"/>
      <c r="B114" s="10" t="s">
        <v>14</v>
      </c>
      <c r="C114" s="10"/>
      <c r="D114" s="4">
        <v>16541.28</v>
      </c>
      <c r="E114" s="4"/>
      <c r="F114" s="12">
        <f>IF(D$12=0,0,D114/D$12)</f>
        <v>7.6891746193572003E-2</v>
      </c>
      <c r="G114" s="4"/>
      <c r="H114" s="4">
        <v>28097</v>
      </c>
      <c r="I114" s="4"/>
      <c r="J114" s="12">
        <f>IF(H$12=0,0,H114/H$12)</f>
        <v>9.5593388722177999E-2</v>
      </c>
      <c r="K114" s="4"/>
      <c r="L114" s="4">
        <f>+D114-H114</f>
        <v>-11555.720000000001</v>
      </c>
      <c r="M114" s="4"/>
      <c r="N114" s="12">
        <f>IF(H114=0,0,L114/H114)</f>
        <v>-0.41127949603160485</v>
      </c>
      <c r="O114" s="10"/>
      <c r="P114" s="4">
        <v>187558.7</v>
      </c>
      <c r="Q114" s="4"/>
      <c r="R114" s="12">
        <f>IF(P$12=0,0,P114/P$12)</f>
        <v>0.10428583386115106</v>
      </c>
      <c r="S114" s="4"/>
      <c r="T114" s="4">
        <v>211268</v>
      </c>
      <c r="U114" s="4"/>
      <c r="V114" s="12">
        <f>IF(T$12=0,0,T114/T$12)</f>
        <v>0.12312379691345469</v>
      </c>
      <c r="W114" s="4"/>
      <c r="X114" s="4">
        <f>+P114-T114</f>
        <v>-23709.299999999988</v>
      </c>
      <c r="Y114" s="4"/>
      <c r="Z114" s="12">
        <f>IF(T114=0,0,X114/T114)</f>
        <v>-0.11222381051555365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9" t="s">
        <v>4</v>
      </c>
      <c r="C116" s="29"/>
      <c r="D116" s="34">
        <f>+D112-D114</f>
        <v>5671.6800000000731</v>
      </c>
      <c r="E116" s="14"/>
      <c r="F116" s="32">
        <f>IF(D$12=0,0,D116/D$12)</f>
        <v>2.6364669424081093E-2</v>
      </c>
      <c r="G116" s="14"/>
      <c r="H116" s="34">
        <f>+H112-H114</f>
        <v>20860.733836803847</v>
      </c>
      <c r="I116" s="14"/>
      <c r="J116" s="32">
        <f>IF(H$12=0,0,H116/H$12)</f>
        <v>7.0973706754866417E-2</v>
      </c>
      <c r="K116" s="16"/>
      <c r="L116" s="34">
        <f>D116-H116</f>
        <v>-15189.053836803774</v>
      </c>
      <c r="M116" s="16"/>
      <c r="N116" s="32">
        <f>IF(H116=0,0,L116/H116)</f>
        <v>-0.72811694716157438</v>
      </c>
      <c r="O116" s="28"/>
      <c r="P116" s="34">
        <f>+P112-P114</f>
        <v>-110208.11000000071</v>
      </c>
      <c r="Q116" s="14"/>
      <c r="R116" s="32">
        <f>IF(P$12=0,0,P116/P$12)</f>
        <v>-6.1277587494536566E-2</v>
      </c>
      <c r="S116" s="14"/>
      <c r="T116" s="34">
        <f>+T112-T114</f>
        <v>62729.961329643847</v>
      </c>
      <c r="U116" s="14"/>
      <c r="V116" s="32">
        <f>IF(T$12=0,0,T116/T$12)</f>
        <v>3.6558073248858965E-2</v>
      </c>
      <c r="W116" s="16"/>
      <c r="X116" s="34">
        <f>P116-T116</f>
        <v>-172938.07132964456</v>
      </c>
      <c r="Y116" s="16"/>
      <c r="Z116" s="32">
        <f>IF(T116=0,0,X116/T116)</f>
        <v>-2.7568655816773231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9" t="s">
        <v>5</v>
      </c>
      <c r="C119" s="29"/>
      <c r="D119" s="31">
        <f>SUM(D116:D118)</f>
        <v>5671.6800000000731</v>
      </c>
      <c r="E119" s="14"/>
      <c r="F119" s="30">
        <f>IF(D$12=0,0,D119/D$12)</f>
        <v>2.6364669424081093E-2</v>
      </c>
      <c r="G119" s="14"/>
      <c r="H119" s="31">
        <f>SUM(H116:H118)</f>
        <v>20860.733836803847</v>
      </c>
      <c r="I119" s="14"/>
      <c r="J119" s="30">
        <f>IF(H$12=0,0,H119/H$12)</f>
        <v>7.0973706754866417E-2</v>
      </c>
      <c r="K119" s="16"/>
      <c r="L119" s="31">
        <f>+D119-H119</f>
        <v>-15189.053836803774</v>
      </c>
      <c r="M119" s="16"/>
      <c r="N119" s="30">
        <f>IF(H119=0,0,L119/H119)</f>
        <v>-0.72811694716157438</v>
      </c>
      <c r="O119" s="28"/>
      <c r="P119" s="31">
        <f>SUM(P116:P118)</f>
        <v>-110208.11000000071</v>
      </c>
      <c r="Q119" s="14"/>
      <c r="R119" s="30">
        <f>IF(P$12=0,0,P119/P$12)</f>
        <v>-6.1277587494536566E-2</v>
      </c>
      <c r="S119" s="14"/>
      <c r="T119" s="31">
        <f>SUM(T116:T118)</f>
        <v>62729.961329643847</v>
      </c>
      <c r="U119" s="14"/>
      <c r="V119" s="30">
        <f>IF(T$12=0,0,T119/T$12)</f>
        <v>3.6558073248858965E-2</v>
      </c>
      <c r="W119" s="16"/>
      <c r="X119" s="31">
        <f>+P119-T119</f>
        <v>-172938.07132964456</v>
      </c>
      <c r="Y119" s="16"/>
      <c r="Z119" s="30">
        <f>IF(T119=0,0,X119/T119)</f>
        <v>-2.7568655816773231</v>
      </c>
    </row>
    <row r="120" spans="1:26" ht="15.75" thickTop="1" x14ac:dyDescent="0.25">
      <c r="A120" s="9"/>
      <c r="C120" s="9"/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25">
      <c r="A121" s="9"/>
      <c r="B121" s="63">
        <v>43879.546272222222</v>
      </c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A122" s="9"/>
      <c r="B122" s="57" t="s">
        <v>314</v>
      </c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A123" s="9"/>
      <c r="B123" s="60"/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25"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307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181190.88999999998</v>
      </c>
      <c r="E12" s="4"/>
      <c r="F12" s="12"/>
      <c r="G12" s="4"/>
      <c r="H12" s="4">
        <f>SUM(OSRRefH13x_0)</f>
        <v>175375</v>
      </c>
      <c r="I12" s="4"/>
      <c r="J12" s="12"/>
      <c r="K12" s="4"/>
      <c r="L12" s="4">
        <f t="shared" ref="L12:L23" si="0">+D12-H12</f>
        <v>5815.8899999999849</v>
      </c>
      <c r="M12" s="4"/>
      <c r="N12" s="12">
        <f t="shared" ref="N12:N23" si="1">IF(H12=0,0,L12/H12)</f>
        <v>3.316259444048459E-2</v>
      </c>
      <c r="O12" s="10"/>
      <c r="P12" s="4">
        <f>SUM(OSRRefP13x_0)</f>
        <v>1807983.71</v>
      </c>
      <c r="Q12" s="4"/>
      <c r="R12" s="12"/>
      <c r="S12" s="4"/>
      <c r="T12" s="4">
        <f>SUM(OSRRefT13x_0)</f>
        <v>1806559.2</v>
      </c>
      <c r="U12" s="4"/>
      <c r="V12" s="12"/>
      <c r="W12" s="4"/>
      <c r="X12" s="4">
        <f t="shared" ref="X12:X23" si="2">+P12-T12</f>
        <v>1424.5100000000093</v>
      </c>
      <c r="Y12" s="4"/>
      <c r="Z12" s="12">
        <f t="shared" ref="Z12:Z23" si="3">IF(T12=0,0,X12/T12)</f>
        <v>7.8852107365206148E-4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44439</v>
      </c>
      <c r="I13" s="2"/>
      <c r="J13" s="19"/>
      <c r="K13" s="2"/>
      <c r="L13" s="2">
        <f t="shared" si="0"/>
        <v>-44439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424898.2</v>
      </c>
      <c r="U13" s="2"/>
      <c r="V13" s="19"/>
      <c r="W13" s="2"/>
      <c r="X13" s="2">
        <f t="shared" si="2"/>
        <v>-424898.2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--21457.4</f>
        <v>21457.4</v>
      </c>
      <c r="E14" s="2"/>
      <c r="F14" s="19"/>
      <c r="G14" s="2"/>
      <c r="H14" s="2"/>
      <c r="I14" s="2"/>
      <c r="J14" s="19"/>
      <c r="K14" s="2"/>
      <c r="L14" s="2">
        <f t="shared" si="0"/>
        <v>21457.4</v>
      </c>
      <c r="M14" s="2"/>
      <c r="N14" s="19">
        <f t="shared" si="1"/>
        <v>0</v>
      </c>
      <c r="O14" s="11"/>
      <c r="P14" s="2">
        <f>--211406.28</f>
        <v>211406.28</v>
      </c>
      <c r="Q14" s="2"/>
      <c r="R14" s="19"/>
      <c r="S14" s="2"/>
      <c r="T14" s="2"/>
      <c r="U14" s="2"/>
      <c r="V14" s="19"/>
      <c r="W14" s="2"/>
      <c r="X14" s="2">
        <f t="shared" si="2"/>
        <v>211406.28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--302.09</f>
        <v>302.08999999999997</v>
      </c>
      <c r="E15" s="2"/>
      <c r="F15" s="19"/>
      <c r="G15" s="2"/>
      <c r="H15" s="2"/>
      <c r="I15" s="2"/>
      <c r="J15" s="19"/>
      <c r="K15" s="2"/>
      <c r="L15" s="2">
        <f t="shared" si="0"/>
        <v>302.08999999999997</v>
      </c>
      <c r="M15" s="2"/>
      <c r="N15" s="19">
        <f t="shared" si="1"/>
        <v>0</v>
      </c>
      <c r="O15" s="11"/>
      <c r="P15" s="2">
        <f>--2504.01</f>
        <v>2504.0100000000002</v>
      </c>
      <c r="Q15" s="2"/>
      <c r="R15" s="19"/>
      <c r="S15" s="2"/>
      <c r="T15" s="2"/>
      <c r="U15" s="2"/>
      <c r="V15" s="19"/>
      <c r="W15" s="2"/>
      <c r="X15" s="2">
        <f t="shared" si="2"/>
        <v>2504.0100000000002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--8565.55</f>
        <v>8565.5499999999993</v>
      </c>
      <c r="E16" s="2"/>
      <c r="F16" s="19"/>
      <c r="G16" s="2"/>
      <c r="H16" s="2"/>
      <c r="I16" s="2"/>
      <c r="J16" s="19"/>
      <c r="K16" s="2"/>
      <c r="L16" s="2">
        <f t="shared" si="0"/>
        <v>8565.5499999999993</v>
      </c>
      <c r="M16" s="2"/>
      <c r="N16" s="19">
        <f t="shared" si="1"/>
        <v>0</v>
      </c>
      <c r="O16" s="11"/>
      <c r="P16" s="2">
        <f>--116936.71</f>
        <v>116936.71</v>
      </c>
      <c r="Q16" s="2"/>
      <c r="R16" s="19"/>
      <c r="S16" s="2"/>
      <c r="T16" s="2"/>
      <c r="U16" s="2"/>
      <c r="V16" s="19"/>
      <c r="W16" s="2"/>
      <c r="X16" s="2">
        <f t="shared" si="2"/>
        <v>116936.71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0</f>
        <v>0</v>
      </c>
      <c r="E17" s="2"/>
      <c r="F17" s="19"/>
      <c r="G17" s="2"/>
      <c r="H17" s="2">
        <v>130936</v>
      </c>
      <c r="I17" s="2"/>
      <c r="J17" s="19"/>
      <c r="K17" s="2"/>
      <c r="L17" s="2">
        <f t="shared" si="0"/>
        <v>-130936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v>1381661</v>
      </c>
      <c r="U17" s="2"/>
      <c r="V17" s="19"/>
      <c r="W17" s="2"/>
      <c r="X17" s="2">
        <f t="shared" si="2"/>
        <v>-1381661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"4132", " - ", "NON-TAXABLE SALES-JUICE")</f>
        <v xml:space="preserve">          4132 - NON-TAXABLE SALES-JUICE</v>
      </c>
      <c r="C18" s="11"/>
      <c r="D18" s="2">
        <f>--91062.58</f>
        <v>91062.58</v>
      </c>
      <c r="E18" s="2"/>
      <c r="F18" s="19"/>
      <c r="G18" s="2"/>
      <c r="H18" s="2"/>
      <c r="I18" s="2"/>
      <c r="J18" s="19"/>
      <c r="K18" s="2"/>
      <c r="L18" s="2">
        <f t="shared" si="0"/>
        <v>91062.58</v>
      </c>
      <c r="M18" s="2"/>
      <c r="N18" s="19">
        <f t="shared" si="1"/>
        <v>0</v>
      </c>
      <c r="O18" s="11"/>
      <c r="P18" s="2">
        <f>--830184.3</f>
        <v>830184.3</v>
      </c>
      <c r="Q18" s="2"/>
      <c r="R18" s="19"/>
      <c r="S18" s="2"/>
      <c r="T18" s="2"/>
      <c r="U18" s="2"/>
      <c r="V18" s="19"/>
      <c r="W18" s="2"/>
      <c r="X18" s="2">
        <f t="shared" si="2"/>
        <v>830184.3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"4133", " - ", "NON-TAXABLE SALES-CANDY")</f>
        <v xml:space="preserve">          4133 - NON-TAXABLE SALES-CANDY</v>
      </c>
      <c r="C19" s="11"/>
      <c r="D19" s="2">
        <f>--1.59</f>
        <v>1.59</v>
      </c>
      <c r="E19" s="2"/>
      <c r="F19" s="19"/>
      <c r="G19" s="2"/>
      <c r="H19" s="2"/>
      <c r="I19" s="2"/>
      <c r="J19" s="19"/>
      <c r="K19" s="2"/>
      <c r="L19" s="2">
        <f t="shared" si="0"/>
        <v>1.59</v>
      </c>
      <c r="M19" s="2"/>
      <c r="N19" s="19">
        <f t="shared" si="1"/>
        <v>0</v>
      </c>
      <c r="O19" s="11"/>
      <c r="P19" s="2">
        <f>--1.59</f>
        <v>1.59</v>
      </c>
      <c r="Q19" s="2"/>
      <c r="R19" s="19"/>
      <c r="S19" s="2"/>
      <c r="T19" s="2"/>
      <c r="U19" s="2"/>
      <c r="V19" s="19"/>
      <c r="W19" s="2"/>
      <c r="X19" s="2">
        <f t="shared" si="2"/>
        <v>1.59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"4134", " - ", "NON-TAXABLE SALES-SODA")</f>
        <v xml:space="preserve">          4134 - NON-TAXABLE SALES-SODA</v>
      </c>
      <c r="C20" s="11"/>
      <c r="D20" s="2">
        <f>--8.02</f>
        <v>8.02</v>
      </c>
      <c r="E20" s="2"/>
      <c r="F20" s="19"/>
      <c r="G20" s="2"/>
      <c r="H20" s="2"/>
      <c r="I20" s="2"/>
      <c r="J20" s="19"/>
      <c r="K20" s="2"/>
      <c r="L20" s="2">
        <f t="shared" si="0"/>
        <v>8.02</v>
      </c>
      <c r="M20" s="2"/>
      <c r="N20" s="19">
        <f t="shared" si="1"/>
        <v>0</v>
      </c>
      <c r="O20" s="11"/>
      <c r="P20" s="2">
        <f>--8.41</f>
        <v>8.41</v>
      </c>
      <c r="Q20" s="2"/>
      <c r="R20" s="19"/>
      <c r="S20" s="2"/>
      <c r="T20" s="2"/>
      <c r="U20" s="2"/>
      <c r="V20" s="19"/>
      <c r="W20" s="2"/>
      <c r="X20" s="2">
        <f t="shared" si="2"/>
        <v>8.41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"4137", " - ", "NON-TAXABLE SALES-WATER")</f>
        <v xml:space="preserve">          4137 - NON-TAXABLE SALES-WATER</v>
      </c>
      <c r="C21" s="11"/>
      <c r="D21" s="2">
        <f>--132.68</f>
        <v>132.68</v>
      </c>
      <c r="E21" s="2"/>
      <c r="F21" s="19"/>
      <c r="G21" s="2"/>
      <c r="H21" s="2"/>
      <c r="I21" s="2"/>
      <c r="J21" s="19"/>
      <c r="K21" s="2"/>
      <c r="L21" s="2">
        <f t="shared" si="0"/>
        <v>132.68</v>
      </c>
      <c r="M21" s="2"/>
      <c r="N21" s="19">
        <f t="shared" si="1"/>
        <v>0</v>
      </c>
      <c r="O21" s="11"/>
      <c r="P21" s="2">
        <f>--1282.78</f>
        <v>1282.78</v>
      </c>
      <c r="Q21" s="2"/>
      <c r="R21" s="19"/>
      <c r="S21" s="2"/>
      <c r="T21" s="2"/>
      <c r="U21" s="2"/>
      <c r="V21" s="19"/>
      <c r="W21" s="2"/>
      <c r="X21" s="2">
        <f t="shared" si="2"/>
        <v>1282.78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"4151", " - ", "NON-TAXABLE SALES-FOOD")</f>
        <v xml:space="preserve">          4151 - NON-TAXABLE SALES-FOOD</v>
      </c>
      <c r="C22" s="11"/>
      <c r="D22" s="2">
        <f>--58945.98</f>
        <v>58945.98</v>
      </c>
      <c r="E22" s="2"/>
      <c r="F22" s="19"/>
      <c r="G22" s="2"/>
      <c r="H22" s="2"/>
      <c r="I22" s="2"/>
      <c r="J22" s="19"/>
      <c r="K22" s="2"/>
      <c r="L22" s="2">
        <f t="shared" si="0"/>
        <v>58945.98</v>
      </c>
      <c r="M22" s="2"/>
      <c r="N22" s="19">
        <f t="shared" si="1"/>
        <v>0</v>
      </c>
      <c r="O22" s="11"/>
      <c r="P22" s="2">
        <f>--635384.63</f>
        <v>635384.63</v>
      </c>
      <c r="Q22" s="2"/>
      <c r="R22" s="19"/>
      <c r="S22" s="2"/>
      <c r="T22" s="2"/>
      <c r="U22" s="2"/>
      <c r="V22" s="19"/>
      <c r="W22" s="2"/>
      <c r="X22" s="2">
        <f t="shared" si="2"/>
        <v>635384.63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"4153", " - ", "NON-TAXABLE SALES-FOOD")</f>
        <v xml:space="preserve">          4153 - NON-TAXABLE SALES-FOOD</v>
      </c>
      <c r="C23" s="11"/>
      <c r="D23" s="2">
        <f>--715</f>
        <v>715</v>
      </c>
      <c r="E23" s="2"/>
      <c r="F23" s="19"/>
      <c r="G23" s="2"/>
      <c r="H23" s="2"/>
      <c r="I23" s="2"/>
      <c r="J23" s="19"/>
      <c r="K23" s="2"/>
      <c r="L23" s="2">
        <f t="shared" si="0"/>
        <v>715</v>
      </c>
      <c r="M23" s="2"/>
      <c r="N23" s="19">
        <f t="shared" si="1"/>
        <v>0</v>
      </c>
      <c r="O23" s="11"/>
      <c r="P23" s="2">
        <f>--10275</f>
        <v>10275</v>
      </c>
      <c r="Q23" s="2"/>
      <c r="R23" s="19"/>
      <c r="S23" s="2"/>
      <c r="T23" s="2"/>
      <c r="U23" s="2"/>
      <c r="V23" s="19"/>
      <c r="W23" s="2"/>
      <c r="X23" s="2">
        <f t="shared" si="2"/>
        <v>10275</v>
      </c>
      <c r="Y23" s="2"/>
      <c r="Z23" s="19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8" t="s">
        <v>8</v>
      </c>
      <c r="C25" s="10"/>
      <c r="D25" s="4">
        <f>SUM(OSRRefD16x_0)</f>
        <v>87962.520000000019</v>
      </c>
      <c r="E25" s="4"/>
      <c r="F25" s="12">
        <f t="shared" ref="F25:F28" si="4">IF(D$12=0,0,D25/D$12)</f>
        <v>0.48546877825921614</v>
      </c>
      <c r="G25" s="4"/>
      <c r="H25" s="4">
        <f>SUM(OSRRefH16x_0)</f>
        <v>84438</v>
      </c>
      <c r="I25" s="4"/>
      <c r="J25" s="12">
        <f t="shared" ref="J25:J28" si="5">IF(H$12=0,0,H25/H$12)</f>
        <v>0.48147113328581609</v>
      </c>
      <c r="K25" s="4"/>
      <c r="L25" s="4">
        <f t="shared" ref="L25:L28" si="6">+D25-H25</f>
        <v>3524.5200000000186</v>
      </c>
      <c r="M25" s="4"/>
      <c r="N25" s="12">
        <f t="shared" ref="N25:N28" si="7">IF(H25=0,0,L25/H25)</f>
        <v>4.1740922333546725E-2</v>
      </c>
      <c r="O25" s="10"/>
      <c r="P25" s="4">
        <f>SUM(OSRRefP16x_0)</f>
        <v>862221.05999999994</v>
      </c>
      <c r="Q25" s="4"/>
      <c r="R25" s="12">
        <f t="shared" ref="R25:R28" si="8">IF(P$12=0,0,P25/P$12)</f>
        <v>0.4768964760196871</v>
      </c>
      <c r="S25" s="4"/>
      <c r="T25" s="4">
        <f>SUM(OSRRefT16x_0)</f>
        <v>870387</v>
      </c>
      <c r="U25" s="4"/>
      <c r="V25" s="12">
        <f t="shared" ref="V25:V28" si="9">IF(T$12=0,0,T25/T$12)</f>
        <v>0.48179268080448179</v>
      </c>
      <c r="W25" s="4"/>
      <c r="X25" s="4">
        <f t="shared" ref="X25:X28" si="10">+P25-T25</f>
        <v>-8165.9400000000605</v>
      </c>
      <c r="Y25" s="4"/>
      <c r="Z25" s="12">
        <f t="shared" ref="Z25:Z28" si="11">IF(T25=0,0,X25/T25)</f>
        <v>-9.3819645743790526E-3</v>
      </c>
    </row>
    <row r="26" spans="1:26" s="24" customFormat="1" hidden="1" outlineLevel="1" x14ac:dyDescent="0.25">
      <c r="A26" s="44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19">
        <f t="shared" si="4"/>
        <v>0</v>
      </c>
      <c r="G26" s="2"/>
      <c r="H26" s="2">
        <v>84438</v>
      </c>
      <c r="I26" s="2"/>
      <c r="J26" s="19">
        <f t="shared" si="5"/>
        <v>0.48147113328581609</v>
      </c>
      <c r="K26" s="2"/>
      <c r="L26" s="2">
        <f t="shared" si="6"/>
        <v>-84438</v>
      </c>
      <c r="M26" s="2"/>
      <c r="N26" s="19">
        <f t="shared" si="7"/>
        <v>-1</v>
      </c>
      <c r="O26" s="11"/>
      <c r="P26" s="2"/>
      <c r="Q26" s="2"/>
      <c r="R26" s="19">
        <f t="shared" si="8"/>
        <v>0</v>
      </c>
      <c r="S26" s="2"/>
      <c r="T26" s="2">
        <v>870387</v>
      </c>
      <c r="U26" s="2"/>
      <c r="V26" s="19">
        <f t="shared" si="9"/>
        <v>0.48179268080448179</v>
      </c>
      <c r="W26" s="2"/>
      <c r="X26" s="2">
        <f t="shared" si="10"/>
        <v>-870387</v>
      </c>
      <c r="Y26" s="2"/>
      <c r="Z26" s="19">
        <f t="shared" si="11"/>
        <v>-1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115854.20000000001</v>
      </c>
      <c r="E27" s="2"/>
      <c r="F27" s="19">
        <f t="shared" si="4"/>
        <v>0.639404111321491</v>
      </c>
      <c r="G27" s="2"/>
      <c r="H27" s="2"/>
      <c r="I27" s="2"/>
      <c r="J27" s="19">
        <f t="shared" si="5"/>
        <v>0</v>
      </c>
      <c r="K27" s="2"/>
      <c r="L27" s="2">
        <f t="shared" si="6"/>
        <v>115854.20000000001</v>
      </c>
      <c r="M27" s="2"/>
      <c r="N27" s="19">
        <f t="shared" si="7"/>
        <v>0</v>
      </c>
      <c r="O27" s="11"/>
      <c r="P27" s="2">
        <v>899726.58</v>
      </c>
      <c r="Q27" s="2"/>
      <c r="R27" s="19">
        <f t="shared" si="8"/>
        <v>0.49764086646555017</v>
      </c>
      <c r="S27" s="2"/>
      <c r="T27" s="2"/>
      <c r="U27" s="2"/>
      <c r="V27" s="19">
        <f t="shared" si="9"/>
        <v>0</v>
      </c>
      <c r="W27" s="2"/>
      <c r="X27" s="2">
        <f t="shared" si="10"/>
        <v>899726.58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-27891.68</v>
      </c>
      <c r="E28" s="2"/>
      <c r="F28" s="19">
        <f t="shared" si="4"/>
        <v>-0.15393533306227483</v>
      </c>
      <c r="G28" s="2"/>
      <c r="H28" s="2"/>
      <c r="I28" s="2"/>
      <c r="J28" s="19">
        <f t="shared" si="5"/>
        <v>0</v>
      </c>
      <c r="K28" s="2"/>
      <c r="L28" s="2">
        <f t="shared" si="6"/>
        <v>-27891.68</v>
      </c>
      <c r="M28" s="2"/>
      <c r="N28" s="19">
        <f t="shared" si="7"/>
        <v>0</v>
      </c>
      <c r="O28" s="11"/>
      <c r="P28" s="2">
        <v>-37505.519999999997</v>
      </c>
      <c r="Q28" s="2"/>
      <c r="R28" s="19">
        <f t="shared" si="8"/>
        <v>-2.0744390445863032E-2</v>
      </c>
      <c r="S28" s="2"/>
      <c r="T28" s="2"/>
      <c r="U28" s="2"/>
      <c r="V28" s="19">
        <f t="shared" si="9"/>
        <v>0</v>
      </c>
      <c r="W28" s="2"/>
      <c r="X28" s="2">
        <f t="shared" si="10"/>
        <v>-37505.519999999997</v>
      </c>
      <c r="Y28" s="2"/>
      <c r="Z28" s="19">
        <f t="shared" si="11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6</v>
      </c>
      <c r="C30" s="29"/>
      <c r="D30" s="21">
        <f>D12-D25</f>
        <v>93228.369999999966</v>
      </c>
      <c r="E30" s="14"/>
      <c r="F30" s="20">
        <f>IF(D$12=0,0,D30/D$12)</f>
        <v>0.51453122174078381</v>
      </c>
      <c r="G30" s="14"/>
      <c r="H30" s="21">
        <f>H12-H25</f>
        <v>90937</v>
      </c>
      <c r="I30" s="14"/>
      <c r="J30" s="20">
        <f>IF(H$12=0,0,H30/H$12)</f>
        <v>0.51852886671418386</v>
      </c>
      <c r="K30" s="16"/>
      <c r="L30" s="21">
        <f>+D30-H30</f>
        <v>2291.3699999999662</v>
      </c>
      <c r="M30" s="16"/>
      <c r="N30" s="20">
        <f>IF(H30=0,0,L30/H30)</f>
        <v>2.51973344183332E-2</v>
      </c>
      <c r="O30" s="28"/>
      <c r="P30" s="21">
        <f>P12-P25</f>
        <v>945762.65</v>
      </c>
      <c r="Q30" s="14"/>
      <c r="R30" s="20">
        <f>IF(P$12=0,0,P30/P$12)</f>
        <v>0.5231035239803129</v>
      </c>
      <c r="S30" s="14"/>
      <c r="T30" s="21">
        <f>T12-T25</f>
        <v>936172.2</v>
      </c>
      <c r="U30" s="14"/>
      <c r="V30" s="20">
        <f>IF(T$12=0,0,T30/T$12)</f>
        <v>0.51820731919551821</v>
      </c>
      <c r="W30" s="16"/>
      <c r="X30" s="21">
        <f>+P30-T30</f>
        <v>9590.4500000000698</v>
      </c>
      <c r="Y30" s="16"/>
      <c r="Z30" s="20">
        <f>IF(T30=0,0,X30/T30)</f>
        <v>1.0244322572278978E-2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8" t="s">
        <v>9</v>
      </c>
      <c r="C32" s="10"/>
      <c r="D32" s="22">
        <f>SUM(OSRRefD22x_0)</f>
        <v>94346.829999999958</v>
      </c>
      <c r="E32" s="22"/>
      <c r="F32" s="35">
        <f t="shared" ref="F32:F42" si="12">IF(D$12=0,0,D32/D$12)</f>
        <v>0.52070404864173891</v>
      </c>
      <c r="G32" s="22"/>
      <c r="H32" s="22">
        <f>SUM(OSRRefH22x_0)</f>
        <v>96586.356323059619</v>
      </c>
      <c r="I32" s="22"/>
      <c r="J32" s="35">
        <f t="shared" ref="J32:J42" si="13">IF(H$12=0,0,H32/H$12)</f>
        <v>0.55074187497111682</v>
      </c>
      <c r="K32" s="4"/>
      <c r="L32" s="22">
        <f t="shared" ref="L32:L42" si="14">+D32-H32</f>
        <v>-2239.5263230596611</v>
      </c>
      <c r="M32" s="4"/>
      <c r="N32" s="35">
        <f t="shared" ref="N32:N42" si="15">IF(H32=0,0,L32/H32)</f>
        <v>-2.3186777183818279E-2</v>
      </c>
      <c r="O32" s="10"/>
      <c r="P32" s="22">
        <f>SUM(OSRRefP22x_0)</f>
        <v>733021.34</v>
      </c>
      <c r="Q32" s="22"/>
      <c r="R32" s="35">
        <f t="shared" ref="R32:R42" si="16">IF(P$12=0,0,P32/P$12)</f>
        <v>0.40543581003835483</v>
      </c>
      <c r="S32" s="22"/>
      <c r="T32" s="22">
        <f>SUM(OSRRefT22x_0)</f>
        <v>712204.25147370959</v>
      </c>
      <c r="U32" s="22"/>
      <c r="V32" s="35">
        <f t="shared" ref="V32:V42" si="17">IF(T$12=0,0,T32/T$12)</f>
        <v>0.39423244556486697</v>
      </c>
      <c r="W32" s="4"/>
      <c r="X32" s="22">
        <f t="shared" ref="X32:X42" si="18">+P32-T32</f>
        <v>20817.088526290376</v>
      </c>
      <c r="Y32" s="4"/>
      <c r="Z32" s="35">
        <f t="shared" ref="Z32:Z42" si="19">IF(T32=0,0,X32/T32)</f>
        <v>2.9229098932244749E-2</v>
      </c>
    </row>
    <row r="33" spans="1:26" s="27" customFormat="1" outlineLevel="1" collapsed="1" x14ac:dyDescent="0.25">
      <c r="A33" s="26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11053.82</v>
      </c>
      <c r="E33" s="1"/>
      <c r="F33" s="5">
        <f t="shared" si="12"/>
        <v>6.1006488792013772E-2</v>
      </c>
      <c r="G33" s="1"/>
      <c r="H33" s="1">
        <f>SUM(OSRRefH22_0x_0)</f>
        <v>13319.148882675003</v>
      </c>
      <c r="I33" s="1"/>
      <c r="J33" s="5">
        <f t="shared" si="13"/>
        <v>7.5946679302494671E-2</v>
      </c>
      <c r="K33" s="1"/>
      <c r="L33" s="1">
        <f t="shared" si="14"/>
        <v>-2265.3288826750031</v>
      </c>
      <c r="M33" s="1"/>
      <c r="N33" s="5">
        <f t="shared" si="15"/>
        <v>-0.17008060369545452</v>
      </c>
      <c r="O33" s="13"/>
      <c r="P33" s="1">
        <f>SUM(OSRRefP22_0x_0)</f>
        <v>95098.310000000012</v>
      </c>
      <c r="Q33" s="1"/>
      <c r="R33" s="5">
        <f t="shared" si="16"/>
        <v>5.2599096703144527E-2</v>
      </c>
      <c r="S33" s="1"/>
      <c r="T33" s="1">
        <f>SUM(OSRRefT22_0x_0)</f>
        <v>90708.18178332501</v>
      </c>
      <c r="U33" s="1"/>
      <c r="V33" s="5">
        <f t="shared" si="17"/>
        <v>5.0210467380933328E-2</v>
      </c>
      <c r="W33" s="1"/>
      <c r="X33" s="1">
        <f t="shared" si="18"/>
        <v>4390.1282166750025</v>
      </c>
      <c r="Y33" s="1"/>
      <c r="Z33" s="5">
        <f t="shared" si="19"/>
        <v>4.8398370801453379E-2</v>
      </c>
    </row>
    <row r="34" spans="1:26" s="24" customFormat="1" hidden="1" outlineLevel="2" x14ac:dyDescent="0.25">
      <c r="A34" s="25"/>
      <c r="B34" s="11" t="str">
        <f>CONCATENATE("          ", "6111", " - ", "F.I.C.A.")</f>
        <v xml:space="preserve">          6111 - F.I.C.A.</v>
      </c>
      <c r="C34" s="11"/>
      <c r="D34" s="7">
        <v>1664.79</v>
      </c>
      <c r="E34" s="2"/>
      <c r="F34" s="6">
        <f t="shared" si="12"/>
        <v>9.1880447190253334E-3</v>
      </c>
      <c r="G34" s="2"/>
      <c r="H34" s="7">
        <v>1863.797300059616</v>
      </c>
      <c r="I34" s="2"/>
      <c r="J34" s="6">
        <f t="shared" si="13"/>
        <v>1.0627497078030597E-2</v>
      </c>
      <c r="K34" s="2"/>
      <c r="L34" s="7">
        <f t="shared" si="14"/>
        <v>-199.007300059616</v>
      </c>
      <c r="M34" s="2"/>
      <c r="N34" s="6">
        <f t="shared" si="15"/>
        <v>-0.10677518421839677</v>
      </c>
      <c r="O34" s="11"/>
      <c r="P34" s="7">
        <v>16032.670000000002</v>
      </c>
      <c r="Q34" s="2"/>
      <c r="R34" s="6">
        <f t="shared" si="16"/>
        <v>8.8677071100380662E-3</v>
      </c>
      <c r="S34" s="2"/>
      <c r="T34" s="7">
        <v>12460.600662709614</v>
      </c>
      <c r="U34" s="2"/>
      <c r="V34" s="6">
        <f t="shared" si="17"/>
        <v>6.897421718983587E-3</v>
      </c>
      <c r="W34" s="2"/>
      <c r="X34" s="7">
        <f t="shared" si="18"/>
        <v>3572.0693372903879</v>
      </c>
      <c r="Y34" s="2"/>
      <c r="Z34" s="6">
        <f t="shared" si="19"/>
        <v>0.28666911282859658</v>
      </c>
    </row>
    <row r="35" spans="1:26" s="24" customFormat="1" hidden="1" outlineLevel="2" x14ac:dyDescent="0.25">
      <c r="A35" s="25"/>
      <c r="B35" s="11" t="str">
        <f>CONCATENATE("          ", "6112", " - ", "COMPENSATION INSURANCE")</f>
        <v xml:space="preserve">          6112 - COMPENSATION INSURANCE</v>
      </c>
      <c r="C35" s="11"/>
      <c r="D35" s="7">
        <v>664.76</v>
      </c>
      <c r="E35" s="2"/>
      <c r="F35" s="6">
        <f t="shared" si="12"/>
        <v>3.6688378758998317E-3</v>
      </c>
      <c r="G35" s="2"/>
      <c r="H35" s="7">
        <v>1048.1156748076921</v>
      </c>
      <c r="I35" s="2"/>
      <c r="J35" s="6">
        <f t="shared" si="13"/>
        <v>5.9764258007566195E-3</v>
      </c>
      <c r="K35" s="2"/>
      <c r="L35" s="7">
        <f t="shared" si="14"/>
        <v>-383.35567480769214</v>
      </c>
      <c r="M35" s="2"/>
      <c r="N35" s="6">
        <f t="shared" si="15"/>
        <v>-0.36575702856273962</v>
      </c>
      <c r="O35" s="11"/>
      <c r="P35" s="7">
        <v>6050.54</v>
      </c>
      <c r="Q35" s="2"/>
      <c r="R35" s="6">
        <f t="shared" si="16"/>
        <v>3.3465677630469359E-3</v>
      </c>
      <c r="S35" s="2"/>
      <c r="T35" s="7">
        <v>7448.940269807691</v>
      </c>
      <c r="U35" s="2"/>
      <c r="V35" s="6">
        <f t="shared" si="17"/>
        <v>4.1232749360262822E-3</v>
      </c>
      <c r="W35" s="2"/>
      <c r="X35" s="7">
        <f t="shared" si="18"/>
        <v>-1398.4002698076911</v>
      </c>
      <c r="Y35" s="2"/>
      <c r="Z35" s="6">
        <f t="shared" si="19"/>
        <v>-0.18773143818533983</v>
      </c>
    </row>
    <row r="36" spans="1:26" s="24" customFormat="1" hidden="1" outlineLevel="2" x14ac:dyDescent="0.25">
      <c r="A36" s="25"/>
      <c r="B36" s="11" t="str">
        <f>CONCATENATE("          ", "6113", " - ", "GROUP INSURANCE")</f>
        <v xml:space="preserve">          6113 - GROUP INSURANCE</v>
      </c>
      <c r="C36" s="11"/>
      <c r="D36" s="7">
        <v>4620.57</v>
      </c>
      <c r="E36" s="2"/>
      <c r="F36" s="6">
        <f t="shared" si="12"/>
        <v>2.550111652964451E-2</v>
      </c>
      <c r="G36" s="2"/>
      <c r="H36" s="7">
        <v>5998</v>
      </c>
      <c r="I36" s="2"/>
      <c r="J36" s="6">
        <f t="shared" si="13"/>
        <v>3.4200997861724876E-2</v>
      </c>
      <c r="K36" s="2"/>
      <c r="L36" s="7">
        <f t="shared" si="14"/>
        <v>-1377.4300000000003</v>
      </c>
      <c r="M36" s="2"/>
      <c r="N36" s="6">
        <f t="shared" si="15"/>
        <v>-0.22964821607202407</v>
      </c>
      <c r="O36" s="11"/>
      <c r="P36" s="7">
        <v>41456</v>
      </c>
      <c r="Q36" s="2"/>
      <c r="R36" s="6">
        <f t="shared" si="16"/>
        <v>2.2929410132793732E-2</v>
      </c>
      <c r="S36" s="2"/>
      <c r="T36" s="7">
        <v>41986</v>
      </c>
      <c r="U36" s="2"/>
      <c r="V36" s="6">
        <f t="shared" si="17"/>
        <v>2.3240865840433018E-2</v>
      </c>
      <c r="W36" s="2"/>
      <c r="X36" s="7">
        <f t="shared" si="18"/>
        <v>-530</v>
      </c>
      <c r="Y36" s="2"/>
      <c r="Z36" s="6">
        <f t="shared" si="19"/>
        <v>-1.2623255370837898E-2</v>
      </c>
    </row>
    <row r="37" spans="1:26" s="24" customFormat="1" hidden="1" outlineLevel="2" x14ac:dyDescent="0.25">
      <c r="A37" s="25"/>
      <c r="B37" s="11" t="str">
        <f>CONCATENATE("          ", "6114", " - ", "STATE UNEMPLOYMENT INSURANCE")</f>
        <v xml:space="preserve">          6114 - STATE UNEMPLOYMENT INSURANCE</v>
      </c>
      <c r="C37" s="11"/>
      <c r="D37" s="7">
        <v>90.97</v>
      </c>
      <c r="E37" s="2"/>
      <c r="F37" s="6">
        <f t="shared" si="12"/>
        <v>5.020671845035918E-4</v>
      </c>
      <c r="G37" s="2"/>
      <c r="H37" s="7">
        <v>143.4263555</v>
      </c>
      <c r="I37" s="2"/>
      <c r="J37" s="6">
        <f t="shared" si="13"/>
        <v>8.1782668852459011E-4</v>
      </c>
      <c r="K37" s="2"/>
      <c r="L37" s="7">
        <f t="shared" si="14"/>
        <v>-52.456355500000001</v>
      </c>
      <c r="M37" s="2"/>
      <c r="N37" s="6">
        <f t="shared" si="15"/>
        <v>-0.36573721278164945</v>
      </c>
      <c r="O37" s="11"/>
      <c r="P37" s="7">
        <v>961.22</v>
      </c>
      <c r="Q37" s="2"/>
      <c r="R37" s="6">
        <f t="shared" si="16"/>
        <v>5.3165302025868371E-4</v>
      </c>
      <c r="S37" s="2"/>
      <c r="T37" s="7">
        <v>1019.3286684999999</v>
      </c>
      <c r="U37" s="2"/>
      <c r="V37" s="6">
        <f t="shared" si="17"/>
        <v>5.6423762282464915E-4</v>
      </c>
      <c r="W37" s="2"/>
      <c r="X37" s="7">
        <f t="shared" si="18"/>
        <v>-58.108668499999908</v>
      </c>
      <c r="Y37" s="2"/>
      <c r="Z37" s="6">
        <f t="shared" si="19"/>
        <v>-5.7006802904415628E-2</v>
      </c>
    </row>
    <row r="38" spans="1:26" s="24" customFormat="1" hidden="1" outlineLevel="2" x14ac:dyDescent="0.25">
      <c r="A38" s="25"/>
      <c r="B38" s="11" t="str">
        <f>CONCATENATE("          ", "6115", " - ", "P.E.R.S.")</f>
        <v xml:space="preserve">          6115 - P.E.R.S.</v>
      </c>
      <c r="C38" s="11"/>
      <c r="D38" s="7">
        <v>1899.58</v>
      </c>
      <c r="E38" s="2"/>
      <c r="F38" s="6">
        <f t="shared" si="12"/>
        <v>1.0483860419251763E-2</v>
      </c>
      <c r="G38" s="2"/>
      <c r="H38" s="7">
        <v>1917.7108080769242</v>
      </c>
      <c r="I38" s="2"/>
      <c r="J38" s="6">
        <f t="shared" si="13"/>
        <v>1.0934915512911899E-2</v>
      </c>
      <c r="K38" s="2"/>
      <c r="L38" s="7">
        <f t="shared" si="14"/>
        <v>-18.130808076924268</v>
      </c>
      <c r="M38" s="2"/>
      <c r="N38" s="6">
        <f t="shared" si="15"/>
        <v>-9.4544015711658831E-3</v>
      </c>
      <c r="O38" s="11"/>
      <c r="P38" s="7">
        <v>11551.25</v>
      </c>
      <c r="Q38" s="2"/>
      <c r="R38" s="6">
        <f t="shared" si="16"/>
        <v>6.3890232727815896E-3</v>
      </c>
      <c r="S38" s="2"/>
      <c r="T38" s="7">
        <v>11662.076688076924</v>
      </c>
      <c r="U38" s="2"/>
      <c r="V38" s="6">
        <f t="shared" si="17"/>
        <v>6.455407986672634E-3</v>
      </c>
      <c r="W38" s="2"/>
      <c r="X38" s="7">
        <f t="shared" si="18"/>
        <v>-110.82668807692426</v>
      </c>
      <c r="Y38" s="2"/>
      <c r="Z38" s="6">
        <f t="shared" si="19"/>
        <v>-9.503169207438952E-3</v>
      </c>
    </row>
    <row r="39" spans="1:26" s="24" customFormat="1" hidden="1" outlineLevel="2" x14ac:dyDescent="0.25">
      <c r="A39" s="25"/>
      <c r="B39" s="11" t="str">
        <f>CONCATENATE("          ", "6116", " - ", "EDUCATIONAL BENEFITS")</f>
        <v xml:space="preserve">          6116 - EDUCATIONAL BENEFITS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5"/>
      <c r="B40" s="11" t="str">
        <f>CONCATENATE("          ", "6118", " - ", "VACATION")</f>
        <v xml:space="preserve">          6118 - VACATION</v>
      </c>
      <c r="C40" s="11"/>
      <c r="D40" s="7">
        <v>950.98</v>
      </c>
      <c r="E40" s="2"/>
      <c r="F40" s="6">
        <f t="shared" si="12"/>
        <v>5.248497868739428E-3</v>
      </c>
      <c r="G40" s="2"/>
      <c r="H40" s="7">
        <v>803.53818461538481</v>
      </c>
      <c r="I40" s="2"/>
      <c r="J40" s="6">
        <f t="shared" si="13"/>
        <v>4.5818285651625648E-3</v>
      </c>
      <c r="K40" s="2"/>
      <c r="L40" s="7">
        <f t="shared" si="14"/>
        <v>147.44181538461521</v>
      </c>
      <c r="M40" s="2"/>
      <c r="N40" s="6">
        <f t="shared" si="15"/>
        <v>0.18349073909311298</v>
      </c>
      <c r="O40" s="11"/>
      <c r="P40" s="7">
        <v>8748.56</v>
      </c>
      <c r="Q40" s="2"/>
      <c r="R40" s="6">
        <f t="shared" si="16"/>
        <v>4.8388489075490617E-3</v>
      </c>
      <c r="S40" s="2"/>
      <c r="T40" s="7">
        <v>4907.7180846153842</v>
      </c>
      <c r="U40" s="2"/>
      <c r="V40" s="6">
        <f t="shared" si="17"/>
        <v>2.7166107175537811E-3</v>
      </c>
      <c r="W40" s="2"/>
      <c r="X40" s="7">
        <f t="shared" si="18"/>
        <v>3840.8419153846153</v>
      </c>
      <c r="Y40" s="2"/>
      <c r="Z40" s="6">
        <f t="shared" si="19"/>
        <v>0.78261258066652384</v>
      </c>
    </row>
    <row r="41" spans="1:26" s="24" customFormat="1" hidden="1" outlineLevel="2" x14ac:dyDescent="0.25">
      <c r="A41" s="25"/>
      <c r="B41" s="11" t="str">
        <f>CONCATENATE("          ", "6119", " - ", "SICK LEAVE")</f>
        <v xml:space="preserve">          6119 - SICK LEAVE</v>
      </c>
      <c r="C41" s="11"/>
      <c r="D41" s="7">
        <v>640.52</v>
      </c>
      <c r="E41" s="2"/>
      <c r="F41" s="6">
        <f t="shared" si="12"/>
        <v>3.5350563154692822E-3</v>
      </c>
      <c r="G41" s="2"/>
      <c r="H41" s="7">
        <v>1544.560559615385</v>
      </c>
      <c r="I41" s="2"/>
      <c r="J41" s="6">
        <f t="shared" si="13"/>
        <v>8.8071877953835205E-3</v>
      </c>
      <c r="K41" s="2"/>
      <c r="L41" s="7">
        <f t="shared" si="14"/>
        <v>-904.04055961538506</v>
      </c>
      <c r="M41" s="2"/>
      <c r="N41" s="6">
        <f t="shared" si="15"/>
        <v>-0.58530599786938919</v>
      </c>
      <c r="O41" s="11"/>
      <c r="P41" s="7">
        <v>5990.6</v>
      </c>
      <c r="Q41" s="2"/>
      <c r="R41" s="6">
        <f t="shared" si="16"/>
        <v>3.3134148094730348E-3</v>
      </c>
      <c r="S41" s="2"/>
      <c r="T41" s="7">
        <v>11098.517409615388</v>
      </c>
      <c r="U41" s="2"/>
      <c r="V41" s="6">
        <f t="shared" si="17"/>
        <v>6.1434562507640981E-3</v>
      </c>
      <c r="W41" s="2"/>
      <c r="X41" s="7">
        <f t="shared" si="18"/>
        <v>-5107.9174096153874</v>
      </c>
      <c r="Y41" s="2"/>
      <c r="Z41" s="6">
        <f t="shared" si="19"/>
        <v>-0.46023421157046229</v>
      </c>
    </row>
    <row r="42" spans="1:26" s="24" customFormat="1" hidden="1" outlineLevel="2" x14ac:dyDescent="0.25">
      <c r="A42" s="25"/>
      <c r="B42" s="11" t="str">
        <f>CONCATENATE("          ", "6156", " - ", "EMPLOYEE MEALS")</f>
        <v xml:space="preserve">          6156 - EMPLOYEE MEALS</v>
      </c>
      <c r="C42" s="11"/>
      <c r="D42" s="7">
        <v>521.65</v>
      </c>
      <c r="E42" s="2"/>
      <c r="F42" s="6">
        <f t="shared" si="12"/>
        <v>2.8790078794800338E-3</v>
      </c>
      <c r="G42" s="2"/>
      <c r="H42" s="7"/>
      <c r="I42" s="2"/>
      <c r="J42" s="6">
        <f t="shared" si="13"/>
        <v>0</v>
      </c>
      <c r="K42" s="2"/>
      <c r="L42" s="7">
        <f t="shared" si="14"/>
        <v>521.65</v>
      </c>
      <c r="M42" s="2"/>
      <c r="N42" s="6">
        <f t="shared" si="15"/>
        <v>0</v>
      </c>
      <c r="O42" s="11"/>
      <c r="P42" s="7">
        <v>4307.47</v>
      </c>
      <c r="Q42" s="2"/>
      <c r="R42" s="6">
        <f t="shared" si="16"/>
        <v>2.3824716872034211E-3</v>
      </c>
      <c r="S42" s="2"/>
      <c r="T42" s="7">
        <v>125</v>
      </c>
      <c r="U42" s="2"/>
      <c r="V42" s="6">
        <f t="shared" si="17"/>
        <v>6.9192307675275744E-5</v>
      </c>
      <c r="W42" s="2"/>
      <c r="X42" s="7">
        <f t="shared" si="18"/>
        <v>4182.47</v>
      </c>
      <c r="Y42" s="2"/>
      <c r="Z42" s="6">
        <f t="shared" si="19"/>
        <v>33.459760000000003</v>
      </c>
    </row>
    <row r="43" spans="1:26" s="27" customFormat="1" outlineLevel="1" collapsed="1" x14ac:dyDescent="0.25">
      <c r="A43" s="26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49952.36</v>
      </c>
      <c r="E43" s="1"/>
      <c r="F43" s="5">
        <f t="shared" ref="F43:F53" si="20">IF(D$12=0,0,D43/D$12)</f>
        <v>0.27568913646817456</v>
      </c>
      <c r="G43" s="1"/>
      <c r="H43" s="1">
        <f>SUM(OSRRefH22_1x_0)</f>
        <v>53642.207440384613</v>
      </c>
      <c r="I43" s="1"/>
      <c r="J43" s="5">
        <f t="shared" ref="J43:J53" si="21">IF(H$12=0,0,H43/H$12)</f>
        <v>0.30587146081473765</v>
      </c>
      <c r="K43" s="1"/>
      <c r="L43" s="1">
        <f t="shared" ref="L43:L53" si="22">+D43-H43</f>
        <v>-3689.8474403846121</v>
      </c>
      <c r="M43" s="1"/>
      <c r="N43" s="5">
        <f t="shared" ref="N43:N53" si="23">IF(H43=0,0,L43/H43)</f>
        <v>-6.8786271416688666E-2</v>
      </c>
      <c r="O43" s="13"/>
      <c r="P43" s="1">
        <f>SUM(OSRRefP22_1x_0)</f>
        <v>366990.49999999994</v>
      </c>
      <c r="Q43" s="1"/>
      <c r="R43" s="5">
        <f t="shared" ref="R43:R53" si="24">IF(P$12=0,0,P43/P$12)</f>
        <v>0.20298330010949045</v>
      </c>
      <c r="S43" s="1"/>
      <c r="T43" s="1">
        <f>SUM(OSRRefT22_1x_0)</f>
        <v>382397.06969038467</v>
      </c>
      <c r="U43" s="1"/>
      <c r="V43" s="5">
        <f t="shared" ref="V43:V53" si="25">IF(T$12=0,0,T43/T$12)</f>
        <v>0.21167148560112764</v>
      </c>
      <c r="W43" s="1"/>
      <c r="X43" s="1">
        <f t="shared" ref="X43:X53" si="26">+P43-T43</f>
        <v>-15406.569690384727</v>
      </c>
      <c r="Y43" s="1"/>
      <c r="Z43" s="5">
        <f t="shared" ref="Z43:Z53" si="27">IF(T43=0,0,X43/T43)</f>
        <v>-4.0289455415699081E-2</v>
      </c>
    </row>
    <row r="44" spans="1:26" s="24" customFormat="1" hidden="1" outlineLevel="2" x14ac:dyDescent="0.25">
      <c r="A44" s="25"/>
      <c r="B44" s="11" t="str">
        <f>CONCATENATE("          ", "6001", " - ", "ADMINISTRATIVE SALARIES")</f>
        <v xml:space="preserve">          6001 - ADMINISTRATIVE SALARIES</v>
      </c>
      <c r="C44" s="11"/>
      <c r="D44" s="7"/>
      <c r="E44" s="2"/>
      <c r="F44" s="6">
        <f t="shared" si="20"/>
        <v>0</v>
      </c>
      <c r="G44" s="2"/>
      <c r="H44" s="7">
        <v>16487.214740384617</v>
      </c>
      <c r="I44" s="2"/>
      <c r="J44" s="6">
        <f t="shared" si="21"/>
        <v>9.4011203081309294E-2</v>
      </c>
      <c r="K44" s="2"/>
      <c r="L44" s="7">
        <f t="shared" si="22"/>
        <v>-16487.214740384617</v>
      </c>
      <c r="M44" s="2"/>
      <c r="N44" s="6">
        <f t="shared" si="23"/>
        <v>-1</v>
      </c>
      <c r="O44" s="11"/>
      <c r="P44" s="7"/>
      <c r="Q44" s="2"/>
      <c r="R44" s="6">
        <f t="shared" si="24"/>
        <v>0</v>
      </c>
      <c r="S44" s="2"/>
      <c r="T44" s="7">
        <v>99705.105740384664</v>
      </c>
      <c r="U44" s="2"/>
      <c r="V44" s="6">
        <f t="shared" si="25"/>
        <v>5.5190610825476778E-2</v>
      </c>
      <c r="W44" s="2"/>
      <c r="X44" s="7">
        <f t="shared" si="26"/>
        <v>-99705.105740384664</v>
      </c>
      <c r="Y44" s="2"/>
      <c r="Z44" s="6">
        <f t="shared" si="27"/>
        <v>-1</v>
      </c>
    </row>
    <row r="45" spans="1:26" s="24" customFormat="1" hidden="1" outlineLevel="2" x14ac:dyDescent="0.25">
      <c r="A45" s="25"/>
      <c r="B45" s="11" t="str">
        <f>CONCATENATE("          ", "6002", " - ", "STAFF SALARIES")</f>
        <v xml:space="preserve">          6002 - STAFF SALARIES</v>
      </c>
      <c r="C45" s="11"/>
      <c r="D45" s="7">
        <v>16075.66</v>
      </c>
      <c r="E45" s="2"/>
      <c r="F45" s="6">
        <f t="shared" si="20"/>
        <v>8.8722231012828515E-2</v>
      </c>
      <c r="G45" s="2"/>
      <c r="H45" s="7">
        <v>4449.6000000000004</v>
      </c>
      <c r="I45" s="2"/>
      <c r="J45" s="6">
        <f t="shared" si="21"/>
        <v>2.5371917320028511E-2</v>
      </c>
      <c r="K45" s="2"/>
      <c r="L45" s="7">
        <f t="shared" si="22"/>
        <v>11626.06</v>
      </c>
      <c r="M45" s="2"/>
      <c r="N45" s="6">
        <f t="shared" si="23"/>
        <v>2.6128326141675653</v>
      </c>
      <c r="O45" s="11"/>
      <c r="P45" s="7">
        <v>114721.79</v>
      </c>
      <c r="Q45" s="2"/>
      <c r="R45" s="6">
        <f t="shared" si="24"/>
        <v>6.345288918560002E-2</v>
      </c>
      <c r="S45" s="2"/>
      <c r="T45" s="7">
        <v>27587.52</v>
      </c>
      <c r="U45" s="2"/>
      <c r="V45" s="6">
        <f t="shared" si="25"/>
        <v>1.5270753374702585E-2</v>
      </c>
      <c r="W45" s="2"/>
      <c r="X45" s="7">
        <f t="shared" si="26"/>
        <v>87134.26999999999</v>
      </c>
      <c r="Y45" s="2"/>
      <c r="Z45" s="6">
        <f t="shared" si="27"/>
        <v>3.1584669444734428</v>
      </c>
    </row>
    <row r="46" spans="1:26" s="24" customFormat="1" hidden="1" outlineLevel="2" x14ac:dyDescent="0.25">
      <c r="A46" s="25"/>
      <c r="B46" s="11" t="str">
        <f>CONCATENATE("          ", "6003", " - ", "STAFF HOURLY-9 MONTH")</f>
        <v xml:space="preserve">          6003 - STAFF HOURLY-9 MONTH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5"/>
      <c r="B47" s="11" t="str">
        <f>CONCATENATE("          ", "6004", " - ", "STAFF HOURLY")</f>
        <v xml:space="preserve">          6004 - STAFF HOURLY</v>
      </c>
      <c r="C47" s="11"/>
      <c r="D47" s="7"/>
      <c r="E47" s="2"/>
      <c r="F47" s="6">
        <f t="shared" si="20"/>
        <v>0</v>
      </c>
      <c r="G47" s="2"/>
      <c r="H47" s="7">
        <v>2054.85</v>
      </c>
      <c r="I47" s="2"/>
      <c r="J47" s="6">
        <f t="shared" si="21"/>
        <v>1.1716892373485388E-2</v>
      </c>
      <c r="K47" s="2"/>
      <c r="L47" s="7">
        <f t="shared" si="22"/>
        <v>-2054.85</v>
      </c>
      <c r="M47" s="2"/>
      <c r="N47" s="6">
        <f t="shared" si="23"/>
        <v>-1</v>
      </c>
      <c r="O47" s="11"/>
      <c r="P47" s="7">
        <v>254.64</v>
      </c>
      <c r="Q47" s="2"/>
      <c r="R47" s="6">
        <f t="shared" si="24"/>
        <v>1.4084197694458209E-4</v>
      </c>
      <c r="S47" s="2"/>
      <c r="T47" s="7">
        <v>12699.9</v>
      </c>
      <c r="U47" s="2"/>
      <c r="V47" s="6">
        <f t="shared" si="25"/>
        <v>7.0298831059618745E-3</v>
      </c>
      <c r="W47" s="2"/>
      <c r="X47" s="7">
        <f t="shared" si="26"/>
        <v>-12445.26</v>
      </c>
      <c r="Y47" s="2"/>
      <c r="Z47" s="6">
        <f t="shared" si="27"/>
        <v>-0.97994944842085374</v>
      </c>
    </row>
    <row r="48" spans="1:26" s="24" customFormat="1" hidden="1" outlineLevel="2" x14ac:dyDescent="0.25">
      <c r="A48" s="25"/>
      <c r="B48" s="11" t="str">
        <f>CONCATENATE("          ", "6005", " - ", "TEMPORARY WAGES-HOURLY")</f>
        <v xml:space="preserve">          6005 - TEMPORARY WAGES-HOURLY</v>
      </c>
      <c r="C48" s="11"/>
      <c r="D48" s="7">
        <v>7125.11</v>
      </c>
      <c r="E48" s="2"/>
      <c r="F48" s="6">
        <f t="shared" si="20"/>
        <v>3.9323776156737239E-2</v>
      </c>
      <c r="G48" s="2"/>
      <c r="H48" s="7">
        <v>1638.2911999999999</v>
      </c>
      <c r="I48" s="2"/>
      <c r="J48" s="6">
        <f t="shared" si="21"/>
        <v>9.3416461867426928E-3</v>
      </c>
      <c r="K48" s="2"/>
      <c r="L48" s="7">
        <f t="shared" si="22"/>
        <v>5486.8188</v>
      </c>
      <c r="M48" s="2"/>
      <c r="N48" s="6">
        <f t="shared" si="23"/>
        <v>3.3491108296254049</v>
      </c>
      <c r="O48" s="11"/>
      <c r="P48" s="7">
        <v>46578.39</v>
      </c>
      <c r="Q48" s="2"/>
      <c r="R48" s="6">
        <f t="shared" si="24"/>
        <v>2.5762615969587468E-2</v>
      </c>
      <c r="S48" s="2"/>
      <c r="T48" s="7">
        <v>8346.8112000000001</v>
      </c>
      <c r="U48" s="2"/>
      <c r="V48" s="6">
        <f t="shared" si="25"/>
        <v>4.6202810292627003E-3</v>
      </c>
      <c r="W48" s="2"/>
      <c r="X48" s="7">
        <f t="shared" si="26"/>
        <v>38231.578800000003</v>
      </c>
      <c r="Y48" s="2"/>
      <c r="Z48" s="6">
        <f t="shared" si="27"/>
        <v>4.5803814036191453</v>
      </c>
    </row>
    <row r="49" spans="1:26" s="24" customFormat="1" hidden="1" outlineLevel="2" x14ac:dyDescent="0.25">
      <c r="A49" s="25"/>
      <c r="B49" s="11" t="str">
        <f>CONCATENATE("          ", "6006", " - ", "TEMPORARY PART TIME")</f>
        <v xml:space="preserve">          6006 - TEMPORARY PART TIME</v>
      </c>
      <c r="C49" s="11"/>
      <c r="D49" s="7">
        <v>602.55999999999995</v>
      </c>
      <c r="E49" s="2"/>
      <c r="F49" s="6">
        <f t="shared" si="20"/>
        <v>3.3255535087884387E-3</v>
      </c>
      <c r="G49" s="2"/>
      <c r="H49" s="7">
        <v>0</v>
      </c>
      <c r="I49" s="2"/>
      <c r="J49" s="6">
        <f t="shared" si="21"/>
        <v>0</v>
      </c>
      <c r="K49" s="2"/>
      <c r="L49" s="7">
        <f t="shared" si="22"/>
        <v>602.55999999999995</v>
      </c>
      <c r="M49" s="2"/>
      <c r="N49" s="6">
        <f t="shared" si="23"/>
        <v>0</v>
      </c>
      <c r="O49" s="11"/>
      <c r="P49" s="7">
        <v>10635.99</v>
      </c>
      <c r="Q49" s="2"/>
      <c r="R49" s="6">
        <f t="shared" si="24"/>
        <v>5.8827908355435351E-3</v>
      </c>
      <c r="S49" s="2"/>
      <c r="T49" s="7">
        <v>0</v>
      </c>
      <c r="U49" s="2"/>
      <c r="V49" s="6">
        <f t="shared" si="25"/>
        <v>0</v>
      </c>
      <c r="W49" s="2"/>
      <c r="X49" s="7">
        <f t="shared" si="26"/>
        <v>10635.99</v>
      </c>
      <c r="Y49" s="2"/>
      <c r="Z49" s="6">
        <f t="shared" si="27"/>
        <v>0</v>
      </c>
    </row>
    <row r="50" spans="1:26" s="24" customFormat="1" hidden="1" outlineLevel="2" x14ac:dyDescent="0.25">
      <c r="A50" s="25"/>
      <c r="B50" s="11" t="str">
        <f>CONCATENATE("          ", "6007", " - ", "STUDENT HOURLY")</f>
        <v xml:space="preserve">          6007 - STUDENT HOURLY</v>
      </c>
      <c r="C50" s="11"/>
      <c r="D50" s="7">
        <v>25996.28</v>
      </c>
      <c r="E50" s="2"/>
      <c r="F50" s="6">
        <f t="shared" si="20"/>
        <v>0.14347454223553954</v>
      </c>
      <c r="G50" s="2"/>
      <c r="H50" s="7">
        <v>0</v>
      </c>
      <c r="I50" s="2"/>
      <c r="J50" s="6">
        <f t="shared" si="21"/>
        <v>0</v>
      </c>
      <c r="K50" s="2"/>
      <c r="L50" s="7">
        <f t="shared" si="22"/>
        <v>25996.28</v>
      </c>
      <c r="M50" s="2"/>
      <c r="N50" s="6">
        <f t="shared" si="23"/>
        <v>0</v>
      </c>
      <c r="O50" s="11"/>
      <c r="P50" s="7">
        <v>185816.15</v>
      </c>
      <c r="Q50" s="2"/>
      <c r="R50" s="6">
        <f t="shared" si="24"/>
        <v>0.10277534524910072</v>
      </c>
      <c r="S50" s="2"/>
      <c r="T50" s="7">
        <v>14410.143749999999</v>
      </c>
      <c r="U50" s="2"/>
      <c r="V50" s="6">
        <f t="shared" si="25"/>
        <v>7.976568799959614E-3</v>
      </c>
      <c r="W50" s="2"/>
      <c r="X50" s="7">
        <f t="shared" si="26"/>
        <v>171406.00625000001</v>
      </c>
      <c r="Y50" s="2"/>
      <c r="Z50" s="6">
        <f t="shared" si="27"/>
        <v>11.894815848037602</v>
      </c>
    </row>
    <row r="51" spans="1:26" s="24" customFormat="1" hidden="1" outlineLevel="2" x14ac:dyDescent="0.25">
      <c r="A51" s="25"/>
      <c r="B51" s="11" t="str">
        <f>CONCATENATE("          ", "6008", " - ", "STUDENT HOURLY-FICA EXEMPT")</f>
        <v xml:space="preserve">          6008 - STUDENT HOURLY-FICA EXEMPT</v>
      </c>
      <c r="C51" s="11"/>
      <c r="D51" s="7">
        <v>152.75</v>
      </c>
      <c r="E51" s="2"/>
      <c r="F51" s="6">
        <f t="shared" si="20"/>
        <v>8.4303355428079203E-4</v>
      </c>
      <c r="G51" s="2"/>
      <c r="H51" s="7">
        <v>29012.251499999998</v>
      </c>
      <c r="I51" s="2"/>
      <c r="J51" s="6">
        <f t="shared" si="21"/>
        <v>0.16542980185317177</v>
      </c>
      <c r="K51" s="2"/>
      <c r="L51" s="7">
        <f t="shared" si="22"/>
        <v>-28859.501499999998</v>
      </c>
      <c r="M51" s="2"/>
      <c r="N51" s="6">
        <f t="shared" si="23"/>
        <v>-0.99473498290885831</v>
      </c>
      <c r="O51" s="11"/>
      <c r="P51" s="7">
        <v>8983.5400000000009</v>
      </c>
      <c r="Q51" s="2"/>
      <c r="R51" s="6">
        <f t="shared" si="24"/>
        <v>4.96881689271415E-3</v>
      </c>
      <c r="S51" s="2"/>
      <c r="T51" s="7">
        <v>219647.58899999998</v>
      </c>
      <c r="U51" s="2"/>
      <c r="V51" s="6">
        <f t="shared" si="25"/>
        <v>0.12158338846576408</v>
      </c>
      <c r="W51" s="2"/>
      <c r="X51" s="7">
        <f t="shared" si="26"/>
        <v>-210664.04899999997</v>
      </c>
      <c r="Y51" s="2"/>
      <c r="Z51" s="6">
        <f t="shared" si="27"/>
        <v>-0.95910021120240929</v>
      </c>
    </row>
    <row r="52" spans="1:26" s="24" customFormat="1" hidden="1" outlineLevel="2" x14ac:dyDescent="0.25">
      <c r="A52" s="25"/>
      <c r="B52" s="11" t="str">
        <f>CONCATENATE("          ", "6009", " - ", "TEMPORARY-SEASONAL")</f>
        <v xml:space="preserve">          6009 - TEMPORARY-SEASONAL</v>
      </c>
      <c r="C52" s="11"/>
      <c r="D52" s="7"/>
      <c r="E52" s="2"/>
      <c r="F52" s="6">
        <f t="shared" si="20"/>
        <v>0</v>
      </c>
      <c r="G52" s="2"/>
      <c r="H52" s="7">
        <v>0</v>
      </c>
      <c r="I52" s="2"/>
      <c r="J52" s="6">
        <f t="shared" si="21"/>
        <v>0</v>
      </c>
      <c r="K52" s="2"/>
      <c r="L52" s="7">
        <f t="shared" si="22"/>
        <v>0</v>
      </c>
      <c r="M52" s="2"/>
      <c r="N52" s="6">
        <f t="shared" si="23"/>
        <v>0</v>
      </c>
      <c r="O52" s="11"/>
      <c r="P52" s="7"/>
      <c r="Q52" s="2"/>
      <c r="R52" s="6">
        <f t="shared" si="24"/>
        <v>0</v>
      </c>
      <c r="S52" s="2"/>
      <c r="T52" s="7">
        <v>0</v>
      </c>
      <c r="U52" s="2"/>
      <c r="V52" s="6">
        <f t="shared" si="25"/>
        <v>0</v>
      </c>
      <c r="W52" s="2"/>
      <c r="X52" s="7">
        <f t="shared" si="26"/>
        <v>0</v>
      </c>
      <c r="Y52" s="2"/>
      <c r="Z52" s="6">
        <f t="shared" si="27"/>
        <v>0</v>
      </c>
    </row>
    <row r="53" spans="1:26" s="24" customFormat="1" hidden="1" outlineLevel="2" x14ac:dyDescent="0.25">
      <c r="A53" s="25"/>
      <c r="B53" s="11" t="str">
        <f>CONCATENATE("          ", "6010", " - ", "GRATUITY")</f>
        <v xml:space="preserve">          6010 - GRATUITY</v>
      </c>
      <c r="C53" s="11"/>
      <c r="D53" s="7"/>
      <c r="E53" s="2"/>
      <c r="F53" s="6">
        <f t="shared" si="20"/>
        <v>0</v>
      </c>
      <c r="G53" s="2"/>
      <c r="H53" s="7">
        <v>0</v>
      </c>
      <c r="I53" s="2"/>
      <c r="J53" s="6">
        <f t="shared" si="21"/>
        <v>0</v>
      </c>
      <c r="K53" s="2"/>
      <c r="L53" s="7">
        <f t="shared" si="22"/>
        <v>0</v>
      </c>
      <c r="M53" s="2"/>
      <c r="N53" s="6">
        <f t="shared" si="23"/>
        <v>0</v>
      </c>
      <c r="O53" s="11"/>
      <c r="P53" s="7"/>
      <c r="Q53" s="2"/>
      <c r="R53" s="6">
        <f t="shared" si="24"/>
        <v>0</v>
      </c>
      <c r="S53" s="2"/>
      <c r="T53" s="7">
        <v>0</v>
      </c>
      <c r="U53" s="2"/>
      <c r="V53" s="6">
        <f t="shared" si="25"/>
        <v>0</v>
      </c>
      <c r="W53" s="2"/>
      <c r="X53" s="7">
        <f t="shared" si="26"/>
        <v>0</v>
      </c>
      <c r="Y53" s="2"/>
      <c r="Z53" s="6">
        <f t="shared" si="27"/>
        <v>0</v>
      </c>
    </row>
    <row r="54" spans="1:26" s="27" customFormat="1" outlineLevel="1" collapsed="1" x14ac:dyDescent="0.25">
      <c r="A54" s="26"/>
      <c r="B54" s="13" t="str">
        <f>CONCATENATE("     ","Advertising/Promo                                 ")</f>
        <v xml:space="preserve">     Advertising/Promo                                 </v>
      </c>
      <c r="C54" s="13"/>
      <c r="D54" s="1">
        <f>SUM(OSRRefD22_2x_0)</f>
        <v>580.57000000000005</v>
      </c>
      <c r="E54" s="1"/>
      <c r="F54" s="5">
        <f t="shared" ref="F54:F63" si="28">IF(D$12=0,0,D54/D$12)</f>
        <v>3.2041897912196363E-3</v>
      </c>
      <c r="G54" s="1"/>
      <c r="H54" s="1">
        <f>SUM(OSRRefH22_2x_0)</f>
        <v>150</v>
      </c>
      <c r="I54" s="1"/>
      <c r="J54" s="5">
        <f t="shared" ref="J54:J63" si="29">IF(H$12=0,0,H54/H$12)</f>
        <v>8.5531004989308627E-4</v>
      </c>
      <c r="K54" s="1"/>
      <c r="L54" s="1">
        <f t="shared" ref="L54:L63" si="30">+D54-H54</f>
        <v>430.57000000000005</v>
      </c>
      <c r="M54" s="1"/>
      <c r="N54" s="5">
        <f t="shared" ref="N54:N63" si="31">IF(H54=0,0,L54/H54)</f>
        <v>2.8704666666666672</v>
      </c>
      <c r="O54" s="13"/>
      <c r="P54" s="1">
        <f>SUM(OSRRefP22_2x_0)</f>
        <v>3013.98</v>
      </c>
      <c r="Q54" s="1"/>
      <c r="R54" s="5">
        <f t="shared" ref="R54:R63" si="32">IF(P$12=0,0,P54/P$12)</f>
        <v>1.6670393562340227E-3</v>
      </c>
      <c r="S54" s="1"/>
      <c r="T54" s="1">
        <f>SUM(OSRRefT22_2x_0)</f>
        <v>825</v>
      </c>
      <c r="U54" s="1"/>
      <c r="V54" s="5">
        <f t="shared" ref="V54:V63" si="33">IF(T$12=0,0,T54/T$12)</f>
        <v>4.5666923065681991E-4</v>
      </c>
      <c r="W54" s="1"/>
      <c r="X54" s="1">
        <f t="shared" ref="X54:X63" si="34">+P54-T54</f>
        <v>2188.98</v>
      </c>
      <c r="Y54" s="1"/>
      <c r="Z54" s="5">
        <f t="shared" ref="Z54:Z63" si="35">IF(T54=0,0,X54/T54)</f>
        <v>2.6533090909090911</v>
      </c>
    </row>
    <row r="55" spans="1:26" s="24" customFormat="1" hidden="1" outlineLevel="2" x14ac:dyDescent="0.25">
      <c r="A55" s="25"/>
      <c r="B55" s="11" t="str">
        <f>CONCATENATE("          ", "6362", " - ", "ADVERTISING EXPENSE")</f>
        <v xml:space="preserve">          6362 - ADVERTISING EXPENSE</v>
      </c>
      <c r="C55" s="11"/>
      <c r="D55" s="7">
        <v>580.57000000000005</v>
      </c>
      <c r="E55" s="2"/>
      <c r="F55" s="6">
        <f t="shared" si="28"/>
        <v>3.2041897912196363E-3</v>
      </c>
      <c r="G55" s="2"/>
      <c r="H55" s="7">
        <v>150</v>
      </c>
      <c r="I55" s="2"/>
      <c r="J55" s="6">
        <f t="shared" si="29"/>
        <v>8.5531004989308627E-4</v>
      </c>
      <c r="K55" s="2"/>
      <c r="L55" s="7">
        <f t="shared" si="30"/>
        <v>430.57000000000005</v>
      </c>
      <c r="M55" s="2"/>
      <c r="N55" s="6">
        <f t="shared" si="31"/>
        <v>2.8704666666666672</v>
      </c>
      <c r="O55" s="11"/>
      <c r="P55" s="7">
        <v>3013.98</v>
      </c>
      <c r="Q55" s="2"/>
      <c r="R55" s="6">
        <f t="shared" si="32"/>
        <v>1.6670393562340227E-3</v>
      </c>
      <c r="S55" s="2"/>
      <c r="T55" s="7">
        <v>825</v>
      </c>
      <c r="U55" s="2"/>
      <c r="V55" s="6">
        <f t="shared" si="33"/>
        <v>4.5666923065681991E-4</v>
      </c>
      <c r="W55" s="2"/>
      <c r="X55" s="7">
        <f t="shared" si="34"/>
        <v>2188.98</v>
      </c>
      <c r="Y55" s="2"/>
      <c r="Z55" s="6">
        <f t="shared" si="35"/>
        <v>2.6533090909090911</v>
      </c>
    </row>
    <row r="56" spans="1:26" s="27" customFormat="1" outlineLevel="1" collapsed="1" x14ac:dyDescent="0.25">
      <c r="A56" s="26"/>
      <c r="B56" s="13" t="str">
        <f>CONCATENATE("     ","Bad Debts/Over/Short                              ")</f>
        <v xml:space="preserve">     Bad Debts/Over/Short                              </v>
      </c>
      <c r="C56" s="13"/>
      <c r="D56" s="1">
        <f>SUM(OSRRefD22_3x_0)</f>
        <v>-35.44</v>
      </c>
      <c r="E56" s="1"/>
      <c r="F56" s="5">
        <f t="shared" si="28"/>
        <v>-1.955948226756875E-4</v>
      </c>
      <c r="G56" s="1"/>
      <c r="H56" s="1">
        <f>SUM(OSRRefH22_3x_0)</f>
        <v>10</v>
      </c>
      <c r="I56" s="1"/>
      <c r="J56" s="5">
        <f t="shared" si="29"/>
        <v>5.7020669992872413E-5</v>
      </c>
      <c r="K56" s="1"/>
      <c r="L56" s="1">
        <f t="shared" si="30"/>
        <v>-45.44</v>
      </c>
      <c r="M56" s="1"/>
      <c r="N56" s="5">
        <f t="shared" si="31"/>
        <v>-4.5439999999999996</v>
      </c>
      <c r="O56" s="13"/>
      <c r="P56" s="1">
        <f>SUM(OSRRefP22_3x_0)</f>
        <v>-318.32</v>
      </c>
      <c r="Q56" s="1"/>
      <c r="R56" s="5">
        <f t="shared" si="32"/>
        <v>-1.7606353322729883E-4</v>
      </c>
      <c r="S56" s="1"/>
      <c r="T56" s="1">
        <f>SUM(OSRRefT22_3x_0)</f>
        <v>70</v>
      </c>
      <c r="U56" s="1"/>
      <c r="V56" s="5">
        <f t="shared" si="33"/>
        <v>3.8747692298154418E-5</v>
      </c>
      <c r="W56" s="1"/>
      <c r="X56" s="1">
        <f t="shared" si="34"/>
        <v>-388.32</v>
      </c>
      <c r="Y56" s="1"/>
      <c r="Z56" s="5">
        <f t="shared" si="35"/>
        <v>-5.5474285714285712</v>
      </c>
    </row>
    <row r="57" spans="1:26" s="24" customFormat="1" hidden="1" outlineLevel="2" x14ac:dyDescent="0.25">
      <c r="A57" s="25"/>
      <c r="B57" s="11" t="str">
        <f>CONCATENATE("          ", "6272", " - ", "CASH (OVER/SHORT)")</f>
        <v xml:space="preserve">          6272 - CASH (OVER/SHORT)</v>
      </c>
      <c r="C57" s="11"/>
      <c r="D57" s="7">
        <v>-35.44</v>
      </c>
      <c r="E57" s="2"/>
      <c r="F57" s="6">
        <f t="shared" si="28"/>
        <v>-1.955948226756875E-4</v>
      </c>
      <c r="G57" s="2"/>
      <c r="H57" s="7">
        <v>10</v>
      </c>
      <c r="I57" s="2"/>
      <c r="J57" s="6">
        <f t="shared" si="29"/>
        <v>5.7020669992872413E-5</v>
      </c>
      <c r="K57" s="2"/>
      <c r="L57" s="7">
        <f t="shared" si="30"/>
        <v>-45.44</v>
      </c>
      <c r="M57" s="2"/>
      <c r="N57" s="6">
        <f t="shared" si="31"/>
        <v>-4.5439999999999996</v>
      </c>
      <c r="O57" s="11"/>
      <c r="P57" s="7">
        <v>-318.32</v>
      </c>
      <c r="Q57" s="2"/>
      <c r="R57" s="6">
        <f t="shared" si="32"/>
        <v>-1.7606353322729883E-4</v>
      </c>
      <c r="S57" s="2"/>
      <c r="T57" s="7">
        <v>70</v>
      </c>
      <c r="U57" s="2"/>
      <c r="V57" s="6">
        <f t="shared" si="33"/>
        <v>3.8747692298154418E-5</v>
      </c>
      <c r="W57" s="2"/>
      <c r="X57" s="7">
        <f t="shared" si="34"/>
        <v>-388.32</v>
      </c>
      <c r="Y57" s="2"/>
      <c r="Z57" s="6">
        <f t="shared" si="35"/>
        <v>-5.5474285714285712</v>
      </c>
    </row>
    <row r="58" spans="1:26" s="27" customFormat="1" outlineLevel="1" collapsed="1" x14ac:dyDescent="0.25">
      <c r="A58" s="26"/>
      <c r="B58" s="13" t="str">
        <f>CONCATENATE("     ","Bank/card Fees                                    ")</f>
        <v xml:space="preserve">     Bank/card Fees                                    </v>
      </c>
      <c r="C58" s="13"/>
      <c r="D58" s="1">
        <f>SUM(OSRRefD22_4x_0)</f>
        <v>7439.16</v>
      </c>
      <c r="E58" s="1"/>
      <c r="F58" s="5">
        <f t="shared" si="28"/>
        <v>4.1057031068173461E-2</v>
      </c>
      <c r="G58" s="1"/>
      <c r="H58" s="1">
        <f>SUM(OSRRefH22_4x_0)</f>
        <v>5280</v>
      </c>
      <c r="I58" s="1"/>
      <c r="J58" s="5">
        <f t="shared" si="29"/>
        <v>3.0106913756236635E-2</v>
      </c>
      <c r="K58" s="1"/>
      <c r="L58" s="1">
        <f t="shared" si="30"/>
        <v>2159.16</v>
      </c>
      <c r="M58" s="1"/>
      <c r="N58" s="5">
        <f t="shared" si="31"/>
        <v>0.40893181818181817</v>
      </c>
      <c r="O58" s="13"/>
      <c r="P58" s="1">
        <f>SUM(OSRRefP22_4x_0)</f>
        <v>64154.16</v>
      </c>
      <c r="Q58" s="1"/>
      <c r="R58" s="5">
        <f t="shared" si="32"/>
        <v>3.5483815282826861E-2</v>
      </c>
      <c r="S58" s="1"/>
      <c r="T58" s="1">
        <f>SUM(OSRRefT22_4x_0)</f>
        <v>57579</v>
      </c>
      <c r="U58" s="1"/>
      <c r="V58" s="5">
        <f t="shared" si="33"/>
        <v>3.1872191069077613E-2</v>
      </c>
      <c r="W58" s="1"/>
      <c r="X58" s="1">
        <f t="shared" si="34"/>
        <v>6575.1600000000035</v>
      </c>
      <c r="Y58" s="1"/>
      <c r="Z58" s="5">
        <f t="shared" si="35"/>
        <v>0.11419371645912578</v>
      </c>
    </row>
    <row r="59" spans="1:26" s="24" customFormat="1" hidden="1" outlineLevel="2" x14ac:dyDescent="0.25">
      <c r="A59" s="25"/>
      <c r="B59" s="11" t="str">
        <f>CONCATENATE("          ", "6381", " - ", "BANK/CREDIT CARD FEES")</f>
        <v xml:space="preserve">          6381 - BANK/CREDIT CARD FEES</v>
      </c>
      <c r="C59" s="11"/>
      <c r="D59" s="7">
        <v>7439.16</v>
      </c>
      <c r="E59" s="2"/>
      <c r="F59" s="6">
        <f t="shared" si="28"/>
        <v>4.1057031068173461E-2</v>
      </c>
      <c r="G59" s="2"/>
      <c r="H59" s="7">
        <v>5280</v>
      </c>
      <c r="I59" s="2"/>
      <c r="J59" s="6">
        <f t="shared" si="29"/>
        <v>3.0106913756236635E-2</v>
      </c>
      <c r="K59" s="2"/>
      <c r="L59" s="7">
        <f t="shared" si="30"/>
        <v>2159.16</v>
      </c>
      <c r="M59" s="2"/>
      <c r="N59" s="6">
        <f t="shared" si="31"/>
        <v>0.40893181818181817</v>
      </c>
      <c r="O59" s="11"/>
      <c r="P59" s="7">
        <v>64154.16</v>
      </c>
      <c r="Q59" s="2"/>
      <c r="R59" s="6">
        <f t="shared" si="32"/>
        <v>3.5483815282826861E-2</v>
      </c>
      <c r="S59" s="2"/>
      <c r="T59" s="7">
        <v>57579</v>
      </c>
      <c r="U59" s="2"/>
      <c r="V59" s="6">
        <f t="shared" si="33"/>
        <v>3.1872191069077613E-2</v>
      </c>
      <c r="W59" s="2"/>
      <c r="X59" s="7">
        <f t="shared" si="34"/>
        <v>6575.1600000000035</v>
      </c>
      <c r="Y59" s="2"/>
      <c r="Z59" s="6">
        <f t="shared" si="35"/>
        <v>0.11419371645912578</v>
      </c>
    </row>
    <row r="60" spans="1:26" s="27" customFormat="1" outlineLevel="1" collapsed="1" x14ac:dyDescent="0.25">
      <c r="A60" s="26"/>
      <c r="B60" s="13" t="str">
        <f>CONCATENATE("     ","Depreciation                                      ")</f>
        <v xml:space="preserve">     Depreciation                                      </v>
      </c>
      <c r="C60" s="13"/>
      <c r="D60" s="1">
        <f>SUM(OSRRefD22_5x_0)</f>
        <v>8546.9</v>
      </c>
      <c r="E60" s="1"/>
      <c r="F60" s="5">
        <f t="shared" si="28"/>
        <v>4.7170693846693951E-2</v>
      </c>
      <c r="G60" s="1"/>
      <c r="H60" s="1">
        <f>SUM(OSRRefH22_5x_0)</f>
        <v>9234</v>
      </c>
      <c r="I60" s="1"/>
      <c r="J60" s="5">
        <f t="shared" si="29"/>
        <v>5.2652886671418389E-2</v>
      </c>
      <c r="K60" s="1"/>
      <c r="L60" s="1">
        <f t="shared" si="30"/>
        <v>-687.10000000000036</v>
      </c>
      <c r="M60" s="1"/>
      <c r="N60" s="5">
        <f t="shared" si="31"/>
        <v>-7.4409789906865975E-2</v>
      </c>
      <c r="O60" s="13"/>
      <c r="P60" s="1">
        <f>SUM(OSRRefP22_5x_0)</f>
        <v>59111.199999999997</v>
      </c>
      <c r="Q60" s="1"/>
      <c r="R60" s="5">
        <f t="shared" si="32"/>
        <v>3.2694542363990657E-2</v>
      </c>
      <c r="S60" s="1"/>
      <c r="T60" s="1">
        <f>SUM(OSRRefT22_5x_0)</f>
        <v>61884</v>
      </c>
      <c r="U60" s="1"/>
      <c r="V60" s="5">
        <f t="shared" si="33"/>
        <v>3.4255174145414111E-2</v>
      </c>
      <c r="W60" s="1"/>
      <c r="X60" s="1">
        <f t="shared" si="34"/>
        <v>-2772.8000000000029</v>
      </c>
      <c r="Y60" s="1"/>
      <c r="Z60" s="5">
        <f t="shared" si="35"/>
        <v>-4.4806411996638922E-2</v>
      </c>
    </row>
    <row r="61" spans="1:26" s="24" customFormat="1" hidden="1" outlineLevel="2" x14ac:dyDescent="0.25">
      <c r="A61" s="25"/>
      <c r="B61" s="11" t="str">
        <f>CONCATENATE("          ", "6321", " - ", "BUILDING DEPRECIATION")</f>
        <v xml:space="preserve">          6321 - BUILDING DEPRECIATION</v>
      </c>
      <c r="C61" s="11"/>
      <c r="D61" s="7">
        <v>5080.51</v>
      </c>
      <c r="E61" s="2"/>
      <c r="F61" s="6">
        <f t="shared" si="28"/>
        <v>2.8039544372236377E-2</v>
      </c>
      <c r="G61" s="2"/>
      <c r="H61" s="7">
        <v>5081</v>
      </c>
      <c r="I61" s="2"/>
      <c r="J61" s="6">
        <f t="shared" si="29"/>
        <v>2.8972202423378474E-2</v>
      </c>
      <c r="K61" s="2"/>
      <c r="L61" s="7">
        <f t="shared" si="30"/>
        <v>-0.48999999999978172</v>
      </c>
      <c r="M61" s="2"/>
      <c r="N61" s="6">
        <f t="shared" si="31"/>
        <v>-9.6437709112336489E-5</v>
      </c>
      <c r="O61" s="11"/>
      <c r="P61" s="7">
        <v>35563.57</v>
      </c>
      <c r="Q61" s="2"/>
      <c r="R61" s="6">
        <f t="shared" si="32"/>
        <v>1.9670293378915456E-2</v>
      </c>
      <c r="S61" s="2"/>
      <c r="T61" s="7">
        <v>35567</v>
      </c>
      <c r="U61" s="2"/>
      <c r="V61" s="6">
        <f t="shared" si="33"/>
        <v>1.9687702456692258E-2</v>
      </c>
      <c r="W61" s="2"/>
      <c r="X61" s="7">
        <f t="shared" si="34"/>
        <v>-3.430000000000291</v>
      </c>
      <c r="Y61" s="2"/>
      <c r="Z61" s="6">
        <f t="shared" si="35"/>
        <v>-9.6437709112387636E-5</v>
      </c>
    </row>
    <row r="62" spans="1:26" s="24" customFormat="1" hidden="1" outlineLevel="2" x14ac:dyDescent="0.25">
      <c r="A62" s="25"/>
      <c r="B62" s="11" t="str">
        <f>CONCATENATE("          ", "6322", " - ", "EQUIPMENT DEPRECIATION EXPENSE")</f>
        <v xml:space="preserve">          6322 - EQUIPMENT DEPRECIATION EXPENSE</v>
      </c>
      <c r="C62" s="11"/>
      <c r="D62" s="7">
        <v>3466.39</v>
      </c>
      <c r="E62" s="2"/>
      <c r="F62" s="6">
        <f t="shared" si="28"/>
        <v>1.9131149474457574E-2</v>
      </c>
      <c r="G62" s="2"/>
      <c r="H62" s="7">
        <v>3175</v>
      </c>
      <c r="I62" s="2"/>
      <c r="J62" s="6">
        <f t="shared" si="29"/>
        <v>1.8104062722736992E-2</v>
      </c>
      <c r="K62" s="2"/>
      <c r="L62" s="7">
        <f t="shared" si="30"/>
        <v>291.38999999999987</v>
      </c>
      <c r="M62" s="2"/>
      <c r="N62" s="6">
        <f t="shared" si="31"/>
        <v>9.1776377952755867E-2</v>
      </c>
      <c r="O62" s="11"/>
      <c r="P62" s="7">
        <v>23547.63</v>
      </c>
      <c r="Q62" s="2"/>
      <c r="R62" s="6">
        <f t="shared" si="32"/>
        <v>1.3024248985075204E-2</v>
      </c>
      <c r="S62" s="2"/>
      <c r="T62" s="7">
        <v>22225</v>
      </c>
      <c r="U62" s="2"/>
      <c r="V62" s="6">
        <f t="shared" si="33"/>
        <v>1.2302392304664027E-2</v>
      </c>
      <c r="W62" s="2"/>
      <c r="X62" s="7">
        <f t="shared" si="34"/>
        <v>1322.630000000001</v>
      </c>
      <c r="Y62" s="2"/>
      <c r="Z62" s="6">
        <f t="shared" si="35"/>
        <v>5.9510911136108034E-2</v>
      </c>
    </row>
    <row r="63" spans="1:26" s="24" customFormat="1" hidden="1" outlineLevel="2" x14ac:dyDescent="0.25">
      <c r="A63" s="25"/>
      <c r="B63" s="11" t="str">
        <f>CONCATENATE("          ", "6324", " - ", "FURNITURE + FIXT DEPRECIATION")</f>
        <v xml:space="preserve">          6324 - FURNITURE + FIXT DEPRECIATION</v>
      </c>
      <c r="C63" s="11"/>
      <c r="D63" s="7"/>
      <c r="E63" s="2"/>
      <c r="F63" s="6">
        <f t="shared" si="28"/>
        <v>0</v>
      </c>
      <c r="G63" s="2"/>
      <c r="H63" s="7">
        <v>978</v>
      </c>
      <c r="I63" s="2"/>
      <c r="J63" s="6">
        <f t="shared" si="29"/>
        <v>5.5766215253029222E-3</v>
      </c>
      <c r="K63" s="2"/>
      <c r="L63" s="7">
        <f t="shared" si="30"/>
        <v>-978</v>
      </c>
      <c r="M63" s="2"/>
      <c r="N63" s="6">
        <f t="shared" si="31"/>
        <v>-1</v>
      </c>
      <c r="O63" s="11"/>
      <c r="P63" s="7"/>
      <c r="Q63" s="2"/>
      <c r="R63" s="6">
        <f t="shared" si="32"/>
        <v>0</v>
      </c>
      <c r="S63" s="2"/>
      <c r="T63" s="7">
        <v>4092</v>
      </c>
      <c r="U63" s="2"/>
      <c r="V63" s="6">
        <f t="shared" si="33"/>
        <v>2.2650793840578265E-3</v>
      </c>
      <c r="W63" s="2"/>
      <c r="X63" s="7">
        <f t="shared" si="34"/>
        <v>-4092</v>
      </c>
      <c r="Y63" s="2"/>
      <c r="Z63" s="6">
        <f t="shared" si="35"/>
        <v>-1</v>
      </c>
    </row>
    <row r="64" spans="1:26" s="27" customFormat="1" outlineLevel="1" collapsed="1" x14ac:dyDescent="0.25">
      <c r="A64" s="26"/>
      <c r="B64" s="13" t="str">
        <f>CONCATENATE("     ","Discounts and Markdowns                           ")</f>
        <v xml:space="preserve">     Discounts and Markdowns                           </v>
      </c>
      <c r="C64" s="13"/>
      <c r="D64" s="1">
        <f>SUM(OSRRefD22_6x_0)</f>
        <v>31.78</v>
      </c>
      <c r="E64" s="1"/>
      <c r="F64" s="5">
        <f t="shared" ref="F64:F85" si="36">IF(D$12=0,0,D64/D$12)</f>
        <v>1.7539513162057984E-4</v>
      </c>
      <c r="G64" s="1"/>
      <c r="H64" s="1">
        <f>SUM(OSRRefH22_6x_0)</f>
        <v>0</v>
      </c>
      <c r="I64" s="1"/>
      <c r="J64" s="5">
        <f t="shared" ref="J64:J85" si="37">IF(H$12=0,0,H64/H$12)</f>
        <v>0</v>
      </c>
      <c r="K64" s="1"/>
      <c r="L64" s="1">
        <f t="shared" ref="L64:L85" si="38">+D64-H64</f>
        <v>31.78</v>
      </c>
      <c r="M64" s="1"/>
      <c r="N64" s="5">
        <f t="shared" ref="N64:N85" si="39">IF(H64=0,0,L64/H64)</f>
        <v>0</v>
      </c>
      <c r="O64" s="13"/>
      <c r="P64" s="1">
        <f>SUM(OSRRefP22_6x_0)</f>
        <v>108.15</v>
      </c>
      <c r="Q64" s="1"/>
      <c r="R64" s="5">
        <f t="shared" ref="R64:R85" si="40">IF(P$12=0,0,P64/P$12)</f>
        <v>5.9818016833791057E-5</v>
      </c>
      <c r="S64" s="1"/>
      <c r="T64" s="1">
        <f>SUM(OSRRefT22_6x_0)</f>
        <v>0</v>
      </c>
      <c r="U64" s="1"/>
      <c r="V64" s="5">
        <f t="shared" ref="V64:V85" si="41">IF(T$12=0,0,T64/T$12)</f>
        <v>0</v>
      </c>
      <c r="W64" s="1"/>
      <c r="X64" s="1">
        <f t="shared" ref="X64:X85" si="42">+P64-T64</f>
        <v>108.15</v>
      </c>
      <c r="Y64" s="1"/>
      <c r="Z64" s="5">
        <f t="shared" ref="Z64:Z85" si="43">IF(T64=0,0,X64/T64)</f>
        <v>0</v>
      </c>
    </row>
    <row r="65" spans="1:26" s="24" customFormat="1" hidden="1" outlineLevel="2" x14ac:dyDescent="0.25">
      <c r="A65" s="25"/>
      <c r="B65" s="11" t="str">
        <f>CONCATENATE("          ", "6382", " - ", "DISCOUNTS/MARK DOWNS")</f>
        <v xml:space="preserve">          6382 - DISCOUNTS/MARK DOWNS</v>
      </c>
      <c r="C65" s="11"/>
      <c r="D65" s="7">
        <v>31.78</v>
      </c>
      <c r="E65" s="2"/>
      <c r="F65" s="6">
        <f t="shared" si="36"/>
        <v>1.7539513162057984E-4</v>
      </c>
      <c r="G65" s="2"/>
      <c r="H65" s="7"/>
      <c r="I65" s="2"/>
      <c r="J65" s="6">
        <f t="shared" si="37"/>
        <v>0</v>
      </c>
      <c r="K65" s="2"/>
      <c r="L65" s="7">
        <f t="shared" si="38"/>
        <v>31.78</v>
      </c>
      <c r="M65" s="2"/>
      <c r="N65" s="6">
        <f t="shared" si="39"/>
        <v>0</v>
      </c>
      <c r="O65" s="11"/>
      <c r="P65" s="7">
        <v>108.15</v>
      </c>
      <c r="Q65" s="2"/>
      <c r="R65" s="6">
        <f t="shared" si="40"/>
        <v>5.9818016833791057E-5</v>
      </c>
      <c r="S65" s="2"/>
      <c r="T65" s="7"/>
      <c r="U65" s="2"/>
      <c r="V65" s="6">
        <f t="shared" si="41"/>
        <v>0</v>
      </c>
      <c r="W65" s="2"/>
      <c r="X65" s="7">
        <f t="shared" si="42"/>
        <v>108.15</v>
      </c>
      <c r="Y65" s="2"/>
      <c r="Z65" s="6">
        <f t="shared" si="43"/>
        <v>0</v>
      </c>
    </row>
    <row r="66" spans="1:26" s="27" customFormat="1" outlineLevel="1" collapsed="1" x14ac:dyDescent="0.25">
      <c r="A66" s="26"/>
      <c r="B66" s="13" t="str">
        <f>CONCATENATE("     ","Employees' Appreciation                           ")</f>
        <v xml:space="preserve">     Employees' Appreciation                           </v>
      </c>
      <c r="C66" s="13"/>
      <c r="D66" s="1">
        <f>SUM(OSRRefD22_7x_0)</f>
        <v>39.909999999999997</v>
      </c>
      <c r="E66" s="1"/>
      <c r="F66" s="5">
        <f t="shared" si="36"/>
        <v>2.2026493716102393E-4</v>
      </c>
      <c r="G66" s="1"/>
      <c r="H66" s="1">
        <f>SUM(OSRRefH22_7x_0)</f>
        <v>25</v>
      </c>
      <c r="I66" s="1"/>
      <c r="J66" s="5">
        <f t="shared" si="37"/>
        <v>1.4255167498218105E-4</v>
      </c>
      <c r="K66" s="1"/>
      <c r="L66" s="1">
        <f t="shared" si="38"/>
        <v>14.909999999999997</v>
      </c>
      <c r="M66" s="1"/>
      <c r="N66" s="5">
        <f t="shared" si="39"/>
        <v>0.59639999999999982</v>
      </c>
      <c r="O66" s="13"/>
      <c r="P66" s="1">
        <f>SUM(OSRRefP22_7x_0)</f>
        <v>136.83000000000001</v>
      </c>
      <c r="Q66" s="1"/>
      <c r="R66" s="5">
        <f t="shared" si="40"/>
        <v>7.5680991616899033E-5</v>
      </c>
      <c r="S66" s="1"/>
      <c r="T66" s="1">
        <f>SUM(OSRRefT22_7x_0)</f>
        <v>175</v>
      </c>
      <c r="U66" s="1"/>
      <c r="V66" s="5">
        <f t="shared" si="41"/>
        <v>9.6869230745386039E-5</v>
      </c>
      <c r="W66" s="1"/>
      <c r="X66" s="1">
        <f t="shared" si="42"/>
        <v>-38.169999999999987</v>
      </c>
      <c r="Y66" s="1"/>
      <c r="Z66" s="5">
        <f t="shared" si="43"/>
        <v>-0.21811428571428565</v>
      </c>
    </row>
    <row r="67" spans="1:26" s="24" customFormat="1" hidden="1" outlineLevel="2" x14ac:dyDescent="0.25">
      <c r="A67" s="25"/>
      <c r="B67" s="11" t="str">
        <f>CONCATENATE("          ", "6277", " - ", "EMPLOYEE APPRECIATION")</f>
        <v xml:space="preserve">          6277 - EMPLOYEE APPRECIATION</v>
      </c>
      <c r="C67" s="11"/>
      <c r="D67" s="7">
        <v>39.909999999999997</v>
      </c>
      <c r="E67" s="2"/>
      <c r="F67" s="6">
        <f t="shared" si="36"/>
        <v>2.2026493716102393E-4</v>
      </c>
      <c r="G67" s="2"/>
      <c r="H67" s="7">
        <v>25</v>
      </c>
      <c r="I67" s="2"/>
      <c r="J67" s="6">
        <f t="shared" si="37"/>
        <v>1.4255167498218105E-4</v>
      </c>
      <c r="K67" s="2"/>
      <c r="L67" s="7">
        <f t="shared" si="38"/>
        <v>14.909999999999997</v>
      </c>
      <c r="M67" s="2"/>
      <c r="N67" s="6">
        <f t="shared" si="39"/>
        <v>0.59639999999999982</v>
      </c>
      <c r="O67" s="11"/>
      <c r="P67" s="7">
        <v>136.83000000000001</v>
      </c>
      <c r="Q67" s="2"/>
      <c r="R67" s="6">
        <f t="shared" si="40"/>
        <v>7.5680991616899033E-5</v>
      </c>
      <c r="S67" s="2"/>
      <c r="T67" s="7">
        <v>175</v>
      </c>
      <c r="U67" s="2"/>
      <c r="V67" s="6">
        <f t="shared" si="41"/>
        <v>9.6869230745386039E-5</v>
      </c>
      <c r="W67" s="2"/>
      <c r="X67" s="7">
        <f t="shared" si="42"/>
        <v>-38.169999999999987</v>
      </c>
      <c r="Y67" s="2"/>
      <c r="Z67" s="6">
        <f t="shared" si="43"/>
        <v>-0.21811428571428565</v>
      </c>
    </row>
    <row r="68" spans="1:26" s="27" customFormat="1" outlineLevel="1" collapsed="1" x14ac:dyDescent="0.25">
      <c r="A68" s="26"/>
      <c r="B68" s="13" t="str">
        <f>CONCATENATE("     ","Equipment Rental                                  ")</f>
        <v xml:space="preserve">     Equipment Rental                                  </v>
      </c>
      <c r="C68" s="13"/>
      <c r="D68" s="1">
        <f>SUM(OSRRefD22_8x_0)</f>
        <v>93</v>
      </c>
      <c r="E68" s="1"/>
      <c r="F68" s="5">
        <f t="shared" si="36"/>
        <v>5.1327083828552316E-4</v>
      </c>
      <c r="G68" s="1"/>
      <c r="H68" s="1">
        <f>SUM(OSRRefH22_8x_0)</f>
        <v>80</v>
      </c>
      <c r="I68" s="1"/>
      <c r="J68" s="5">
        <f t="shared" si="37"/>
        <v>4.5616535994297931E-4</v>
      </c>
      <c r="K68" s="1"/>
      <c r="L68" s="1">
        <f t="shared" si="38"/>
        <v>13</v>
      </c>
      <c r="M68" s="1"/>
      <c r="N68" s="5">
        <f t="shared" si="39"/>
        <v>0.16250000000000001</v>
      </c>
      <c r="O68" s="13"/>
      <c r="P68" s="1">
        <f>SUM(OSRRefP22_8x_0)</f>
        <v>773.97</v>
      </c>
      <c r="Q68" s="1"/>
      <c r="R68" s="5">
        <f t="shared" si="40"/>
        <v>4.2808460923577681E-4</v>
      </c>
      <c r="S68" s="1"/>
      <c r="T68" s="1">
        <f>SUM(OSRRefT22_8x_0)</f>
        <v>560</v>
      </c>
      <c r="U68" s="1"/>
      <c r="V68" s="5">
        <f t="shared" si="41"/>
        <v>3.0998153838523535E-4</v>
      </c>
      <c r="W68" s="1"/>
      <c r="X68" s="1">
        <f t="shared" si="42"/>
        <v>213.97000000000003</v>
      </c>
      <c r="Y68" s="1"/>
      <c r="Z68" s="5">
        <f t="shared" si="43"/>
        <v>0.38208928571428574</v>
      </c>
    </row>
    <row r="69" spans="1:26" s="24" customFormat="1" hidden="1" outlineLevel="2" x14ac:dyDescent="0.25">
      <c r="A69" s="25"/>
      <c r="B69" s="11" t="str">
        <f>CONCATENATE("          ", "6351", " - ", "EQUIPMENT RENTAL")</f>
        <v xml:space="preserve">          6351 - EQUIPMENT RENTAL</v>
      </c>
      <c r="C69" s="11"/>
      <c r="D69" s="7">
        <v>93</v>
      </c>
      <c r="E69" s="2"/>
      <c r="F69" s="6">
        <f t="shared" si="36"/>
        <v>5.1327083828552316E-4</v>
      </c>
      <c r="G69" s="2"/>
      <c r="H69" s="7">
        <v>80</v>
      </c>
      <c r="I69" s="2"/>
      <c r="J69" s="6">
        <f t="shared" si="37"/>
        <v>4.5616535994297931E-4</v>
      </c>
      <c r="K69" s="2"/>
      <c r="L69" s="7">
        <f t="shared" si="38"/>
        <v>13</v>
      </c>
      <c r="M69" s="2"/>
      <c r="N69" s="6">
        <f t="shared" si="39"/>
        <v>0.16250000000000001</v>
      </c>
      <c r="O69" s="11"/>
      <c r="P69" s="7">
        <v>773.97</v>
      </c>
      <c r="Q69" s="2"/>
      <c r="R69" s="6">
        <f t="shared" si="40"/>
        <v>4.2808460923577681E-4</v>
      </c>
      <c r="S69" s="2"/>
      <c r="T69" s="7">
        <v>560</v>
      </c>
      <c r="U69" s="2"/>
      <c r="V69" s="6">
        <f t="shared" si="41"/>
        <v>3.0998153838523535E-4</v>
      </c>
      <c r="W69" s="2"/>
      <c r="X69" s="7">
        <f t="shared" si="42"/>
        <v>213.97000000000003</v>
      </c>
      <c r="Y69" s="2"/>
      <c r="Z69" s="6">
        <f t="shared" si="43"/>
        <v>0.38208928571428574</v>
      </c>
    </row>
    <row r="70" spans="1:26" s="27" customFormat="1" outlineLevel="1" collapsed="1" x14ac:dyDescent="0.25">
      <c r="A70" s="26"/>
      <c r="B70" s="13" t="str">
        <f>CONCATENATE("     ","Freight out/Postage                               ")</f>
        <v xml:space="preserve">     Freight out/Postage                               </v>
      </c>
      <c r="C70" s="13"/>
      <c r="D70" s="1">
        <f>SUM(OSRRefD22_9x_0)</f>
        <v>7.64</v>
      </c>
      <c r="E70" s="1"/>
      <c r="F70" s="5">
        <f t="shared" si="36"/>
        <v>4.2165475317219314E-5</v>
      </c>
      <c r="G70" s="1"/>
      <c r="H70" s="1">
        <f>SUM(OSRRefH22_9x_0)</f>
        <v>0</v>
      </c>
      <c r="I70" s="1"/>
      <c r="J70" s="5">
        <f t="shared" si="37"/>
        <v>0</v>
      </c>
      <c r="K70" s="1"/>
      <c r="L70" s="1">
        <f t="shared" si="38"/>
        <v>7.64</v>
      </c>
      <c r="M70" s="1"/>
      <c r="N70" s="5">
        <f t="shared" si="39"/>
        <v>0</v>
      </c>
      <c r="O70" s="13"/>
      <c r="P70" s="1">
        <f>SUM(OSRRefP22_9x_0)</f>
        <v>233.63</v>
      </c>
      <c r="Q70" s="1"/>
      <c r="R70" s="5">
        <f t="shared" si="40"/>
        <v>1.2922129702153123E-4</v>
      </c>
      <c r="S70" s="1"/>
      <c r="T70" s="1">
        <f>SUM(OSRRefT22_9x_0)</f>
        <v>0</v>
      </c>
      <c r="U70" s="1"/>
      <c r="V70" s="5">
        <f t="shared" si="41"/>
        <v>0</v>
      </c>
      <c r="W70" s="1"/>
      <c r="X70" s="1">
        <f t="shared" si="42"/>
        <v>233.63</v>
      </c>
      <c r="Y70" s="1"/>
      <c r="Z70" s="5">
        <f t="shared" si="43"/>
        <v>0</v>
      </c>
    </row>
    <row r="71" spans="1:26" s="24" customFormat="1" hidden="1" outlineLevel="2" x14ac:dyDescent="0.25">
      <c r="A71" s="25"/>
      <c r="B71" s="11" t="str">
        <f>CONCATENATE("          ", "6305", " - ", "FREIGHT OUT")</f>
        <v xml:space="preserve">          6305 - FREIGHT OUT</v>
      </c>
      <c r="C71" s="11"/>
      <c r="D71" s="7">
        <v>7.64</v>
      </c>
      <c r="E71" s="2"/>
      <c r="F71" s="6">
        <f t="shared" si="36"/>
        <v>4.2165475317219314E-5</v>
      </c>
      <c r="G71" s="2"/>
      <c r="H71" s="7"/>
      <c r="I71" s="2"/>
      <c r="J71" s="6">
        <f t="shared" si="37"/>
        <v>0</v>
      </c>
      <c r="K71" s="2"/>
      <c r="L71" s="7">
        <f t="shared" si="38"/>
        <v>7.64</v>
      </c>
      <c r="M71" s="2"/>
      <c r="N71" s="6">
        <f t="shared" si="39"/>
        <v>0</v>
      </c>
      <c r="O71" s="11"/>
      <c r="P71" s="7">
        <v>233.63</v>
      </c>
      <c r="Q71" s="2"/>
      <c r="R71" s="6">
        <f t="shared" si="40"/>
        <v>1.2922129702153123E-4</v>
      </c>
      <c r="S71" s="2"/>
      <c r="T71" s="7"/>
      <c r="U71" s="2"/>
      <c r="V71" s="6">
        <f t="shared" si="41"/>
        <v>0</v>
      </c>
      <c r="W71" s="2"/>
      <c r="X71" s="7">
        <f t="shared" si="42"/>
        <v>233.63</v>
      </c>
      <c r="Y71" s="2"/>
      <c r="Z71" s="6">
        <f t="shared" si="43"/>
        <v>0</v>
      </c>
    </row>
    <row r="72" spans="1:26" s="27" customFormat="1" outlineLevel="1" collapsed="1" x14ac:dyDescent="0.25">
      <c r="A72" s="26"/>
      <c r="B72" s="13" t="str">
        <f>CONCATENATE("     ","General                                           ")</f>
        <v xml:space="preserve">     General                                           </v>
      </c>
      <c r="C72" s="13"/>
      <c r="D72" s="1">
        <f>SUM(OSRRefD22_10x_0)</f>
        <v>3643.7</v>
      </c>
      <c r="E72" s="1"/>
      <c r="F72" s="5">
        <f t="shared" si="36"/>
        <v>2.0109730682375919E-2</v>
      </c>
      <c r="G72" s="1"/>
      <c r="H72" s="1">
        <f>SUM(OSRRefH22_10x_0)</f>
        <v>1004</v>
      </c>
      <c r="I72" s="1"/>
      <c r="J72" s="5">
        <f t="shared" si="37"/>
        <v>5.7248752672843907E-3</v>
      </c>
      <c r="K72" s="1"/>
      <c r="L72" s="1">
        <f t="shared" si="38"/>
        <v>2639.7</v>
      </c>
      <c r="M72" s="1"/>
      <c r="N72" s="5">
        <f t="shared" si="39"/>
        <v>2.6291832669322708</v>
      </c>
      <c r="O72" s="13"/>
      <c r="P72" s="1">
        <f>SUM(OSRRefP22_10x_0)</f>
        <v>10472.84</v>
      </c>
      <c r="Q72" s="1"/>
      <c r="R72" s="5">
        <f t="shared" si="40"/>
        <v>5.7925521906389303E-3</v>
      </c>
      <c r="S72" s="1"/>
      <c r="T72" s="1">
        <f>SUM(OSRRefT22_10x_0)</f>
        <v>7341</v>
      </c>
      <c r="U72" s="1"/>
      <c r="V72" s="5">
        <f t="shared" si="41"/>
        <v>4.0635258451535939E-3</v>
      </c>
      <c r="W72" s="1"/>
      <c r="X72" s="1">
        <f t="shared" si="42"/>
        <v>3131.84</v>
      </c>
      <c r="Y72" s="1"/>
      <c r="Z72" s="5">
        <f t="shared" si="43"/>
        <v>0.42662307587522136</v>
      </c>
    </row>
    <row r="73" spans="1:26" s="24" customFormat="1" hidden="1" outlineLevel="2" x14ac:dyDescent="0.25">
      <c r="A73" s="25"/>
      <c r="B73" s="11" t="str">
        <f>CONCATENATE("          ", "6279", " - ", "GENERAL EXPENSE")</f>
        <v xml:space="preserve">          6279 - GENERAL EXPENSE</v>
      </c>
      <c r="C73" s="11"/>
      <c r="D73" s="7">
        <v>3643.7</v>
      </c>
      <c r="E73" s="2"/>
      <c r="F73" s="6">
        <f t="shared" si="36"/>
        <v>2.0109730682375919E-2</v>
      </c>
      <c r="G73" s="2"/>
      <c r="H73" s="7">
        <v>1004</v>
      </c>
      <c r="I73" s="2"/>
      <c r="J73" s="6">
        <f t="shared" si="37"/>
        <v>5.7248752672843907E-3</v>
      </c>
      <c r="K73" s="2"/>
      <c r="L73" s="7">
        <f t="shared" si="38"/>
        <v>2639.7</v>
      </c>
      <c r="M73" s="2"/>
      <c r="N73" s="6">
        <f t="shared" si="39"/>
        <v>2.6291832669322708</v>
      </c>
      <c r="O73" s="11"/>
      <c r="P73" s="7">
        <v>10472.84</v>
      </c>
      <c r="Q73" s="2"/>
      <c r="R73" s="6">
        <f t="shared" si="40"/>
        <v>5.7925521906389303E-3</v>
      </c>
      <c r="S73" s="2"/>
      <c r="T73" s="7">
        <v>7341</v>
      </c>
      <c r="U73" s="2"/>
      <c r="V73" s="6">
        <f t="shared" si="41"/>
        <v>4.0635258451535939E-3</v>
      </c>
      <c r="W73" s="2"/>
      <c r="X73" s="7">
        <f t="shared" si="42"/>
        <v>3131.84</v>
      </c>
      <c r="Y73" s="2"/>
      <c r="Z73" s="6">
        <f t="shared" si="43"/>
        <v>0.42662307587522136</v>
      </c>
    </row>
    <row r="74" spans="1:26" s="27" customFormat="1" outlineLevel="1" collapsed="1" x14ac:dyDescent="0.25">
      <c r="A74" s="26"/>
      <c r="B74" s="13" t="str">
        <f>CONCATENATE("     ","Insurance                                         ")</f>
        <v xml:space="preserve">     Insurance                                         </v>
      </c>
      <c r="C74" s="13"/>
      <c r="D74" s="1">
        <f>SUM(OSRRefD22_11x_0)</f>
        <v>243.54</v>
      </c>
      <c r="E74" s="1"/>
      <c r="F74" s="5">
        <f t="shared" si="36"/>
        <v>1.344107311355444E-3</v>
      </c>
      <c r="G74" s="1"/>
      <c r="H74" s="1">
        <f>SUM(OSRRefH22_11x_0)</f>
        <v>230</v>
      </c>
      <c r="I74" s="1"/>
      <c r="J74" s="5">
        <f t="shared" si="37"/>
        <v>1.3114754098360656E-3</v>
      </c>
      <c r="K74" s="1"/>
      <c r="L74" s="1">
        <f t="shared" si="38"/>
        <v>13.539999999999992</v>
      </c>
      <c r="M74" s="1"/>
      <c r="N74" s="5">
        <f t="shared" si="39"/>
        <v>5.886956521739127E-2</v>
      </c>
      <c r="O74" s="13"/>
      <c r="P74" s="1">
        <f>SUM(OSRRefP22_11x_0)</f>
        <v>1704.78</v>
      </c>
      <c r="Q74" s="1"/>
      <c r="R74" s="5">
        <f t="shared" si="40"/>
        <v>9.4291778768294322E-4</v>
      </c>
      <c r="S74" s="1"/>
      <c r="T74" s="1">
        <f>SUM(OSRRefT22_11x_0)</f>
        <v>1610</v>
      </c>
      <c r="U74" s="1"/>
      <c r="V74" s="5">
        <f t="shared" si="41"/>
        <v>8.9119692285755158E-4</v>
      </c>
      <c r="W74" s="1"/>
      <c r="X74" s="1">
        <f t="shared" si="42"/>
        <v>94.779999999999973</v>
      </c>
      <c r="Y74" s="1"/>
      <c r="Z74" s="5">
        <f t="shared" si="43"/>
        <v>5.8869565217391284E-2</v>
      </c>
    </row>
    <row r="75" spans="1:26" s="24" customFormat="1" hidden="1" outlineLevel="2" x14ac:dyDescent="0.25">
      <c r="A75" s="25"/>
      <c r="B75" s="11" t="str">
        <f>CONCATENATE("          ", "6314", " - ", "LIABILITY INSURANCE")</f>
        <v xml:space="preserve">          6314 - LIABILITY INSURANCE</v>
      </c>
      <c r="C75" s="11"/>
      <c r="D75" s="7">
        <v>243.54</v>
      </c>
      <c r="E75" s="2"/>
      <c r="F75" s="6">
        <f t="shared" si="36"/>
        <v>1.344107311355444E-3</v>
      </c>
      <c r="G75" s="2"/>
      <c r="H75" s="7">
        <v>230</v>
      </c>
      <c r="I75" s="2"/>
      <c r="J75" s="6">
        <f t="shared" si="37"/>
        <v>1.3114754098360656E-3</v>
      </c>
      <c r="K75" s="2"/>
      <c r="L75" s="7">
        <f t="shared" si="38"/>
        <v>13.539999999999992</v>
      </c>
      <c r="M75" s="2"/>
      <c r="N75" s="6">
        <f t="shared" si="39"/>
        <v>5.886956521739127E-2</v>
      </c>
      <c r="O75" s="11"/>
      <c r="P75" s="7">
        <v>1704.78</v>
      </c>
      <c r="Q75" s="2"/>
      <c r="R75" s="6">
        <f t="shared" si="40"/>
        <v>9.4291778768294322E-4</v>
      </c>
      <c r="S75" s="2"/>
      <c r="T75" s="7">
        <v>1610</v>
      </c>
      <c r="U75" s="2"/>
      <c r="V75" s="6">
        <f t="shared" si="41"/>
        <v>8.9119692285755158E-4</v>
      </c>
      <c r="W75" s="2"/>
      <c r="X75" s="7">
        <f t="shared" si="42"/>
        <v>94.779999999999973</v>
      </c>
      <c r="Y75" s="2"/>
      <c r="Z75" s="6">
        <f t="shared" si="43"/>
        <v>5.8869565217391284E-2</v>
      </c>
    </row>
    <row r="76" spans="1:26" s="27" customFormat="1" outlineLevel="1" collapsed="1" x14ac:dyDescent="0.25">
      <c r="A76" s="26"/>
      <c r="B76" s="13" t="str">
        <f>CONCATENATE("     ","Interest                                          ")</f>
        <v xml:space="preserve">     Interest                                          </v>
      </c>
      <c r="C76" s="13"/>
      <c r="D76" s="1">
        <f>SUM(OSRRefD22_12x_0)</f>
        <v>4175</v>
      </c>
      <c r="E76" s="1"/>
      <c r="F76" s="5">
        <f t="shared" si="36"/>
        <v>2.3041997310129667E-2</v>
      </c>
      <c r="G76" s="1"/>
      <c r="H76" s="1">
        <f>SUM(OSRRefH22_12x_0)</f>
        <v>4175</v>
      </c>
      <c r="I76" s="1"/>
      <c r="J76" s="5">
        <f t="shared" si="37"/>
        <v>2.3806129722024234E-2</v>
      </c>
      <c r="K76" s="1"/>
      <c r="L76" s="1">
        <f t="shared" si="38"/>
        <v>0</v>
      </c>
      <c r="M76" s="1"/>
      <c r="N76" s="5">
        <f t="shared" si="39"/>
        <v>0</v>
      </c>
      <c r="O76" s="13"/>
      <c r="P76" s="1">
        <f>SUM(OSRRefP22_12x_0)</f>
        <v>29018.95</v>
      </c>
      <c r="Q76" s="1"/>
      <c r="R76" s="5">
        <f t="shared" si="40"/>
        <v>1.6050448817373473E-2</v>
      </c>
      <c r="S76" s="1"/>
      <c r="T76" s="1">
        <f>SUM(OSRRefT22_12x_0)</f>
        <v>29225</v>
      </c>
      <c r="U76" s="1"/>
      <c r="V76" s="5">
        <f t="shared" si="41"/>
        <v>1.617716153447947E-2</v>
      </c>
      <c r="W76" s="1"/>
      <c r="X76" s="1">
        <f t="shared" si="42"/>
        <v>-206.04999999999927</v>
      </c>
      <c r="Y76" s="1"/>
      <c r="Z76" s="5">
        <f t="shared" si="43"/>
        <v>-7.0504704875962113E-3</v>
      </c>
    </row>
    <row r="77" spans="1:26" s="24" customFormat="1" hidden="1" outlineLevel="2" x14ac:dyDescent="0.25">
      <c r="A77" s="25"/>
      <c r="B77" s="11" t="str">
        <f>CONCATENATE("          ", "6401", " - ", "INTEREST EXPENSE")</f>
        <v xml:space="preserve">          6401 - INTEREST EXPENSE</v>
      </c>
      <c r="C77" s="11"/>
      <c r="D77" s="7">
        <v>4175</v>
      </c>
      <c r="E77" s="2"/>
      <c r="F77" s="6">
        <f t="shared" si="36"/>
        <v>2.3041997310129667E-2</v>
      </c>
      <c r="G77" s="2"/>
      <c r="H77" s="7">
        <v>4175</v>
      </c>
      <c r="I77" s="2"/>
      <c r="J77" s="6">
        <f t="shared" si="37"/>
        <v>2.3806129722024234E-2</v>
      </c>
      <c r="K77" s="2"/>
      <c r="L77" s="7">
        <f t="shared" si="38"/>
        <v>0</v>
      </c>
      <c r="M77" s="2"/>
      <c r="N77" s="6">
        <f t="shared" si="39"/>
        <v>0</v>
      </c>
      <c r="O77" s="11"/>
      <c r="P77" s="7">
        <v>29018.95</v>
      </c>
      <c r="Q77" s="2"/>
      <c r="R77" s="6">
        <f t="shared" si="40"/>
        <v>1.6050448817373473E-2</v>
      </c>
      <c r="S77" s="2"/>
      <c r="T77" s="7">
        <v>29225</v>
      </c>
      <c r="U77" s="2"/>
      <c r="V77" s="6">
        <f t="shared" si="41"/>
        <v>1.617716153447947E-2</v>
      </c>
      <c r="W77" s="2"/>
      <c r="X77" s="7">
        <f t="shared" si="42"/>
        <v>-206.04999999999927</v>
      </c>
      <c r="Y77" s="2"/>
      <c r="Z77" s="6">
        <f t="shared" si="43"/>
        <v>-7.0504704875962113E-3</v>
      </c>
    </row>
    <row r="78" spans="1:26" s="27" customFormat="1" outlineLevel="1" collapsed="1" x14ac:dyDescent="0.25">
      <c r="A78" s="26"/>
      <c r="B78" s="13" t="str">
        <f>CONCATENATE("     ","R/H Commissions                                   ")</f>
        <v xml:space="preserve">     R/H Commissions                                   </v>
      </c>
      <c r="C78" s="13"/>
      <c r="D78" s="1">
        <f>SUM(OSRRefD22_13x_0)</f>
        <v>0</v>
      </c>
      <c r="E78" s="1"/>
      <c r="F78" s="5">
        <f t="shared" si="36"/>
        <v>0</v>
      </c>
      <c r="G78" s="1"/>
      <c r="H78" s="1">
        <f>SUM(OSRRefH22_13x_0)</f>
        <v>0</v>
      </c>
      <c r="I78" s="1"/>
      <c r="J78" s="5">
        <f t="shared" si="37"/>
        <v>0</v>
      </c>
      <c r="K78" s="1"/>
      <c r="L78" s="1">
        <f t="shared" si="38"/>
        <v>0</v>
      </c>
      <c r="M78" s="1"/>
      <c r="N78" s="5">
        <f t="shared" si="39"/>
        <v>0</v>
      </c>
      <c r="O78" s="13"/>
      <c r="P78" s="1">
        <f>SUM(OSRRefP22_13x_0)</f>
        <v>0</v>
      </c>
      <c r="Q78" s="1"/>
      <c r="R78" s="5">
        <f t="shared" si="40"/>
        <v>0</v>
      </c>
      <c r="S78" s="1"/>
      <c r="T78" s="1">
        <f>SUM(OSRRefT22_13x_0)</f>
        <v>0</v>
      </c>
      <c r="U78" s="1"/>
      <c r="V78" s="5">
        <f t="shared" si="41"/>
        <v>0</v>
      </c>
      <c r="W78" s="1"/>
      <c r="X78" s="1">
        <f t="shared" si="42"/>
        <v>0</v>
      </c>
      <c r="Y78" s="1"/>
      <c r="Z78" s="5">
        <f t="shared" si="43"/>
        <v>0</v>
      </c>
    </row>
    <row r="79" spans="1:26" s="24" customFormat="1" hidden="1" outlineLevel="2" x14ac:dyDescent="0.25">
      <c r="A79" s="25"/>
      <c r="B79" s="11" t="str">
        <f>CONCATENATE("          ", "6387", " - ", "COMMISSION DUE HOUSING")</f>
        <v xml:space="preserve">          6387 - COMMISSION DUE HOUSING</v>
      </c>
      <c r="C79" s="11"/>
      <c r="D79" s="7"/>
      <c r="E79" s="2"/>
      <c r="F79" s="6">
        <f t="shared" si="36"/>
        <v>0</v>
      </c>
      <c r="G79" s="2"/>
      <c r="H79" s="7"/>
      <c r="I79" s="2"/>
      <c r="J79" s="6">
        <f t="shared" si="37"/>
        <v>0</v>
      </c>
      <c r="K79" s="2"/>
      <c r="L79" s="7">
        <f t="shared" si="38"/>
        <v>0</v>
      </c>
      <c r="M79" s="2"/>
      <c r="N79" s="6">
        <f t="shared" si="39"/>
        <v>0</v>
      </c>
      <c r="O79" s="11"/>
      <c r="P79" s="7"/>
      <c r="Q79" s="2"/>
      <c r="R79" s="6">
        <f t="shared" si="40"/>
        <v>0</v>
      </c>
      <c r="S79" s="2"/>
      <c r="T79" s="7">
        <v>0</v>
      </c>
      <c r="U79" s="2"/>
      <c r="V79" s="6">
        <f t="shared" si="41"/>
        <v>0</v>
      </c>
      <c r="W79" s="2"/>
      <c r="X79" s="7">
        <f t="shared" si="42"/>
        <v>0</v>
      </c>
      <c r="Y79" s="2"/>
      <c r="Z79" s="6">
        <f t="shared" si="43"/>
        <v>0</v>
      </c>
    </row>
    <row r="80" spans="1:26" s="27" customFormat="1" outlineLevel="1" collapsed="1" x14ac:dyDescent="0.25">
      <c r="A80" s="26"/>
      <c r="B80" s="13" t="str">
        <f>CONCATENATE("     ","Rent                                              ")</f>
        <v xml:space="preserve">     Rent                                              </v>
      </c>
      <c r="C80" s="13"/>
      <c r="D80" s="1">
        <f>SUM(OSRRefD22_14x_0)</f>
        <v>1150</v>
      </c>
      <c r="E80" s="1"/>
      <c r="F80" s="5">
        <f t="shared" si="36"/>
        <v>6.3468974626704469E-3</v>
      </c>
      <c r="G80" s="1"/>
      <c r="H80" s="1">
        <f>SUM(OSRRefH22_14x_0)</f>
        <v>1150</v>
      </c>
      <c r="I80" s="1"/>
      <c r="J80" s="5">
        <f t="shared" si="37"/>
        <v>6.5573770491803279E-3</v>
      </c>
      <c r="K80" s="1"/>
      <c r="L80" s="1">
        <f t="shared" si="38"/>
        <v>0</v>
      </c>
      <c r="M80" s="1"/>
      <c r="N80" s="5">
        <f t="shared" si="39"/>
        <v>0</v>
      </c>
      <c r="O80" s="13"/>
      <c r="P80" s="1">
        <f>SUM(OSRRefP22_14x_0)</f>
        <v>8050</v>
      </c>
      <c r="Q80" s="1"/>
      <c r="R80" s="5">
        <f t="shared" si="40"/>
        <v>4.4524737449100141E-3</v>
      </c>
      <c r="S80" s="1"/>
      <c r="T80" s="1">
        <f>SUM(OSRRefT22_14x_0)</f>
        <v>8050</v>
      </c>
      <c r="U80" s="1"/>
      <c r="V80" s="5">
        <f t="shared" si="41"/>
        <v>4.4559846142877575E-3</v>
      </c>
      <c r="W80" s="1"/>
      <c r="X80" s="1">
        <f t="shared" si="42"/>
        <v>0</v>
      </c>
      <c r="Y80" s="1"/>
      <c r="Z80" s="5">
        <f t="shared" si="43"/>
        <v>0</v>
      </c>
    </row>
    <row r="81" spans="1:26" s="24" customFormat="1" hidden="1" outlineLevel="2" x14ac:dyDescent="0.25">
      <c r="A81" s="25"/>
      <c r="B81" s="11" t="str">
        <f>CONCATENATE("          ", "6273", " - ", "RENT")</f>
        <v xml:space="preserve">          6273 - RENT</v>
      </c>
      <c r="C81" s="11"/>
      <c r="D81" s="7">
        <v>1150</v>
      </c>
      <c r="E81" s="2"/>
      <c r="F81" s="6">
        <f t="shared" si="36"/>
        <v>6.3468974626704469E-3</v>
      </c>
      <c r="G81" s="2"/>
      <c r="H81" s="7">
        <v>1150</v>
      </c>
      <c r="I81" s="2"/>
      <c r="J81" s="6">
        <f t="shared" si="37"/>
        <v>6.5573770491803279E-3</v>
      </c>
      <c r="K81" s="2"/>
      <c r="L81" s="7">
        <f t="shared" si="38"/>
        <v>0</v>
      </c>
      <c r="M81" s="2"/>
      <c r="N81" s="6">
        <f t="shared" si="39"/>
        <v>0</v>
      </c>
      <c r="O81" s="11"/>
      <c r="P81" s="7">
        <v>8050</v>
      </c>
      <c r="Q81" s="2"/>
      <c r="R81" s="6">
        <f t="shared" si="40"/>
        <v>4.4524737449100141E-3</v>
      </c>
      <c r="S81" s="2"/>
      <c r="T81" s="7">
        <v>8050</v>
      </c>
      <c r="U81" s="2"/>
      <c r="V81" s="6">
        <f t="shared" si="41"/>
        <v>4.4559846142877575E-3</v>
      </c>
      <c r="W81" s="2"/>
      <c r="X81" s="7">
        <f t="shared" si="42"/>
        <v>0</v>
      </c>
      <c r="Y81" s="2"/>
      <c r="Z81" s="6">
        <f t="shared" si="43"/>
        <v>0</v>
      </c>
    </row>
    <row r="82" spans="1:26" s="27" customFormat="1" outlineLevel="1" collapsed="1" x14ac:dyDescent="0.25">
      <c r="A82" s="26"/>
      <c r="B82" s="13" t="str">
        <f>CONCATENATE("     ","Repair and Maintenance                            ")</f>
        <v xml:space="preserve">     Repair and Maintenance                            </v>
      </c>
      <c r="C82" s="13"/>
      <c r="D82" s="1">
        <f>SUM(OSRRefD22_15x_0)</f>
        <v>528.76</v>
      </c>
      <c r="E82" s="1"/>
      <c r="F82" s="5">
        <f t="shared" si="36"/>
        <v>2.9182482629231529E-3</v>
      </c>
      <c r="G82" s="1"/>
      <c r="H82" s="1">
        <f>SUM(OSRRefH22_15x_0)</f>
        <v>688</v>
      </c>
      <c r="I82" s="1"/>
      <c r="J82" s="5">
        <f t="shared" si="37"/>
        <v>3.9230220955096219E-3</v>
      </c>
      <c r="K82" s="1"/>
      <c r="L82" s="1">
        <f t="shared" si="38"/>
        <v>-159.24</v>
      </c>
      <c r="M82" s="1"/>
      <c r="N82" s="5">
        <f t="shared" si="39"/>
        <v>-0.23145348837209304</v>
      </c>
      <c r="O82" s="13"/>
      <c r="P82" s="1">
        <f>SUM(OSRRefP22_15x_0)</f>
        <v>14915.029999999999</v>
      </c>
      <c r="Q82" s="1"/>
      <c r="R82" s="5">
        <f t="shared" si="40"/>
        <v>8.2495378235459878E-3</v>
      </c>
      <c r="S82" s="1"/>
      <c r="T82" s="1">
        <f>SUM(OSRRefT22_15x_0)</f>
        <v>9739</v>
      </c>
      <c r="U82" s="1"/>
      <c r="V82" s="5">
        <f t="shared" si="41"/>
        <v>5.3909110755960832E-3</v>
      </c>
      <c r="W82" s="1"/>
      <c r="X82" s="1">
        <f t="shared" si="42"/>
        <v>5176.0299999999988</v>
      </c>
      <c r="Y82" s="1"/>
      <c r="Z82" s="5">
        <f t="shared" si="43"/>
        <v>0.53147448403326814</v>
      </c>
    </row>
    <row r="83" spans="1:26" s="24" customFormat="1" hidden="1" outlineLevel="2" x14ac:dyDescent="0.25">
      <c r="A83" s="25"/>
      <c r="B83" s="11" t="str">
        <f>CONCATENATE("          ", "6371", " - ", "COMPUTER SOFTWARE MAINTENANCE")</f>
        <v xml:space="preserve">          6371 - COMPUTER SOFTWARE MAINTENANCE</v>
      </c>
      <c r="C83" s="11"/>
      <c r="D83" s="7"/>
      <c r="E83" s="2"/>
      <c r="F83" s="6">
        <f t="shared" si="36"/>
        <v>0</v>
      </c>
      <c r="G83" s="2"/>
      <c r="H83" s="7"/>
      <c r="I83" s="2"/>
      <c r="J83" s="6">
        <f t="shared" si="37"/>
        <v>0</v>
      </c>
      <c r="K83" s="2"/>
      <c r="L83" s="7">
        <f t="shared" si="38"/>
        <v>0</v>
      </c>
      <c r="M83" s="2"/>
      <c r="N83" s="6">
        <f t="shared" si="39"/>
        <v>0</v>
      </c>
      <c r="O83" s="11"/>
      <c r="P83" s="7">
        <v>1311.93</v>
      </c>
      <c r="Q83" s="2"/>
      <c r="R83" s="6">
        <f t="shared" si="40"/>
        <v>7.2563153790804896E-4</v>
      </c>
      <c r="S83" s="2"/>
      <c r="T83" s="7">
        <v>0</v>
      </c>
      <c r="U83" s="2"/>
      <c r="V83" s="6">
        <f t="shared" si="41"/>
        <v>0</v>
      </c>
      <c r="W83" s="2"/>
      <c r="X83" s="7">
        <f t="shared" si="42"/>
        <v>1311.93</v>
      </c>
      <c r="Y83" s="2"/>
      <c r="Z83" s="6">
        <f t="shared" si="43"/>
        <v>0</v>
      </c>
    </row>
    <row r="84" spans="1:26" s="24" customFormat="1" hidden="1" outlineLevel="2" x14ac:dyDescent="0.25">
      <c r="A84" s="25"/>
      <c r="B84" s="11" t="str">
        <f>CONCATENATE("          ", "6373", " - ", "MAINTENANCE CONTRACTS")</f>
        <v xml:space="preserve">          6373 - MAINTENANCE CONTRACTS</v>
      </c>
      <c r="C84" s="11"/>
      <c r="D84" s="7"/>
      <c r="E84" s="2"/>
      <c r="F84" s="6">
        <f t="shared" si="36"/>
        <v>0</v>
      </c>
      <c r="G84" s="2"/>
      <c r="H84" s="7"/>
      <c r="I84" s="2"/>
      <c r="J84" s="6">
        <f t="shared" si="37"/>
        <v>0</v>
      </c>
      <c r="K84" s="2"/>
      <c r="L84" s="7">
        <f t="shared" si="38"/>
        <v>0</v>
      </c>
      <c r="M84" s="2"/>
      <c r="N84" s="6">
        <f t="shared" si="39"/>
        <v>0</v>
      </c>
      <c r="O84" s="11"/>
      <c r="P84" s="7">
        <v>582.62</v>
      </c>
      <c r="Q84" s="2"/>
      <c r="R84" s="6">
        <f t="shared" si="40"/>
        <v>3.2224847866577295E-4</v>
      </c>
      <c r="S84" s="2"/>
      <c r="T84" s="7"/>
      <c r="U84" s="2"/>
      <c r="V84" s="6">
        <f t="shared" si="41"/>
        <v>0</v>
      </c>
      <c r="W84" s="2"/>
      <c r="X84" s="7">
        <f t="shared" si="42"/>
        <v>582.62</v>
      </c>
      <c r="Y84" s="2"/>
      <c r="Z84" s="6">
        <f t="shared" si="43"/>
        <v>0</v>
      </c>
    </row>
    <row r="85" spans="1:26" s="24" customFormat="1" hidden="1" outlineLevel="2" x14ac:dyDescent="0.25">
      <c r="A85" s="25"/>
      <c r="B85" s="11" t="str">
        <f>CONCATENATE("          ", "6375", " - ", "OUTSIDE REPAIRS &amp; MAINTENANCE")</f>
        <v xml:space="preserve">          6375 - OUTSIDE REPAIRS &amp; MAINTENANCE</v>
      </c>
      <c r="C85" s="11"/>
      <c r="D85" s="7">
        <v>528.76</v>
      </c>
      <c r="E85" s="2"/>
      <c r="F85" s="6">
        <f t="shared" si="36"/>
        <v>2.9182482629231529E-3</v>
      </c>
      <c r="G85" s="2"/>
      <c r="H85" s="7">
        <v>688</v>
      </c>
      <c r="I85" s="2"/>
      <c r="J85" s="6">
        <f t="shared" si="37"/>
        <v>3.9230220955096219E-3</v>
      </c>
      <c r="K85" s="2"/>
      <c r="L85" s="7">
        <f t="shared" si="38"/>
        <v>-159.24</v>
      </c>
      <c r="M85" s="2"/>
      <c r="N85" s="6">
        <f t="shared" si="39"/>
        <v>-0.23145348837209304</v>
      </c>
      <c r="O85" s="11"/>
      <c r="P85" s="7">
        <v>13020.48</v>
      </c>
      <c r="Q85" s="2"/>
      <c r="R85" s="6">
        <f t="shared" si="40"/>
        <v>7.2016578069721655E-3</v>
      </c>
      <c r="S85" s="2"/>
      <c r="T85" s="7">
        <v>9739</v>
      </c>
      <c r="U85" s="2"/>
      <c r="V85" s="6">
        <f t="shared" si="41"/>
        <v>5.3909110755960832E-3</v>
      </c>
      <c r="W85" s="2"/>
      <c r="X85" s="7">
        <f t="shared" si="42"/>
        <v>3281.4799999999996</v>
      </c>
      <c r="Y85" s="2"/>
      <c r="Z85" s="6">
        <f t="shared" si="43"/>
        <v>0.33694219119006052</v>
      </c>
    </row>
    <row r="86" spans="1:26" s="27" customFormat="1" outlineLevel="1" collapsed="1" x14ac:dyDescent="0.25">
      <c r="A86" s="26"/>
      <c r="B86" s="13" t="str">
        <f>CONCATENATE("     ","Royalty &amp; Commissions                             ")</f>
        <v xml:space="preserve">     Royalty &amp; Commissions                             </v>
      </c>
      <c r="C86" s="13"/>
      <c r="D86" s="1">
        <f>SUM(OSRRefD22_16x_0)</f>
        <v>0</v>
      </c>
      <c r="E86" s="1"/>
      <c r="F86" s="5">
        <f t="shared" ref="F86:F88" si="44">IF(D$12=0,0,D86/D$12)</f>
        <v>0</v>
      </c>
      <c r="G86" s="1"/>
      <c r="H86" s="1">
        <f>SUM(OSRRefH22_16x_0)</f>
        <v>1707</v>
      </c>
      <c r="I86" s="1"/>
      <c r="J86" s="5">
        <f t="shared" ref="J86:J88" si="45">IF(H$12=0,0,H86/H$12)</f>
        <v>9.7334283677833217E-3</v>
      </c>
      <c r="K86" s="1"/>
      <c r="L86" s="1">
        <f t="shared" ref="L86:L88" si="46">+D86-H86</f>
        <v>-1707</v>
      </c>
      <c r="M86" s="1"/>
      <c r="N86" s="5">
        <f t="shared" ref="N86:N88" si="47">IF(H86=0,0,L86/H86)</f>
        <v>-1</v>
      </c>
      <c r="O86" s="13"/>
      <c r="P86" s="1">
        <f>SUM(OSRRefP22_16x_0)</f>
        <v>15334.79</v>
      </c>
      <c r="Q86" s="1"/>
      <c r="R86" s="5">
        <f t="shared" ref="R86:R88" si="48">IF(P$12=0,0,P86/P$12)</f>
        <v>8.4817080569824389E-3</v>
      </c>
      <c r="S86" s="1"/>
      <c r="T86" s="1">
        <f>SUM(OSRRefT22_16x_0)</f>
        <v>16909</v>
      </c>
      <c r="U86" s="1"/>
      <c r="V86" s="5">
        <f t="shared" ref="V86:V88" si="49">IF(T$12=0,0,T86/T$12)</f>
        <v>9.3597818438499007E-3</v>
      </c>
      <c r="W86" s="1"/>
      <c r="X86" s="1">
        <f t="shared" ref="X86:X88" si="50">+P86-T86</f>
        <v>-1574.2099999999991</v>
      </c>
      <c r="Y86" s="1"/>
      <c r="Z86" s="5">
        <f t="shared" ref="Z86:Z88" si="51">IF(T86=0,0,X86/T86)</f>
        <v>-9.3098941392157977E-2</v>
      </c>
    </row>
    <row r="87" spans="1:26" s="24" customFormat="1" hidden="1" outlineLevel="2" x14ac:dyDescent="0.25">
      <c r="A87" s="25"/>
      <c r="B87" s="11" t="str">
        <f>CONCATENATE("          ", "6254", " - ", "ROYALTY &amp; COMMISSIONS")</f>
        <v xml:space="preserve">          6254 - ROYALTY &amp; COMMISSIONS</v>
      </c>
      <c r="C87" s="11"/>
      <c r="D87" s="7"/>
      <c r="E87" s="2"/>
      <c r="F87" s="6">
        <f t="shared" si="44"/>
        <v>0</v>
      </c>
      <c r="G87" s="2"/>
      <c r="H87" s="7"/>
      <c r="I87" s="2"/>
      <c r="J87" s="6">
        <f t="shared" si="45"/>
        <v>0</v>
      </c>
      <c r="K87" s="2"/>
      <c r="L87" s="7">
        <f t="shared" si="46"/>
        <v>0</v>
      </c>
      <c r="M87" s="2"/>
      <c r="N87" s="6">
        <f t="shared" si="47"/>
        <v>0</v>
      </c>
      <c r="O87" s="11"/>
      <c r="P87" s="7">
        <v>15334.79</v>
      </c>
      <c r="Q87" s="2"/>
      <c r="R87" s="6">
        <f t="shared" si="48"/>
        <v>8.4817080569824389E-3</v>
      </c>
      <c r="S87" s="2"/>
      <c r="T87" s="7"/>
      <c r="U87" s="2"/>
      <c r="V87" s="6">
        <f t="shared" si="49"/>
        <v>0</v>
      </c>
      <c r="W87" s="2"/>
      <c r="X87" s="7">
        <f t="shared" si="50"/>
        <v>15334.79</v>
      </c>
      <c r="Y87" s="2"/>
      <c r="Z87" s="6">
        <f t="shared" si="51"/>
        <v>0</v>
      </c>
    </row>
    <row r="88" spans="1:26" s="24" customFormat="1" hidden="1" outlineLevel="2" x14ac:dyDescent="0.25">
      <c r="A88" s="25"/>
      <c r="B88" s="11" t="str">
        <f>CONCATENATE("          ", "6259", " - ", "ROYALTY &amp; COMMISSIONS")</f>
        <v xml:space="preserve">          6259 - ROYALTY &amp; COMMISSIONS</v>
      </c>
      <c r="C88" s="11"/>
      <c r="D88" s="7"/>
      <c r="E88" s="2"/>
      <c r="F88" s="6">
        <f t="shared" si="44"/>
        <v>0</v>
      </c>
      <c r="G88" s="2"/>
      <c r="H88" s="7">
        <v>1707</v>
      </c>
      <c r="I88" s="2"/>
      <c r="J88" s="6">
        <f t="shared" si="45"/>
        <v>9.7334283677833217E-3</v>
      </c>
      <c r="K88" s="2"/>
      <c r="L88" s="7">
        <f t="shared" si="46"/>
        <v>-1707</v>
      </c>
      <c r="M88" s="2"/>
      <c r="N88" s="6">
        <f t="shared" si="47"/>
        <v>-1</v>
      </c>
      <c r="O88" s="11"/>
      <c r="P88" s="7"/>
      <c r="Q88" s="2"/>
      <c r="R88" s="6">
        <f t="shared" si="48"/>
        <v>0</v>
      </c>
      <c r="S88" s="2"/>
      <c r="T88" s="7">
        <v>16909</v>
      </c>
      <c r="U88" s="2"/>
      <c r="V88" s="6">
        <f t="shared" si="49"/>
        <v>9.3597818438499007E-3</v>
      </c>
      <c r="W88" s="2"/>
      <c r="X88" s="7">
        <f t="shared" si="50"/>
        <v>-16909</v>
      </c>
      <c r="Y88" s="2"/>
      <c r="Z88" s="6">
        <f t="shared" si="51"/>
        <v>-1</v>
      </c>
    </row>
    <row r="89" spans="1:26" s="27" customFormat="1" outlineLevel="1" collapsed="1" x14ac:dyDescent="0.25">
      <c r="A89" s="26"/>
      <c r="B89" s="13" t="str">
        <f>CONCATENATE("     ","Services                                          ")</f>
        <v xml:space="preserve">     Services                                          </v>
      </c>
      <c r="C89" s="13"/>
      <c r="D89" s="1">
        <f>SUM(OSRRefD22_17x_0)</f>
        <v>1792.51</v>
      </c>
      <c r="E89" s="1"/>
      <c r="F89" s="5">
        <f t="shared" ref="F89:F94" si="52">IF(D$12=0,0,D89/D$12)</f>
        <v>9.8929366702707848E-3</v>
      </c>
      <c r="G89" s="1"/>
      <c r="H89" s="1">
        <f>SUM(OSRRefH22_17x_0)</f>
        <v>640</v>
      </c>
      <c r="I89" s="1"/>
      <c r="J89" s="5">
        <f t="shared" ref="J89:J94" si="53">IF(H$12=0,0,H89/H$12)</f>
        <v>3.6493228795438344E-3</v>
      </c>
      <c r="K89" s="1"/>
      <c r="L89" s="1">
        <f t="shared" ref="L89:L94" si="54">+D89-H89</f>
        <v>1152.51</v>
      </c>
      <c r="M89" s="1"/>
      <c r="N89" s="5">
        <f t="shared" ref="N89:N94" si="55">IF(H89=0,0,L89/H89)</f>
        <v>1.8007968750000001</v>
      </c>
      <c r="O89" s="13"/>
      <c r="P89" s="1">
        <f>SUM(OSRRefP22_17x_0)</f>
        <v>12588.86</v>
      </c>
      <c r="Q89" s="1"/>
      <c r="R89" s="5">
        <f t="shared" ref="R89:R94" si="56">IF(P$12=0,0,P89/P$12)</f>
        <v>6.9629277799189912E-3</v>
      </c>
      <c r="S89" s="1"/>
      <c r="T89" s="1">
        <f>SUM(OSRRefT22_17x_0)</f>
        <v>5851</v>
      </c>
      <c r="U89" s="1"/>
      <c r="V89" s="5">
        <f t="shared" ref="V89:V94" si="57">IF(T$12=0,0,T89/T$12)</f>
        <v>3.2387535376643068E-3</v>
      </c>
      <c r="W89" s="1"/>
      <c r="X89" s="1">
        <f t="shared" ref="X89:X94" si="58">+P89-T89</f>
        <v>6737.8600000000006</v>
      </c>
      <c r="Y89" s="1"/>
      <c r="Z89" s="5">
        <f t="shared" ref="Z89:Z94" si="59">IF(T89=0,0,X89/T89)</f>
        <v>1.1515740898991627</v>
      </c>
    </row>
    <row r="90" spans="1:26" s="24" customFormat="1" hidden="1" outlineLevel="2" x14ac:dyDescent="0.25">
      <c r="A90" s="25"/>
      <c r="B90" s="11" t="str">
        <f>CONCATENATE("          ", "6281", " - ", "STORAGE FEE")</f>
        <v xml:space="preserve">          6281 - STORAGE FEE</v>
      </c>
      <c r="C90" s="11"/>
      <c r="D90" s="7"/>
      <c r="E90" s="2"/>
      <c r="F90" s="6">
        <f t="shared" si="52"/>
        <v>0</v>
      </c>
      <c r="G90" s="2"/>
      <c r="H90" s="7"/>
      <c r="I90" s="2"/>
      <c r="J90" s="6">
        <f t="shared" si="53"/>
        <v>0</v>
      </c>
      <c r="K90" s="2"/>
      <c r="L90" s="7">
        <f t="shared" si="54"/>
        <v>0</v>
      </c>
      <c r="M90" s="2"/>
      <c r="N90" s="6">
        <f t="shared" si="55"/>
        <v>0</v>
      </c>
      <c r="O90" s="11"/>
      <c r="P90" s="7"/>
      <c r="Q90" s="2"/>
      <c r="R90" s="6">
        <f t="shared" si="56"/>
        <v>0</v>
      </c>
      <c r="S90" s="2"/>
      <c r="T90" s="7">
        <v>0</v>
      </c>
      <c r="U90" s="2"/>
      <c r="V90" s="6">
        <f t="shared" si="57"/>
        <v>0</v>
      </c>
      <c r="W90" s="2"/>
      <c r="X90" s="7">
        <f t="shared" si="58"/>
        <v>0</v>
      </c>
      <c r="Y90" s="2"/>
      <c r="Z90" s="6">
        <f t="shared" si="59"/>
        <v>0</v>
      </c>
    </row>
    <row r="91" spans="1:26" s="24" customFormat="1" hidden="1" outlineLevel="2" x14ac:dyDescent="0.25">
      <c r="A91" s="25"/>
      <c r="B91" s="11" t="str">
        <f>CONCATENATE("          ", "6282", " - ", "JANITORIAL/EXTERMINATOR EXPENS")</f>
        <v xml:space="preserve">          6282 - JANITORIAL/EXTERMINATOR EXPENS</v>
      </c>
      <c r="C91" s="11"/>
      <c r="D91" s="7">
        <v>485.74</v>
      </c>
      <c r="E91" s="2"/>
      <c r="F91" s="6">
        <f t="shared" si="52"/>
        <v>2.680819107406559E-3</v>
      </c>
      <c r="G91" s="2"/>
      <c r="H91" s="7">
        <v>331</v>
      </c>
      <c r="I91" s="2"/>
      <c r="J91" s="6">
        <f t="shared" si="53"/>
        <v>1.8873841767640769E-3</v>
      </c>
      <c r="K91" s="2"/>
      <c r="L91" s="7">
        <f t="shared" si="54"/>
        <v>154.74</v>
      </c>
      <c r="M91" s="2"/>
      <c r="N91" s="6">
        <f t="shared" si="55"/>
        <v>0.46749244712990939</v>
      </c>
      <c r="O91" s="11"/>
      <c r="P91" s="7">
        <v>4637.37</v>
      </c>
      <c r="Q91" s="2"/>
      <c r="R91" s="6">
        <f t="shared" si="56"/>
        <v>2.5649401453954473E-3</v>
      </c>
      <c r="S91" s="2"/>
      <c r="T91" s="7">
        <v>3178</v>
      </c>
      <c r="U91" s="2"/>
      <c r="V91" s="6">
        <f t="shared" si="57"/>
        <v>1.7591452303362105E-3</v>
      </c>
      <c r="W91" s="2"/>
      <c r="X91" s="7">
        <f t="shared" si="58"/>
        <v>1459.37</v>
      </c>
      <c r="Y91" s="2"/>
      <c r="Z91" s="6">
        <f t="shared" si="59"/>
        <v>0.45921019509125233</v>
      </c>
    </row>
    <row r="92" spans="1:26" s="24" customFormat="1" hidden="1" outlineLevel="2" x14ac:dyDescent="0.25">
      <c r="A92" s="25"/>
      <c r="B92" s="11" t="str">
        <f>CONCATENATE("          ", "6284", " - ", "TRASH REMOVAL EXPENSE")</f>
        <v xml:space="preserve">          6284 - TRASH REMOVAL EXPENSE</v>
      </c>
      <c r="C92" s="11"/>
      <c r="D92" s="7">
        <v>289</v>
      </c>
      <c r="E92" s="2"/>
      <c r="F92" s="6">
        <f t="shared" si="52"/>
        <v>1.5950029275754428E-3</v>
      </c>
      <c r="G92" s="2"/>
      <c r="H92" s="7">
        <v>150</v>
      </c>
      <c r="I92" s="2"/>
      <c r="J92" s="6">
        <f t="shared" si="53"/>
        <v>8.5531004989308627E-4</v>
      </c>
      <c r="K92" s="2"/>
      <c r="L92" s="7">
        <f t="shared" si="54"/>
        <v>139</v>
      </c>
      <c r="M92" s="2"/>
      <c r="N92" s="6">
        <f t="shared" si="55"/>
        <v>0.92666666666666664</v>
      </c>
      <c r="O92" s="11"/>
      <c r="P92" s="7">
        <v>2022</v>
      </c>
      <c r="Q92" s="2"/>
      <c r="R92" s="6">
        <f t="shared" si="56"/>
        <v>1.1183729083488257E-3</v>
      </c>
      <c r="S92" s="2"/>
      <c r="T92" s="7">
        <v>1050</v>
      </c>
      <c r="U92" s="2"/>
      <c r="V92" s="6">
        <f t="shared" si="57"/>
        <v>5.8121538447231623E-4</v>
      </c>
      <c r="W92" s="2"/>
      <c r="X92" s="7">
        <f t="shared" si="58"/>
        <v>972</v>
      </c>
      <c r="Y92" s="2"/>
      <c r="Z92" s="6">
        <f t="shared" si="59"/>
        <v>0.92571428571428571</v>
      </c>
    </row>
    <row r="93" spans="1:26" s="24" customFormat="1" hidden="1" outlineLevel="2" x14ac:dyDescent="0.25">
      <c r="A93" s="25"/>
      <c r="B93" s="11" t="str">
        <f>CONCATENATE("          ", "6285", " - ", "JANITORIAL SERVICES")</f>
        <v xml:space="preserve">          6285 - JANITORIAL SERVICES</v>
      </c>
      <c r="C93" s="11"/>
      <c r="D93" s="7">
        <v>134.1</v>
      </c>
      <c r="E93" s="2"/>
      <c r="F93" s="6">
        <f t="shared" si="52"/>
        <v>7.4010343456009297E-4</v>
      </c>
      <c r="G93" s="2"/>
      <c r="H93" s="7">
        <v>114</v>
      </c>
      <c r="I93" s="2"/>
      <c r="J93" s="6">
        <f t="shared" si="53"/>
        <v>6.5003563791874558E-4</v>
      </c>
      <c r="K93" s="2"/>
      <c r="L93" s="7">
        <f t="shared" si="54"/>
        <v>20.099999999999994</v>
      </c>
      <c r="M93" s="2"/>
      <c r="N93" s="6">
        <f t="shared" si="55"/>
        <v>0.17631578947368415</v>
      </c>
      <c r="O93" s="11"/>
      <c r="P93" s="7">
        <v>785.48</v>
      </c>
      <c r="Q93" s="2"/>
      <c r="R93" s="6">
        <f t="shared" si="56"/>
        <v>4.3445081703750532E-4</v>
      </c>
      <c r="S93" s="2"/>
      <c r="T93" s="7">
        <v>1128</v>
      </c>
      <c r="U93" s="2"/>
      <c r="V93" s="6">
        <f t="shared" si="57"/>
        <v>6.2439138446168825E-4</v>
      </c>
      <c r="W93" s="2"/>
      <c r="X93" s="7">
        <f t="shared" si="58"/>
        <v>-342.52</v>
      </c>
      <c r="Y93" s="2"/>
      <c r="Z93" s="6">
        <f t="shared" si="59"/>
        <v>-0.30365248226950353</v>
      </c>
    </row>
    <row r="94" spans="1:26" s="24" customFormat="1" hidden="1" outlineLevel="2" x14ac:dyDescent="0.25">
      <c r="A94" s="25"/>
      <c r="B94" s="11" t="str">
        <f>CONCATENATE("          ", "6286", " - ", "LAUNDRY EXPENSE")</f>
        <v xml:space="preserve">          6286 - LAUNDRY EXPENSE</v>
      </c>
      <c r="C94" s="11"/>
      <c r="D94" s="7">
        <v>883.67</v>
      </c>
      <c r="E94" s="2"/>
      <c r="F94" s="6">
        <f t="shared" si="52"/>
        <v>4.8770112007286903E-3</v>
      </c>
      <c r="G94" s="2"/>
      <c r="H94" s="7">
        <v>45</v>
      </c>
      <c r="I94" s="2"/>
      <c r="J94" s="6">
        <f t="shared" si="53"/>
        <v>2.5659301496792588E-4</v>
      </c>
      <c r="K94" s="2"/>
      <c r="L94" s="7">
        <f t="shared" si="54"/>
        <v>838.67</v>
      </c>
      <c r="M94" s="2"/>
      <c r="N94" s="6">
        <f t="shared" si="55"/>
        <v>18.637111111111111</v>
      </c>
      <c r="O94" s="11"/>
      <c r="P94" s="7">
        <v>5144.01</v>
      </c>
      <c r="Q94" s="2"/>
      <c r="R94" s="6">
        <f t="shared" si="56"/>
        <v>2.8451639091372125E-3</v>
      </c>
      <c r="S94" s="2"/>
      <c r="T94" s="7">
        <v>495</v>
      </c>
      <c r="U94" s="2"/>
      <c r="V94" s="6">
        <f t="shared" si="57"/>
        <v>2.7400153839409196E-4</v>
      </c>
      <c r="W94" s="2"/>
      <c r="X94" s="7">
        <f t="shared" si="58"/>
        <v>4649.01</v>
      </c>
      <c r="Y94" s="2"/>
      <c r="Z94" s="6">
        <f t="shared" si="59"/>
        <v>9.3919393939393938</v>
      </c>
    </row>
    <row r="95" spans="1:26" s="27" customFormat="1" outlineLevel="1" collapsed="1" x14ac:dyDescent="0.25">
      <c r="A95" s="26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SUM(OSRRefD22_18x_0)</f>
        <v>176.4</v>
      </c>
      <c r="E95" s="1"/>
      <c r="F95" s="5">
        <f t="shared" ref="F95:F106" si="60">IF(D$12=0,0,D95/D$12)</f>
        <v>9.7355888036092773E-4</v>
      </c>
      <c r="G95" s="1"/>
      <c r="H95" s="1">
        <f>SUM(OSRRefH22_18x_0)</f>
        <v>180</v>
      </c>
      <c r="I95" s="1"/>
      <c r="J95" s="5">
        <f t="shared" ref="J95:J106" si="61">IF(H$12=0,0,H95/H$12)</f>
        <v>1.0263720598717035E-3</v>
      </c>
      <c r="K95" s="1"/>
      <c r="L95" s="1">
        <f t="shared" ref="L95:L106" si="62">+D95-H95</f>
        <v>-3.5999999999999943</v>
      </c>
      <c r="M95" s="1"/>
      <c r="N95" s="5">
        <f t="shared" ref="N95:N106" si="63">IF(H95=0,0,L95/H95)</f>
        <v>-1.9999999999999969E-2</v>
      </c>
      <c r="O95" s="13"/>
      <c r="P95" s="1">
        <f>SUM(OSRRefP22_18x_0)</f>
        <v>1234.8</v>
      </c>
      <c r="Q95" s="1"/>
      <c r="R95" s="5">
        <f t="shared" ref="R95:R106" si="64">IF(P$12=0,0,P95/P$12)</f>
        <v>6.829707553061969E-4</v>
      </c>
      <c r="S95" s="1"/>
      <c r="T95" s="1">
        <f>SUM(OSRRefT22_18x_0)</f>
        <v>1260</v>
      </c>
      <c r="U95" s="1"/>
      <c r="V95" s="5">
        <f t="shared" ref="V95:V106" si="65">IF(T$12=0,0,T95/T$12)</f>
        <v>6.974584613667795E-4</v>
      </c>
      <c r="W95" s="1"/>
      <c r="X95" s="1">
        <f t="shared" ref="X95:X106" si="66">+P95-T95</f>
        <v>-25.200000000000045</v>
      </c>
      <c r="Y95" s="1"/>
      <c r="Z95" s="5">
        <f t="shared" ref="Z95:Z106" si="67">IF(T95=0,0,X95/T95)</f>
        <v>-2.0000000000000035E-2</v>
      </c>
    </row>
    <row r="96" spans="1:26" s="24" customFormat="1" hidden="1" outlineLevel="2" x14ac:dyDescent="0.25">
      <c r="A96" s="25"/>
      <c r="B96" s="11" t="str">
        <f>CONCATENATE("          ", "6275", " - ", "SUBSCRIPTIONS")</f>
        <v xml:space="preserve">          6275 - SUBSCRIPTIONS</v>
      </c>
      <c r="C96" s="11"/>
      <c r="D96" s="7">
        <v>176.4</v>
      </c>
      <c r="E96" s="2"/>
      <c r="F96" s="6">
        <f t="shared" si="60"/>
        <v>9.7355888036092773E-4</v>
      </c>
      <c r="G96" s="2"/>
      <c r="H96" s="7">
        <v>180</v>
      </c>
      <c r="I96" s="2"/>
      <c r="J96" s="6">
        <f t="shared" si="61"/>
        <v>1.0263720598717035E-3</v>
      </c>
      <c r="K96" s="2"/>
      <c r="L96" s="7">
        <f t="shared" si="62"/>
        <v>-3.5999999999999943</v>
      </c>
      <c r="M96" s="2"/>
      <c r="N96" s="6">
        <f t="shared" si="63"/>
        <v>-1.9999999999999969E-2</v>
      </c>
      <c r="O96" s="11"/>
      <c r="P96" s="7">
        <v>1234.8</v>
      </c>
      <c r="Q96" s="2"/>
      <c r="R96" s="6">
        <f t="shared" si="64"/>
        <v>6.829707553061969E-4</v>
      </c>
      <c r="S96" s="2"/>
      <c r="T96" s="7">
        <v>1260</v>
      </c>
      <c r="U96" s="2"/>
      <c r="V96" s="6">
        <f t="shared" si="65"/>
        <v>6.974584613667795E-4</v>
      </c>
      <c r="W96" s="2"/>
      <c r="X96" s="7">
        <f t="shared" si="66"/>
        <v>-25.200000000000045</v>
      </c>
      <c r="Y96" s="2"/>
      <c r="Z96" s="6">
        <f t="shared" si="67"/>
        <v>-2.0000000000000035E-2</v>
      </c>
    </row>
    <row r="97" spans="1:26" s="27" customFormat="1" outlineLevel="1" collapsed="1" x14ac:dyDescent="0.25">
      <c r="A97" s="26"/>
      <c r="B97" s="13" t="str">
        <f>CONCATENATE("     ","Supplies                                          ")</f>
        <v xml:space="preserve">     Supplies                                          </v>
      </c>
      <c r="C97" s="13"/>
      <c r="D97" s="1">
        <f>SUM(OSRRefD22_19x_0)</f>
        <v>3378.96</v>
      </c>
      <c r="E97" s="1"/>
      <c r="F97" s="5">
        <f t="shared" si="60"/>
        <v>1.8648619696056464E-2</v>
      </c>
      <c r="G97" s="1"/>
      <c r="H97" s="1">
        <f>SUM(OSRRefH22_19x_0)</f>
        <v>2513</v>
      </c>
      <c r="I97" s="1"/>
      <c r="J97" s="5">
        <f t="shared" si="61"/>
        <v>1.4329294369208838E-2</v>
      </c>
      <c r="K97" s="1"/>
      <c r="L97" s="1">
        <f t="shared" si="62"/>
        <v>865.96</v>
      </c>
      <c r="M97" s="1"/>
      <c r="N97" s="5">
        <f t="shared" si="63"/>
        <v>0.34459212097095104</v>
      </c>
      <c r="O97" s="13"/>
      <c r="P97" s="1">
        <f>SUM(OSRRefP22_19x_0)</f>
        <v>41258.239999999998</v>
      </c>
      <c r="Q97" s="1"/>
      <c r="R97" s="5">
        <f t="shared" si="64"/>
        <v>2.2820028616297654E-2</v>
      </c>
      <c r="S97" s="1"/>
      <c r="T97" s="1">
        <f>SUM(OSRRefT22_19x_0)</f>
        <v>24553</v>
      </c>
      <c r="U97" s="1"/>
      <c r="V97" s="5">
        <f t="shared" si="65"/>
        <v>1.3591029842808362E-2</v>
      </c>
      <c r="W97" s="1"/>
      <c r="X97" s="1">
        <f t="shared" si="66"/>
        <v>16705.239999999998</v>
      </c>
      <c r="Y97" s="1"/>
      <c r="Z97" s="5">
        <f t="shared" si="67"/>
        <v>0.68037469962937314</v>
      </c>
    </row>
    <row r="98" spans="1:26" s="24" customFormat="1" hidden="1" outlineLevel="2" x14ac:dyDescent="0.25">
      <c r="A98" s="25"/>
      <c r="B98" s="11" t="str">
        <f>CONCATENATE("          ", "6234", " - ", "EXPENDABLE SUPPLIES &amp; EQUIPMEN")</f>
        <v xml:space="preserve">          6234 - EXPENDABLE SUPPLIES &amp; EQUIPMEN</v>
      </c>
      <c r="C98" s="11"/>
      <c r="D98" s="7"/>
      <c r="E98" s="2"/>
      <c r="F98" s="6">
        <f t="shared" si="60"/>
        <v>0</v>
      </c>
      <c r="G98" s="2"/>
      <c r="H98" s="7"/>
      <c r="I98" s="2"/>
      <c r="J98" s="6">
        <f t="shared" si="61"/>
        <v>0</v>
      </c>
      <c r="K98" s="2"/>
      <c r="L98" s="7">
        <f t="shared" si="62"/>
        <v>0</v>
      </c>
      <c r="M98" s="2"/>
      <c r="N98" s="6">
        <f t="shared" si="63"/>
        <v>0</v>
      </c>
      <c r="O98" s="11"/>
      <c r="P98" s="7">
        <v>1092.46</v>
      </c>
      <c r="Q98" s="2"/>
      <c r="R98" s="6">
        <f t="shared" si="64"/>
        <v>6.0424216985893091E-4</v>
      </c>
      <c r="S98" s="2"/>
      <c r="T98" s="7">
        <v>3000</v>
      </c>
      <c r="U98" s="2"/>
      <c r="V98" s="6">
        <f t="shared" si="65"/>
        <v>1.6606153842066177E-3</v>
      </c>
      <c r="W98" s="2"/>
      <c r="X98" s="7">
        <f t="shared" si="66"/>
        <v>-1907.54</v>
      </c>
      <c r="Y98" s="2"/>
      <c r="Z98" s="6">
        <f t="shared" si="67"/>
        <v>-0.63584666666666667</v>
      </c>
    </row>
    <row r="99" spans="1:26" s="24" customFormat="1" hidden="1" outlineLevel="2" x14ac:dyDescent="0.25">
      <c r="A99" s="25"/>
      <c r="B99" s="11" t="str">
        <f>CONCATENATE("          ", "6237", " - ", "JANITORIAL SUPPLIES")</f>
        <v xml:space="preserve">          6237 - JANITORIAL SUPPLIES</v>
      </c>
      <c r="C99" s="11"/>
      <c r="D99" s="7">
        <v>361.31</v>
      </c>
      <c r="E99" s="2"/>
      <c r="F99" s="6">
        <f t="shared" si="60"/>
        <v>1.9940848019456168E-3</v>
      </c>
      <c r="G99" s="2"/>
      <c r="H99" s="7">
        <v>300</v>
      </c>
      <c r="I99" s="2"/>
      <c r="J99" s="6">
        <f t="shared" si="61"/>
        <v>1.7106200997861725E-3</v>
      </c>
      <c r="K99" s="2"/>
      <c r="L99" s="7">
        <f t="shared" si="62"/>
        <v>61.31</v>
      </c>
      <c r="M99" s="2"/>
      <c r="N99" s="6">
        <f t="shared" si="63"/>
        <v>0.20436666666666667</v>
      </c>
      <c r="O99" s="11"/>
      <c r="P99" s="7">
        <v>3365.74</v>
      </c>
      <c r="Q99" s="2"/>
      <c r="R99" s="6">
        <f t="shared" si="64"/>
        <v>1.8615986313283762E-3</v>
      </c>
      <c r="S99" s="2"/>
      <c r="T99" s="7">
        <v>1100</v>
      </c>
      <c r="U99" s="2"/>
      <c r="V99" s="6">
        <f t="shared" si="65"/>
        <v>6.0889230754242651E-4</v>
      </c>
      <c r="W99" s="2"/>
      <c r="X99" s="7">
        <f t="shared" si="66"/>
        <v>2265.7399999999998</v>
      </c>
      <c r="Y99" s="2"/>
      <c r="Z99" s="6">
        <f t="shared" si="67"/>
        <v>2.0597636363636362</v>
      </c>
    </row>
    <row r="100" spans="1:26" s="24" customFormat="1" hidden="1" outlineLevel="2" x14ac:dyDescent="0.25">
      <c r="A100" s="25"/>
      <c r="B100" s="11" t="str">
        <f>CONCATENATE("          ", "6239", " - ", "KITCHEN SUPPLIES")</f>
        <v xml:space="preserve">          6239 - KITCHEN SUPPLIES</v>
      </c>
      <c r="C100" s="11"/>
      <c r="D100" s="7">
        <v>63.92</v>
      </c>
      <c r="E100" s="2"/>
      <c r="F100" s="6">
        <f t="shared" si="60"/>
        <v>3.5277711809903915E-4</v>
      </c>
      <c r="G100" s="2"/>
      <c r="H100" s="7"/>
      <c r="I100" s="2"/>
      <c r="J100" s="6">
        <f t="shared" si="61"/>
        <v>0</v>
      </c>
      <c r="K100" s="2"/>
      <c r="L100" s="7">
        <f t="shared" si="62"/>
        <v>63.92</v>
      </c>
      <c r="M100" s="2"/>
      <c r="N100" s="6">
        <f t="shared" si="63"/>
        <v>0</v>
      </c>
      <c r="O100" s="11"/>
      <c r="P100" s="7">
        <v>63.92</v>
      </c>
      <c r="Q100" s="2"/>
      <c r="R100" s="6">
        <f t="shared" si="64"/>
        <v>3.5354300841571192E-5</v>
      </c>
      <c r="S100" s="2"/>
      <c r="T100" s="7"/>
      <c r="U100" s="2"/>
      <c r="V100" s="6">
        <f t="shared" si="65"/>
        <v>0</v>
      </c>
      <c r="W100" s="2"/>
      <c r="X100" s="7">
        <f t="shared" si="66"/>
        <v>63.92</v>
      </c>
      <c r="Y100" s="2"/>
      <c r="Z100" s="6">
        <f t="shared" si="67"/>
        <v>0</v>
      </c>
    </row>
    <row r="101" spans="1:26" s="24" customFormat="1" hidden="1" outlineLevel="2" x14ac:dyDescent="0.25">
      <c r="A101" s="25"/>
      <c r="B101" s="11" t="str">
        <f>CONCATENATE("          ", "6241", " - ", "OFFICE EXPENSE")</f>
        <v xml:space="preserve">          6241 - OFFICE EXPENSE</v>
      </c>
      <c r="C101" s="11"/>
      <c r="D101" s="7">
        <v>283.3</v>
      </c>
      <c r="E101" s="2"/>
      <c r="F101" s="6">
        <f t="shared" si="60"/>
        <v>1.563544392325685E-3</v>
      </c>
      <c r="G101" s="2"/>
      <c r="H101" s="7">
        <v>120</v>
      </c>
      <c r="I101" s="2"/>
      <c r="J101" s="6">
        <f t="shared" si="61"/>
        <v>6.8424803991446901E-4</v>
      </c>
      <c r="K101" s="2"/>
      <c r="L101" s="7">
        <f t="shared" si="62"/>
        <v>163.30000000000001</v>
      </c>
      <c r="M101" s="2"/>
      <c r="N101" s="6">
        <f t="shared" si="63"/>
        <v>1.3608333333333333</v>
      </c>
      <c r="O101" s="11"/>
      <c r="P101" s="7">
        <v>2160.1799999999998</v>
      </c>
      <c r="Q101" s="2"/>
      <c r="R101" s="6">
        <f t="shared" si="64"/>
        <v>1.1948005881092811E-3</v>
      </c>
      <c r="S101" s="2"/>
      <c r="T101" s="7">
        <v>360</v>
      </c>
      <c r="U101" s="2"/>
      <c r="V101" s="6">
        <f t="shared" si="65"/>
        <v>1.9927384610479414E-4</v>
      </c>
      <c r="W101" s="2"/>
      <c r="X101" s="7">
        <f t="shared" si="66"/>
        <v>1800.1799999999998</v>
      </c>
      <c r="Y101" s="2"/>
      <c r="Z101" s="6">
        <f t="shared" si="67"/>
        <v>5.0004999999999997</v>
      </c>
    </row>
    <row r="102" spans="1:26" s="24" customFormat="1" hidden="1" outlineLevel="2" x14ac:dyDescent="0.25">
      <c r="A102" s="25"/>
      <c r="B102" s="11" t="str">
        <f>CONCATENATE("          ", "6243", " - ", "PAPER SUPPLIES")</f>
        <v xml:space="preserve">          6243 - PAPER SUPPLIES</v>
      </c>
      <c r="C102" s="11"/>
      <c r="D102" s="7">
        <v>578.54</v>
      </c>
      <c r="E102" s="2"/>
      <c r="F102" s="6">
        <f t="shared" si="60"/>
        <v>3.1929861374377045E-3</v>
      </c>
      <c r="G102" s="2"/>
      <c r="H102" s="7"/>
      <c r="I102" s="2"/>
      <c r="J102" s="6">
        <f t="shared" si="61"/>
        <v>0</v>
      </c>
      <c r="K102" s="2"/>
      <c r="L102" s="7">
        <f t="shared" si="62"/>
        <v>578.54</v>
      </c>
      <c r="M102" s="2"/>
      <c r="N102" s="6">
        <f t="shared" si="63"/>
        <v>0</v>
      </c>
      <c r="O102" s="11"/>
      <c r="P102" s="7">
        <v>3931.14</v>
      </c>
      <c r="Q102" s="2"/>
      <c r="R102" s="6">
        <f t="shared" si="64"/>
        <v>2.1743226878963417E-3</v>
      </c>
      <c r="S102" s="2"/>
      <c r="T102" s="7"/>
      <c r="U102" s="2"/>
      <c r="V102" s="6">
        <f t="shared" si="65"/>
        <v>0</v>
      </c>
      <c r="W102" s="2"/>
      <c r="X102" s="7">
        <f t="shared" si="66"/>
        <v>3931.14</v>
      </c>
      <c r="Y102" s="2"/>
      <c r="Z102" s="6">
        <f t="shared" si="67"/>
        <v>0</v>
      </c>
    </row>
    <row r="103" spans="1:26" s="24" customFormat="1" hidden="1" outlineLevel="2" x14ac:dyDescent="0.25">
      <c r="A103" s="25"/>
      <c r="B103" s="11" t="str">
        <f>CONCATENATE("          ", "6244", " - ", "SAFETY SUPPLY EXPENSE")</f>
        <v xml:space="preserve">          6244 - SAFETY SUPPLY EXPENSE</v>
      </c>
      <c r="C103" s="11"/>
      <c r="D103" s="7"/>
      <c r="E103" s="2"/>
      <c r="F103" s="6">
        <f t="shared" si="60"/>
        <v>0</v>
      </c>
      <c r="G103" s="2"/>
      <c r="H103" s="7"/>
      <c r="I103" s="2"/>
      <c r="J103" s="6">
        <f t="shared" si="61"/>
        <v>0</v>
      </c>
      <c r="K103" s="2"/>
      <c r="L103" s="7">
        <f t="shared" si="62"/>
        <v>0</v>
      </c>
      <c r="M103" s="2"/>
      <c r="N103" s="6">
        <f t="shared" si="63"/>
        <v>0</v>
      </c>
      <c r="O103" s="11"/>
      <c r="P103" s="7"/>
      <c r="Q103" s="2"/>
      <c r="R103" s="6">
        <f t="shared" si="64"/>
        <v>0</v>
      </c>
      <c r="S103" s="2"/>
      <c r="T103" s="7">
        <v>30</v>
      </c>
      <c r="U103" s="2"/>
      <c r="V103" s="6">
        <f t="shared" si="65"/>
        <v>1.6606153842066178E-5</v>
      </c>
      <c r="W103" s="2"/>
      <c r="X103" s="7">
        <f t="shared" si="66"/>
        <v>-30</v>
      </c>
      <c r="Y103" s="2"/>
      <c r="Z103" s="6">
        <f t="shared" si="67"/>
        <v>-1</v>
      </c>
    </row>
    <row r="104" spans="1:26" s="24" customFormat="1" hidden="1" outlineLevel="2" x14ac:dyDescent="0.25">
      <c r="A104" s="25"/>
      <c r="B104" s="11" t="str">
        <f>CONCATENATE("          ", "6245", " - ", "PRINTING")</f>
        <v xml:space="preserve">          6245 - PRINTING</v>
      </c>
      <c r="C104" s="11"/>
      <c r="D104" s="7"/>
      <c r="E104" s="2"/>
      <c r="F104" s="6">
        <f t="shared" si="60"/>
        <v>0</v>
      </c>
      <c r="G104" s="2"/>
      <c r="H104" s="7"/>
      <c r="I104" s="2"/>
      <c r="J104" s="6">
        <f t="shared" si="61"/>
        <v>0</v>
      </c>
      <c r="K104" s="2"/>
      <c r="L104" s="7">
        <f t="shared" si="62"/>
        <v>0</v>
      </c>
      <c r="M104" s="2"/>
      <c r="N104" s="6">
        <f t="shared" si="63"/>
        <v>0</v>
      </c>
      <c r="O104" s="11"/>
      <c r="P104" s="7">
        <v>81.739999999999995</v>
      </c>
      <c r="Q104" s="2"/>
      <c r="R104" s="6">
        <f t="shared" si="64"/>
        <v>4.5210584336514846E-5</v>
      </c>
      <c r="S104" s="2"/>
      <c r="T104" s="7"/>
      <c r="U104" s="2"/>
      <c r="V104" s="6">
        <f t="shared" si="65"/>
        <v>0</v>
      </c>
      <c r="W104" s="2"/>
      <c r="X104" s="7">
        <f t="shared" si="66"/>
        <v>81.739999999999995</v>
      </c>
      <c r="Y104" s="2"/>
      <c r="Z104" s="6">
        <f t="shared" si="67"/>
        <v>0</v>
      </c>
    </row>
    <row r="105" spans="1:26" s="24" customFormat="1" hidden="1" outlineLevel="2" x14ac:dyDescent="0.25">
      <c r="A105" s="25"/>
      <c r="B105" s="11" t="str">
        <f>CONCATENATE("          ", "6247", " - ", "STORE SUPPLIES")</f>
        <v xml:space="preserve">          6247 - STORE SUPPLIES</v>
      </c>
      <c r="C105" s="11"/>
      <c r="D105" s="7">
        <v>2091.89</v>
      </c>
      <c r="E105" s="2"/>
      <c r="F105" s="6">
        <f t="shared" si="60"/>
        <v>1.1545227246248417E-2</v>
      </c>
      <c r="G105" s="2"/>
      <c r="H105" s="7">
        <v>1793</v>
      </c>
      <c r="I105" s="2"/>
      <c r="J105" s="6">
        <f t="shared" si="61"/>
        <v>1.0223806129722025E-2</v>
      </c>
      <c r="K105" s="2"/>
      <c r="L105" s="7">
        <f t="shared" si="62"/>
        <v>298.88999999999987</v>
      </c>
      <c r="M105" s="2"/>
      <c r="N105" s="6">
        <f t="shared" si="63"/>
        <v>0.16669827105409921</v>
      </c>
      <c r="O105" s="11"/>
      <c r="P105" s="7">
        <v>30563.059999999998</v>
      </c>
      <c r="Q105" s="2"/>
      <c r="R105" s="6">
        <f t="shared" si="64"/>
        <v>1.6904499653926638E-2</v>
      </c>
      <c r="S105" s="2"/>
      <c r="T105" s="7">
        <v>19463</v>
      </c>
      <c r="U105" s="2"/>
      <c r="V105" s="6">
        <f t="shared" si="65"/>
        <v>1.0773519074271135E-2</v>
      </c>
      <c r="W105" s="2"/>
      <c r="X105" s="7">
        <f t="shared" si="66"/>
        <v>11100.059999999998</v>
      </c>
      <c r="Y105" s="2"/>
      <c r="Z105" s="6">
        <f t="shared" si="67"/>
        <v>0.57031598417510132</v>
      </c>
    </row>
    <row r="106" spans="1:26" s="24" customFormat="1" hidden="1" outlineLevel="2" x14ac:dyDescent="0.25">
      <c r="A106" s="25"/>
      <c r="B106" s="11" t="str">
        <f>CONCATENATE("          ", "6248", " - ", "UNIFORMS")</f>
        <v xml:space="preserve">          6248 - UNIFORMS</v>
      </c>
      <c r="C106" s="11"/>
      <c r="D106" s="7"/>
      <c r="E106" s="2"/>
      <c r="F106" s="6">
        <f t="shared" si="60"/>
        <v>0</v>
      </c>
      <c r="G106" s="2"/>
      <c r="H106" s="7">
        <v>300</v>
      </c>
      <c r="I106" s="2"/>
      <c r="J106" s="6">
        <f t="shared" si="61"/>
        <v>1.7106200997861725E-3</v>
      </c>
      <c r="K106" s="2"/>
      <c r="L106" s="7">
        <f t="shared" si="62"/>
        <v>-300</v>
      </c>
      <c r="M106" s="2"/>
      <c r="N106" s="6">
        <f t="shared" si="63"/>
        <v>-1</v>
      </c>
      <c r="O106" s="11"/>
      <c r="P106" s="7"/>
      <c r="Q106" s="2"/>
      <c r="R106" s="6">
        <f t="shared" si="64"/>
        <v>0</v>
      </c>
      <c r="S106" s="2"/>
      <c r="T106" s="7">
        <v>600</v>
      </c>
      <c r="U106" s="2"/>
      <c r="V106" s="6">
        <f t="shared" si="65"/>
        <v>3.3212307684132354E-4</v>
      </c>
      <c r="W106" s="2"/>
      <c r="X106" s="7">
        <f t="shared" si="66"/>
        <v>-600</v>
      </c>
      <c r="Y106" s="2"/>
      <c r="Z106" s="6">
        <f t="shared" si="67"/>
        <v>-1</v>
      </c>
    </row>
    <row r="107" spans="1:26" s="27" customFormat="1" outlineLevel="1" collapsed="1" x14ac:dyDescent="0.25">
      <c r="A107" s="26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SUM(OSRRefD22_20x_0)</f>
        <v>443.26</v>
      </c>
      <c r="E107" s="1"/>
      <c r="F107" s="5">
        <f t="shared" ref="F107:F114" si="68">IF(D$12=0,0,D107/D$12)</f>
        <v>2.4463702341767845E-3</v>
      </c>
      <c r="G107" s="1"/>
      <c r="H107" s="1">
        <f>SUM(OSRRefH22_20x_0)</f>
        <v>340</v>
      </c>
      <c r="I107" s="1"/>
      <c r="J107" s="5">
        <f t="shared" ref="J107:J114" si="69">IF(H$12=0,0,H107/H$12)</f>
        <v>1.9387027797576621E-3</v>
      </c>
      <c r="K107" s="1"/>
      <c r="L107" s="1">
        <f t="shared" ref="L107:L114" si="70">+D107-H107</f>
        <v>103.25999999999999</v>
      </c>
      <c r="M107" s="1"/>
      <c r="N107" s="5">
        <f t="shared" ref="N107:N114" si="71">IF(H107=0,0,L107/H107)</f>
        <v>0.30370588235294116</v>
      </c>
      <c r="O107" s="13"/>
      <c r="P107" s="1">
        <f>SUM(OSRRefP22_20x_0)</f>
        <v>2489.52</v>
      </c>
      <c r="Q107" s="1"/>
      <c r="R107" s="5">
        <f t="shared" ref="R107:R114" si="72">IF(P$12=0,0,P107/P$12)</f>
        <v>1.3769593089973139E-3</v>
      </c>
      <c r="S107" s="1"/>
      <c r="T107" s="1">
        <f>SUM(OSRRefT22_20x_0)</f>
        <v>2380</v>
      </c>
      <c r="U107" s="1"/>
      <c r="V107" s="5">
        <f t="shared" ref="V107:V114" si="73">IF(T$12=0,0,T107/T$12)</f>
        <v>1.3174215381372501E-3</v>
      </c>
      <c r="W107" s="1"/>
      <c r="X107" s="1">
        <f t="shared" ref="X107:X114" si="74">+P107-T107</f>
        <v>109.51999999999998</v>
      </c>
      <c r="Y107" s="1"/>
      <c r="Z107" s="5">
        <f t="shared" ref="Z107:Z114" si="75">IF(T107=0,0,X107/T107)</f>
        <v>4.6016806722689069E-2</v>
      </c>
    </row>
    <row r="108" spans="1:26" s="24" customFormat="1" hidden="1" outlineLevel="2" x14ac:dyDescent="0.25">
      <c r="A108" s="25"/>
      <c r="B108" s="11" t="str">
        <f>CONCATENATE("          ", "6309", " - ", "TELEPHONE")</f>
        <v xml:space="preserve">          6309 - TELEPHONE</v>
      </c>
      <c r="C108" s="11"/>
      <c r="D108" s="7">
        <v>443.26</v>
      </c>
      <c r="E108" s="2"/>
      <c r="F108" s="6">
        <f t="shared" si="68"/>
        <v>2.4463702341767845E-3</v>
      </c>
      <c r="G108" s="2"/>
      <c r="H108" s="7">
        <v>340</v>
      </c>
      <c r="I108" s="2"/>
      <c r="J108" s="6">
        <f t="shared" si="69"/>
        <v>1.9387027797576621E-3</v>
      </c>
      <c r="K108" s="2"/>
      <c r="L108" s="7">
        <f t="shared" si="70"/>
        <v>103.25999999999999</v>
      </c>
      <c r="M108" s="2"/>
      <c r="N108" s="6">
        <f t="shared" si="71"/>
        <v>0.30370588235294116</v>
      </c>
      <c r="O108" s="11"/>
      <c r="P108" s="7">
        <v>2489.52</v>
      </c>
      <c r="Q108" s="2"/>
      <c r="R108" s="6">
        <f t="shared" si="72"/>
        <v>1.3769593089973139E-3</v>
      </c>
      <c r="S108" s="2"/>
      <c r="T108" s="7">
        <v>2380</v>
      </c>
      <c r="U108" s="2"/>
      <c r="V108" s="6">
        <f t="shared" si="73"/>
        <v>1.3174215381372501E-3</v>
      </c>
      <c r="W108" s="2"/>
      <c r="X108" s="7">
        <f t="shared" si="74"/>
        <v>109.51999999999998</v>
      </c>
      <c r="Y108" s="2"/>
      <c r="Z108" s="6">
        <f t="shared" si="75"/>
        <v>4.6016806722689069E-2</v>
      </c>
    </row>
    <row r="109" spans="1:26" s="27" customFormat="1" outlineLevel="1" collapsed="1" x14ac:dyDescent="0.25">
      <c r="A109" s="26"/>
      <c r="B109" s="13" t="str">
        <f>CONCATENATE("     ","Training                                          ")</f>
        <v xml:space="preserve">     Training                                          </v>
      </c>
      <c r="C109" s="13"/>
      <c r="D109" s="1">
        <f>SUM(OSRRefD22_21x_0)</f>
        <v>0</v>
      </c>
      <c r="E109" s="1"/>
      <c r="F109" s="5">
        <f t="shared" si="68"/>
        <v>0</v>
      </c>
      <c r="G109" s="1"/>
      <c r="H109" s="1">
        <f>SUM(OSRRefH22_21x_0)</f>
        <v>1100</v>
      </c>
      <c r="I109" s="1"/>
      <c r="J109" s="5">
        <f t="shared" si="69"/>
        <v>6.2722736992159656E-3</v>
      </c>
      <c r="K109" s="1"/>
      <c r="L109" s="1">
        <f t="shared" si="70"/>
        <v>-1100</v>
      </c>
      <c r="M109" s="1"/>
      <c r="N109" s="5">
        <f t="shared" si="71"/>
        <v>-1</v>
      </c>
      <c r="O109" s="13"/>
      <c r="P109" s="1">
        <f>SUM(OSRRefP22_21x_0)</f>
        <v>96</v>
      </c>
      <c r="Q109" s="1"/>
      <c r="R109" s="5">
        <f t="shared" si="72"/>
        <v>5.3097823541784013E-5</v>
      </c>
      <c r="S109" s="1"/>
      <c r="T109" s="1">
        <f>SUM(OSRRefT22_21x_0)</f>
        <v>2200</v>
      </c>
      <c r="U109" s="1"/>
      <c r="V109" s="5">
        <f t="shared" si="73"/>
        <v>1.217784615084853E-3</v>
      </c>
      <c r="W109" s="1"/>
      <c r="X109" s="1">
        <f t="shared" si="74"/>
        <v>-2104</v>
      </c>
      <c r="Y109" s="1"/>
      <c r="Z109" s="5">
        <f t="shared" si="75"/>
        <v>-0.95636363636363642</v>
      </c>
    </row>
    <row r="110" spans="1:26" s="24" customFormat="1" hidden="1" outlineLevel="2" x14ac:dyDescent="0.25">
      <c r="A110" s="25"/>
      <c r="B110" s="11" t="str">
        <f>CONCATENATE("          ", "6376", " - ", "TRAINING")</f>
        <v xml:space="preserve">          6376 - TRAINING</v>
      </c>
      <c r="C110" s="11"/>
      <c r="D110" s="7"/>
      <c r="E110" s="2"/>
      <c r="F110" s="6">
        <f t="shared" si="68"/>
        <v>0</v>
      </c>
      <c r="G110" s="2"/>
      <c r="H110" s="7">
        <v>1100</v>
      </c>
      <c r="I110" s="2"/>
      <c r="J110" s="6">
        <f t="shared" si="69"/>
        <v>6.2722736992159656E-3</v>
      </c>
      <c r="K110" s="2"/>
      <c r="L110" s="7">
        <f t="shared" si="70"/>
        <v>-1100</v>
      </c>
      <c r="M110" s="2"/>
      <c r="N110" s="6">
        <f t="shared" si="71"/>
        <v>-1</v>
      </c>
      <c r="O110" s="11"/>
      <c r="P110" s="7">
        <v>96</v>
      </c>
      <c r="Q110" s="2"/>
      <c r="R110" s="6">
        <f t="shared" si="72"/>
        <v>5.3097823541784013E-5</v>
      </c>
      <c r="S110" s="2"/>
      <c r="T110" s="7">
        <v>2200</v>
      </c>
      <c r="U110" s="2"/>
      <c r="V110" s="6">
        <f t="shared" si="73"/>
        <v>1.217784615084853E-3</v>
      </c>
      <c r="W110" s="2"/>
      <c r="X110" s="7">
        <f t="shared" si="74"/>
        <v>-2104</v>
      </c>
      <c r="Y110" s="2"/>
      <c r="Z110" s="6">
        <f t="shared" si="75"/>
        <v>-0.95636363636363642</v>
      </c>
    </row>
    <row r="111" spans="1:26" s="27" customFormat="1" outlineLevel="1" collapsed="1" x14ac:dyDescent="0.25">
      <c r="A111" s="26"/>
      <c r="B111" s="13" t="str">
        <f>CONCATENATE("     ","Travel                                            ")</f>
        <v xml:space="preserve">     Travel                                            </v>
      </c>
      <c r="C111" s="13"/>
      <c r="D111" s="1">
        <f>SUM(OSRRefD22_22x_0)</f>
        <v>0</v>
      </c>
      <c r="E111" s="1"/>
      <c r="F111" s="5">
        <f t="shared" si="68"/>
        <v>0</v>
      </c>
      <c r="G111" s="1"/>
      <c r="H111" s="1">
        <f>SUM(OSRRefH22_22x_0)</f>
        <v>0</v>
      </c>
      <c r="I111" s="1"/>
      <c r="J111" s="5">
        <f t="shared" si="69"/>
        <v>0</v>
      </c>
      <c r="K111" s="1"/>
      <c r="L111" s="1">
        <f t="shared" si="70"/>
        <v>0</v>
      </c>
      <c r="M111" s="1"/>
      <c r="N111" s="5">
        <f t="shared" si="71"/>
        <v>0</v>
      </c>
      <c r="O111" s="13"/>
      <c r="P111" s="1">
        <f>SUM(OSRRefP22_22x_0)</f>
        <v>0</v>
      </c>
      <c r="Q111" s="1"/>
      <c r="R111" s="5">
        <f t="shared" si="72"/>
        <v>0</v>
      </c>
      <c r="S111" s="1"/>
      <c r="T111" s="1">
        <f>SUM(OSRRefT22_22x_0)</f>
        <v>1000</v>
      </c>
      <c r="U111" s="1"/>
      <c r="V111" s="5">
        <f t="shared" si="73"/>
        <v>5.5353846140220595E-4</v>
      </c>
      <c r="W111" s="1"/>
      <c r="X111" s="1">
        <f t="shared" si="74"/>
        <v>-1000</v>
      </c>
      <c r="Y111" s="1"/>
      <c r="Z111" s="5">
        <f t="shared" si="75"/>
        <v>-1</v>
      </c>
    </row>
    <row r="112" spans="1:26" s="24" customFormat="1" hidden="1" outlineLevel="2" x14ac:dyDescent="0.25">
      <c r="A112" s="25"/>
      <c r="B112" s="11" t="str">
        <f>CONCATENATE("          ", "6292", " - ", "TRAVEL/CONFERENCE")</f>
        <v xml:space="preserve">          6292 - TRAVEL/CONFERENCE</v>
      </c>
      <c r="C112" s="11"/>
      <c r="D112" s="7"/>
      <c r="E112" s="2"/>
      <c r="F112" s="6">
        <f t="shared" si="68"/>
        <v>0</v>
      </c>
      <c r="G112" s="2"/>
      <c r="H112" s="7"/>
      <c r="I112" s="2"/>
      <c r="J112" s="6">
        <f t="shared" si="69"/>
        <v>0</v>
      </c>
      <c r="K112" s="2"/>
      <c r="L112" s="7">
        <f t="shared" si="70"/>
        <v>0</v>
      </c>
      <c r="M112" s="2"/>
      <c r="N112" s="6">
        <f t="shared" si="71"/>
        <v>0</v>
      </c>
      <c r="O112" s="11"/>
      <c r="P112" s="7"/>
      <c r="Q112" s="2"/>
      <c r="R112" s="6">
        <f t="shared" si="72"/>
        <v>0</v>
      </c>
      <c r="S112" s="2"/>
      <c r="T112" s="7">
        <v>1000</v>
      </c>
      <c r="U112" s="2"/>
      <c r="V112" s="6">
        <f t="shared" si="73"/>
        <v>5.5353846140220595E-4</v>
      </c>
      <c r="W112" s="2"/>
      <c r="X112" s="7">
        <f t="shared" si="74"/>
        <v>-1000</v>
      </c>
      <c r="Y112" s="2"/>
      <c r="Z112" s="6">
        <f t="shared" si="75"/>
        <v>-1</v>
      </c>
    </row>
    <row r="113" spans="1:26" s="27" customFormat="1" outlineLevel="1" collapsed="1" x14ac:dyDescent="0.25">
      <c r="A113" s="26"/>
      <c r="B113" s="13" t="str">
        <f>CONCATENATE("     ","Utilities                                         ")</f>
        <v xml:space="preserve">     Utilities                                         </v>
      </c>
      <c r="C113" s="13"/>
      <c r="D113" s="1">
        <f>SUM(OSRRefD22_23x_0)</f>
        <v>1105</v>
      </c>
      <c r="E113" s="1"/>
      <c r="F113" s="5">
        <f t="shared" si="68"/>
        <v>6.0985406054355163E-3</v>
      </c>
      <c r="G113" s="1"/>
      <c r="H113" s="1">
        <f>SUM(OSRRefH22_23x_0)</f>
        <v>1119</v>
      </c>
      <c r="I113" s="1"/>
      <c r="J113" s="5">
        <f t="shared" si="69"/>
        <v>6.3806129722024235E-3</v>
      </c>
      <c r="K113" s="1"/>
      <c r="L113" s="1">
        <f t="shared" si="70"/>
        <v>-14</v>
      </c>
      <c r="M113" s="1"/>
      <c r="N113" s="5">
        <f t="shared" si="71"/>
        <v>-1.2511170688114389E-2</v>
      </c>
      <c r="O113" s="13"/>
      <c r="P113" s="1">
        <f>SUM(OSRRefP22_23x_0)</f>
        <v>6555.12</v>
      </c>
      <c r="Q113" s="1"/>
      <c r="R113" s="5">
        <f t="shared" si="72"/>
        <v>3.6256521359918667E-3</v>
      </c>
      <c r="S113" s="1"/>
      <c r="T113" s="1">
        <f>SUM(OSRRefT22_23x_0)</f>
        <v>7888</v>
      </c>
      <c r="U113" s="1"/>
      <c r="V113" s="5">
        <f t="shared" si="73"/>
        <v>4.3663113835406006E-3</v>
      </c>
      <c r="W113" s="1"/>
      <c r="X113" s="1">
        <f t="shared" si="74"/>
        <v>-1332.88</v>
      </c>
      <c r="Y113" s="1"/>
      <c r="Z113" s="5">
        <f t="shared" si="75"/>
        <v>-0.16897565922920893</v>
      </c>
    </row>
    <row r="114" spans="1:26" s="24" customFormat="1" hidden="1" outlineLevel="2" x14ac:dyDescent="0.25">
      <c r="A114" s="25"/>
      <c r="B114" s="11" t="str">
        <f>CONCATENATE("          ", "6274", " - ", "UTILITIES")</f>
        <v xml:space="preserve">          6274 - UTILITIES</v>
      </c>
      <c r="C114" s="11"/>
      <c r="D114" s="7">
        <v>1105</v>
      </c>
      <c r="E114" s="2"/>
      <c r="F114" s="6">
        <f t="shared" si="68"/>
        <v>6.0985406054355163E-3</v>
      </c>
      <c r="G114" s="2"/>
      <c r="H114" s="7">
        <v>1119</v>
      </c>
      <c r="I114" s="2"/>
      <c r="J114" s="6">
        <f t="shared" si="69"/>
        <v>6.3806129722024235E-3</v>
      </c>
      <c r="K114" s="2"/>
      <c r="L114" s="7">
        <f t="shared" si="70"/>
        <v>-14</v>
      </c>
      <c r="M114" s="2"/>
      <c r="N114" s="6">
        <f t="shared" si="71"/>
        <v>-1.2511170688114389E-2</v>
      </c>
      <c r="O114" s="11"/>
      <c r="P114" s="7">
        <v>6555.12</v>
      </c>
      <c r="Q114" s="2"/>
      <c r="R114" s="6">
        <f t="shared" si="72"/>
        <v>3.6256521359918667E-3</v>
      </c>
      <c r="S114" s="2"/>
      <c r="T114" s="7">
        <v>7888</v>
      </c>
      <c r="U114" s="2"/>
      <c r="V114" s="6">
        <f t="shared" si="73"/>
        <v>4.3663113835406006E-3</v>
      </c>
      <c r="W114" s="2"/>
      <c r="X114" s="7">
        <f t="shared" si="74"/>
        <v>-1332.88</v>
      </c>
      <c r="Y114" s="2"/>
      <c r="Z114" s="6">
        <f t="shared" si="75"/>
        <v>-0.16897565922920893</v>
      </c>
    </row>
    <row r="115" spans="1:26" s="53" customFormat="1" x14ac:dyDescent="0.25">
      <c r="A115" s="36"/>
      <c r="B115" s="36"/>
      <c r="C115" s="36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6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x14ac:dyDescent="0.25">
      <c r="A116" s="10"/>
      <c r="B116" s="28" t="s">
        <v>0</v>
      </c>
      <c r="C116" s="10"/>
      <c r="D116" s="4">
        <f>SUM(0)</f>
        <v>0</v>
      </c>
      <c r="E116" s="4"/>
      <c r="F116" s="12">
        <f>IF(D$12=0,0,D116/D$12)</f>
        <v>0</v>
      </c>
      <c r="G116" s="4"/>
      <c r="H116" s="4">
        <f>SUM(0)</f>
        <v>0</v>
      </c>
      <c r="I116" s="4"/>
      <c r="J116" s="12">
        <f>IF(H$12=0,0,H116/H$12)</f>
        <v>0</v>
      </c>
      <c r="K116" s="4"/>
      <c r="L116" s="4">
        <f>+D116-H116</f>
        <v>0</v>
      </c>
      <c r="M116" s="4"/>
      <c r="N116" s="12">
        <f>IF(H116=0,0,L116/H116)</f>
        <v>0</v>
      </c>
      <c r="O116" s="10"/>
      <c r="P116" s="4">
        <f>SUM(0)</f>
        <v>0</v>
      </c>
      <c r="Q116" s="4"/>
      <c r="R116" s="12">
        <f>IF(P$12=0,0,P116/P$12)</f>
        <v>0</v>
      </c>
      <c r="S116" s="4"/>
      <c r="T116" s="4">
        <f>SUM(0)</f>
        <v>0</v>
      </c>
      <c r="U116" s="4"/>
      <c r="V116" s="12">
        <f>IF(T$12=0,0,T116/T$12)</f>
        <v>0</v>
      </c>
      <c r="W116" s="4"/>
      <c r="X116" s="4">
        <f>+P116-T116</f>
        <v>0</v>
      </c>
      <c r="Y116" s="4"/>
      <c r="Z116" s="12">
        <f>IF(T116=0,0,X116/T116)</f>
        <v>0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10"/>
      <c r="B118" s="29" t="s">
        <v>3</v>
      </c>
      <c r="C118" s="29"/>
      <c r="D118" s="21">
        <f>+D30-D32+D116</f>
        <v>-1118.4599999999919</v>
      </c>
      <c r="E118" s="14"/>
      <c r="F118" s="20">
        <f>IF(D$12=0,0,D118/D$12)</f>
        <v>-6.1728269009550755E-3</v>
      </c>
      <c r="G118" s="14"/>
      <c r="H118" s="21">
        <f>+H30-H32+H116</f>
        <v>-5649.3563230596192</v>
      </c>
      <c r="I118" s="14"/>
      <c r="J118" s="20">
        <f>IF(H$12=0,0,H118/H$12)</f>
        <v>-3.2213008256932969E-2</v>
      </c>
      <c r="K118" s="16"/>
      <c r="L118" s="21">
        <f>+D118-H118</f>
        <v>4530.8963230596273</v>
      </c>
      <c r="M118" s="16"/>
      <c r="N118" s="20">
        <f>IF(H118=0,0,L118/H118)</f>
        <v>-0.80201992297164071</v>
      </c>
      <c r="O118" s="28"/>
      <c r="P118" s="21">
        <f>+P30-P32+P116</f>
        <v>212741.31000000006</v>
      </c>
      <c r="Q118" s="14"/>
      <c r="R118" s="20">
        <f>IF(P$12=0,0,P118/P$12)</f>
        <v>0.11766771394195806</v>
      </c>
      <c r="S118" s="14"/>
      <c r="T118" s="21">
        <f>+T30-T32+T116</f>
        <v>223967.94852629036</v>
      </c>
      <c r="U118" s="14"/>
      <c r="V118" s="20">
        <f>IF(T$12=0,0,T118/T$12)</f>
        <v>0.12397487363065123</v>
      </c>
      <c r="W118" s="16"/>
      <c r="X118" s="21">
        <f>+P118-T118</f>
        <v>-11226.638526290306</v>
      </c>
      <c r="Y118" s="16"/>
      <c r="Z118" s="20">
        <f>IF(T118=0,0,X118/T118)</f>
        <v>-5.0126094381636364E-2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52"/>
      <c r="B120" s="10" t="s">
        <v>14</v>
      </c>
      <c r="C120" s="10"/>
      <c r="D120" s="4">
        <v>12840.93</v>
      </c>
      <c r="E120" s="4"/>
      <c r="F120" s="12">
        <f>IF(D$12=0,0,D120/D$12)</f>
        <v>7.0869622639416374E-2</v>
      </c>
      <c r="G120" s="4"/>
      <c r="H120" s="4">
        <v>12310</v>
      </c>
      <c r="I120" s="4"/>
      <c r="J120" s="12">
        <f>IF(H$12=0,0,H120/H$12)</f>
        <v>7.019244476122595E-2</v>
      </c>
      <c r="K120" s="4"/>
      <c r="L120" s="4">
        <f>+D120-H120</f>
        <v>530.93000000000029</v>
      </c>
      <c r="M120" s="4"/>
      <c r="N120" s="12">
        <f>IF(H120=0,0,L120/H120)</f>
        <v>4.3129975629569481E-2</v>
      </c>
      <c r="O120" s="10"/>
      <c r="P120" s="4">
        <v>188547.09</v>
      </c>
      <c r="Q120" s="4"/>
      <c r="R120" s="12">
        <f>IF(P$12=0,0,P120/P$12)</f>
        <v>0.10428583452225905</v>
      </c>
      <c r="S120" s="4"/>
      <c r="T120" s="4">
        <v>222430</v>
      </c>
      <c r="U120" s="4"/>
      <c r="V120" s="12">
        <f>IF(T$12=0,0,T120/T$12)</f>
        <v>0.12312355996969267</v>
      </c>
      <c r="W120" s="4"/>
      <c r="X120" s="4">
        <f>+P120-T120</f>
        <v>-33882.910000000003</v>
      </c>
      <c r="Y120" s="4"/>
      <c r="Z120" s="12">
        <f>IF(T120=0,0,X120/T120)</f>
        <v>-0.15233066582745136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9" t="s">
        <v>4</v>
      </c>
      <c r="C122" s="29"/>
      <c r="D122" s="34">
        <f>+D118-D120</f>
        <v>-13959.389999999992</v>
      </c>
      <c r="E122" s="14"/>
      <c r="F122" s="32">
        <f>IF(D$12=0,0,D122/D$12)</f>
        <v>-7.7042449540371441E-2</v>
      </c>
      <c r="G122" s="14"/>
      <c r="H122" s="34">
        <f>+H118-H120</f>
        <v>-17959.356323059619</v>
      </c>
      <c r="I122" s="14"/>
      <c r="J122" s="32">
        <f>IF(H$12=0,0,H122/H$12)</f>
        <v>-0.10240545301815891</v>
      </c>
      <c r="K122" s="16"/>
      <c r="L122" s="34">
        <f>D122-H122</f>
        <v>3999.966323059627</v>
      </c>
      <c r="M122" s="16"/>
      <c r="N122" s="32">
        <f>IF(H122=0,0,L122/H122)</f>
        <v>-0.22272325639665122</v>
      </c>
      <c r="O122" s="28"/>
      <c r="P122" s="34">
        <f>+P118-P120</f>
        <v>24194.220000000059</v>
      </c>
      <c r="Q122" s="14"/>
      <c r="R122" s="32">
        <f>IF(P$12=0,0,P122/P$12)</f>
        <v>1.3381879419699007E-2</v>
      </c>
      <c r="S122" s="14"/>
      <c r="T122" s="34">
        <f>+T118-T120</f>
        <v>1537.9485262903618</v>
      </c>
      <c r="U122" s="14"/>
      <c r="V122" s="32">
        <f>IF(T$12=0,0,T122/T$12)</f>
        <v>8.513136609585569E-4</v>
      </c>
      <c r="W122" s="16"/>
      <c r="X122" s="34">
        <f>P122-T122</f>
        <v>22656.271473709698</v>
      </c>
      <c r="Y122" s="16"/>
      <c r="Z122" s="32">
        <f>IF(T122=0,0,X122/T122)</f>
        <v>14.731488789392836</v>
      </c>
    </row>
    <row r="123" spans="1:26" ht="15.75" thickTop="1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9" t="s">
        <v>5</v>
      </c>
      <c r="C125" s="29"/>
      <c r="D125" s="31">
        <f>SUM(D122:D124)</f>
        <v>-13959.389999999992</v>
      </c>
      <c r="E125" s="14"/>
      <c r="F125" s="30">
        <f>IF(D$12=0,0,D125/D$12)</f>
        <v>-7.7042449540371441E-2</v>
      </c>
      <c r="G125" s="14"/>
      <c r="H125" s="31">
        <f>SUM(H122:H124)</f>
        <v>-17959.356323059619</v>
      </c>
      <c r="I125" s="14"/>
      <c r="J125" s="30">
        <f>IF(H$12=0,0,H125/H$12)</f>
        <v>-0.10240545301815891</v>
      </c>
      <c r="K125" s="16"/>
      <c r="L125" s="31">
        <f>+D125-H125</f>
        <v>3999.966323059627</v>
      </c>
      <c r="M125" s="16"/>
      <c r="N125" s="30">
        <f>IF(H125=0,0,L125/H125)</f>
        <v>-0.22272325639665122</v>
      </c>
      <c r="O125" s="28"/>
      <c r="P125" s="31">
        <f>SUM(P122:P124)</f>
        <v>24194.220000000059</v>
      </c>
      <c r="Q125" s="14"/>
      <c r="R125" s="30">
        <f>IF(P$12=0,0,P125/P$12)</f>
        <v>1.3381879419699007E-2</v>
      </c>
      <c r="S125" s="14"/>
      <c r="T125" s="31">
        <f>SUM(T122:T124)</f>
        <v>1537.9485262903618</v>
      </c>
      <c r="U125" s="14"/>
      <c r="V125" s="30">
        <f>IF(T$12=0,0,T125/T$12)</f>
        <v>8.513136609585569E-4</v>
      </c>
      <c r="W125" s="16"/>
      <c r="X125" s="31">
        <f>+P125-T125</f>
        <v>22656.271473709698</v>
      </c>
      <c r="Y125" s="16"/>
      <c r="Z125" s="30">
        <f>IF(T125=0,0,X125/T125)</f>
        <v>14.731488789392836</v>
      </c>
    </row>
    <row r="126" spans="1:26" ht="15.75" thickTop="1" x14ac:dyDescent="0.25">
      <c r="A126" s="9"/>
      <c r="C126" s="9"/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  <row r="127" spans="1:26" x14ac:dyDescent="0.25">
      <c r="A127" s="9"/>
      <c r="B127" s="63">
        <v>43879.545720752314</v>
      </c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57" t="s">
        <v>314</v>
      </c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60"/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299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","309", " - ", "Carts")</f>
        <v>Department 309 - Carts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20026.32</v>
      </c>
      <c r="E12" s="4"/>
      <c r="F12" s="12"/>
      <c r="G12" s="4"/>
      <c r="H12" s="4">
        <f>SUM(OSRRefH13x_0)</f>
        <v>19228</v>
      </c>
      <c r="I12" s="4"/>
      <c r="J12" s="12"/>
      <c r="K12" s="4"/>
      <c r="L12" s="4">
        <f t="shared" ref="L12:L15" si="0">+D12-H12</f>
        <v>798.31999999999971</v>
      </c>
      <c r="M12" s="4"/>
      <c r="N12" s="12">
        <f t="shared" ref="N12:N15" si="1">IF(H12=0,0,L12/H12)</f>
        <v>4.151861868109006E-2</v>
      </c>
      <c r="O12" s="10"/>
      <c r="P12" s="4">
        <f>SUM(OSRRefP13x_0)</f>
        <v>219221.16</v>
      </c>
      <c r="Q12" s="4"/>
      <c r="R12" s="12"/>
      <c r="S12" s="4"/>
      <c r="T12" s="4">
        <f>SUM(OSRRefT13x_0)</f>
        <v>231034</v>
      </c>
      <c r="U12" s="4"/>
      <c r="V12" s="12"/>
      <c r="W12" s="4"/>
      <c r="X12" s="4">
        <f t="shared" ref="X12:X15" si="2">+P12-T12</f>
        <v>-11812.839999999997</v>
      </c>
      <c r="Y12" s="4"/>
      <c r="Z12" s="12">
        <f t="shared" ref="Z12:Z15" si="3">IF(T12=0,0,X12/T12)</f>
        <v>-5.1130309824527979E-2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--3424.49</f>
        <v>3424.49</v>
      </c>
      <c r="E13" s="2"/>
      <c r="F13" s="19"/>
      <c r="G13" s="2"/>
      <c r="H13" s="2"/>
      <c r="I13" s="2"/>
      <c r="J13" s="19"/>
      <c r="K13" s="2"/>
      <c r="L13" s="2">
        <f t="shared" si="0"/>
        <v>3424.49</v>
      </c>
      <c r="M13" s="2"/>
      <c r="N13" s="19">
        <f t="shared" si="1"/>
        <v>0</v>
      </c>
      <c r="O13" s="11"/>
      <c r="P13" s="2">
        <f>--48664.18</f>
        <v>48664.18</v>
      </c>
      <c r="Q13" s="2"/>
      <c r="R13" s="19"/>
      <c r="S13" s="2"/>
      <c r="T13" s="2"/>
      <c r="U13" s="2"/>
      <c r="V13" s="19"/>
      <c r="W13" s="2"/>
      <c r="X13" s="2">
        <f t="shared" si="2"/>
        <v>48664.18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19228</v>
      </c>
      <c r="I14" s="2"/>
      <c r="J14" s="19"/>
      <c r="K14" s="2"/>
      <c r="L14" s="2">
        <f t="shared" si="0"/>
        <v>-19228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231034</v>
      </c>
      <c r="U14" s="2"/>
      <c r="V14" s="19"/>
      <c r="W14" s="2"/>
      <c r="X14" s="2">
        <f t="shared" si="2"/>
        <v>-231034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--16601.83</f>
        <v>16601.830000000002</v>
      </c>
      <c r="E15" s="2"/>
      <c r="F15" s="19"/>
      <c r="G15" s="2"/>
      <c r="H15" s="2"/>
      <c r="I15" s="2"/>
      <c r="J15" s="19"/>
      <c r="K15" s="2"/>
      <c r="L15" s="2">
        <f t="shared" si="0"/>
        <v>16601.830000000002</v>
      </c>
      <c r="M15" s="2"/>
      <c r="N15" s="19">
        <f t="shared" si="1"/>
        <v>0</v>
      </c>
      <c r="O15" s="11"/>
      <c r="P15" s="2">
        <f>--170556.98</f>
        <v>170556.98</v>
      </c>
      <c r="Q15" s="2"/>
      <c r="R15" s="19"/>
      <c r="S15" s="2"/>
      <c r="T15" s="2"/>
      <c r="U15" s="2"/>
      <c r="V15" s="19"/>
      <c r="W15" s="2"/>
      <c r="X15" s="2">
        <f t="shared" si="2"/>
        <v>170556.98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9912.7100000000009</v>
      </c>
      <c r="E17" s="4"/>
      <c r="F17" s="12">
        <f t="shared" ref="F17:F20" si="4">IF(D$12=0,0,D17/D$12)</f>
        <v>0.49498410092318512</v>
      </c>
      <c r="G17" s="4"/>
      <c r="H17" s="4">
        <f>SUM(OSRRefH16x_0)</f>
        <v>9518</v>
      </c>
      <c r="I17" s="4"/>
      <c r="J17" s="12">
        <f t="shared" ref="J17:J20" si="5">IF(H$12=0,0,H17/H$12)</f>
        <v>0.49500728104847097</v>
      </c>
      <c r="K17" s="4"/>
      <c r="L17" s="4">
        <f t="shared" ref="L17:L20" si="6">+D17-H17</f>
        <v>394.71000000000095</v>
      </c>
      <c r="M17" s="4"/>
      <c r="N17" s="12">
        <f t="shared" ref="N17:N20" si="7">IF(H17=0,0,L17/H17)</f>
        <v>4.1469846606430022E-2</v>
      </c>
      <c r="O17" s="10"/>
      <c r="P17" s="4">
        <f>SUM(OSRRefP16x_0)</f>
        <v>101399.76000000001</v>
      </c>
      <c r="Q17" s="4"/>
      <c r="R17" s="12">
        <f t="shared" ref="R17:R20" si="8">IF(P$12=0,0,P17/P$12)</f>
        <v>0.46254549515201909</v>
      </c>
      <c r="S17" s="4"/>
      <c r="T17" s="4">
        <f>SUM(OSRRefT16x_0)</f>
        <v>114361</v>
      </c>
      <c r="U17" s="4"/>
      <c r="V17" s="12">
        <f t="shared" ref="V17:V20" si="9">IF(T$12=0,0,T17/T$12)</f>
        <v>0.49499640745517975</v>
      </c>
      <c r="W17" s="4"/>
      <c r="X17" s="4">
        <f t="shared" ref="X17:X20" si="10">+P17-T17</f>
        <v>-12961.239999999991</v>
      </c>
      <c r="Y17" s="4"/>
      <c r="Z17" s="12">
        <f t="shared" ref="Z17:Z20" si="11">IF(T17=0,0,X17/T17)</f>
        <v>-0.11333618978497906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9518</v>
      </c>
      <c r="I18" s="2"/>
      <c r="J18" s="19">
        <f t="shared" si="5"/>
        <v>0.49500728104847097</v>
      </c>
      <c r="K18" s="2"/>
      <c r="L18" s="2">
        <f t="shared" si="6"/>
        <v>-9518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114361</v>
      </c>
      <c r="U18" s="2"/>
      <c r="V18" s="19">
        <f t="shared" si="9"/>
        <v>0.49499640745517975</v>
      </c>
      <c r="W18" s="2"/>
      <c r="X18" s="2">
        <f t="shared" si="10"/>
        <v>-114361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16737.310000000001</v>
      </c>
      <c r="E19" s="2"/>
      <c r="F19" s="19">
        <f t="shared" si="4"/>
        <v>0.83576563242772517</v>
      </c>
      <c r="G19" s="2"/>
      <c r="H19" s="2"/>
      <c r="I19" s="2"/>
      <c r="J19" s="19">
        <f t="shared" si="5"/>
        <v>0</v>
      </c>
      <c r="K19" s="2"/>
      <c r="L19" s="2">
        <f t="shared" si="6"/>
        <v>16737.310000000001</v>
      </c>
      <c r="M19" s="2"/>
      <c r="N19" s="19">
        <f t="shared" si="7"/>
        <v>0</v>
      </c>
      <c r="O19" s="11"/>
      <c r="P19" s="2">
        <v>111094.05</v>
      </c>
      <c r="Q19" s="2"/>
      <c r="R19" s="19">
        <f t="shared" si="8"/>
        <v>0.50676700187153467</v>
      </c>
      <c r="S19" s="2"/>
      <c r="T19" s="2"/>
      <c r="U19" s="2"/>
      <c r="V19" s="19">
        <f t="shared" si="9"/>
        <v>0</v>
      </c>
      <c r="W19" s="2"/>
      <c r="X19" s="2">
        <f t="shared" si="10"/>
        <v>111094.05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-6824.6</v>
      </c>
      <c r="E20" s="2"/>
      <c r="F20" s="19">
        <f t="shared" si="4"/>
        <v>-0.34078153150454005</v>
      </c>
      <c r="G20" s="2"/>
      <c r="H20" s="2"/>
      <c r="I20" s="2"/>
      <c r="J20" s="19">
        <f t="shared" si="5"/>
        <v>0</v>
      </c>
      <c r="K20" s="2"/>
      <c r="L20" s="2">
        <f t="shared" si="6"/>
        <v>-6824.6</v>
      </c>
      <c r="M20" s="2"/>
      <c r="N20" s="19">
        <f t="shared" si="7"/>
        <v>0</v>
      </c>
      <c r="O20" s="11"/>
      <c r="P20" s="2">
        <v>-9694.2900000000009</v>
      </c>
      <c r="Q20" s="2"/>
      <c r="R20" s="19">
        <f t="shared" si="8"/>
        <v>-4.422150671951558E-2</v>
      </c>
      <c r="S20" s="2"/>
      <c r="T20" s="2"/>
      <c r="U20" s="2"/>
      <c r="V20" s="19">
        <f t="shared" si="9"/>
        <v>0</v>
      </c>
      <c r="W20" s="2"/>
      <c r="X20" s="2">
        <f t="shared" si="10"/>
        <v>-9694.2900000000009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1">
        <f>D12-D17</f>
        <v>10113.609999999999</v>
      </c>
      <c r="E22" s="14"/>
      <c r="F22" s="20">
        <f>IF(D$12=0,0,D22/D$12)</f>
        <v>0.50501589907681488</v>
      </c>
      <c r="G22" s="14"/>
      <c r="H22" s="21">
        <f>H12-H17</f>
        <v>9710</v>
      </c>
      <c r="I22" s="14"/>
      <c r="J22" s="20">
        <f>IF(H$12=0,0,H22/H$12)</f>
        <v>0.50499271895152897</v>
      </c>
      <c r="K22" s="16"/>
      <c r="L22" s="21">
        <f>+D22-H22</f>
        <v>403.60999999999876</v>
      </c>
      <c r="M22" s="16"/>
      <c r="N22" s="20">
        <f>IF(H22=0,0,L22/H22)</f>
        <v>4.156642636457248E-2</v>
      </c>
      <c r="O22" s="28"/>
      <c r="P22" s="21">
        <f>P12-P17</f>
        <v>117821.4</v>
      </c>
      <c r="Q22" s="14"/>
      <c r="R22" s="20">
        <f>IF(P$12=0,0,P22/P$12)</f>
        <v>0.53745450484798085</v>
      </c>
      <c r="S22" s="14"/>
      <c r="T22" s="21">
        <f>T12-T17</f>
        <v>116673</v>
      </c>
      <c r="U22" s="14"/>
      <c r="V22" s="20">
        <f>IF(T$12=0,0,T22/T$12)</f>
        <v>0.50500359254482019</v>
      </c>
      <c r="W22" s="16"/>
      <c r="X22" s="21">
        <f>+P22-T22</f>
        <v>1148.3999999999942</v>
      </c>
      <c r="Y22" s="16"/>
      <c r="Z22" s="20">
        <f>IF(T22=0,0,X22/T22)</f>
        <v>9.842894242883907E-3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2">
        <f>SUM(OSRRefD22x_0)</f>
        <v>11594.89</v>
      </c>
      <c r="E24" s="22"/>
      <c r="F24" s="35">
        <f t="shared" ref="F24:F34" si="12">IF(D$12=0,0,D24/D$12)</f>
        <v>0.57898255895241857</v>
      </c>
      <c r="G24" s="22"/>
      <c r="H24" s="22">
        <f>SUM(OSRRefH22x_0)</f>
        <v>11427.66553458077</v>
      </c>
      <c r="I24" s="22"/>
      <c r="J24" s="35">
        <f t="shared" ref="J24:J34" si="13">IF(H$12=0,0,H24/H$12)</f>
        <v>0.59432419048162943</v>
      </c>
      <c r="K24" s="4"/>
      <c r="L24" s="22">
        <f t="shared" ref="L24:L34" si="14">+D24-H24</f>
        <v>167.22446541922909</v>
      </c>
      <c r="M24" s="4"/>
      <c r="N24" s="35">
        <f t="shared" ref="N24:N34" si="15">IF(H24=0,0,L24/H24)</f>
        <v>1.4633300643355223E-2</v>
      </c>
      <c r="O24" s="10"/>
      <c r="P24" s="22">
        <f>SUM(OSRRefP22x_0)</f>
        <v>100955.21999999999</v>
      </c>
      <c r="Q24" s="22"/>
      <c r="R24" s="35">
        <f t="shared" ref="R24:R34" si="16">IF(P$12=0,0,P24/P$12)</f>
        <v>0.46051767995388759</v>
      </c>
      <c r="S24" s="22"/>
      <c r="T24" s="22">
        <f>SUM(OSRRefT22x_0)</f>
        <v>86902.985869580792</v>
      </c>
      <c r="U24" s="22"/>
      <c r="V24" s="35">
        <f t="shared" ref="V24:V34" si="17">IF(T$12=0,0,T24/T$12)</f>
        <v>0.37614803825229531</v>
      </c>
      <c r="W24" s="4"/>
      <c r="X24" s="22">
        <f t="shared" ref="X24:X34" si="18">+P24-T24</f>
        <v>14052.234130419194</v>
      </c>
      <c r="Y24" s="4"/>
      <c r="Z24" s="35">
        <f t="shared" ref="Z24:Z34" si="19">IF(T24=0,0,X24/T24)</f>
        <v>0.16170024527704965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333.53000000000003</v>
      </c>
      <c r="E25" s="1"/>
      <c r="F25" s="5">
        <f t="shared" si="12"/>
        <v>1.6654582569338751E-2</v>
      </c>
      <c r="G25" s="1"/>
      <c r="H25" s="1">
        <f>SUM(OSRRefH22_0x_0)</f>
        <v>1562.5595153499996</v>
      </c>
      <c r="I25" s="1"/>
      <c r="J25" s="5">
        <f t="shared" si="13"/>
        <v>8.1264796928957744E-2</v>
      </c>
      <c r="K25" s="1"/>
      <c r="L25" s="1">
        <f t="shared" si="14"/>
        <v>-1229.0295153499997</v>
      </c>
      <c r="M25" s="1"/>
      <c r="N25" s="5">
        <f t="shared" si="15"/>
        <v>-0.7865489303136769</v>
      </c>
      <c r="O25" s="13"/>
      <c r="P25" s="1">
        <f>SUM(OSRRefP22_0x_0)</f>
        <v>11457.009999999998</v>
      </c>
      <c r="Q25" s="1"/>
      <c r="R25" s="5">
        <f t="shared" si="16"/>
        <v>5.2262336354756987E-2</v>
      </c>
      <c r="S25" s="1"/>
      <c r="T25" s="1">
        <f>SUM(OSRRefT22_0x_0)</f>
        <v>10713.104850349999</v>
      </c>
      <c r="U25" s="1"/>
      <c r="V25" s="5">
        <f t="shared" si="17"/>
        <v>4.6370252215474771E-2</v>
      </c>
      <c r="W25" s="1"/>
      <c r="X25" s="1">
        <f t="shared" si="18"/>
        <v>743.90514964999966</v>
      </c>
      <c r="Y25" s="1"/>
      <c r="Z25" s="5">
        <f t="shared" si="19"/>
        <v>6.9438800426348493E-2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7">
        <v>247.88</v>
      </c>
      <c r="E26" s="2"/>
      <c r="F26" s="6">
        <f t="shared" si="12"/>
        <v>1.2377710932412944E-2</v>
      </c>
      <c r="G26" s="2"/>
      <c r="H26" s="7">
        <v>199.021180580769</v>
      </c>
      <c r="I26" s="2"/>
      <c r="J26" s="6">
        <f t="shared" si="13"/>
        <v>1.0350591875430051E-2</v>
      </c>
      <c r="K26" s="2"/>
      <c r="L26" s="7">
        <f t="shared" si="14"/>
        <v>48.858819419230997</v>
      </c>
      <c r="M26" s="2"/>
      <c r="N26" s="6">
        <f t="shared" si="15"/>
        <v>0.24549557628316129</v>
      </c>
      <c r="O26" s="11"/>
      <c r="P26" s="7">
        <v>2626.27</v>
      </c>
      <c r="Q26" s="2"/>
      <c r="R26" s="6">
        <f t="shared" si="16"/>
        <v>1.1980002295398856E-2</v>
      </c>
      <c r="S26" s="2"/>
      <c r="T26" s="7">
        <v>1319.382115580767</v>
      </c>
      <c r="U26" s="2"/>
      <c r="V26" s="6">
        <f t="shared" si="17"/>
        <v>5.7107703436756804E-3</v>
      </c>
      <c r="W26" s="2"/>
      <c r="X26" s="7">
        <f t="shared" si="18"/>
        <v>1306.8878844192329</v>
      </c>
      <c r="Y26" s="2"/>
      <c r="Z26" s="6">
        <f t="shared" si="19"/>
        <v>0.9905302406224944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7">
        <v>75.34</v>
      </c>
      <c r="E27" s="2"/>
      <c r="F27" s="6">
        <f t="shared" si="12"/>
        <v>3.7620491433273816E-3</v>
      </c>
      <c r="G27" s="2"/>
      <c r="H27" s="7">
        <v>146.32155038461499</v>
      </c>
      <c r="I27" s="2"/>
      <c r="J27" s="6">
        <f t="shared" si="13"/>
        <v>7.609816433566413E-3</v>
      </c>
      <c r="K27" s="2"/>
      <c r="L27" s="7">
        <f t="shared" si="14"/>
        <v>-70.981550384614991</v>
      </c>
      <c r="M27" s="2"/>
      <c r="N27" s="6">
        <f t="shared" si="15"/>
        <v>-0.48510660390103655</v>
      </c>
      <c r="O27" s="11"/>
      <c r="P27" s="7">
        <v>972.97</v>
      </c>
      <c r="Q27" s="2"/>
      <c r="R27" s="6">
        <f t="shared" si="16"/>
        <v>4.4383033097717389E-3</v>
      </c>
      <c r="S27" s="2"/>
      <c r="T27" s="7">
        <v>1075.9250503846138</v>
      </c>
      <c r="U27" s="2"/>
      <c r="V27" s="6">
        <f t="shared" si="17"/>
        <v>4.6569987550949803E-3</v>
      </c>
      <c r="W27" s="2"/>
      <c r="X27" s="7">
        <f t="shared" si="18"/>
        <v>-102.95505038461374</v>
      </c>
      <c r="Y27" s="2"/>
      <c r="Z27" s="6">
        <f t="shared" si="19"/>
        <v>-9.5689797674856747E-2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7"/>
      <c r="E28" s="2"/>
      <c r="F28" s="6">
        <f t="shared" si="12"/>
        <v>0</v>
      </c>
      <c r="G28" s="2"/>
      <c r="H28" s="7">
        <v>690.5</v>
      </c>
      <c r="I28" s="2"/>
      <c r="J28" s="6">
        <f t="shared" si="13"/>
        <v>3.5911171208654044E-2</v>
      </c>
      <c r="K28" s="2"/>
      <c r="L28" s="7">
        <f t="shared" si="14"/>
        <v>-690.5</v>
      </c>
      <c r="M28" s="2"/>
      <c r="N28" s="6">
        <f t="shared" si="15"/>
        <v>-1</v>
      </c>
      <c r="O28" s="11"/>
      <c r="P28" s="7">
        <v>4829.7</v>
      </c>
      <c r="Q28" s="2"/>
      <c r="R28" s="6">
        <f t="shared" si="16"/>
        <v>2.2031176187554156E-2</v>
      </c>
      <c r="S28" s="2"/>
      <c r="T28" s="7">
        <v>4833.5</v>
      </c>
      <c r="U28" s="2"/>
      <c r="V28" s="6">
        <f t="shared" si="17"/>
        <v>2.0921163118848309E-2</v>
      </c>
      <c r="W28" s="2"/>
      <c r="X28" s="7">
        <f t="shared" si="18"/>
        <v>-3.8000000000001819</v>
      </c>
      <c r="Y28" s="2"/>
      <c r="Z28" s="6">
        <f t="shared" si="19"/>
        <v>-7.8617978690393754E-4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7">
        <v>10.31</v>
      </c>
      <c r="E29" s="2"/>
      <c r="F29" s="6">
        <f t="shared" si="12"/>
        <v>5.1482249359842446E-4</v>
      </c>
      <c r="G29" s="2"/>
      <c r="H29" s="7">
        <v>20.022949000000001</v>
      </c>
      <c r="I29" s="2"/>
      <c r="J29" s="6">
        <f t="shared" si="13"/>
        <v>1.0413433014354067E-3</v>
      </c>
      <c r="K29" s="2"/>
      <c r="L29" s="7">
        <f t="shared" si="14"/>
        <v>-9.7129490000000001</v>
      </c>
      <c r="M29" s="2"/>
      <c r="N29" s="6">
        <f t="shared" si="15"/>
        <v>-0.48509083252422008</v>
      </c>
      <c r="O29" s="11"/>
      <c r="P29" s="7">
        <v>146.19999999999999</v>
      </c>
      <c r="Q29" s="2"/>
      <c r="R29" s="6">
        <f t="shared" si="16"/>
        <v>6.6690642454405398E-4</v>
      </c>
      <c r="S29" s="2"/>
      <c r="T29" s="7">
        <v>147.23184900000001</v>
      </c>
      <c r="U29" s="2"/>
      <c r="V29" s="6">
        <f t="shared" si="17"/>
        <v>6.3727351385510359E-4</v>
      </c>
      <c r="W29" s="2"/>
      <c r="X29" s="7">
        <f t="shared" si="18"/>
        <v>-1.0318490000000224</v>
      </c>
      <c r="Y29" s="2"/>
      <c r="Z29" s="6">
        <f t="shared" si="19"/>
        <v>-7.0083273898164681E-3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7"/>
      <c r="E30" s="2"/>
      <c r="F30" s="6">
        <f t="shared" si="12"/>
        <v>0</v>
      </c>
      <c r="G30" s="2"/>
      <c r="H30" s="7">
        <v>223.64852384615401</v>
      </c>
      <c r="I30" s="2"/>
      <c r="J30" s="6">
        <f t="shared" si="13"/>
        <v>1.1631398161335241E-2</v>
      </c>
      <c r="K30" s="2"/>
      <c r="L30" s="7">
        <f t="shared" si="14"/>
        <v>-223.64852384615401</v>
      </c>
      <c r="M30" s="2"/>
      <c r="N30" s="6">
        <f t="shared" si="15"/>
        <v>-1</v>
      </c>
      <c r="O30" s="11"/>
      <c r="P30" s="7">
        <v>938.77</v>
      </c>
      <c r="Q30" s="2"/>
      <c r="R30" s="6">
        <f t="shared" si="16"/>
        <v>4.2822964717457021E-3</v>
      </c>
      <c r="S30" s="2"/>
      <c r="T30" s="7">
        <v>1329.135523846154</v>
      </c>
      <c r="U30" s="2"/>
      <c r="V30" s="6">
        <f t="shared" si="17"/>
        <v>5.7529866766196924E-3</v>
      </c>
      <c r="W30" s="2"/>
      <c r="X30" s="7">
        <f t="shared" si="18"/>
        <v>-390.36552384615402</v>
      </c>
      <c r="Y30" s="2"/>
      <c r="Z30" s="6">
        <f t="shared" si="19"/>
        <v>-0.29369881162798445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7"/>
      <c r="E32" s="2"/>
      <c r="F32" s="6">
        <f t="shared" si="12"/>
        <v>0</v>
      </c>
      <c r="G32" s="2"/>
      <c r="H32" s="7">
        <v>78.016926923076909</v>
      </c>
      <c r="I32" s="2"/>
      <c r="J32" s="6">
        <f t="shared" si="13"/>
        <v>4.0574644748843829E-3</v>
      </c>
      <c r="K32" s="2"/>
      <c r="L32" s="7">
        <f t="shared" si="14"/>
        <v>-78.016926923076909</v>
      </c>
      <c r="M32" s="2"/>
      <c r="N32" s="6">
        <f t="shared" si="15"/>
        <v>-1</v>
      </c>
      <c r="O32" s="11"/>
      <c r="P32" s="7">
        <v>480.48</v>
      </c>
      <c r="Q32" s="2"/>
      <c r="R32" s="6">
        <f t="shared" si="16"/>
        <v>2.1917592261622922E-3</v>
      </c>
      <c r="S32" s="2"/>
      <c r="T32" s="7">
        <v>463.6519269230767</v>
      </c>
      <c r="U32" s="2"/>
      <c r="V32" s="6">
        <f t="shared" si="17"/>
        <v>2.0068558174254729E-3</v>
      </c>
      <c r="W32" s="2"/>
      <c r="X32" s="7">
        <f t="shared" si="18"/>
        <v>16.828073076923317</v>
      </c>
      <c r="Y32" s="2"/>
      <c r="Z32" s="6">
        <f t="shared" si="19"/>
        <v>3.6294625558010933E-2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7"/>
      <c r="E33" s="2"/>
      <c r="F33" s="6">
        <f t="shared" si="12"/>
        <v>0</v>
      </c>
      <c r="G33" s="2"/>
      <c r="H33" s="7">
        <v>205.02838461538502</v>
      </c>
      <c r="I33" s="2"/>
      <c r="J33" s="6">
        <f t="shared" si="13"/>
        <v>1.0663011473652227E-2</v>
      </c>
      <c r="K33" s="2"/>
      <c r="L33" s="7">
        <f t="shared" si="14"/>
        <v>-205.02838461538502</v>
      </c>
      <c r="M33" s="2"/>
      <c r="N33" s="6">
        <f t="shared" si="15"/>
        <v>-1</v>
      </c>
      <c r="O33" s="11"/>
      <c r="P33" s="7">
        <v>575.64</v>
      </c>
      <c r="Q33" s="2"/>
      <c r="R33" s="6">
        <f t="shared" si="16"/>
        <v>2.625841410564564E-3</v>
      </c>
      <c r="S33" s="2"/>
      <c r="T33" s="7">
        <v>1544.278384615387</v>
      </c>
      <c r="U33" s="2"/>
      <c r="V33" s="6">
        <f t="shared" si="17"/>
        <v>6.6842039899555348E-3</v>
      </c>
      <c r="W33" s="2"/>
      <c r="X33" s="7">
        <f t="shared" si="18"/>
        <v>-968.63838461538705</v>
      </c>
      <c r="Y33" s="2"/>
      <c r="Z33" s="6">
        <f t="shared" si="19"/>
        <v>-0.62724337416445353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7"/>
      <c r="E34" s="2"/>
      <c r="F34" s="6">
        <f t="shared" si="12"/>
        <v>0</v>
      </c>
      <c r="G34" s="2"/>
      <c r="H34" s="7"/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>
        <v>886.98</v>
      </c>
      <c r="Q34" s="2"/>
      <c r="R34" s="6">
        <f t="shared" si="16"/>
        <v>4.0460510290156295E-3</v>
      </c>
      <c r="S34" s="2"/>
      <c r="T34" s="7"/>
      <c r="U34" s="2"/>
      <c r="V34" s="6">
        <f t="shared" si="17"/>
        <v>0</v>
      </c>
      <c r="W34" s="2"/>
      <c r="X34" s="7">
        <f t="shared" si="18"/>
        <v>886.98</v>
      </c>
      <c r="Y34" s="2"/>
      <c r="Z34" s="6">
        <f t="shared" si="19"/>
        <v>0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5762.3</v>
      </c>
      <c r="E35" s="1"/>
      <c r="F35" s="5">
        <f t="shared" ref="F35:F45" si="20">IF(D$12=0,0,D35/D$12)</f>
        <v>0.28773633897790507</v>
      </c>
      <c r="G35" s="1"/>
      <c r="H35" s="1">
        <f>SUM(OSRRefH22_1x_0)</f>
        <v>7571.1060192307696</v>
      </c>
      <c r="I35" s="1"/>
      <c r="J35" s="5">
        <f t="shared" ref="J35:J45" si="21">IF(H$12=0,0,H35/H$12)</f>
        <v>0.39375421360675938</v>
      </c>
      <c r="K35" s="1"/>
      <c r="L35" s="1">
        <f t="shared" ref="L35:L45" si="22">+D35-H35</f>
        <v>-1808.8060192307694</v>
      </c>
      <c r="M35" s="1"/>
      <c r="N35" s="5">
        <f t="shared" ref="N35:N45" si="23">IF(H35=0,0,L35/H35)</f>
        <v>-0.23890908602209027</v>
      </c>
      <c r="O35" s="13"/>
      <c r="P35" s="1">
        <f>SUM(OSRRefP22_1x_0)</f>
        <v>57399.68</v>
      </c>
      <c r="Q35" s="1"/>
      <c r="R35" s="5">
        <f t="shared" ref="R35:R45" si="24">IF(P$12=0,0,P35/P$12)</f>
        <v>0.26183457837737928</v>
      </c>
      <c r="S35" s="1"/>
      <c r="T35" s="1">
        <f>SUM(OSRRefT22_1x_0)</f>
        <v>55854.881019230786</v>
      </c>
      <c r="U35" s="1"/>
      <c r="V35" s="5">
        <f t="shared" ref="V35:V45" si="25">IF(T$12=0,0,T35/T$12)</f>
        <v>0.24176043794086924</v>
      </c>
      <c r="W35" s="1"/>
      <c r="X35" s="1">
        <f t="shared" ref="X35:X45" si="26">+P35-T35</f>
        <v>1544.7989807692138</v>
      </c>
      <c r="Y35" s="1"/>
      <c r="Z35" s="5">
        <f t="shared" ref="Z35:Z45" si="27">IF(T35=0,0,X35/T35)</f>
        <v>2.7657367674587666E-2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2470.5360192307699</v>
      </c>
      <c r="I36" s="2"/>
      <c r="J36" s="6">
        <f t="shared" si="21"/>
        <v>0.1284863750380055</v>
      </c>
      <c r="K36" s="2"/>
      <c r="L36" s="7">
        <f t="shared" si="22"/>
        <v>-2470.5360192307699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14682.31101923079</v>
      </c>
      <c r="U36" s="2"/>
      <c r="V36" s="6">
        <f t="shared" si="25"/>
        <v>6.3550434218473437E-2</v>
      </c>
      <c r="W36" s="2"/>
      <c r="X36" s="7">
        <f t="shared" si="26"/>
        <v>-14682.31101923079</v>
      </c>
      <c r="Y36" s="2"/>
      <c r="Z36" s="6">
        <f t="shared" si="27"/>
        <v>-1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>
        <v>9840</v>
      </c>
      <c r="Q37" s="2"/>
      <c r="R37" s="6">
        <f t="shared" si="24"/>
        <v>4.488617795836862E-2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9840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7">
        <v>3240.3</v>
      </c>
      <c r="E40" s="2"/>
      <c r="F40" s="6">
        <f t="shared" si="20"/>
        <v>0.16180206847788312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3240.3</v>
      </c>
      <c r="M40" s="2"/>
      <c r="N40" s="6">
        <f t="shared" si="23"/>
        <v>0</v>
      </c>
      <c r="O40" s="11"/>
      <c r="P40" s="7">
        <v>18229.060000000001</v>
      </c>
      <c r="Q40" s="2"/>
      <c r="R40" s="6">
        <f t="shared" si="24"/>
        <v>8.3153743005465353E-2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18229.060000000001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>
        <v>285.19</v>
      </c>
      <c r="Q41" s="2"/>
      <c r="R41" s="6">
        <f t="shared" si="24"/>
        <v>1.3009236882060107E-3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285.19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7">
        <v>2522</v>
      </c>
      <c r="E42" s="2"/>
      <c r="F42" s="6">
        <f t="shared" si="20"/>
        <v>0.12593427050002198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2522</v>
      </c>
      <c r="M42" s="2"/>
      <c r="N42" s="6">
        <f t="shared" si="23"/>
        <v>0</v>
      </c>
      <c r="O42" s="11"/>
      <c r="P42" s="7">
        <v>28988.43</v>
      </c>
      <c r="Q42" s="2"/>
      <c r="R42" s="6">
        <f t="shared" si="24"/>
        <v>0.13223372232862923</v>
      </c>
      <c r="S42" s="2"/>
      <c r="T42" s="7">
        <v>1785</v>
      </c>
      <c r="U42" s="2"/>
      <c r="V42" s="6">
        <f t="shared" si="25"/>
        <v>7.7261355471489046E-3</v>
      </c>
      <c r="W42" s="2"/>
      <c r="X42" s="7">
        <f t="shared" si="26"/>
        <v>27203.43</v>
      </c>
      <c r="Y42" s="2"/>
      <c r="Z42" s="6">
        <f t="shared" si="27"/>
        <v>15.240016806722689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5100.57</v>
      </c>
      <c r="I43" s="2"/>
      <c r="J43" s="6">
        <f t="shared" si="21"/>
        <v>0.26526783856875391</v>
      </c>
      <c r="K43" s="2"/>
      <c r="L43" s="7">
        <f t="shared" si="22"/>
        <v>-5100.57</v>
      </c>
      <c r="M43" s="2"/>
      <c r="N43" s="6">
        <f t="shared" si="23"/>
        <v>-1</v>
      </c>
      <c r="O43" s="11"/>
      <c r="P43" s="7">
        <v>57</v>
      </c>
      <c r="Q43" s="2"/>
      <c r="R43" s="6">
        <f t="shared" si="24"/>
        <v>2.6001139671006209E-4</v>
      </c>
      <c r="S43" s="2"/>
      <c r="T43" s="7">
        <v>39387.57</v>
      </c>
      <c r="U43" s="2"/>
      <c r="V43" s="6">
        <f t="shared" si="25"/>
        <v>0.17048386817524694</v>
      </c>
      <c r="W43" s="2"/>
      <c r="X43" s="7">
        <f t="shared" si="26"/>
        <v>-39330.57</v>
      </c>
      <c r="Y43" s="2"/>
      <c r="Z43" s="6">
        <f t="shared" si="27"/>
        <v>-0.99855284294004432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22.4</v>
      </c>
      <c r="E46" s="1"/>
      <c r="F46" s="5">
        <f t="shared" ref="F46:F54" si="28">IF(D$12=0,0,D46/D$12)</f>
        <v>1.1185280171294575E-3</v>
      </c>
      <c r="G46" s="1"/>
      <c r="H46" s="1">
        <f>SUM(OSRRefH22_2x_0)</f>
        <v>0</v>
      </c>
      <c r="I46" s="1"/>
      <c r="J46" s="5">
        <f t="shared" ref="J46:J54" si="29">IF(H$12=0,0,H46/H$12)</f>
        <v>0</v>
      </c>
      <c r="K46" s="1"/>
      <c r="L46" s="1">
        <f t="shared" ref="L46:L54" si="30">+D46-H46</f>
        <v>22.4</v>
      </c>
      <c r="M46" s="1"/>
      <c r="N46" s="5">
        <f t="shared" ref="N46:N54" si="31">IF(H46=0,0,L46/H46)</f>
        <v>0</v>
      </c>
      <c r="O46" s="13"/>
      <c r="P46" s="1">
        <f>SUM(OSRRefP22_2x_0)</f>
        <v>878.59</v>
      </c>
      <c r="Q46" s="1"/>
      <c r="R46" s="5">
        <f t="shared" ref="R46:R54" si="32">IF(P$12=0,0,P46/P$12)</f>
        <v>4.0077791760612892E-3</v>
      </c>
      <c r="S46" s="1"/>
      <c r="T46" s="1">
        <f>SUM(OSRRefT22_2x_0)</f>
        <v>0</v>
      </c>
      <c r="U46" s="1"/>
      <c r="V46" s="5">
        <f t="shared" ref="V46:V54" si="33">IF(T$12=0,0,T46/T$12)</f>
        <v>0</v>
      </c>
      <c r="W46" s="1"/>
      <c r="X46" s="1">
        <f t="shared" ref="X46:X54" si="34">+P46-T46</f>
        <v>878.59</v>
      </c>
      <c r="Y46" s="1"/>
      <c r="Z46" s="5">
        <f t="shared" ref="Z46:Z54" si="35">IF(T46=0,0,X46/T46)</f>
        <v>0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7">
        <v>22.4</v>
      </c>
      <c r="E47" s="2"/>
      <c r="F47" s="6">
        <f t="shared" si="28"/>
        <v>1.1185280171294575E-3</v>
      </c>
      <c r="G47" s="2"/>
      <c r="H47" s="7">
        <v>0</v>
      </c>
      <c r="I47" s="2"/>
      <c r="J47" s="6">
        <f t="shared" si="29"/>
        <v>0</v>
      </c>
      <c r="K47" s="2"/>
      <c r="L47" s="7">
        <f t="shared" si="30"/>
        <v>22.4</v>
      </c>
      <c r="M47" s="2"/>
      <c r="N47" s="6">
        <f t="shared" si="31"/>
        <v>0</v>
      </c>
      <c r="O47" s="11"/>
      <c r="P47" s="7">
        <v>878.59</v>
      </c>
      <c r="Q47" s="2"/>
      <c r="R47" s="6">
        <f t="shared" si="32"/>
        <v>4.0077791760612892E-3</v>
      </c>
      <c r="S47" s="2"/>
      <c r="T47" s="7">
        <v>0</v>
      </c>
      <c r="U47" s="2"/>
      <c r="V47" s="6">
        <f t="shared" si="33"/>
        <v>0</v>
      </c>
      <c r="W47" s="2"/>
      <c r="X47" s="7">
        <f t="shared" si="34"/>
        <v>878.59</v>
      </c>
      <c r="Y47" s="2"/>
      <c r="Z47" s="6">
        <f t="shared" si="35"/>
        <v>0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-13.72</v>
      </c>
      <c r="E48" s="1"/>
      <c r="F48" s="5">
        <f t="shared" si="28"/>
        <v>-6.8509841049179288E-4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-13.72</v>
      </c>
      <c r="M48" s="1"/>
      <c r="N48" s="5">
        <f t="shared" si="31"/>
        <v>0</v>
      </c>
      <c r="O48" s="13"/>
      <c r="P48" s="1">
        <f>SUM(OSRRefP22_3x_0)</f>
        <v>-24.86</v>
      </c>
      <c r="Q48" s="1"/>
      <c r="R48" s="5">
        <f t="shared" si="32"/>
        <v>-1.134014617931955E-4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-24.86</v>
      </c>
      <c r="Y48" s="1"/>
      <c r="Z48" s="5">
        <f t="shared" si="35"/>
        <v>0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7">
        <v>-13.72</v>
      </c>
      <c r="E49" s="2"/>
      <c r="F49" s="6">
        <f t="shared" si="28"/>
        <v>-6.8509841049179288E-4</v>
      </c>
      <c r="G49" s="2"/>
      <c r="H49" s="7">
        <v>0</v>
      </c>
      <c r="I49" s="2"/>
      <c r="J49" s="6">
        <f t="shared" si="29"/>
        <v>0</v>
      </c>
      <c r="K49" s="2"/>
      <c r="L49" s="7">
        <f t="shared" si="30"/>
        <v>-13.72</v>
      </c>
      <c r="M49" s="2"/>
      <c r="N49" s="6">
        <f t="shared" si="31"/>
        <v>0</v>
      </c>
      <c r="O49" s="11"/>
      <c r="P49" s="7">
        <v>-24.86</v>
      </c>
      <c r="Q49" s="2"/>
      <c r="R49" s="6">
        <f t="shared" si="32"/>
        <v>-1.134014617931955E-4</v>
      </c>
      <c r="S49" s="2"/>
      <c r="T49" s="7">
        <v>0</v>
      </c>
      <c r="U49" s="2"/>
      <c r="V49" s="6">
        <f t="shared" si="33"/>
        <v>0</v>
      </c>
      <c r="W49" s="2"/>
      <c r="X49" s="7">
        <f t="shared" si="34"/>
        <v>-24.86</v>
      </c>
      <c r="Y49" s="2"/>
      <c r="Z49" s="6">
        <f t="shared" si="35"/>
        <v>0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828.39</v>
      </c>
      <c r="E50" s="1"/>
      <c r="F50" s="5">
        <f t="shared" si="28"/>
        <v>4.1365063576333544E-2</v>
      </c>
      <c r="G50" s="1"/>
      <c r="H50" s="1">
        <f>SUM(OSRRefH22_4x_0)</f>
        <v>609</v>
      </c>
      <c r="I50" s="1"/>
      <c r="J50" s="5">
        <f t="shared" si="29"/>
        <v>3.1672560848762223E-2</v>
      </c>
      <c r="K50" s="1"/>
      <c r="L50" s="1">
        <f t="shared" si="30"/>
        <v>219.39</v>
      </c>
      <c r="M50" s="1"/>
      <c r="N50" s="5">
        <f t="shared" si="31"/>
        <v>0.36024630541871921</v>
      </c>
      <c r="O50" s="13"/>
      <c r="P50" s="1">
        <f>SUM(OSRRefP22_4x_0)</f>
        <v>7543.51</v>
      </c>
      <c r="Q50" s="1"/>
      <c r="R50" s="5">
        <f t="shared" si="32"/>
        <v>3.4410501249058256E-2</v>
      </c>
      <c r="S50" s="1"/>
      <c r="T50" s="1">
        <f>SUM(OSRRefT22_4x_0)</f>
        <v>7321</v>
      </c>
      <c r="U50" s="1"/>
      <c r="V50" s="5">
        <f t="shared" si="33"/>
        <v>3.1687976661443767E-2</v>
      </c>
      <c r="W50" s="1"/>
      <c r="X50" s="1">
        <f t="shared" si="34"/>
        <v>222.51000000000022</v>
      </c>
      <c r="Y50" s="1"/>
      <c r="Z50" s="5">
        <f t="shared" si="35"/>
        <v>3.0393388881300398E-2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7">
        <v>828.39</v>
      </c>
      <c r="E51" s="2"/>
      <c r="F51" s="6">
        <f t="shared" si="28"/>
        <v>4.1365063576333544E-2</v>
      </c>
      <c r="G51" s="2"/>
      <c r="H51" s="7">
        <v>609</v>
      </c>
      <c r="I51" s="2"/>
      <c r="J51" s="6">
        <f t="shared" si="29"/>
        <v>3.1672560848762223E-2</v>
      </c>
      <c r="K51" s="2"/>
      <c r="L51" s="7">
        <f t="shared" si="30"/>
        <v>219.39</v>
      </c>
      <c r="M51" s="2"/>
      <c r="N51" s="6">
        <f t="shared" si="31"/>
        <v>0.36024630541871921</v>
      </c>
      <c r="O51" s="11"/>
      <c r="P51" s="7">
        <v>7543.51</v>
      </c>
      <c r="Q51" s="2"/>
      <c r="R51" s="6">
        <f t="shared" si="32"/>
        <v>3.4410501249058256E-2</v>
      </c>
      <c r="S51" s="2"/>
      <c r="T51" s="7">
        <v>7321</v>
      </c>
      <c r="U51" s="2"/>
      <c r="V51" s="6">
        <f t="shared" si="33"/>
        <v>3.1687976661443767E-2</v>
      </c>
      <c r="W51" s="2"/>
      <c r="X51" s="7">
        <f t="shared" si="34"/>
        <v>222.51000000000022</v>
      </c>
      <c r="Y51" s="2"/>
      <c r="Z51" s="6">
        <f t="shared" si="35"/>
        <v>3.0393388881300398E-2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155.66999999999999</v>
      </c>
      <c r="E52" s="1"/>
      <c r="F52" s="5">
        <f t="shared" si="28"/>
        <v>7.7732703761849405E-3</v>
      </c>
      <c r="G52" s="1"/>
      <c r="H52" s="1">
        <f>SUM(OSRRefH22_5x_0)</f>
        <v>233</v>
      </c>
      <c r="I52" s="1"/>
      <c r="J52" s="5">
        <f t="shared" si="29"/>
        <v>1.211774495527356E-2</v>
      </c>
      <c r="K52" s="1"/>
      <c r="L52" s="1">
        <f t="shared" si="30"/>
        <v>-77.330000000000013</v>
      </c>
      <c r="M52" s="1"/>
      <c r="N52" s="5">
        <f t="shared" si="31"/>
        <v>-0.33188841201716746</v>
      </c>
      <c r="O52" s="13"/>
      <c r="P52" s="1">
        <f>SUM(OSRRefP22_5x_0)</f>
        <v>1089.69</v>
      </c>
      <c r="Q52" s="1"/>
      <c r="R52" s="5">
        <f t="shared" si="32"/>
        <v>4.9707336645787295E-3</v>
      </c>
      <c r="S52" s="1"/>
      <c r="T52" s="1">
        <f>SUM(OSRRefT22_5x_0)</f>
        <v>932</v>
      </c>
      <c r="U52" s="1"/>
      <c r="V52" s="5">
        <f t="shared" si="33"/>
        <v>4.0340382800799881E-3</v>
      </c>
      <c r="W52" s="1"/>
      <c r="X52" s="1">
        <f t="shared" si="34"/>
        <v>157.69000000000005</v>
      </c>
      <c r="Y52" s="1"/>
      <c r="Z52" s="5">
        <f t="shared" si="35"/>
        <v>0.16919527896995715</v>
      </c>
    </row>
    <row r="53" spans="1:26" s="24" customFormat="1" hidden="1" outlineLevel="2" x14ac:dyDescent="0.25">
      <c r="A53" s="25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155.66999999999999</v>
      </c>
      <c r="E53" s="2"/>
      <c r="F53" s="6">
        <f t="shared" si="28"/>
        <v>7.7732703761849405E-3</v>
      </c>
      <c r="G53" s="2"/>
      <c r="H53" s="7"/>
      <c r="I53" s="2"/>
      <c r="J53" s="6">
        <f t="shared" si="29"/>
        <v>0</v>
      </c>
      <c r="K53" s="2"/>
      <c r="L53" s="7">
        <f t="shared" si="30"/>
        <v>155.66999999999999</v>
      </c>
      <c r="M53" s="2"/>
      <c r="N53" s="6">
        <f t="shared" si="31"/>
        <v>0</v>
      </c>
      <c r="O53" s="11"/>
      <c r="P53" s="7">
        <v>1089.69</v>
      </c>
      <c r="Q53" s="2"/>
      <c r="R53" s="6">
        <f t="shared" si="32"/>
        <v>4.9707336645787295E-3</v>
      </c>
      <c r="S53" s="2"/>
      <c r="T53" s="7"/>
      <c r="U53" s="2"/>
      <c r="V53" s="6">
        <f t="shared" si="33"/>
        <v>0</v>
      </c>
      <c r="W53" s="2"/>
      <c r="X53" s="7">
        <f t="shared" si="34"/>
        <v>1089.69</v>
      </c>
      <c r="Y53" s="2"/>
      <c r="Z53" s="6">
        <f t="shared" si="35"/>
        <v>0</v>
      </c>
    </row>
    <row r="54" spans="1:26" s="24" customFormat="1" hidden="1" outlineLevel="2" x14ac:dyDescent="0.25">
      <c r="A54" s="25"/>
      <c r="B54" s="11" t="str">
        <f>CONCATENATE("          ", "6324", " - ", "FURNITURE + FIXT DEPRECIATION")</f>
        <v xml:space="preserve">          6324 - FURNITURE + FIXT DEPRECIATION</v>
      </c>
      <c r="C54" s="11"/>
      <c r="D54" s="7"/>
      <c r="E54" s="2"/>
      <c r="F54" s="6">
        <f t="shared" si="28"/>
        <v>0</v>
      </c>
      <c r="G54" s="2"/>
      <c r="H54" s="7">
        <v>233</v>
      </c>
      <c r="I54" s="2"/>
      <c r="J54" s="6">
        <f t="shared" si="29"/>
        <v>1.211774495527356E-2</v>
      </c>
      <c r="K54" s="2"/>
      <c r="L54" s="7">
        <f t="shared" si="30"/>
        <v>-233</v>
      </c>
      <c r="M54" s="2"/>
      <c r="N54" s="6">
        <f t="shared" si="31"/>
        <v>-1</v>
      </c>
      <c r="O54" s="11"/>
      <c r="P54" s="7"/>
      <c r="Q54" s="2"/>
      <c r="R54" s="6">
        <f t="shared" si="32"/>
        <v>0</v>
      </c>
      <c r="S54" s="2"/>
      <c r="T54" s="7">
        <v>932</v>
      </c>
      <c r="U54" s="2"/>
      <c r="V54" s="6">
        <f t="shared" si="33"/>
        <v>4.0340382800799881E-3</v>
      </c>
      <c r="W54" s="2"/>
      <c r="X54" s="7">
        <f t="shared" si="34"/>
        <v>-932</v>
      </c>
      <c r="Y54" s="2"/>
      <c r="Z54" s="6">
        <f t="shared" si="35"/>
        <v>-1</v>
      </c>
    </row>
    <row r="55" spans="1:26" s="27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39.909999999999997</v>
      </c>
      <c r="E55" s="1"/>
      <c r="F55" s="5">
        <f t="shared" ref="F55:F63" si="36">IF(D$12=0,0,D55/D$12)</f>
        <v>1.9928773733766361E-3</v>
      </c>
      <c r="G55" s="1"/>
      <c r="H55" s="1">
        <f>SUM(OSRRefH22_6x_0)</f>
        <v>0</v>
      </c>
      <c r="I55" s="1"/>
      <c r="J55" s="5">
        <f t="shared" ref="J55:J63" si="37">IF(H$12=0,0,H55/H$12)</f>
        <v>0</v>
      </c>
      <c r="K55" s="1"/>
      <c r="L55" s="1">
        <f t="shared" ref="L55:L63" si="38">+D55-H55</f>
        <v>39.909999999999997</v>
      </c>
      <c r="M55" s="1"/>
      <c r="N55" s="5">
        <f t="shared" ref="N55:N63" si="39">IF(H55=0,0,L55/H55)</f>
        <v>0</v>
      </c>
      <c r="O55" s="13"/>
      <c r="P55" s="1">
        <f>SUM(OSRRefP22_6x_0)</f>
        <v>62.26</v>
      </c>
      <c r="Q55" s="1"/>
      <c r="R55" s="5">
        <f t="shared" ref="R55:R63" si="40">IF(P$12=0,0,P55/P$12)</f>
        <v>2.840054308626047E-4</v>
      </c>
      <c r="S55" s="1"/>
      <c r="T55" s="1">
        <f>SUM(OSRRefT22_6x_0)</f>
        <v>0</v>
      </c>
      <c r="U55" s="1"/>
      <c r="V55" s="5">
        <f t="shared" ref="V55:V63" si="41">IF(T$12=0,0,T55/T$12)</f>
        <v>0</v>
      </c>
      <c r="W55" s="1"/>
      <c r="X55" s="1">
        <f t="shared" ref="X55:X63" si="42">+P55-T55</f>
        <v>62.26</v>
      </c>
      <c r="Y55" s="1"/>
      <c r="Z55" s="5">
        <f t="shared" ref="Z55:Z63" si="43">IF(T55=0,0,X55/T55)</f>
        <v>0</v>
      </c>
    </row>
    <row r="56" spans="1:26" s="24" customFormat="1" hidden="1" outlineLevel="2" x14ac:dyDescent="0.25">
      <c r="A56" s="25"/>
      <c r="B56" s="11" t="str">
        <f>CONCATENATE("          ", "6277", " - ", "EMPLOYEE APPRECIATION")</f>
        <v xml:space="preserve">          6277 - EMPLOYEE APPRECIATION</v>
      </c>
      <c r="C56" s="11"/>
      <c r="D56" s="7">
        <v>39.909999999999997</v>
      </c>
      <c r="E56" s="2"/>
      <c r="F56" s="6">
        <f t="shared" si="36"/>
        <v>1.9928773733766361E-3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39.909999999999997</v>
      </c>
      <c r="M56" s="2"/>
      <c r="N56" s="6">
        <f t="shared" si="39"/>
        <v>0</v>
      </c>
      <c r="O56" s="11"/>
      <c r="P56" s="7">
        <v>62.26</v>
      </c>
      <c r="Q56" s="2"/>
      <c r="R56" s="6">
        <f t="shared" si="40"/>
        <v>2.840054308626047E-4</v>
      </c>
      <c r="S56" s="2"/>
      <c r="T56" s="7">
        <v>0</v>
      </c>
      <c r="U56" s="2"/>
      <c r="V56" s="6">
        <f t="shared" si="41"/>
        <v>0</v>
      </c>
      <c r="W56" s="2"/>
      <c r="X56" s="7">
        <f t="shared" si="42"/>
        <v>62.26</v>
      </c>
      <c r="Y56" s="2"/>
      <c r="Z56" s="6">
        <f t="shared" si="43"/>
        <v>0</v>
      </c>
    </row>
    <row r="57" spans="1:26" s="27" customFormat="1" outlineLevel="1" collapsed="1" x14ac:dyDescent="0.25">
      <c r="A57" s="26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SUM(OSRRefD22_7x_0)</f>
        <v>0</v>
      </c>
      <c r="E57" s="1"/>
      <c r="F57" s="5">
        <f t="shared" si="36"/>
        <v>0</v>
      </c>
      <c r="G57" s="1"/>
      <c r="H57" s="1">
        <f>SUM(OSRRefH22_7x_0)</f>
        <v>0</v>
      </c>
      <c r="I57" s="1"/>
      <c r="J57" s="5">
        <f t="shared" si="37"/>
        <v>0</v>
      </c>
      <c r="K57" s="1"/>
      <c r="L57" s="1">
        <f t="shared" si="38"/>
        <v>0</v>
      </c>
      <c r="M57" s="1"/>
      <c r="N57" s="5">
        <f t="shared" si="39"/>
        <v>0</v>
      </c>
      <c r="O57" s="13"/>
      <c r="P57" s="1">
        <f>SUM(OSRRefP22_7x_0)</f>
        <v>12</v>
      </c>
      <c r="Q57" s="1"/>
      <c r="R57" s="5">
        <f t="shared" si="40"/>
        <v>5.4739241412644655E-5</v>
      </c>
      <c r="S57" s="1"/>
      <c r="T57" s="1">
        <f>SUM(OSRRefT22_7x_0)</f>
        <v>0</v>
      </c>
      <c r="U57" s="1"/>
      <c r="V57" s="5">
        <f t="shared" si="41"/>
        <v>0</v>
      </c>
      <c r="W57" s="1"/>
      <c r="X57" s="1">
        <f t="shared" si="42"/>
        <v>12</v>
      </c>
      <c r="Y57" s="1"/>
      <c r="Z57" s="5">
        <f t="shared" si="43"/>
        <v>0</v>
      </c>
    </row>
    <row r="58" spans="1:26" s="24" customFormat="1" hidden="1" outlineLevel="2" x14ac:dyDescent="0.25">
      <c r="A58" s="25"/>
      <c r="B58" s="11" t="str">
        <f>CONCATENATE("          ", "6351", " - ", "EQUIPMENT RENTAL")</f>
        <v xml:space="preserve">          6351 - EQUIPMENT RENTAL</v>
      </c>
      <c r="C58" s="11"/>
      <c r="D58" s="7"/>
      <c r="E58" s="2"/>
      <c r="F58" s="6">
        <f t="shared" si="36"/>
        <v>0</v>
      </c>
      <c r="G58" s="2"/>
      <c r="H58" s="7"/>
      <c r="I58" s="2"/>
      <c r="J58" s="6">
        <f t="shared" si="37"/>
        <v>0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>
        <v>12</v>
      </c>
      <c r="Q58" s="2"/>
      <c r="R58" s="6">
        <f t="shared" si="40"/>
        <v>5.4739241412644655E-5</v>
      </c>
      <c r="S58" s="2"/>
      <c r="T58" s="7"/>
      <c r="U58" s="2"/>
      <c r="V58" s="6">
        <f t="shared" si="41"/>
        <v>0</v>
      </c>
      <c r="W58" s="2"/>
      <c r="X58" s="7">
        <f t="shared" si="42"/>
        <v>12</v>
      </c>
      <c r="Y58" s="2"/>
      <c r="Z58" s="6">
        <f t="shared" si="43"/>
        <v>0</v>
      </c>
    </row>
    <row r="59" spans="1:26" s="27" customFormat="1" outlineLevel="1" collapsed="1" x14ac:dyDescent="0.25">
      <c r="A59" s="26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SUM(OSRRefD22_8x_0)</f>
        <v>3558.3</v>
      </c>
      <c r="E59" s="1"/>
      <c r="F59" s="5">
        <f t="shared" si="36"/>
        <v>0.1776811715782031</v>
      </c>
      <c r="G59" s="1"/>
      <c r="H59" s="1">
        <f>SUM(OSRRefH22_8x_0)</f>
        <v>209</v>
      </c>
      <c r="I59" s="1"/>
      <c r="J59" s="5">
        <f t="shared" si="37"/>
        <v>1.0869565217391304E-2</v>
      </c>
      <c r="K59" s="1"/>
      <c r="L59" s="1">
        <f t="shared" si="38"/>
        <v>3349.3</v>
      </c>
      <c r="M59" s="1"/>
      <c r="N59" s="5">
        <f t="shared" si="39"/>
        <v>16.025358851674643</v>
      </c>
      <c r="O59" s="13"/>
      <c r="P59" s="1">
        <f>SUM(OSRRefP22_8x_0)</f>
        <v>5615.89</v>
      </c>
      <c r="Q59" s="1"/>
      <c r="R59" s="5">
        <f t="shared" si="40"/>
        <v>2.5617463204738084E-2</v>
      </c>
      <c r="S59" s="1"/>
      <c r="T59" s="1">
        <f>SUM(OSRRefT22_8x_0)</f>
        <v>2517</v>
      </c>
      <c r="U59" s="1"/>
      <c r="V59" s="5">
        <f t="shared" si="41"/>
        <v>1.0894500376567952E-2</v>
      </c>
      <c r="W59" s="1"/>
      <c r="X59" s="1">
        <f t="shared" si="42"/>
        <v>3098.8900000000003</v>
      </c>
      <c r="Y59" s="1"/>
      <c r="Z59" s="5">
        <f t="shared" si="43"/>
        <v>1.2311839491458085</v>
      </c>
    </row>
    <row r="60" spans="1:26" s="24" customFormat="1" hidden="1" outlineLevel="2" x14ac:dyDescent="0.25">
      <c r="A60" s="25"/>
      <c r="B60" s="11" t="str">
        <f>CONCATENATE("          ", "6279", " - ", "GENERAL EXPENSE")</f>
        <v xml:space="preserve">          6279 - GENERAL EXPENSE</v>
      </c>
      <c r="C60" s="11"/>
      <c r="D60" s="7">
        <v>3558.3</v>
      </c>
      <c r="E60" s="2"/>
      <c r="F60" s="6">
        <f t="shared" si="36"/>
        <v>0.1776811715782031</v>
      </c>
      <c r="G60" s="2"/>
      <c r="H60" s="7">
        <v>209</v>
      </c>
      <c r="I60" s="2"/>
      <c r="J60" s="6">
        <f t="shared" si="37"/>
        <v>1.0869565217391304E-2</v>
      </c>
      <c r="K60" s="2"/>
      <c r="L60" s="7">
        <f t="shared" si="38"/>
        <v>3349.3</v>
      </c>
      <c r="M60" s="2"/>
      <c r="N60" s="6">
        <f t="shared" si="39"/>
        <v>16.025358851674643</v>
      </c>
      <c r="O60" s="11"/>
      <c r="P60" s="7">
        <v>5615.89</v>
      </c>
      <c r="Q60" s="2"/>
      <c r="R60" s="6">
        <f t="shared" si="40"/>
        <v>2.5617463204738084E-2</v>
      </c>
      <c r="S60" s="2"/>
      <c r="T60" s="7">
        <v>2517</v>
      </c>
      <c r="U60" s="2"/>
      <c r="V60" s="6">
        <f t="shared" si="41"/>
        <v>1.0894500376567952E-2</v>
      </c>
      <c r="W60" s="2"/>
      <c r="X60" s="7">
        <f t="shared" si="42"/>
        <v>3098.8900000000003</v>
      </c>
      <c r="Y60" s="2"/>
      <c r="Z60" s="6">
        <f t="shared" si="43"/>
        <v>1.2311839491458085</v>
      </c>
    </row>
    <row r="61" spans="1:26" s="27" customFormat="1" outlineLevel="1" collapsed="1" x14ac:dyDescent="0.25">
      <c r="A61" s="26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SUM(OSRRefD22_9x_0)</f>
        <v>196.08</v>
      </c>
      <c r="E61" s="1"/>
      <c r="F61" s="5">
        <f t="shared" si="36"/>
        <v>9.7911148928010745E-3</v>
      </c>
      <c r="G61" s="1"/>
      <c r="H61" s="1">
        <f>SUM(OSRRefH22_9x_0)</f>
        <v>209</v>
      </c>
      <c r="I61" s="1"/>
      <c r="J61" s="5">
        <f t="shared" si="37"/>
        <v>1.0869565217391304E-2</v>
      </c>
      <c r="K61" s="1"/>
      <c r="L61" s="1">
        <f t="shared" si="38"/>
        <v>-12.919999999999987</v>
      </c>
      <c r="M61" s="1"/>
      <c r="N61" s="5">
        <f t="shared" si="39"/>
        <v>-6.1818181818181758E-2</v>
      </c>
      <c r="O61" s="13"/>
      <c r="P61" s="1">
        <f>SUM(OSRRefP22_9x_0)</f>
        <v>6151.7400000000007</v>
      </c>
      <c r="Q61" s="1"/>
      <c r="R61" s="5">
        <f t="shared" si="40"/>
        <v>2.8061798413985223E-2</v>
      </c>
      <c r="S61" s="1"/>
      <c r="T61" s="1">
        <f>SUM(OSRRefT22_9x_0)</f>
        <v>2517</v>
      </c>
      <c r="U61" s="1"/>
      <c r="V61" s="5">
        <f t="shared" si="41"/>
        <v>1.0894500376567952E-2</v>
      </c>
      <c r="W61" s="1"/>
      <c r="X61" s="1">
        <f t="shared" si="42"/>
        <v>3634.7400000000007</v>
      </c>
      <c r="Y61" s="1"/>
      <c r="Z61" s="5">
        <f t="shared" si="43"/>
        <v>1.444076281287247</v>
      </c>
    </row>
    <row r="62" spans="1:26" s="24" customFormat="1" hidden="1" outlineLevel="2" x14ac:dyDescent="0.25">
      <c r="A62" s="25"/>
      <c r="B62" s="11" t="str">
        <f>CONCATENATE("          ", "6373", " - ", "MAINTENANCE CONTRACTS")</f>
        <v xml:space="preserve">          6373 - MAINTENANCE CONTRACTS</v>
      </c>
      <c r="C62" s="11"/>
      <c r="D62" s="7"/>
      <c r="E62" s="2"/>
      <c r="F62" s="6">
        <f t="shared" si="36"/>
        <v>0</v>
      </c>
      <c r="G62" s="2"/>
      <c r="H62" s="7"/>
      <c r="I62" s="2"/>
      <c r="J62" s="6">
        <f t="shared" si="37"/>
        <v>0</v>
      </c>
      <c r="K62" s="2"/>
      <c r="L62" s="7">
        <f t="shared" si="38"/>
        <v>0</v>
      </c>
      <c r="M62" s="2"/>
      <c r="N62" s="6">
        <f t="shared" si="39"/>
        <v>0</v>
      </c>
      <c r="O62" s="11"/>
      <c r="P62" s="7">
        <v>93.22</v>
      </c>
      <c r="Q62" s="2"/>
      <c r="R62" s="6">
        <f t="shared" si="40"/>
        <v>4.2523267370722786E-4</v>
      </c>
      <c r="S62" s="2"/>
      <c r="T62" s="7"/>
      <c r="U62" s="2"/>
      <c r="V62" s="6">
        <f t="shared" si="41"/>
        <v>0</v>
      </c>
      <c r="W62" s="2"/>
      <c r="X62" s="7">
        <f t="shared" si="42"/>
        <v>93.22</v>
      </c>
      <c r="Y62" s="2"/>
      <c r="Z62" s="6">
        <f t="shared" si="43"/>
        <v>0</v>
      </c>
    </row>
    <row r="63" spans="1:26" s="24" customFormat="1" hidden="1" outlineLevel="2" x14ac:dyDescent="0.25">
      <c r="A63" s="25"/>
      <c r="B63" s="11" t="str">
        <f>CONCATENATE("          ", "6375", " - ", "OUTSIDE REPAIRS &amp; MAINTENANCE")</f>
        <v xml:space="preserve">          6375 - OUTSIDE REPAIRS &amp; MAINTENANCE</v>
      </c>
      <c r="C63" s="11"/>
      <c r="D63" s="7">
        <v>196.08</v>
      </c>
      <c r="E63" s="2"/>
      <c r="F63" s="6">
        <f t="shared" si="36"/>
        <v>9.7911148928010745E-3</v>
      </c>
      <c r="G63" s="2"/>
      <c r="H63" s="7">
        <v>209</v>
      </c>
      <c r="I63" s="2"/>
      <c r="J63" s="6">
        <f t="shared" si="37"/>
        <v>1.0869565217391304E-2</v>
      </c>
      <c r="K63" s="2"/>
      <c r="L63" s="7">
        <f t="shared" si="38"/>
        <v>-12.919999999999987</v>
      </c>
      <c r="M63" s="2"/>
      <c r="N63" s="6">
        <f t="shared" si="39"/>
        <v>-6.1818181818181758E-2</v>
      </c>
      <c r="O63" s="11"/>
      <c r="P63" s="7">
        <v>6058.52</v>
      </c>
      <c r="Q63" s="2"/>
      <c r="R63" s="6">
        <f t="shared" si="40"/>
        <v>2.7636565740277994E-2</v>
      </c>
      <c r="S63" s="2"/>
      <c r="T63" s="7">
        <v>2517</v>
      </c>
      <c r="U63" s="2"/>
      <c r="V63" s="6">
        <f t="shared" si="41"/>
        <v>1.0894500376567952E-2</v>
      </c>
      <c r="W63" s="2"/>
      <c r="X63" s="7">
        <f t="shared" si="42"/>
        <v>3541.5200000000004</v>
      </c>
      <c r="Y63" s="2"/>
      <c r="Z63" s="6">
        <f t="shared" si="43"/>
        <v>1.4070401271354789</v>
      </c>
    </row>
    <row r="64" spans="1:26" s="27" customFormat="1" outlineLevel="1" collapsed="1" x14ac:dyDescent="0.25">
      <c r="A64" s="26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SUM(OSRRefD22_10x_0)</f>
        <v>356.77</v>
      </c>
      <c r="E64" s="1"/>
      <c r="F64" s="5">
        <f t="shared" ref="F64:F67" si="44">IF(D$12=0,0,D64/D$12)</f>
        <v>1.7815055387110562E-2</v>
      </c>
      <c r="G64" s="1"/>
      <c r="H64" s="1">
        <f>SUM(OSRRefH22_10x_0)</f>
        <v>171</v>
      </c>
      <c r="I64" s="1"/>
      <c r="J64" s="5">
        <f t="shared" ref="J64:J67" si="45">IF(H$12=0,0,H64/H$12)</f>
        <v>8.8932806324110679E-3</v>
      </c>
      <c r="K64" s="1"/>
      <c r="L64" s="1">
        <f t="shared" ref="L64:L67" si="46">+D64-H64</f>
        <v>185.76999999999998</v>
      </c>
      <c r="M64" s="1"/>
      <c r="N64" s="5">
        <f t="shared" ref="N64:N67" si="47">IF(H64=0,0,L64/H64)</f>
        <v>1.0863742690058478</v>
      </c>
      <c r="O64" s="13"/>
      <c r="P64" s="1">
        <f>SUM(OSRRefP22_10x_0)</f>
        <v>2813.86</v>
      </c>
      <c r="Q64" s="1"/>
      <c r="R64" s="5">
        <f t="shared" ref="R64:R67" si="48">IF(P$12=0,0,P64/P$12)</f>
        <v>1.2835713486782025E-2</v>
      </c>
      <c r="S64" s="1"/>
      <c r="T64" s="1">
        <f>SUM(OSRRefT22_10x_0)</f>
        <v>2058</v>
      </c>
      <c r="U64" s="1"/>
      <c r="V64" s="5">
        <f t="shared" ref="V64:V67" si="49">IF(T$12=0,0,T64/T$12)</f>
        <v>8.9077798073010899E-3</v>
      </c>
      <c r="W64" s="1"/>
      <c r="X64" s="1">
        <f t="shared" ref="X64:X67" si="50">+P64-T64</f>
        <v>755.86000000000013</v>
      </c>
      <c r="Y64" s="1"/>
      <c r="Z64" s="5">
        <f t="shared" ref="Z64:Z67" si="51">IF(T64=0,0,X64/T64)</f>
        <v>0.36727891156462589</v>
      </c>
    </row>
    <row r="65" spans="1:26" s="24" customFormat="1" hidden="1" outlineLevel="2" x14ac:dyDescent="0.25">
      <c r="A65" s="25"/>
      <c r="B65" s="11" t="str">
        <f>CONCATENATE("          ", "6282", " - ", "JANITORIAL/EXTERMINATOR EXPENS")</f>
        <v xml:space="preserve">          6282 - JANITORIAL/EXTERMINATOR EXPENS</v>
      </c>
      <c r="C65" s="11"/>
      <c r="D65" s="7">
        <v>327.93</v>
      </c>
      <c r="E65" s="2"/>
      <c r="F65" s="6">
        <f t="shared" si="44"/>
        <v>1.6374950565056386E-2</v>
      </c>
      <c r="G65" s="2"/>
      <c r="H65" s="7">
        <v>171</v>
      </c>
      <c r="I65" s="2"/>
      <c r="J65" s="6">
        <f t="shared" si="45"/>
        <v>8.8932806324110679E-3</v>
      </c>
      <c r="K65" s="2"/>
      <c r="L65" s="7">
        <f t="shared" si="46"/>
        <v>156.93</v>
      </c>
      <c r="M65" s="2"/>
      <c r="N65" s="6">
        <f t="shared" si="47"/>
        <v>0.91771929824561405</v>
      </c>
      <c r="O65" s="11"/>
      <c r="P65" s="7">
        <v>2437.44</v>
      </c>
      <c r="Q65" s="2"/>
      <c r="R65" s="6">
        <f t="shared" si="48"/>
        <v>1.1118634715736382E-2</v>
      </c>
      <c r="S65" s="2"/>
      <c r="T65" s="7">
        <v>2058</v>
      </c>
      <c r="U65" s="2"/>
      <c r="V65" s="6">
        <f t="shared" si="49"/>
        <v>8.9077798073010899E-3</v>
      </c>
      <c r="W65" s="2"/>
      <c r="X65" s="7">
        <f t="shared" si="50"/>
        <v>379.44000000000005</v>
      </c>
      <c r="Y65" s="2"/>
      <c r="Z65" s="6">
        <f t="shared" si="51"/>
        <v>0.18437317784256563</v>
      </c>
    </row>
    <row r="66" spans="1:26" s="24" customFormat="1" hidden="1" outlineLevel="2" x14ac:dyDescent="0.25">
      <c r="A66" s="25"/>
      <c r="B66" s="11" t="str">
        <f>CONCATENATE("          ", "6285", " - ", "JANITORIAL SERVICES")</f>
        <v xml:space="preserve">          6285 - JANITORIAL SERVICES</v>
      </c>
      <c r="C66" s="11"/>
      <c r="D66" s="7">
        <v>28.84</v>
      </c>
      <c r="E66" s="2"/>
      <c r="F66" s="6">
        <f t="shared" si="44"/>
        <v>1.4401048220541767E-3</v>
      </c>
      <c r="G66" s="2"/>
      <c r="H66" s="7"/>
      <c r="I66" s="2"/>
      <c r="J66" s="6">
        <f t="shared" si="45"/>
        <v>0</v>
      </c>
      <c r="K66" s="2"/>
      <c r="L66" s="7">
        <f t="shared" si="46"/>
        <v>28.84</v>
      </c>
      <c r="M66" s="2"/>
      <c r="N66" s="6">
        <f t="shared" si="47"/>
        <v>0</v>
      </c>
      <c r="O66" s="11"/>
      <c r="P66" s="7">
        <v>190.42</v>
      </c>
      <c r="Q66" s="2"/>
      <c r="R66" s="6">
        <f t="shared" si="48"/>
        <v>8.6862052914964951E-4</v>
      </c>
      <c r="S66" s="2"/>
      <c r="T66" s="7"/>
      <c r="U66" s="2"/>
      <c r="V66" s="6">
        <f t="shared" si="49"/>
        <v>0</v>
      </c>
      <c r="W66" s="2"/>
      <c r="X66" s="7">
        <f t="shared" si="50"/>
        <v>190.42</v>
      </c>
      <c r="Y66" s="2"/>
      <c r="Z66" s="6">
        <f t="shared" si="51"/>
        <v>0</v>
      </c>
    </row>
    <row r="67" spans="1:26" s="24" customFormat="1" hidden="1" outlineLevel="2" x14ac:dyDescent="0.25">
      <c r="A67" s="25"/>
      <c r="B67" s="11" t="str">
        <f>CONCATENATE("          ", "6286", " - ", "LAUNDRY EXPENSE")</f>
        <v xml:space="preserve">          6286 - LAUNDRY EXPENSE</v>
      </c>
      <c r="C67" s="11"/>
      <c r="D67" s="7"/>
      <c r="E67" s="2"/>
      <c r="F67" s="6">
        <f t="shared" si="44"/>
        <v>0</v>
      </c>
      <c r="G67" s="2"/>
      <c r="H67" s="7"/>
      <c r="I67" s="2"/>
      <c r="J67" s="6">
        <f t="shared" si="45"/>
        <v>0</v>
      </c>
      <c r="K67" s="2"/>
      <c r="L67" s="7">
        <f t="shared" si="46"/>
        <v>0</v>
      </c>
      <c r="M67" s="2"/>
      <c r="N67" s="6">
        <f t="shared" si="47"/>
        <v>0</v>
      </c>
      <c r="O67" s="11"/>
      <c r="P67" s="7">
        <v>186</v>
      </c>
      <c r="Q67" s="2"/>
      <c r="R67" s="6">
        <f t="shared" si="48"/>
        <v>8.4845824189599213E-4</v>
      </c>
      <c r="S67" s="2"/>
      <c r="T67" s="7"/>
      <c r="U67" s="2"/>
      <c r="V67" s="6">
        <f t="shared" si="49"/>
        <v>0</v>
      </c>
      <c r="W67" s="2"/>
      <c r="X67" s="7">
        <f t="shared" si="50"/>
        <v>186</v>
      </c>
      <c r="Y67" s="2"/>
      <c r="Z67" s="6">
        <f t="shared" si="51"/>
        <v>0</v>
      </c>
    </row>
    <row r="68" spans="1:26" s="27" customFormat="1" outlineLevel="1" collapsed="1" x14ac:dyDescent="0.25">
      <c r="A68" s="26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SUM(OSRRefD22_11x_0)</f>
        <v>264.25</v>
      </c>
      <c r="E68" s="1"/>
      <c r="F68" s="5">
        <f t="shared" ref="F68:F71" si="52">IF(D$12=0,0,D68/D$12)</f>
        <v>1.3195135202074071E-2</v>
      </c>
      <c r="G68" s="1"/>
      <c r="H68" s="1">
        <f>SUM(OSRRefH22_11x_0)</f>
        <v>288</v>
      </c>
      <c r="I68" s="1"/>
      <c r="J68" s="5">
        <f t="shared" ref="J68:J71" si="53">IF(H$12=0,0,H68/H$12)</f>
        <v>1.497815685458706E-2</v>
      </c>
      <c r="K68" s="1"/>
      <c r="L68" s="1">
        <f t="shared" ref="L68:L71" si="54">+D68-H68</f>
        <v>-23.75</v>
      </c>
      <c r="M68" s="1"/>
      <c r="N68" s="5">
        <f t="shared" ref="N68:N71" si="55">IF(H68=0,0,L68/H68)</f>
        <v>-8.2465277777777776E-2</v>
      </c>
      <c r="O68" s="13"/>
      <c r="P68" s="1">
        <f>SUM(OSRRefP22_11x_0)</f>
        <v>7318.78</v>
      </c>
      <c r="Q68" s="1"/>
      <c r="R68" s="5">
        <f t="shared" ref="R68:R71" si="56">IF(P$12=0,0,P68/P$12)</f>
        <v>3.338537210550295E-2</v>
      </c>
      <c r="S68" s="1"/>
      <c r="T68" s="1">
        <f>SUM(OSRRefT22_11x_0)</f>
        <v>3465</v>
      </c>
      <c r="U68" s="1"/>
      <c r="V68" s="5">
        <f t="shared" ref="V68:V71" si="57">IF(T$12=0,0,T68/T$12)</f>
        <v>1.4997792532700815E-2</v>
      </c>
      <c r="W68" s="1"/>
      <c r="X68" s="1">
        <f t="shared" ref="X68:X71" si="58">+P68-T68</f>
        <v>3853.7799999999997</v>
      </c>
      <c r="Y68" s="1"/>
      <c r="Z68" s="5">
        <f t="shared" ref="Z68:Z71" si="59">IF(T68=0,0,X68/T68)</f>
        <v>1.1122020202020202</v>
      </c>
    </row>
    <row r="69" spans="1:26" s="24" customFormat="1" hidden="1" outlineLevel="2" x14ac:dyDescent="0.25">
      <c r="A69" s="25"/>
      <c r="B69" s="11" t="str">
        <f>CONCATENATE("          ", "6237", " - ", "JANITORIAL SUPPLIES")</f>
        <v xml:space="preserve">          6237 - JANITORIAL SUPPLIES</v>
      </c>
      <c r="C69" s="11"/>
      <c r="D69" s="7">
        <v>95.12</v>
      </c>
      <c r="E69" s="2"/>
      <c r="F69" s="6">
        <f t="shared" si="52"/>
        <v>4.7497493298818754E-3</v>
      </c>
      <c r="G69" s="2"/>
      <c r="H69" s="7"/>
      <c r="I69" s="2"/>
      <c r="J69" s="6">
        <f t="shared" si="53"/>
        <v>0</v>
      </c>
      <c r="K69" s="2"/>
      <c r="L69" s="7">
        <f t="shared" si="54"/>
        <v>95.12</v>
      </c>
      <c r="M69" s="2"/>
      <c r="N69" s="6">
        <f t="shared" si="55"/>
        <v>0</v>
      </c>
      <c r="O69" s="11"/>
      <c r="P69" s="7">
        <v>995.54</v>
      </c>
      <c r="Q69" s="2"/>
      <c r="R69" s="6">
        <f t="shared" si="56"/>
        <v>4.5412586996620213E-3</v>
      </c>
      <c r="S69" s="2"/>
      <c r="T69" s="7"/>
      <c r="U69" s="2"/>
      <c r="V69" s="6">
        <f t="shared" si="57"/>
        <v>0</v>
      </c>
      <c r="W69" s="2"/>
      <c r="X69" s="7">
        <f t="shared" si="58"/>
        <v>995.54</v>
      </c>
      <c r="Y69" s="2"/>
      <c r="Z69" s="6">
        <f t="shared" si="59"/>
        <v>0</v>
      </c>
    </row>
    <row r="70" spans="1:26" s="24" customFormat="1" hidden="1" outlineLevel="2" x14ac:dyDescent="0.25">
      <c r="A70" s="25"/>
      <c r="B70" s="11" t="str">
        <f>CONCATENATE("          ", "6243", " - ", "PAPER SUPPLIES")</f>
        <v xml:space="preserve">          6243 - PAPER SUPPLIES</v>
      </c>
      <c r="C70" s="11"/>
      <c r="D70" s="7"/>
      <c r="E70" s="2"/>
      <c r="F70" s="6">
        <f t="shared" si="52"/>
        <v>0</v>
      </c>
      <c r="G70" s="2"/>
      <c r="H70" s="7"/>
      <c r="I70" s="2"/>
      <c r="J70" s="6">
        <f t="shared" si="53"/>
        <v>0</v>
      </c>
      <c r="K70" s="2"/>
      <c r="L70" s="7">
        <f t="shared" si="54"/>
        <v>0</v>
      </c>
      <c r="M70" s="2"/>
      <c r="N70" s="6">
        <f t="shared" si="55"/>
        <v>0</v>
      </c>
      <c r="O70" s="11"/>
      <c r="P70" s="7">
        <v>704.76</v>
      </c>
      <c r="Q70" s="2"/>
      <c r="R70" s="6">
        <f t="shared" si="56"/>
        <v>3.2148356481646206E-3</v>
      </c>
      <c r="S70" s="2"/>
      <c r="T70" s="7"/>
      <c r="U70" s="2"/>
      <c r="V70" s="6">
        <f t="shared" si="57"/>
        <v>0</v>
      </c>
      <c r="W70" s="2"/>
      <c r="X70" s="7">
        <f t="shared" si="58"/>
        <v>704.76</v>
      </c>
      <c r="Y70" s="2"/>
      <c r="Z70" s="6">
        <f t="shared" si="59"/>
        <v>0</v>
      </c>
    </row>
    <row r="71" spans="1:26" s="24" customFormat="1" hidden="1" outlineLevel="2" x14ac:dyDescent="0.25">
      <c r="A71" s="25"/>
      <c r="B71" s="11" t="str">
        <f>CONCATENATE("          ", "6247", " - ", "STORE SUPPLIES")</f>
        <v xml:space="preserve">          6247 - STORE SUPPLIES</v>
      </c>
      <c r="C71" s="11"/>
      <c r="D71" s="7">
        <v>169.13</v>
      </c>
      <c r="E71" s="2"/>
      <c r="F71" s="6">
        <f t="shared" si="52"/>
        <v>8.4453858721921949E-3</v>
      </c>
      <c r="G71" s="2"/>
      <c r="H71" s="7">
        <v>288</v>
      </c>
      <c r="I71" s="2"/>
      <c r="J71" s="6">
        <f t="shared" si="53"/>
        <v>1.497815685458706E-2</v>
      </c>
      <c r="K71" s="2"/>
      <c r="L71" s="7">
        <f t="shared" si="54"/>
        <v>-118.87</v>
      </c>
      <c r="M71" s="2"/>
      <c r="N71" s="6">
        <f t="shared" si="55"/>
        <v>-0.41274305555555557</v>
      </c>
      <c r="O71" s="11"/>
      <c r="P71" s="7">
        <v>5618.48</v>
      </c>
      <c r="Q71" s="2"/>
      <c r="R71" s="6">
        <f t="shared" si="56"/>
        <v>2.562927775767631E-2</v>
      </c>
      <c r="S71" s="2"/>
      <c r="T71" s="7">
        <v>3465</v>
      </c>
      <c r="U71" s="2"/>
      <c r="V71" s="6">
        <f t="shared" si="57"/>
        <v>1.4997792532700815E-2</v>
      </c>
      <c r="W71" s="2"/>
      <c r="X71" s="7">
        <f t="shared" si="58"/>
        <v>2153.4799999999996</v>
      </c>
      <c r="Y71" s="2"/>
      <c r="Z71" s="6">
        <f t="shared" si="59"/>
        <v>0.62149494949494932</v>
      </c>
    </row>
    <row r="72" spans="1:26" s="27" customFormat="1" outlineLevel="1" collapsed="1" x14ac:dyDescent="0.25">
      <c r="A72" s="26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SUM(OSRRefD22_12x_0)</f>
        <v>91.01</v>
      </c>
      <c r="E72" s="1"/>
      <c r="F72" s="5">
        <f t="shared" ref="F72:F75" si="60">IF(D$12=0,0,D72/D$12)</f>
        <v>4.5445194124532117E-3</v>
      </c>
      <c r="G72" s="1"/>
      <c r="H72" s="1">
        <f>SUM(OSRRefH22_12x_0)</f>
        <v>75</v>
      </c>
      <c r="I72" s="1"/>
      <c r="J72" s="5">
        <f t="shared" ref="J72:J75" si="61">IF(H$12=0,0,H72/H$12)</f>
        <v>3.9005616808820472E-3</v>
      </c>
      <c r="K72" s="1"/>
      <c r="L72" s="1">
        <f t="shared" ref="L72:L75" si="62">+D72-H72</f>
        <v>16.010000000000005</v>
      </c>
      <c r="M72" s="1"/>
      <c r="N72" s="5">
        <f t="shared" ref="N72:N75" si="63">IF(H72=0,0,L72/H72)</f>
        <v>0.21346666666666672</v>
      </c>
      <c r="O72" s="13"/>
      <c r="P72" s="1">
        <f>SUM(OSRRefP22_12x_0)</f>
        <v>637.07000000000005</v>
      </c>
      <c r="Q72" s="1"/>
      <c r="R72" s="5">
        <f t="shared" ref="R72:R75" si="64">IF(P$12=0,0,P72/P$12)</f>
        <v>2.9060607105627946E-3</v>
      </c>
      <c r="S72" s="1"/>
      <c r="T72" s="1">
        <f>SUM(OSRRefT22_12x_0)</f>
        <v>525</v>
      </c>
      <c r="U72" s="1"/>
      <c r="V72" s="5">
        <f t="shared" ref="V72:V75" si="65">IF(T$12=0,0,T72/T$12)</f>
        <v>2.2723928079849717E-3</v>
      </c>
      <c r="W72" s="1"/>
      <c r="X72" s="1">
        <f t="shared" ref="X72:X75" si="66">+P72-T72</f>
        <v>112.07000000000005</v>
      </c>
      <c r="Y72" s="1"/>
      <c r="Z72" s="5">
        <f t="shared" ref="Z72:Z75" si="67">IF(T72=0,0,X72/T72)</f>
        <v>0.21346666666666675</v>
      </c>
    </row>
    <row r="73" spans="1:26" s="24" customFormat="1" hidden="1" outlineLevel="2" x14ac:dyDescent="0.25">
      <c r="A73" s="25"/>
      <c r="B73" s="11" t="str">
        <f>CONCATENATE("          ", "6309", " - ", "TELEPHONE")</f>
        <v xml:space="preserve">          6309 - TELEPHONE</v>
      </c>
      <c r="C73" s="11"/>
      <c r="D73" s="7">
        <v>91.01</v>
      </c>
      <c r="E73" s="2"/>
      <c r="F73" s="6">
        <f t="shared" si="60"/>
        <v>4.5445194124532117E-3</v>
      </c>
      <c r="G73" s="2"/>
      <c r="H73" s="7">
        <v>75</v>
      </c>
      <c r="I73" s="2"/>
      <c r="J73" s="6">
        <f t="shared" si="61"/>
        <v>3.9005616808820472E-3</v>
      </c>
      <c r="K73" s="2"/>
      <c r="L73" s="7">
        <f t="shared" si="62"/>
        <v>16.010000000000005</v>
      </c>
      <c r="M73" s="2"/>
      <c r="N73" s="6">
        <f t="shared" si="63"/>
        <v>0.21346666666666672</v>
      </c>
      <c r="O73" s="11"/>
      <c r="P73" s="7">
        <v>637.07000000000005</v>
      </c>
      <c r="Q73" s="2"/>
      <c r="R73" s="6">
        <f t="shared" si="64"/>
        <v>2.9060607105627946E-3</v>
      </c>
      <c r="S73" s="2"/>
      <c r="T73" s="7">
        <v>525</v>
      </c>
      <c r="U73" s="2"/>
      <c r="V73" s="6">
        <f t="shared" si="65"/>
        <v>2.2723928079849717E-3</v>
      </c>
      <c r="W73" s="2"/>
      <c r="X73" s="7">
        <f t="shared" si="66"/>
        <v>112.07000000000005</v>
      </c>
      <c r="Y73" s="2"/>
      <c r="Z73" s="6">
        <f t="shared" si="67"/>
        <v>0.21346666666666675</v>
      </c>
    </row>
    <row r="74" spans="1:26" s="27" customFormat="1" outlineLevel="1" collapsed="1" x14ac:dyDescent="0.25">
      <c r="A74" s="26"/>
      <c r="B74" s="13" t="str">
        <f>CONCATENATE("     ","Training                                          ")</f>
        <v xml:space="preserve">     Training                                          </v>
      </c>
      <c r="C74" s="13"/>
      <c r="D74" s="1">
        <f>SUM(OSRRefD22_13x_0)</f>
        <v>0</v>
      </c>
      <c r="E74" s="1"/>
      <c r="F74" s="5">
        <f t="shared" si="60"/>
        <v>0</v>
      </c>
      <c r="G74" s="1"/>
      <c r="H74" s="1">
        <f>SUM(OSRRefH22_13x_0)</f>
        <v>500</v>
      </c>
      <c r="I74" s="1"/>
      <c r="J74" s="5">
        <f t="shared" si="61"/>
        <v>2.6003744539213648E-2</v>
      </c>
      <c r="K74" s="1"/>
      <c r="L74" s="1">
        <f t="shared" si="62"/>
        <v>-500</v>
      </c>
      <c r="M74" s="1"/>
      <c r="N74" s="5">
        <f t="shared" si="63"/>
        <v>-1</v>
      </c>
      <c r="O74" s="13"/>
      <c r="P74" s="1">
        <f>SUM(OSRRefP22_13x_0)</f>
        <v>0</v>
      </c>
      <c r="Q74" s="1"/>
      <c r="R74" s="5">
        <f t="shared" si="64"/>
        <v>0</v>
      </c>
      <c r="S74" s="1"/>
      <c r="T74" s="1">
        <f>SUM(OSRRefT22_13x_0)</f>
        <v>1000</v>
      </c>
      <c r="U74" s="1"/>
      <c r="V74" s="5">
        <f t="shared" si="65"/>
        <v>4.3283672533047084E-3</v>
      </c>
      <c r="W74" s="1"/>
      <c r="X74" s="1">
        <f t="shared" si="66"/>
        <v>-1000</v>
      </c>
      <c r="Y74" s="1"/>
      <c r="Z74" s="5">
        <f t="shared" si="67"/>
        <v>-1</v>
      </c>
    </row>
    <row r="75" spans="1:26" s="24" customFormat="1" hidden="1" outlineLevel="2" x14ac:dyDescent="0.25">
      <c r="A75" s="25"/>
      <c r="B75" s="11" t="str">
        <f>CONCATENATE("          ", "6376", " - ", "TRAINING")</f>
        <v xml:space="preserve">          6376 - TRAINING</v>
      </c>
      <c r="C75" s="11"/>
      <c r="D75" s="7"/>
      <c r="E75" s="2"/>
      <c r="F75" s="6">
        <f t="shared" si="60"/>
        <v>0</v>
      </c>
      <c r="G75" s="2"/>
      <c r="H75" s="7">
        <v>500</v>
      </c>
      <c r="I75" s="2"/>
      <c r="J75" s="6">
        <f t="shared" si="61"/>
        <v>2.6003744539213648E-2</v>
      </c>
      <c r="K75" s="2"/>
      <c r="L75" s="7">
        <f t="shared" si="62"/>
        <v>-500</v>
      </c>
      <c r="M75" s="2"/>
      <c r="N75" s="6">
        <f t="shared" si="63"/>
        <v>-1</v>
      </c>
      <c r="O75" s="11"/>
      <c r="P75" s="7"/>
      <c r="Q75" s="2"/>
      <c r="R75" s="6">
        <f t="shared" si="64"/>
        <v>0</v>
      </c>
      <c r="S75" s="2"/>
      <c r="T75" s="7">
        <v>1000</v>
      </c>
      <c r="U75" s="2"/>
      <c r="V75" s="6">
        <f t="shared" si="65"/>
        <v>4.3283672533047084E-3</v>
      </c>
      <c r="W75" s="2"/>
      <c r="X75" s="7">
        <f t="shared" si="66"/>
        <v>-1000</v>
      </c>
      <c r="Y75" s="2"/>
      <c r="Z75" s="6">
        <f t="shared" si="67"/>
        <v>-1</v>
      </c>
    </row>
    <row r="76" spans="1:26" s="53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8" t="s">
        <v>0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9" t="s">
        <v>3</v>
      </c>
      <c r="C79" s="29"/>
      <c r="D79" s="21">
        <f>+D22-D24+D77</f>
        <v>-1481.2800000000007</v>
      </c>
      <c r="E79" s="14"/>
      <c r="F79" s="20">
        <f>IF(D$12=0,0,D79/D$12)</f>
        <v>-7.3966659875603732E-2</v>
      </c>
      <c r="G79" s="14"/>
      <c r="H79" s="21">
        <f>+H22-H24+H77</f>
        <v>-1717.6655345807703</v>
      </c>
      <c r="I79" s="14"/>
      <c r="J79" s="20">
        <f>IF(H$12=0,0,H79/H$12)</f>
        <v>-8.933147153010039E-2</v>
      </c>
      <c r="K79" s="16"/>
      <c r="L79" s="21">
        <f>+D79-H79</f>
        <v>236.38553458076967</v>
      </c>
      <c r="M79" s="16"/>
      <c r="N79" s="20">
        <f>IF(H79=0,0,L79/H79)</f>
        <v>-0.13762023503514273</v>
      </c>
      <c r="O79" s="28"/>
      <c r="P79" s="21">
        <f>+P22-P24+P77</f>
        <v>16866.180000000008</v>
      </c>
      <c r="Q79" s="14"/>
      <c r="R79" s="20">
        <f>IF(P$12=0,0,P79/P$12)</f>
        <v>7.6936824894093286E-2</v>
      </c>
      <c r="S79" s="14"/>
      <c r="T79" s="21">
        <f>+T22-T24+T77</f>
        <v>29770.014130419208</v>
      </c>
      <c r="U79" s="14"/>
      <c r="V79" s="20">
        <f>IF(T$12=0,0,T79/T$12)</f>
        <v>0.12885555429252493</v>
      </c>
      <c r="W79" s="16"/>
      <c r="X79" s="21">
        <f>+P79-T79</f>
        <v>-12903.8341304192</v>
      </c>
      <c r="Y79" s="16"/>
      <c r="Z79" s="20">
        <f>IF(T79=0,0,X79/T79)</f>
        <v>-0.43345072239095689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>
        <v>1347.08</v>
      </c>
      <c r="E81" s="4"/>
      <c r="F81" s="12">
        <f>IF(D$12=0,0,D81/D$12)</f>
        <v>6.7265478630122749E-2</v>
      </c>
      <c r="G81" s="4"/>
      <c r="H81" s="4">
        <v>1162</v>
      </c>
      <c r="I81" s="4"/>
      <c r="J81" s="12">
        <f>IF(H$12=0,0,H81/H$12)</f>
        <v>6.0432702309132516E-2</v>
      </c>
      <c r="K81" s="4"/>
      <c r="L81" s="4">
        <f>+D81-H81</f>
        <v>185.07999999999993</v>
      </c>
      <c r="M81" s="4"/>
      <c r="N81" s="12">
        <f>IF(H81=0,0,L81/H81)</f>
        <v>0.15927710843373488</v>
      </c>
      <c r="O81" s="10"/>
      <c r="P81" s="4">
        <v>22861.66</v>
      </c>
      <c r="Q81" s="4"/>
      <c r="R81" s="12">
        <f>IF(P$12=0,0,P81/P$12)</f>
        <v>0.10428582715281681</v>
      </c>
      <c r="S81" s="4"/>
      <c r="T81" s="4">
        <v>28445</v>
      </c>
      <c r="U81" s="4"/>
      <c r="V81" s="12">
        <f>IF(T$12=0,0,T81/T$12)</f>
        <v>0.12312040652025243</v>
      </c>
      <c r="W81" s="4"/>
      <c r="X81" s="4">
        <f>+P81-T81</f>
        <v>-5583.34</v>
      </c>
      <c r="Y81" s="4"/>
      <c r="Z81" s="12">
        <f>IF(T81=0,0,X81/T81)</f>
        <v>-0.19628546317454737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4</v>
      </c>
      <c r="C83" s="29"/>
      <c r="D83" s="34">
        <f>+D79-D81</f>
        <v>-2828.3600000000006</v>
      </c>
      <c r="E83" s="14"/>
      <c r="F83" s="32">
        <f>IF(D$12=0,0,D83/D$12)</f>
        <v>-0.1412321385057265</v>
      </c>
      <c r="G83" s="14"/>
      <c r="H83" s="34">
        <f>+H79-H81</f>
        <v>-2879.6655345807703</v>
      </c>
      <c r="I83" s="14"/>
      <c r="J83" s="32">
        <f>IF(H$12=0,0,H83/H$12)</f>
        <v>-0.14976417383923291</v>
      </c>
      <c r="K83" s="16"/>
      <c r="L83" s="34">
        <f>D83-H83</f>
        <v>51.305534580769745</v>
      </c>
      <c r="M83" s="16"/>
      <c r="N83" s="32">
        <f>IF(H83=0,0,L83/H83)</f>
        <v>-1.78164908266817E-2</v>
      </c>
      <c r="O83" s="28"/>
      <c r="P83" s="34">
        <f>+P79-P81</f>
        <v>-5995.4799999999923</v>
      </c>
      <c r="Q83" s="14"/>
      <c r="R83" s="32">
        <f>IF(P$12=0,0,P83/P$12)</f>
        <v>-2.7349002258723529E-2</v>
      </c>
      <c r="S83" s="14"/>
      <c r="T83" s="34">
        <f>+T79-T81</f>
        <v>1325.0141304192075</v>
      </c>
      <c r="U83" s="14"/>
      <c r="V83" s="32">
        <f>IF(T$12=0,0,T83/T$12)</f>
        <v>5.7351477722725119E-3</v>
      </c>
      <c r="W83" s="16"/>
      <c r="X83" s="34">
        <f>P83-T83</f>
        <v>-7320.4941304191998</v>
      </c>
      <c r="Y83" s="16"/>
      <c r="Z83" s="32">
        <f>IF(T83=0,0,X83/T83)</f>
        <v>-5.5248423110047469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5</v>
      </c>
      <c r="C86" s="29"/>
      <c r="D86" s="31">
        <f>SUM(D83:D85)</f>
        <v>-2828.3600000000006</v>
      </c>
      <c r="E86" s="14"/>
      <c r="F86" s="30">
        <f>IF(D$12=0,0,D86/D$12)</f>
        <v>-0.1412321385057265</v>
      </c>
      <c r="G86" s="14"/>
      <c r="H86" s="31">
        <f>SUM(H83:H85)</f>
        <v>-2879.6655345807703</v>
      </c>
      <c r="I86" s="14"/>
      <c r="J86" s="30">
        <f>IF(H$12=0,0,H86/H$12)</f>
        <v>-0.14976417383923291</v>
      </c>
      <c r="K86" s="16"/>
      <c r="L86" s="31">
        <f>+D86-H86</f>
        <v>51.305534580769745</v>
      </c>
      <c r="M86" s="16"/>
      <c r="N86" s="30">
        <f>IF(H86=0,0,L86/H86)</f>
        <v>-1.78164908266817E-2</v>
      </c>
      <c r="O86" s="28"/>
      <c r="P86" s="31">
        <f>SUM(P83:P85)</f>
        <v>-5995.4799999999923</v>
      </c>
      <c r="Q86" s="14"/>
      <c r="R86" s="30">
        <f>IF(P$12=0,0,P86/P$12)</f>
        <v>-2.7349002258723529E-2</v>
      </c>
      <c r="S86" s="14"/>
      <c r="T86" s="31">
        <f>SUM(T83:T85)</f>
        <v>1325.0141304192075</v>
      </c>
      <c r="U86" s="14"/>
      <c r="V86" s="30">
        <f>IF(T$12=0,0,T86/T$12)</f>
        <v>5.7351477722725119E-3</v>
      </c>
      <c r="W86" s="16"/>
      <c r="X86" s="31">
        <f>+P86-T86</f>
        <v>-7320.4941304191998</v>
      </c>
      <c r="Y86" s="16"/>
      <c r="Z86" s="30">
        <f>IF(T86=0,0,X86/T86)</f>
        <v>-5.5248423110047469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3">
        <v>43879.546159953701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7" t="s">
        <v>314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60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","313", " - ", "Convenience Store")</f>
        <v>Department 313 - Convenience Store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42347.089999999989</v>
      </c>
      <c r="E12" s="4"/>
      <c r="F12" s="12"/>
      <c r="G12" s="4"/>
      <c r="H12" s="4">
        <f>SUM(OSRRefH13x_0)</f>
        <v>40223</v>
      </c>
      <c r="I12" s="4"/>
      <c r="J12" s="12"/>
      <c r="K12" s="4"/>
      <c r="L12" s="4">
        <f t="shared" ref="L12:L19" si="0">+D12-H12</f>
        <v>2124.0899999999892</v>
      </c>
      <c r="M12" s="4"/>
      <c r="N12" s="12">
        <f t="shared" ref="N12:N19" si="1">IF(H12=0,0,L12/H12)</f>
        <v>5.2807846257116306E-2</v>
      </c>
      <c r="O12" s="10"/>
      <c r="P12" s="4">
        <f>SUM(OSRRefP13x_0)</f>
        <v>379920.38</v>
      </c>
      <c r="Q12" s="4"/>
      <c r="R12" s="12"/>
      <c r="S12" s="4"/>
      <c r="T12" s="4">
        <f>SUM(OSRRefT13x_0)</f>
        <v>376460</v>
      </c>
      <c r="U12" s="4"/>
      <c r="V12" s="12"/>
      <c r="W12" s="4"/>
      <c r="X12" s="4">
        <f t="shared" ref="X12:X19" si="2">+P12-T12</f>
        <v>3460.3800000000047</v>
      </c>
      <c r="Y12" s="4"/>
      <c r="Z12" s="12">
        <f t="shared" ref="Z12:Z19" si="3">IF(T12=0,0,X12/T12)</f>
        <v>9.1918928969877394E-3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--8276.01</f>
        <v>8276.01</v>
      </c>
      <c r="E13" s="2"/>
      <c r="F13" s="19"/>
      <c r="G13" s="2"/>
      <c r="H13" s="2"/>
      <c r="I13" s="2"/>
      <c r="J13" s="19"/>
      <c r="K13" s="2"/>
      <c r="L13" s="2">
        <f t="shared" si="0"/>
        <v>8276.01</v>
      </c>
      <c r="M13" s="2"/>
      <c r="N13" s="19">
        <f t="shared" si="1"/>
        <v>0</v>
      </c>
      <c r="O13" s="11"/>
      <c r="P13" s="2">
        <f>--80501.09</f>
        <v>80501.09</v>
      </c>
      <c r="Q13" s="2"/>
      <c r="R13" s="19"/>
      <c r="S13" s="2"/>
      <c r="T13" s="2"/>
      <c r="U13" s="2"/>
      <c r="V13" s="19"/>
      <c r="W13" s="2"/>
      <c r="X13" s="2">
        <f t="shared" si="2"/>
        <v>80501.09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>--302.09</f>
        <v>302.08999999999997</v>
      </c>
      <c r="E14" s="2"/>
      <c r="F14" s="19"/>
      <c r="G14" s="2"/>
      <c r="H14" s="2"/>
      <c r="I14" s="2"/>
      <c r="J14" s="19"/>
      <c r="K14" s="2"/>
      <c r="L14" s="2">
        <f t="shared" si="0"/>
        <v>302.08999999999997</v>
      </c>
      <c r="M14" s="2"/>
      <c r="N14" s="19">
        <f t="shared" si="1"/>
        <v>0</v>
      </c>
      <c r="O14" s="11"/>
      <c r="P14" s="2">
        <f>--2504.01</f>
        <v>2504.0100000000002</v>
      </c>
      <c r="Q14" s="2"/>
      <c r="R14" s="19"/>
      <c r="S14" s="2"/>
      <c r="T14" s="2"/>
      <c r="U14" s="2"/>
      <c r="V14" s="19"/>
      <c r="W14" s="2"/>
      <c r="X14" s="2">
        <f t="shared" si="2"/>
        <v>2504.0100000000002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40223</v>
      </c>
      <c r="I15" s="2"/>
      <c r="J15" s="19"/>
      <c r="K15" s="2"/>
      <c r="L15" s="2">
        <f t="shared" si="0"/>
        <v>-40223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376460</v>
      </c>
      <c r="U15" s="2"/>
      <c r="V15" s="19"/>
      <c r="W15" s="2"/>
      <c r="X15" s="2">
        <f t="shared" si="2"/>
        <v>-376460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>--33626.7</f>
        <v>33626.699999999997</v>
      </c>
      <c r="E16" s="2"/>
      <c r="F16" s="19"/>
      <c r="G16" s="2"/>
      <c r="H16" s="2"/>
      <c r="I16" s="2"/>
      <c r="J16" s="19"/>
      <c r="K16" s="2"/>
      <c r="L16" s="2">
        <f t="shared" si="0"/>
        <v>33626.699999999997</v>
      </c>
      <c r="M16" s="2"/>
      <c r="N16" s="19">
        <f t="shared" si="1"/>
        <v>0</v>
      </c>
      <c r="O16" s="11"/>
      <c r="P16" s="2">
        <f>--295622.5</f>
        <v>295622.5</v>
      </c>
      <c r="Q16" s="2"/>
      <c r="R16" s="19"/>
      <c r="S16" s="2"/>
      <c r="T16" s="2"/>
      <c r="U16" s="2"/>
      <c r="V16" s="19"/>
      <c r="W16" s="2"/>
      <c r="X16" s="2">
        <f t="shared" si="2"/>
        <v>295622.5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"4133", " - ", "NON-TAXABLE SALES-CANDY")</f>
        <v xml:space="preserve">          4133 - NON-TAXABLE SALES-CANDY</v>
      </c>
      <c r="C17" s="11"/>
      <c r="D17" s="2">
        <f>--1.59</f>
        <v>1.59</v>
      </c>
      <c r="E17" s="2"/>
      <c r="F17" s="19"/>
      <c r="G17" s="2"/>
      <c r="H17" s="2"/>
      <c r="I17" s="2"/>
      <c r="J17" s="19"/>
      <c r="K17" s="2"/>
      <c r="L17" s="2">
        <f t="shared" si="0"/>
        <v>1.59</v>
      </c>
      <c r="M17" s="2"/>
      <c r="N17" s="19">
        <f t="shared" si="1"/>
        <v>0</v>
      </c>
      <c r="O17" s="11"/>
      <c r="P17" s="2">
        <f>--1.59</f>
        <v>1.59</v>
      </c>
      <c r="Q17" s="2"/>
      <c r="R17" s="19"/>
      <c r="S17" s="2"/>
      <c r="T17" s="2"/>
      <c r="U17" s="2"/>
      <c r="V17" s="19"/>
      <c r="W17" s="2"/>
      <c r="X17" s="2">
        <f t="shared" si="2"/>
        <v>1.59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>--8.02</f>
        <v>8.02</v>
      </c>
      <c r="E18" s="2"/>
      <c r="F18" s="19"/>
      <c r="G18" s="2"/>
      <c r="H18" s="2"/>
      <c r="I18" s="2"/>
      <c r="J18" s="19"/>
      <c r="K18" s="2"/>
      <c r="L18" s="2">
        <f t="shared" si="0"/>
        <v>8.02</v>
      </c>
      <c r="M18" s="2"/>
      <c r="N18" s="19">
        <f t="shared" si="1"/>
        <v>0</v>
      </c>
      <c r="O18" s="11"/>
      <c r="P18" s="2">
        <f>--8.41</f>
        <v>8.41</v>
      </c>
      <c r="Q18" s="2"/>
      <c r="R18" s="19"/>
      <c r="S18" s="2"/>
      <c r="T18" s="2"/>
      <c r="U18" s="2"/>
      <c r="V18" s="19"/>
      <c r="W18" s="2"/>
      <c r="X18" s="2">
        <f t="shared" si="2"/>
        <v>8.41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>--132.68</f>
        <v>132.68</v>
      </c>
      <c r="E19" s="2"/>
      <c r="F19" s="19"/>
      <c r="G19" s="2"/>
      <c r="H19" s="2"/>
      <c r="I19" s="2"/>
      <c r="J19" s="19"/>
      <c r="K19" s="2"/>
      <c r="L19" s="2">
        <f t="shared" si="0"/>
        <v>132.68</v>
      </c>
      <c r="M19" s="2"/>
      <c r="N19" s="19">
        <f t="shared" si="1"/>
        <v>0</v>
      </c>
      <c r="O19" s="11"/>
      <c r="P19" s="2">
        <f>--1282.78</f>
        <v>1282.78</v>
      </c>
      <c r="Q19" s="2"/>
      <c r="R19" s="19"/>
      <c r="S19" s="2"/>
      <c r="T19" s="2"/>
      <c r="U19" s="2"/>
      <c r="V19" s="19"/>
      <c r="W19" s="2"/>
      <c r="X19" s="2">
        <f t="shared" si="2"/>
        <v>1282.78</v>
      </c>
      <c r="Y19" s="2"/>
      <c r="Z19" s="19">
        <f t="shared" si="3"/>
        <v>0</v>
      </c>
    </row>
    <row r="20" spans="1:26" x14ac:dyDescent="0.25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25">
      <c r="A21" s="10"/>
      <c r="B21" s="28" t="s">
        <v>8</v>
      </c>
      <c r="C21" s="10"/>
      <c r="D21" s="4">
        <f>SUM(OSRRefD16x_0)</f>
        <v>20327.25</v>
      </c>
      <c r="E21" s="4"/>
      <c r="F21" s="12">
        <f t="shared" ref="F21:F24" si="4">IF(D$12=0,0,D21/D$12)</f>
        <v>0.48001527377678149</v>
      </c>
      <c r="G21" s="4"/>
      <c r="H21" s="4">
        <f>SUM(OSRRefH16x_0)</f>
        <v>19307</v>
      </c>
      <c r="I21" s="4"/>
      <c r="J21" s="12">
        <f t="shared" ref="J21:J24" si="5">IF(H$12=0,0,H21/H$12)</f>
        <v>0.47999900554409169</v>
      </c>
      <c r="K21" s="4"/>
      <c r="L21" s="4">
        <f t="shared" ref="L21:L24" si="6">+D21-H21</f>
        <v>1020.25</v>
      </c>
      <c r="M21" s="4"/>
      <c r="N21" s="12">
        <f t="shared" ref="N21:N24" si="7">IF(H21=0,0,L21/H21)</f>
        <v>5.284352825400114E-2</v>
      </c>
      <c r="O21" s="10"/>
      <c r="P21" s="4">
        <f>SUM(OSRRefP16x_0)</f>
        <v>179412.62</v>
      </c>
      <c r="Q21" s="4"/>
      <c r="R21" s="12">
        <f t="shared" ref="R21:R24" si="8">IF(P$12=0,0,P21/P$12)</f>
        <v>0.47223741985096979</v>
      </c>
      <c r="S21" s="4"/>
      <c r="T21" s="4">
        <f>SUM(OSRRefT16x_0)</f>
        <v>180702</v>
      </c>
      <c r="U21" s="4"/>
      <c r="V21" s="12">
        <f t="shared" ref="V21:V24" si="9">IF(T$12=0,0,T21/T$12)</f>
        <v>0.48000318758965094</v>
      </c>
      <c r="W21" s="4"/>
      <c r="X21" s="4">
        <f t="shared" ref="X21:X24" si="10">+P21-T21</f>
        <v>-1289.3800000000047</v>
      </c>
      <c r="Y21" s="4"/>
      <c r="Z21" s="12">
        <f t="shared" ref="Z21:Z24" si="11">IF(T21=0,0,X21/T21)</f>
        <v>-7.1353941849011341E-3</v>
      </c>
    </row>
    <row r="22" spans="1:26" s="24" customFormat="1" hidden="1" outlineLevel="1" x14ac:dyDescent="0.25">
      <c r="A22" s="44"/>
      <c r="B22" s="11" t="str">
        <f>CONCATENATE("          ", "5000", " - ", "PURCHASES @ COST")</f>
        <v xml:space="preserve">          5000 - PURCHASES @ COST</v>
      </c>
      <c r="C22" s="11"/>
      <c r="D22" s="2"/>
      <c r="E22" s="2"/>
      <c r="F22" s="19">
        <f t="shared" si="4"/>
        <v>0</v>
      </c>
      <c r="G22" s="2"/>
      <c r="H22" s="2">
        <v>19307</v>
      </c>
      <c r="I22" s="2"/>
      <c r="J22" s="19">
        <f t="shared" si="5"/>
        <v>0.47999900554409169</v>
      </c>
      <c r="K22" s="2"/>
      <c r="L22" s="2">
        <f t="shared" si="6"/>
        <v>-19307</v>
      </c>
      <c r="M22" s="2"/>
      <c r="N22" s="19">
        <f t="shared" si="7"/>
        <v>-1</v>
      </c>
      <c r="O22" s="11"/>
      <c r="P22" s="2"/>
      <c r="Q22" s="2"/>
      <c r="R22" s="19">
        <f t="shared" si="8"/>
        <v>0</v>
      </c>
      <c r="S22" s="2"/>
      <c r="T22" s="2">
        <v>180702</v>
      </c>
      <c r="U22" s="2"/>
      <c r="V22" s="19">
        <f t="shared" si="9"/>
        <v>0.48000318758965094</v>
      </c>
      <c r="W22" s="2"/>
      <c r="X22" s="2">
        <f t="shared" si="10"/>
        <v>-180702</v>
      </c>
      <c r="Y22" s="2"/>
      <c r="Z22" s="19">
        <f t="shared" si="11"/>
        <v>-1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21892.15</v>
      </c>
      <c r="E23" s="2"/>
      <c r="F23" s="19">
        <f t="shared" si="4"/>
        <v>0.51696940687069659</v>
      </c>
      <c r="G23" s="2"/>
      <c r="H23" s="2"/>
      <c r="I23" s="2"/>
      <c r="J23" s="19">
        <f t="shared" si="5"/>
        <v>0</v>
      </c>
      <c r="K23" s="2"/>
      <c r="L23" s="2">
        <f t="shared" si="6"/>
        <v>21892.15</v>
      </c>
      <c r="M23" s="2"/>
      <c r="N23" s="19">
        <f t="shared" si="7"/>
        <v>0</v>
      </c>
      <c r="O23" s="11"/>
      <c r="P23" s="2">
        <v>184400.84</v>
      </c>
      <c r="Q23" s="2"/>
      <c r="R23" s="19">
        <f t="shared" si="8"/>
        <v>0.48536706559411208</v>
      </c>
      <c r="S23" s="2"/>
      <c r="T23" s="2"/>
      <c r="U23" s="2"/>
      <c r="V23" s="19">
        <f t="shared" si="9"/>
        <v>0</v>
      </c>
      <c r="W23" s="2"/>
      <c r="X23" s="2">
        <f t="shared" si="10"/>
        <v>184400.84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>
        <v>-1564.9</v>
      </c>
      <c r="E24" s="2"/>
      <c r="F24" s="19">
        <f t="shared" si="4"/>
        <v>-3.6954133093915084E-2</v>
      </c>
      <c r="G24" s="2"/>
      <c r="H24" s="2"/>
      <c r="I24" s="2"/>
      <c r="J24" s="19">
        <f t="shared" si="5"/>
        <v>0</v>
      </c>
      <c r="K24" s="2"/>
      <c r="L24" s="2">
        <f t="shared" si="6"/>
        <v>-1564.9</v>
      </c>
      <c r="M24" s="2"/>
      <c r="N24" s="19">
        <f t="shared" si="7"/>
        <v>0</v>
      </c>
      <c r="O24" s="11"/>
      <c r="P24" s="2">
        <v>-4988.22</v>
      </c>
      <c r="Q24" s="2"/>
      <c r="R24" s="19">
        <f t="shared" si="8"/>
        <v>-1.3129645743142288E-2</v>
      </c>
      <c r="S24" s="2"/>
      <c r="T24" s="2"/>
      <c r="U24" s="2"/>
      <c r="V24" s="19">
        <f t="shared" si="9"/>
        <v>0</v>
      </c>
      <c r="W24" s="2"/>
      <c r="X24" s="2">
        <f t="shared" si="10"/>
        <v>-4988.22</v>
      </c>
      <c r="Y24" s="2"/>
      <c r="Z24" s="19">
        <f t="shared" si="11"/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9" t="s">
        <v>6</v>
      </c>
      <c r="C26" s="29"/>
      <c r="D26" s="21">
        <f>D12-D21</f>
        <v>22019.839999999989</v>
      </c>
      <c r="E26" s="14"/>
      <c r="F26" s="20">
        <f>IF(D$12=0,0,D26/D$12)</f>
        <v>0.51998472622321856</v>
      </c>
      <c r="G26" s="14"/>
      <c r="H26" s="21">
        <f>H12-H21</f>
        <v>20916</v>
      </c>
      <c r="I26" s="14"/>
      <c r="J26" s="20">
        <f>IF(H$12=0,0,H26/H$12)</f>
        <v>0.52000099445590831</v>
      </c>
      <c r="K26" s="16"/>
      <c r="L26" s="21">
        <f>+D26-H26</f>
        <v>1103.8399999999892</v>
      </c>
      <c r="M26" s="16"/>
      <c r="N26" s="20">
        <f>IF(H26=0,0,L26/H26)</f>
        <v>5.2774909160450814E-2</v>
      </c>
      <c r="O26" s="28"/>
      <c r="P26" s="21">
        <f>P12-P21</f>
        <v>200507.76</v>
      </c>
      <c r="Q26" s="14"/>
      <c r="R26" s="20">
        <f>IF(P$12=0,0,P26/P$12)</f>
        <v>0.52776258014903021</v>
      </c>
      <c r="S26" s="14"/>
      <c r="T26" s="21">
        <f>T12-T21</f>
        <v>195758</v>
      </c>
      <c r="U26" s="14"/>
      <c r="V26" s="20">
        <f>IF(T$12=0,0,T26/T$12)</f>
        <v>0.51999681241034901</v>
      </c>
      <c r="W26" s="16"/>
      <c r="X26" s="21">
        <f>+P26-T26</f>
        <v>4749.7600000000093</v>
      </c>
      <c r="Y26" s="16"/>
      <c r="Z26" s="20">
        <f>IF(T26=0,0,X26/T26)</f>
        <v>2.4263427292882077E-2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8" t="s">
        <v>9</v>
      </c>
      <c r="C28" s="10"/>
      <c r="D28" s="22">
        <f>SUM(OSRRefD22x_0)</f>
        <v>18971.379999999997</v>
      </c>
      <c r="E28" s="22"/>
      <c r="F28" s="35">
        <f t="shared" ref="F28:F38" si="12">IF(D$12=0,0,D28/D$12)</f>
        <v>0.44799725317607425</v>
      </c>
      <c r="G28" s="22"/>
      <c r="H28" s="22">
        <f>SUM(OSRRefH22x_0)</f>
        <v>20048.521355000001</v>
      </c>
      <c r="I28" s="22"/>
      <c r="J28" s="35">
        <f t="shared" ref="J28:J38" si="13">IF(H$12=0,0,H28/H$12)</f>
        <v>0.498434262859558</v>
      </c>
      <c r="K28" s="4"/>
      <c r="L28" s="22">
        <f t="shared" ref="L28:L38" si="14">+D28-H28</f>
        <v>-1077.1413550000034</v>
      </c>
      <c r="M28" s="4"/>
      <c r="N28" s="35">
        <f t="shared" ref="N28:N38" si="15">IF(H28=0,0,L28/H28)</f>
        <v>-5.3726723079823027E-2</v>
      </c>
      <c r="O28" s="10"/>
      <c r="P28" s="22">
        <f>SUM(OSRRefP22x_0)</f>
        <v>132684.78000000003</v>
      </c>
      <c r="Q28" s="22"/>
      <c r="R28" s="35">
        <f t="shared" ref="R28:R38" si="16">IF(P$12=0,0,P28/P$12)</f>
        <v>0.34924364941938629</v>
      </c>
      <c r="S28" s="22"/>
      <c r="T28" s="22">
        <f>SUM(OSRRefT22x_0)</f>
        <v>136270.6357404</v>
      </c>
      <c r="U28" s="22"/>
      <c r="V28" s="35">
        <f t="shared" ref="V28:V38" si="17">IF(T$12=0,0,T28/T$12)</f>
        <v>0.3619790568464113</v>
      </c>
      <c r="W28" s="4"/>
      <c r="X28" s="22">
        <f t="shared" ref="X28:X38" si="18">+P28-T28</f>
        <v>-3585.855740399973</v>
      </c>
      <c r="Y28" s="4"/>
      <c r="Z28" s="35">
        <f t="shared" ref="Z28:Z38" si="19">IF(T28=0,0,X28/T28)</f>
        <v>-2.6314221849167454E-2</v>
      </c>
    </row>
    <row r="29" spans="1:26" s="27" customFormat="1" outlineLevel="1" collapsed="1" x14ac:dyDescent="0.25">
      <c r="A29" s="26"/>
      <c r="B29" s="13" t="str">
        <f>CONCATENATE("     ","*Benefits                                         ")</f>
        <v xml:space="preserve">     *Benefits                                         </v>
      </c>
      <c r="C29" s="13"/>
      <c r="D29" s="1">
        <f>SUM(OSRRefD22_0x_0)</f>
        <v>4290.9299999999994</v>
      </c>
      <c r="E29" s="1"/>
      <c r="F29" s="5">
        <f t="shared" si="12"/>
        <v>0.10132762369267878</v>
      </c>
      <c r="G29" s="1"/>
      <c r="H29" s="1">
        <f>SUM(OSRRefH22_0x_0)</f>
        <v>4126.4788550000003</v>
      </c>
      <c r="I29" s="1"/>
      <c r="J29" s="5">
        <f t="shared" si="13"/>
        <v>0.10259003194689606</v>
      </c>
      <c r="K29" s="1"/>
      <c r="L29" s="1">
        <f t="shared" si="14"/>
        <v>164.45114499999909</v>
      </c>
      <c r="M29" s="1"/>
      <c r="N29" s="5">
        <f t="shared" si="15"/>
        <v>3.9852656654410283E-2</v>
      </c>
      <c r="O29" s="13"/>
      <c r="P29" s="1">
        <f>SUM(OSRRefP22_0x_0)</f>
        <v>30816.569999999996</v>
      </c>
      <c r="Q29" s="1"/>
      <c r="R29" s="5">
        <f t="shared" si="16"/>
        <v>8.1113232198809643E-2</v>
      </c>
      <c r="S29" s="1"/>
      <c r="T29" s="1">
        <f>SUM(OSRRefT22_0x_0)</f>
        <v>27735.252240400001</v>
      </c>
      <c r="U29" s="1"/>
      <c r="V29" s="5">
        <f t="shared" si="17"/>
        <v>7.3673835840195503E-2</v>
      </c>
      <c r="W29" s="1"/>
      <c r="X29" s="1">
        <f t="shared" si="18"/>
        <v>3081.317759599995</v>
      </c>
      <c r="Y29" s="1"/>
      <c r="Z29" s="5">
        <f t="shared" si="19"/>
        <v>0.11109752068927121</v>
      </c>
    </row>
    <row r="30" spans="1:26" s="24" customFormat="1" hidden="1" outlineLevel="2" x14ac:dyDescent="0.25">
      <c r="A30" s="25"/>
      <c r="B30" s="11" t="str">
        <f>CONCATENATE("          ", "6111", " - ", "F.I.C.A.")</f>
        <v xml:space="preserve">          6111 - F.I.C.A.</v>
      </c>
      <c r="C30" s="11"/>
      <c r="D30" s="7">
        <v>394.8</v>
      </c>
      <c r="E30" s="2"/>
      <c r="F30" s="6">
        <f t="shared" si="12"/>
        <v>9.322954658749872E-3</v>
      </c>
      <c r="G30" s="2"/>
      <c r="H30" s="7">
        <v>689.72662500000001</v>
      </c>
      <c r="I30" s="2"/>
      <c r="J30" s="6">
        <f t="shared" si="13"/>
        <v>1.7147567933769238E-2</v>
      </c>
      <c r="K30" s="2"/>
      <c r="L30" s="7">
        <f t="shared" si="14"/>
        <v>-294.926625</v>
      </c>
      <c r="M30" s="2"/>
      <c r="N30" s="6">
        <f t="shared" si="15"/>
        <v>-0.42759930428957993</v>
      </c>
      <c r="O30" s="11"/>
      <c r="P30" s="7">
        <v>3625.32</v>
      </c>
      <c r="Q30" s="2"/>
      <c r="R30" s="6">
        <f t="shared" si="16"/>
        <v>9.5423151556123416E-3</v>
      </c>
      <c r="S30" s="2"/>
      <c r="T30" s="7">
        <v>4492.7763023999996</v>
      </c>
      <c r="U30" s="2"/>
      <c r="V30" s="6">
        <f t="shared" si="17"/>
        <v>1.1934272704669818E-2</v>
      </c>
      <c r="W30" s="2"/>
      <c r="X30" s="7">
        <f t="shared" si="18"/>
        <v>-867.45630239999946</v>
      </c>
      <c r="Y30" s="2"/>
      <c r="Z30" s="6">
        <f t="shared" si="19"/>
        <v>-0.19307800878859968</v>
      </c>
    </row>
    <row r="31" spans="1:26" s="24" customFormat="1" hidden="1" outlineLevel="2" x14ac:dyDescent="0.25">
      <c r="A31" s="25"/>
      <c r="B31" s="11" t="str">
        <f>CONCATENATE("          ", "6112", " - ", "COMPENSATION INSURANCE")</f>
        <v xml:space="preserve">          6112 - COMPENSATION INSURANCE</v>
      </c>
      <c r="C31" s="11"/>
      <c r="D31" s="7">
        <v>161.43</v>
      </c>
      <c r="E31" s="2"/>
      <c r="F31" s="6">
        <f t="shared" si="12"/>
        <v>3.8120683144933936E-3</v>
      </c>
      <c r="G31" s="2"/>
      <c r="H31" s="7">
        <v>265.941575</v>
      </c>
      <c r="I31" s="2"/>
      <c r="J31" s="6">
        <f t="shared" si="13"/>
        <v>6.611679263108172E-3</v>
      </c>
      <c r="K31" s="2"/>
      <c r="L31" s="7">
        <f t="shared" si="14"/>
        <v>-104.51157499999999</v>
      </c>
      <c r="M31" s="2"/>
      <c r="N31" s="6">
        <f t="shared" si="15"/>
        <v>-0.39298697467667471</v>
      </c>
      <c r="O31" s="11"/>
      <c r="P31" s="7">
        <v>1212.82</v>
      </c>
      <c r="Q31" s="2"/>
      <c r="R31" s="6">
        <f t="shared" si="16"/>
        <v>3.1923004498995286E-3</v>
      </c>
      <c r="S31" s="2"/>
      <c r="T31" s="7">
        <v>1778.8228449999999</v>
      </c>
      <c r="U31" s="2"/>
      <c r="V31" s="6">
        <f t="shared" si="17"/>
        <v>4.725131076342772E-3</v>
      </c>
      <c r="W31" s="2"/>
      <c r="X31" s="7">
        <f t="shared" si="18"/>
        <v>-566.00284499999998</v>
      </c>
      <c r="Y31" s="2"/>
      <c r="Z31" s="6">
        <f t="shared" si="19"/>
        <v>-0.31818955248463765</v>
      </c>
    </row>
    <row r="32" spans="1:26" s="24" customFormat="1" hidden="1" outlineLevel="2" x14ac:dyDescent="0.25">
      <c r="A32" s="25"/>
      <c r="B32" s="11" t="str">
        <f>CONCATENATE("          ", "6113", " - ", "GROUP INSURANCE")</f>
        <v xml:space="preserve">          6113 - GROUP INSURANCE</v>
      </c>
      <c r="C32" s="11"/>
      <c r="D32" s="7">
        <v>2021.26</v>
      </c>
      <c r="E32" s="2"/>
      <c r="F32" s="6">
        <f t="shared" si="12"/>
        <v>4.7730788585473062E-2</v>
      </c>
      <c r="G32" s="2"/>
      <c r="H32" s="7">
        <v>1977</v>
      </c>
      <c r="I32" s="2"/>
      <c r="J32" s="6">
        <f t="shared" si="13"/>
        <v>4.9150983268279345E-2</v>
      </c>
      <c r="K32" s="2"/>
      <c r="L32" s="7">
        <f t="shared" si="14"/>
        <v>44.259999999999991</v>
      </c>
      <c r="M32" s="2"/>
      <c r="N32" s="6">
        <f t="shared" si="15"/>
        <v>2.2387455741021745E-2</v>
      </c>
      <c r="O32" s="11"/>
      <c r="P32" s="7">
        <v>14141.08</v>
      </c>
      <c r="Q32" s="2"/>
      <c r="R32" s="6">
        <f t="shared" si="16"/>
        <v>3.7221167235092785E-2</v>
      </c>
      <c r="S32" s="2"/>
      <c r="T32" s="7">
        <v>13839</v>
      </c>
      <c r="U32" s="2"/>
      <c r="V32" s="6">
        <f t="shared" si="17"/>
        <v>3.6760877649683894E-2</v>
      </c>
      <c r="W32" s="2"/>
      <c r="X32" s="7">
        <f t="shared" si="18"/>
        <v>302.07999999999993</v>
      </c>
      <c r="Y32" s="2"/>
      <c r="Z32" s="6">
        <f t="shared" si="19"/>
        <v>2.1828166775055995E-2</v>
      </c>
    </row>
    <row r="33" spans="1:26" s="24" customFormat="1" hidden="1" outlineLevel="2" x14ac:dyDescent="0.25">
      <c r="A33" s="25"/>
      <c r="B33" s="11" t="str">
        <f>CONCATENATE("          ", "6114", " - ", "STATE UNEMPLOYMENT INSURANCE")</f>
        <v xml:space="preserve">          6114 - STATE UNEMPLOYMENT INSURANCE</v>
      </c>
      <c r="C33" s="11"/>
      <c r="D33" s="7">
        <v>22.09</v>
      </c>
      <c r="E33" s="2"/>
      <c r="F33" s="6">
        <f t="shared" si="12"/>
        <v>5.2164151066814762E-4</v>
      </c>
      <c r="G33" s="2"/>
      <c r="H33" s="7">
        <v>36.392004999999997</v>
      </c>
      <c r="I33" s="2"/>
      <c r="J33" s="6">
        <f t="shared" si="13"/>
        <v>9.0475610968848664E-4</v>
      </c>
      <c r="K33" s="2"/>
      <c r="L33" s="7">
        <f t="shared" si="14"/>
        <v>-14.302004999999998</v>
      </c>
      <c r="M33" s="2"/>
      <c r="N33" s="6">
        <f t="shared" si="15"/>
        <v>-0.39299854459791372</v>
      </c>
      <c r="O33" s="11"/>
      <c r="P33" s="7">
        <v>198.85</v>
      </c>
      <c r="Q33" s="2"/>
      <c r="R33" s="6">
        <f t="shared" si="16"/>
        <v>5.2339913957761359E-4</v>
      </c>
      <c r="S33" s="2"/>
      <c r="T33" s="7">
        <v>243.41786300000001</v>
      </c>
      <c r="U33" s="2"/>
      <c r="V33" s="6">
        <f t="shared" si="17"/>
        <v>6.4659688413111623E-4</v>
      </c>
      <c r="W33" s="2"/>
      <c r="X33" s="7">
        <f t="shared" si="18"/>
        <v>-44.567863000000017</v>
      </c>
      <c r="Y33" s="2"/>
      <c r="Z33" s="6">
        <f t="shared" si="19"/>
        <v>-0.18309199847013699</v>
      </c>
    </row>
    <row r="34" spans="1:26" s="24" customFormat="1" hidden="1" outlineLevel="2" x14ac:dyDescent="0.25">
      <c r="A34" s="25"/>
      <c r="B34" s="11" t="str">
        <f>CONCATENATE("          ", "6115", " - ", "P.E.R.S.")</f>
        <v xml:space="preserve">          6115 - P.E.R.S.</v>
      </c>
      <c r="C34" s="11"/>
      <c r="D34" s="7">
        <v>853.45</v>
      </c>
      <c r="E34" s="2"/>
      <c r="F34" s="6">
        <f t="shared" si="12"/>
        <v>2.0153687065628364E-2</v>
      </c>
      <c r="G34" s="2"/>
      <c r="H34" s="7">
        <v>598.35789999999997</v>
      </c>
      <c r="I34" s="2"/>
      <c r="J34" s="6">
        <f t="shared" si="13"/>
        <v>1.4876013723491534E-2</v>
      </c>
      <c r="K34" s="2"/>
      <c r="L34" s="7">
        <f t="shared" si="14"/>
        <v>255.09210000000007</v>
      </c>
      <c r="M34" s="2"/>
      <c r="N34" s="6">
        <f t="shared" si="15"/>
        <v>0.42632026751882124</v>
      </c>
      <c r="O34" s="11"/>
      <c r="P34" s="7">
        <v>4785.03</v>
      </c>
      <c r="Q34" s="2"/>
      <c r="R34" s="6">
        <f t="shared" si="16"/>
        <v>1.2594823157420509E-2</v>
      </c>
      <c r="S34" s="2"/>
      <c r="T34" s="7">
        <v>3709.8189799999996</v>
      </c>
      <c r="U34" s="2"/>
      <c r="V34" s="6">
        <f t="shared" si="17"/>
        <v>9.8544838229825196E-3</v>
      </c>
      <c r="W34" s="2"/>
      <c r="X34" s="7">
        <f t="shared" si="18"/>
        <v>1075.2110200000002</v>
      </c>
      <c r="Y34" s="2"/>
      <c r="Z34" s="6">
        <f t="shared" si="19"/>
        <v>0.28982843254524521</v>
      </c>
    </row>
    <row r="35" spans="1:26" s="24" customFormat="1" hidden="1" outlineLevel="2" x14ac:dyDescent="0.25">
      <c r="A35" s="25"/>
      <c r="B35" s="11" t="str">
        <f>CONCATENATE("          ", "6116", " - ", "EDUCATIONAL BENEFITS")</f>
        <v xml:space="preserve">          6116 - EDUCATIONAL BENEFITS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25">
      <c r="A36" s="25"/>
      <c r="B36" s="11" t="str">
        <f>CONCATENATE("          ", "6118", " - ", "VACATION")</f>
        <v xml:space="preserve">          6118 - VACATION</v>
      </c>
      <c r="C36" s="11"/>
      <c r="D36" s="7">
        <v>407.06</v>
      </c>
      <c r="E36" s="2"/>
      <c r="F36" s="6">
        <f t="shared" si="12"/>
        <v>9.6124668778893689E-3</v>
      </c>
      <c r="G36" s="2"/>
      <c r="H36" s="7">
        <v>270.375</v>
      </c>
      <c r="I36" s="2"/>
      <c r="J36" s="6">
        <f t="shared" si="13"/>
        <v>6.721900405240783E-3</v>
      </c>
      <c r="K36" s="2"/>
      <c r="L36" s="7">
        <f t="shared" si="14"/>
        <v>136.685</v>
      </c>
      <c r="M36" s="2"/>
      <c r="N36" s="6">
        <f t="shared" si="15"/>
        <v>0.50553860379103099</v>
      </c>
      <c r="O36" s="11"/>
      <c r="P36" s="7">
        <v>3361.84</v>
      </c>
      <c r="Q36" s="2"/>
      <c r="R36" s="6">
        <f t="shared" si="16"/>
        <v>8.8488014251828246E-3</v>
      </c>
      <c r="S36" s="2"/>
      <c r="T36" s="7">
        <v>1675.1198999999999</v>
      </c>
      <c r="U36" s="2"/>
      <c r="V36" s="6">
        <f t="shared" si="17"/>
        <v>4.4496623811294692E-3</v>
      </c>
      <c r="W36" s="2"/>
      <c r="X36" s="7">
        <f t="shared" si="18"/>
        <v>1686.7201000000002</v>
      </c>
      <c r="Y36" s="2"/>
      <c r="Z36" s="6">
        <f t="shared" si="19"/>
        <v>1.0069249968315703</v>
      </c>
    </row>
    <row r="37" spans="1:26" s="24" customFormat="1" hidden="1" outlineLevel="2" x14ac:dyDescent="0.25">
      <c r="A37" s="25"/>
      <c r="B37" s="11" t="str">
        <f>CONCATENATE("          ", "6119", " - ", "SICK LEAVE")</f>
        <v xml:space="preserve">          6119 - SICK LEAVE</v>
      </c>
      <c r="C37" s="11"/>
      <c r="D37" s="7">
        <v>256.76</v>
      </c>
      <c r="E37" s="2"/>
      <c r="F37" s="6">
        <f t="shared" si="12"/>
        <v>6.0632265404777534E-3</v>
      </c>
      <c r="G37" s="2"/>
      <c r="H37" s="7">
        <v>288.68574999999998</v>
      </c>
      <c r="I37" s="2"/>
      <c r="J37" s="6">
        <f t="shared" si="13"/>
        <v>7.1771312433184988E-3</v>
      </c>
      <c r="K37" s="2"/>
      <c r="L37" s="7">
        <f t="shared" si="14"/>
        <v>-31.925749999999994</v>
      </c>
      <c r="M37" s="2"/>
      <c r="N37" s="6">
        <f t="shared" si="15"/>
        <v>-0.11058997543176272</v>
      </c>
      <c r="O37" s="11"/>
      <c r="P37" s="7">
        <v>2330.12</v>
      </c>
      <c r="Q37" s="2"/>
      <c r="R37" s="6">
        <f t="shared" si="16"/>
        <v>6.1331797994095497E-3</v>
      </c>
      <c r="S37" s="2"/>
      <c r="T37" s="7">
        <v>1996.2963500000003</v>
      </c>
      <c r="U37" s="2"/>
      <c r="V37" s="6">
        <f t="shared" si="17"/>
        <v>5.3028113212559109E-3</v>
      </c>
      <c r="W37" s="2"/>
      <c r="X37" s="7">
        <f t="shared" si="18"/>
        <v>333.82364999999959</v>
      </c>
      <c r="Y37" s="2"/>
      <c r="Z37" s="6">
        <f t="shared" si="19"/>
        <v>0.16722148993559977</v>
      </c>
    </row>
    <row r="38" spans="1:26" s="24" customFormat="1" hidden="1" outlineLevel="2" x14ac:dyDescent="0.25">
      <c r="A38" s="25"/>
      <c r="B38" s="11" t="str">
        <f>CONCATENATE("          ", "6156", " - ", "EMPLOYEE MEALS")</f>
        <v xml:space="preserve">          6156 - EMPLOYEE MEALS</v>
      </c>
      <c r="C38" s="11"/>
      <c r="D38" s="7">
        <v>174.08</v>
      </c>
      <c r="E38" s="2"/>
      <c r="F38" s="6">
        <f t="shared" si="12"/>
        <v>4.110790139298829E-3</v>
      </c>
      <c r="G38" s="2"/>
      <c r="H38" s="7"/>
      <c r="I38" s="2"/>
      <c r="J38" s="6">
        <f t="shared" si="13"/>
        <v>0</v>
      </c>
      <c r="K38" s="2"/>
      <c r="L38" s="7">
        <f t="shared" si="14"/>
        <v>174.08</v>
      </c>
      <c r="M38" s="2"/>
      <c r="N38" s="6">
        <f t="shared" si="15"/>
        <v>0</v>
      </c>
      <c r="O38" s="11"/>
      <c r="P38" s="7">
        <v>1161.51</v>
      </c>
      <c r="Q38" s="2"/>
      <c r="R38" s="6">
        <f t="shared" si="16"/>
        <v>3.057245836614503E-3</v>
      </c>
      <c r="S38" s="2"/>
      <c r="T38" s="7"/>
      <c r="U38" s="2"/>
      <c r="V38" s="6">
        <f t="shared" si="17"/>
        <v>0</v>
      </c>
      <c r="W38" s="2"/>
      <c r="X38" s="7">
        <f t="shared" si="18"/>
        <v>1161.51</v>
      </c>
      <c r="Y38" s="2"/>
      <c r="Z38" s="6">
        <f t="shared" si="19"/>
        <v>0</v>
      </c>
    </row>
    <row r="39" spans="1:26" s="27" customFormat="1" outlineLevel="1" collapsed="1" x14ac:dyDescent="0.25">
      <c r="A39" s="26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11986.83</v>
      </c>
      <c r="E39" s="1"/>
      <c r="F39" s="5">
        <f t="shared" ref="F39:F49" si="20">IF(D$12=0,0,D39/D$12)</f>
        <v>0.28306148072984477</v>
      </c>
      <c r="G39" s="1"/>
      <c r="H39" s="1">
        <f>SUM(OSRRefH22_1x_0)</f>
        <v>13649.0425</v>
      </c>
      <c r="I39" s="1"/>
      <c r="J39" s="5">
        <f t="shared" ref="J39:J49" si="21">IF(H$12=0,0,H39/H$12)</f>
        <v>0.33933427392287996</v>
      </c>
      <c r="K39" s="1"/>
      <c r="L39" s="1">
        <f t="shared" ref="L39:L49" si="22">+D39-H39</f>
        <v>-1662.2124999999996</v>
      </c>
      <c r="M39" s="1"/>
      <c r="N39" s="5">
        <f t="shared" ref="N39:N49" si="23">IF(H39=0,0,L39/H39)</f>
        <v>-0.12178235213202682</v>
      </c>
      <c r="O39" s="13"/>
      <c r="P39" s="1">
        <f>SUM(OSRRefP22_1x_0)</f>
        <v>79672.649999999994</v>
      </c>
      <c r="Q39" s="1"/>
      <c r="R39" s="5">
        <f t="shared" ref="R39:R49" si="24">IF(P$12=0,0,P39/P$12)</f>
        <v>0.20970880793496782</v>
      </c>
      <c r="S39" s="1"/>
      <c r="T39" s="1">
        <f>SUM(OSRRefT22_1x_0)</f>
        <v>91465.383499999996</v>
      </c>
      <c r="U39" s="1"/>
      <c r="V39" s="5">
        <f t="shared" ref="V39:V49" si="25">IF(T$12=0,0,T39/T$12)</f>
        <v>0.24296175822132496</v>
      </c>
      <c r="W39" s="1"/>
      <c r="X39" s="1">
        <f t="shared" ref="X39:X49" si="26">+P39-T39</f>
        <v>-11792.733500000002</v>
      </c>
      <c r="Y39" s="1"/>
      <c r="Z39" s="5">
        <f t="shared" ref="Z39:Z49" si="27">IF(T39=0,0,X39/T39)</f>
        <v>-0.12893111086119266</v>
      </c>
    </row>
    <row r="40" spans="1:26" s="24" customFormat="1" hidden="1" outlineLevel="2" x14ac:dyDescent="0.25">
      <c r="A40" s="25"/>
      <c r="B40" s="11" t="str">
        <f>CONCATENATE("          ", "6001", " - ", "ADMINISTRATIVE SALARIES")</f>
        <v xml:space="preserve">          6001 - ADMINISTRATIVE SALARIES</v>
      </c>
      <c r="C40" s="11"/>
      <c r="D40" s="7"/>
      <c r="E40" s="2"/>
      <c r="F40" s="6">
        <f t="shared" si="20"/>
        <v>0</v>
      </c>
      <c r="G40" s="2"/>
      <c r="H40" s="7">
        <v>6609.7675000000008</v>
      </c>
      <c r="I40" s="2"/>
      <c r="J40" s="6">
        <f t="shared" si="21"/>
        <v>0.16432805857345303</v>
      </c>
      <c r="K40" s="2"/>
      <c r="L40" s="7">
        <f t="shared" si="22"/>
        <v>-6609.7675000000008</v>
      </c>
      <c r="M40" s="2"/>
      <c r="N40" s="6">
        <f t="shared" si="23"/>
        <v>-1</v>
      </c>
      <c r="O40" s="11"/>
      <c r="P40" s="7"/>
      <c r="Q40" s="2"/>
      <c r="R40" s="6">
        <f t="shared" si="24"/>
        <v>0</v>
      </c>
      <c r="S40" s="2"/>
      <c r="T40" s="7">
        <v>40980.558499999999</v>
      </c>
      <c r="U40" s="2"/>
      <c r="V40" s="6">
        <f t="shared" si="25"/>
        <v>0.10885767013759762</v>
      </c>
      <c r="W40" s="2"/>
      <c r="X40" s="7">
        <f t="shared" si="26"/>
        <v>-40980.558499999999</v>
      </c>
      <c r="Y40" s="2"/>
      <c r="Z40" s="6">
        <f t="shared" si="27"/>
        <v>-1</v>
      </c>
    </row>
    <row r="41" spans="1:26" s="24" customFormat="1" hidden="1" outlineLevel="2" x14ac:dyDescent="0.25">
      <c r="A41" s="25"/>
      <c r="B41" s="11" t="str">
        <f>CONCATENATE("          ", "6002", " - ", "STAFF SALARIES")</f>
        <v xml:space="preserve">          6002 - STAFF SALARIES</v>
      </c>
      <c r="C41" s="11"/>
      <c r="D41" s="7">
        <v>6123.66</v>
      </c>
      <c r="E41" s="2"/>
      <c r="F41" s="6">
        <f t="shared" si="20"/>
        <v>0.14460639444174325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6123.66</v>
      </c>
      <c r="M41" s="2"/>
      <c r="N41" s="6">
        <f t="shared" si="23"/>
        <v>0</v>
      </c>
      <c r="O41" s="11"/>
      <c r="P41" s="7">
        <v>40497.79</v>
      </c>
      <c r="Q41" s="2"/>
      <c r="R41" s="6">
        <f t="shared" si="24"/>
        <v>0.10659546613424634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40497.79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"6003", " - ", "STAFF HOURLY-9 MONTH")</f>
        <v xml:space="preserve">          6003 - STAFF HOURLY-9 MONTH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"6004", " - ", "STAFF HOURLY")</f>
        <v xml:space="preserve">          6004 - STAFF HOURLY</v>
      </c>
      <c r="C43" s="11"/>
      <c r="D43" s="7"/>
      <c r="E43" s="2"/>
      <c r="F43" s="6">
        <f t="shared" si="20"/>
        <v>0</v>
      </c>
      <c r="G43" s="2"/>
      <c r="H43" s="7">
        <v>2054.85</v>
      </c>
      <c r="I43" s="2"/>
      <c r="J43" s="6">
        <f t="shared" si="21"/>
        <v>5.1086443079829943E-2</v>
      </c>
      <c r="K43" s="2"/>
      <c r="L43" s="7">
        <f t="shared" si="22"/>
        <v>-2054.85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12699.9</v>
      </c>
      <c r="U43" s="2"/>
      <c r="V43" s="6">
        <f t="shared" si="25"/>
        <v>3.3735058173511127E-2</v>
      </c>
      <c r="W43" s="2"/>
      <c r="X43" s="7">
        <f t="shared" si="26"/>
        <v>-12699.9</v>
      </c>
      <c r="Y43" s="2"/>
      <c r="Z43" s="6">
        <f t="shared" si="27"/>
        <v>-1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7">
        <v>247.52</v>
      </c>
      <c r="E44" s="2"/>
      <c r="F44" s="6">
        <f t="shared" si="20"/>
        <v>5.8450297293155228E-3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247.52</v>
      </c>
      <c r="M44" s="2"/>
      <c r="N44" s="6">
        <f t="shared" si="23"/>
        <v>0</v>
      </c>
      <c r="O44" s="11"/>
      <c r="P44" s="7">
        <v>1103.72</v>
      </c>
      <c r="Q44" s="2"/>
      <c r="R44" s="6">
        <f t="shared" si="24"/>
        <v>2.9051350180266718E-3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1103.72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>
        <v>3046.5</v>
      </c>
      <c r="Q45" s="2"/>
      <c r="R45" s="6">
        <f t="shared" si="24"/>
        <v>8.0187854097218993E-3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3046.5</v>
      </c>
      <c r="Y45" s="2"/>
      <c r="Z45" s="6">
        <f t="shared" si="27"/>
        <v>0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7">
        <v>5615.65</v>
      </c>
      <c r="E46" s="2"/>
      <c r="F46" s="6">
        <f t="shared" si="20"/>
        <v>0.13261005655878599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5615.65</v>
      </c>
      <c r="M46" s="2"/>
      <c r="N46" s="6">
        <f t="shared" si="23"/>
        <v>0</v>
      </c>
      <c r="O46" s="11"/>
      <c r="P46" s="7">
        <v>31469.16</v>
      </c>
      <c r="Q46" s="2"/>
      <c r="R46" s="6">
        <f t="shared" si="24"/>
        <v>8.2830934207846388E-2</v>
      </c>
      <c r="S46" s="2"/>
      <c r="T46" s="7">
        <v>2868.75</v>
      </c>
      <c r="U46" s="2"/>
      <c r="V46" s="6">
        <f t="shared" si="25"/>
        <v>7.6203315093236997E-3</v>
      </c>
      <c r="W46" s="2"/>
      <c r="X46" s="7">
        <f t="shared" si="26"/>
        <v>28600.41</v>
      </c>
      <c r="Y46" s="2"/>
      <c r="Z46" s="6">
        <f t="shared" si="27"/>
        <v>9.9696418300653598</v>
      </c>
    </row>
    <row r="47" spans="1:26" s="24" customFormat="1" hidden="1" outlineLevel="2" x14ac:dyDescent="0.25">
      <c r="A47" s="25"/>
      <c r="B47" s="11" t="str">
        <f>CONCATENATE("          ", "6008", " - ", "STUDENT HOURLY-FICA EXEMPT")</f>
        <v xml:space="preserve">          6008 - STUDENT HOURLY-FICA EXEMPT</v>
      </c>
      <c r="C47" s="11"/>
      <c r="D47" s="7"/>
      <c r="E47" s="2"/>
      <c r="F47" s="6">
        <f t="shared" si="20"/>
        <v>0</v>
      </c>
      <c r="G47" s="2"/>
      <c r="H47" s="7">
        <v>4984.4250000000002</v>
      </c>
      <c r="I47" s="2"/>
      <c r="J47" s="6">
        <f t="shared" si="21"/>
        <v>0.12391977226959699</v>
      </c>
      <c r="K47" s="2"/>
      <c r="L47" s="7">
        <f t="shared" si="22"/>
        <v>-4984.4250000000002</v>
      </c>
      <c r="M47" s="2"/>
      <c r="N47" s="6">
        <f t="shared" si="23"/>
        <v>-1</v>
      </c>
      <c r="O47" s="11"/>
      <c r="P47" s="7">
        <v>3555.48</v>
      </c>
      <c r="Q47" s="2"/>
      <c r="R47" s="6">
        <f t="shared" si="24"/>
        <v>9.3584871651265465E-3</v>
      </c>
      <c r="S47" s="2"/>
      <c r="T47" s="7">
        <v>34916.174999999996</v>
      </c>
      <c r="U47" s="2"/>
      <c r="V47" s="6">
        <f t="shared" si="25"/>
        <v>9.2748698400892518E-2</v>
      </c>
      <c r="W47" s="2"/>
      <c r="X47" s="7">
        <f t="shared" si="26"/>
        <v>-31360.694999999996</v>
      </c>
      <c r="Y47" s="2"/>
      <c r="Z47" s="6">
        <f t="shared" si="27"/>
        <v>-0.89817097663189049</v>
      </c>
    </row>
    <row r="48" spans="1:26" s="24" customFormat="1" hidden="1" outlineLevel="2" x14ac:dyDescent="0.25">
      <c r="A48" s="25"/>
      <c r="B48" s="11" t="str">
        <f>CONCATENATE("          ", "6009", " - ", "TEMPORARY-SEASONAL")</f>
        <v xml:space="preserve">          6009 - TEMPORARY-SEASONAL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25">
      <c r="A49" s="25"/>
      <c r="B49" s="11" t="str">
        <f>CONCATENATE("          ", "6010", " - ", "GRATUITY")</f>
        <v xml:space="preserve">          6010 - GRATUITY</v>
      </c>
      <c r="C49" s="11"/>
      <c r="D49" s="7"/>
      <c r="E49" s="2"/>
      <c r="F49" s="6">
        <f t="shared" si="20"/>
        <v>0</v>
      </c>
      <c r="G49" s="2"/>
      <c r="H49" s="7">
        <v>0</v>
      </c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/>
      <c r="Q49" s="2"/>
      <c r="R49" s="6">
        <f t="shared" si="24"/>
        <v>0</v>
      </c>
      <c r="S49" s="2"/>
      <c r="T49" s="7">
        <v>0</v>
      </c>
      <c r="U49" s="2"/>
      <c r="V49" s="6">
        <f t="shared" si="25"/>
        <v>0</v>
      </c>
      <c r="W49" s="2"/>
      <c r="X49" s="7">
        <f t="shared" si="26"/>
        <v>0</v>
      </c>
      <c r="Y49" s="2"/>
      <c r="Z49" s="6">
        <f t="shared" si="27"/>
        <v>0</v>
      </c>
    </row>
    <row r="50" spans="1:26" s="27" customFormat="1" outlineLevel="1" collapsed="1" x14ac:dyDescent="0.25">
      <c r="A50" s="26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501.21</v>
      </c>
      <c r="E50" s="1"/>
      <c r="F50" s="5">
        <f t="shared" ref="F50:F69" si="28">IF(D$12=0,0,D50/D$12)</f>
        <v>1.1835760143140889E-2</v>
      </c>
      <c r="G50" s="1"/>
      <c r="H50" s="1">
        <f>SUM(OSRRefH22_2x_0)</f>
        <v>0</v>
      </c>
      <c r="I50" s="1"/>
      <c r="J50" s="5">
        <f t="shared" ref="J50:J69" si="29">IF(H$12=0,0,H50/H$12)</f>
        <v>0</v>
      </c>
      <c r="K50" s="1"/>
      <c r="L50" s="1">
        <f t="shared" ref="L50:L69" si="30">+D50-H50</f>
        <v>501.21</v>
      </c>
      <c r="M50" s="1"/>
      <c r="N50" s="5">
        <f t="shared" ref="N50:N69" si="31">IF(H50=0,0,L50/H50)</f>
        <v>0</v>
      </c>
      <c r="O50" s="13"/>
      <c r="P50" s="1">
        <f>SUM(OSRRefP22_2x_0)</f>
        <v>1211.4100000000001</v>
      </c>
      <c r="Q50" s="1"/>
      <c r="R50" s="5">
        <f t="shared" ref="R50:R69" si="32">IF(P$12=0,0,P50/P$12)</f>
        <v>3.1885891459679E-3</v>
      </c>
      <c r="S50" s="1"/>
      <c r="T50" s="1">
        <f>SUM(OSRRefT22_2x_0)</f>
        <v>0</v>
      </c>
      <c r="U50" s="1"/>
      <c r="V50" s="5">
        <f t="shared" ref="V50:V69" si="33">IF(T$12=0,0,T50/T$12)</f>
        <v>0</v>
      </c>
      <c r="W50" s="1"/>
      <c r="X50" s="1">
        <f t="shared" ref="X50:X69" si="34">+P50-T50</f>
        <v>1211.4100000000001</v>
      </c>
      <c r="Y50" s="1"/>
      <c r="Z50" s="5">
        <f t="shared" ref="Z50:Z69" si="35">IF(T50=0,0,X50/T50)</f>
        <v>0</v>
      </c>
    </row>
    <row r="51" spans="1:26" s="24" customFormat="1" hidden="1" outlineLevel="2" x14ac:dyDescent="0.25">
      <c r="A51" s="25"/>
      <c r="B51" s="11" t="str">
        <f>CONCATENATE("          ", "6362", " - ", "ADVERTISING EXPENSE")</f>
        <v xml:space="preserve">          6362 - ADVERTISING EXPENSE</v>
      </c>
      <c r="C51" s="11"/>
      <c r="D51" s="7">
        <v>501.21</v>
      </c>
      <c r="E51" s="2"/>
      <c r="F51" s="6">
        <f t="shared" si="28"/>
        <v>1.1835760143140889E-2</v>
      </c>
      <c r="G51" s="2"/>
      <c r="H51" s="7">
        <v>0</v>
      </c>
      <c r="I51" s="2"/>
      <c r="J51" s="6">
        <f t="shared" si="29"/>
        <v>0</v>
      </c>
      <c r="K51" s="2"/>
      <c r="L51" s="7">
        <f t="shared" si="30"/>
        <v>501.21</v>
      </c>
      <c r="M51" s="2"/>
      <c r="N51" s="6">
        <f t="shared" si="31"/>
        <v>0</v>
      </c>
      <c r="O51" s="11"/>
      <c r="P51" s="7">
        <v>1211.4100000000001</v>
      </c>
      <c r="Q51" s="2"/>
      <c r="R51" s="6">
        <f t="shared" si="32"/>
        <v>3.1885891459679E-3</v>
      </c>
      <c r="S51" s="2"/>
      <c r="T51" s="7">
        <v>0</v>
      </c>
      <c r="U51" s="2"/>
      <c r="V51" s="6">
        <f t="shared" si="33"/>
        <v>0</v>
      </c>
      <c r="W51" s="2"/>
      <c r="X51" s="7">
        <f t="shared" si="34"/>
        <v>1211.4100000000001</v>
      </c>
      <c r="Y51" s="2"/>
      <c r="Z51" s="6">
        <f t="shared" si="35"/>
        <v>0</v>
      </c>
    </row>
    <row r="52" spans="1:26" s="27" customFormat="1" outlineLevel="1" collapsed="1" x14ac:dyDescent="0.25">
      <c r="A52" s="26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-17.989999999999998</v>
      </c>
      <c r="E52" s="1"/>
      <c r="F52" s="5">
        <f t="shared" si="28"/>
        <v>-4.2482257930828314E-4</v>
      </c>
      <c r="G52" s="1"/>
      <c r="H52" s="1">
        <f>SUM(OSRRefH22_3x_0)</f>
        <v>0</v>
      </c>
      <c r="I52" s="1"/>
      <c r="J52" s="5">
        <f t="shared" si="29"/>
        <v>0</v>
      </c>
      <c r="K52" s="1"/>
      <c r="L52" s="1">
        <f t="shared" si="30"/>
        <v>-17.989999999999998</v>
      </c>
      <c r="M52" s="1"/>
      <c r="N52" s="5">
        <f t="shared" si="31"/>
        <v>0</v>
      </c>
      <c r="O52" s="13"/>
      <c r="P52" s="1">
        <f>SUM(OSRRefP22_3x_0)</f>
        <v>-157.82</v>
      </c>
      <c r="Q52" s="1"/>
      <c r="R52" s="5">
        <f t="shared" si="32"/>
        <v>-4.1540282729765637E-4</v>
      </c>
      <c r="S52" s="1"/>
      <c r="T52" s="1">
        <f>SUM(OSRRefT22_3x_0)</f>
        <v>0</v>
      </c>
      <c r="U52" s="1"/>
      <c r="V52" s="5">
        <f t="shared" si="33"/>
        <v>0</v>
      </c>
      <c r="W52" s="1"/>
      <c r="X52" s="1">
        <f t="shared" si="34"/>
        <v>-157.82</v>
      </c>
      <c r="Y52" s="1"/>
      <c r="Z52" s="5">
        <f t="shared" si="35"/>
        <v>0</v>
      </c>
    </row>
    <row r="53" spans="1:26" s="24" customFormat="1" hidden="1" outlineLevel="2" x14ac:dyDescent="0.25">
      <c r="A53" s="25"/>
      <c r="B53" s="11" t="str">
        <f>CONCATENATE("          ", "6272", " - ", "CASH (OVER/SHORT)")</f>
        <v xml:space="preserve">          6272 - CASH (OVER/SHORT)</v>
      </c>
      <c r="C53" s="11"/>
      <c r="D53" s="7">
        <v>-17.989999999999998</v>
      </c>
      <c r="E53" s="2"/>
      <c r="F53" s="6">
        <f t="shared" si="28"/>
        <v>-4.2482257930828314E-4</v>
      </c>
      <c r="G53" s="2"/>
      <c r="H53" s="7">
        <v>0</v>
      </c>
      <c r="I53" s="2"/>
      <c r="J53" s="6">
        <f t="shared" si="29"/>
        <v>0</v>
      </c>
      <c r="K53" s="2"/>
      <c r="L53" s="7">
        <f t="shared" si="30"/>
        <v>-17.989999999999998</v>
      </c>
      <c r="M53" s="2"/>
      <c r="N53" s="6">
        <f t="shared" si="31"/>
        <v>0</v>
      </c>
      <c r="O53" s="11"/>
      <c r="P53" s="7">
        <v>-157.82</v>
      </c>
      <c r="Q53" s="2"/>
      <c r="R53" s="6">
        <f t="shared" si="32"/>
        <v>-4.1540282729765637E-4</v>
      </c>
      <c r="S53" s="2"/>
      <c r="T53" s="7">
        <v>0</v>
      </c>
      <c r="U53" s="2"/>
      <c r="V53" s="6">
        <f t="shared" si="33"/>
        <v>0</v>
      </c>
      <c r="W53" s="2"/>
      <c r="X53" s="7">
        <f t="shared" si="34"/>
        <v>-157.82</v>
      </c>
      <c r="Y53" s="2"/>
      <c r="Z53" s="6">
        <f t="shared" si="35"/>
        <v>0</v>
      </c>
    </row>
    <row r="54" spans="1:26" s="27" customFormat="1" outlineLevel="1" collapsed="1" x14ac:dyDescent="0.25">
      <c r="A54" s="26"/>
      <c r="B54" s="13" t="str">
        <f>CONCATENATE("     ","Bank/card Fees                                    ")</f>
        <v xml:space="preserve">     Bank/card Fees                                    </v>
      </c>
      <c r="C54" s="13"/>
      <c r="D54" s="1">
        <f>SUM(OSRRefD22_4x_0)</f>
        <v>1690.45</v>
      </c>
      <c r="E54" s="1"/>
      <c r="F54" s="5">
        <f t="shared" si="28"/>
        <v>3.9918917687142147E-2</v>
      </c>
      <c r="G54" s="1"/>
      <c r="H54" s="1">
        <f>SUM(OSRRefH22_4x_0)</f>
        <v>1275</v>
      </c>
      <c r="I54" s="1"/>
      <c r="J54" s="5">
        <f t="shared" si="29"/>
        <v>3.1698282077418392E-2</v>
      </c>
      <c r="K54" s="1"/>
      <c r="L54" s="1">
        <f t="shared" si="30"/>
        <v>415.45000000000005</v>
      </c>
      <c r="M54" s="1"/>
      <c r="N54" s="5">
        <f t="shared" si="31"/>
        <v>0.32584313725490199</v>
      </c>
      <c r="O54" s="13"/>
      <c r="P54" s="1">
        <f>SUM(OSRRefP22_4x_0)</f>
        <v>12987.02</v>
      </c>
      <c r="Q54" s="1"/>
      <c r="R54" s="5">
        <f t="shared" si="32"/>
        <v>3.4183530770315614E-2</v>
      </c>
      <c r="S54" s="1"/>
      <c r="T54" s="1">
        <f>SUM(OSRRefT22_4x_0)</f>
        <v>11931</v>
      </c>
      <c r="U54" s="1"/>
      <c r="V54" s="5">
        <f t="shared" si="33"/>
        <v>3.1692610104659194E-2</v>
      </c>
      <c r="W54" s="1"/>
      <c r="X54" s="1">
        <f t="shared" si="34"/>
        <v>1056.0200000000004</v>
      </c>
      <c r="Y54" s="1"/>
      <c r="Z54" s="5">
        <f t="shared" si="35"/>
        <v>8.8510602631799551E-2</v>
      </c>
    </row>
    <row r="55" spans="1:26" s="24" customFormat="1" hidden="1" outlineLevel="2" x14ac:dyDescent="0.25">
      <c r="A55" s="25"/>
      <c r="B55" s="11" t="str">
        <f>CONCATENATE("          ", "6381", " - ", "BANK/CREDIT CARD FEES")</f>
        <v xml:space="preserve">          6381 - BANK/CREDIT CARD FEES</v>
      </c>
      <c r="C55" s="11"/>
      <c r="D55" s="7">
        <v>1690.45</v>
      </c>
      <c r="E55" s="2"/>
      <c r="F55" s="6">
        <f t="shared" si="28"/>
        <v>3.9918917687142147E-2</v>
      </c>
      <c r="G55" s="2"/>
      <c r="H55" s="7">
        <v>1275</v>
      </c>
      <c r="I55" s="2"/>
      <c r="J55" s="6">
        <f t="shared" si="29"/>
        <v>3.1698282077418392E-2</v>
      </c>
      <c r="K55" s="2"/>
      <c r="L55" s="7">
        <f t="shared" si="30"/>
        <v>415.45000000000005</v>
      </c>
      <c r="M55" s="2"/>
      <c r="N55" s="6">
        <f t="shared" si="31"/>
        <v>0.32584313725490199</v>
      </c>
      <c r="O55" s="11"/>
      <c r="P55" s="7">
        <v>12987.02</v>
      </c>
      <c r="Q55" s="2"/>
      <c r="R55" s="6">
        <f t="shared" si="32"/>
        <v>3.4183530770315614E-2</v>
      </c>
      <c r="S55" s="2"/>
      <c r="T55" s="7">
        <v>11931</v>
      </c>
      <c r="U55" s="2"/>
      <c r="V55" s="6">
        <f t="shared" si="33"/>
        <v>3.1692610104659194E-2</v>
      </c>
      <c r="W55" s="2"/>
      <c r="X55" s="7">
        <f t="shared" si="34"/>
        <v>1056.0200000000004</v>
      </c>
      <c r="Y55" s="2"/>
      <c r="Z55" s="6">
        <f t="shared" si="35"/>
        <v>8.8510602631799551E-2</v>
      </c>
    </row>
    <row r="56" spans="1:26" s="27" customFormat="1" outlineLevel="1" collapsed="1" x14ac:dyDescent="0.25">
      <c r="A56" s="26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SUM(OSRRefD22_5x_0)</f>
        <v>0</v>
      </c>
      <c r="E56" s="1"/>
      <c r="F56" s="5">
        <f t="shared" si="28"/>
        <v>0</v>
      </c>
      <c r="G56" s="1"/>
      <c r="H56" s="1">
        <f>SUM(OSRRefH22_5x_0)</f>
        <v>65</v>
      </c>
      <c r="I56" s="1"/>
      <c r="J56" s="5">
        <f t="shared" si="29"/>
        <v>1.6159908510056434E-3</v>
      </c>
      <c r="K56" s="1"/>
      <c r="L56" s="1">
        <f t="shared" si="30"/>
        <v>-65</v>
      </c>
      <c r="M56" s="1"/>
      <c r="N56" s="5">
        <f t="shared" si="31"/>
        <v>-1</v>
      </c>
      <c r="O56" s="13"/>
      <c r="P56" s="1">
        <f>SUM(OSRRefP22_5x_0)</f>
        <v>0</v>
      </c>
      <c r="Q56" s="1"/>
      <c r="R56" s="5">
        <f t="shared" si="32"/>
        <v>0</v>
      </c>
      <c r="S56" s="1"/>
      <c r="T56" s="1">
        <f>SUM(OSRRefT22_5x_0)</f>
        <v>260</v>
      </c>
      <c r="U56" s="1"/>
      <c r="V56" s="5">
        <f t="shared" si="33"/>
        <v>6.9064442437443557E-4</v>
      </c>
      <c r="W56" s="1"/>
      <c r="X56" s="1">
        <f t="shared" si="34"/>
        <v>-260</v>
      </c>
      <c r="Y56" s="1"/>
      <c r="Z56" s="5">
        <f t="shared" si="35"/>
        <v>-1</v>
      </c>
    </row>
    <row r="57" spans="1:26" s="24" customFormat="1" hidden="1" outlineLevel="2" x14ac:dyDescent="0.25">
      <c r="A57" s="25"/>
      <c r="B57" s="11" t="str">
        <f>CONCATENATE("          ", "6324", " - ", "FURNITURE + FIXT DEPRECIATION")</f>
        <v xml:space="preserve">          6324 - FURNITURE + FIXT DEPRECIATION</v>
      </c>
      <c r="C57" s="11"/>
      <c r="D57" s="7"/>
      <c r="E57" s="2"/>
      <c r="F57" s="6">
        <f t="shared" si="28"/>
        <v>0</v>
      </c>
      <c r="G57" s="2"/>
      <c r="H57" s="7">
        <v>65</v>
      </c>
      <c r="I57" s="2"/>
      <c r="J57" s="6">
        <f t="shared" si="29"/>
        <v>1.6159908510056434E-3</v>
      </c>
      <c r="K57" s="2"/>
      <c r="L57" s="7">
        <f t="shared" si="30"/>
        <v>-65</v>
      </c>
      <c r="M57" s="2"/>
      <c r="N57" s="6">
        <f t="shared" si="31"/>
        <v>-1</v>
      </c>
      <c r="O57" s="11"/>
      <c r="P57" s="7"/>
      <c r="Q57" s="2"/>
      <c r="R57" s="6">
        <f t="shared" si="32"/>
        <v>0</v>
      </c>
      <c r="S57" s="2"/>
      <c r="T57" s="7">
        <v>260</v>
      </c>
      <c r="U57" s="2"/>
      <c r="V57" s="6">
        <f t="shared" si="33"/>
        <v>6.9064442437443557E-4</v>
      </c>
      <c r="W57" s="2"/>
      <c r="X57" s="7">
        <f t="shared" si="34"/>
        <v>-260</v>
      </c>
      <c r="Y57" s="2"/>
      <c r="Z57" s="6">
        <f t="shared" si="35"/>
        <v>-1</v>
      </c>
    </row>
    <row r="58" spans="1:26" s="27" customFormat="1" outlineLevel="1" collapsed="1" x14ac:dyDescent="0.25">
      <c r="A58" s="26"/>
      <c r="B58" s="13" t="str">
        <f>CONCATENATE("     ","Discounts and Markdowns                           ")</f>
        <v xml:space="preserve">     Discounts and Markdowns                           </v>
      </c>
      <c r="C58" s="13"/>
      <c r="D58" s="1">
        <f>SUM(OSRRefD22_6x_0)</f>
        <v>31.78</v>
      </c>
      <c r="E58" s="1"/>
      <c r="F58" s="5">
        <f t="shared" si="28"/>
        <v>7.5046478990646137E-4</v>
      </c>
      <c r="G58" s="1"/>
      <c r="H58" s="1">
        <f>SUM(OSRRefH22_6x_0)</f>
        <v>0</v>
      </c>
      <c r="I58" s="1"/>
      <c r="J58" s="5">
        <f t="shared" si="29"/>
        <v>0</v>
      </c>
      <c r="K58" s="1"/>
      <c r="L58" s="1">
        <f t="shared" si="30"/>
        <v>31.78</v>
      </c>
      <c r="M58" s="1"/>
      <c r="N58" s="5">
        <f t="shared" si="31"/>
        <v>0</v>
      </c>
      <c r="O58" s="13"/>
      <c r="P58" s="1">
        <f>SUM(OSRRefP22_6x_0)</f>
        <v>108.15</v>
      </c>
      <c r="Q58" s="1"/>
      <c r="R58" s="5">
        <f t="shared" si="32"/>
        <v>2.8466490794729147E-4</v>
      </c>
      <c r="S58" s="1"/>
      <c r="T58" s="1">
        <f>SUM(OSRRefT22_6x_0)</f>
        <v>0</v>
      </c>
      <c r="U58" s="1"/>
      <c r="V58" s="5">
        <f t="shared" si="33"/>
        <v>0</v>
      </c>
      <c r="W58" s="1"/>
      <c r="X58" s="1">
        <f t="shared" si="34"/>
        <v>108.15</v>
      </c>
      <c r="Y58" s="1"/>
      <c r="Z58" s="5">
        <f t="shared" si="35"/>
        <v>0</v>
      </c>
    </row>
    <row r="59" spans="1:26" s="24" customFormat="1" hidden="1" outlineLevel="2" x14ac:dyDescent="0.25">
      <c r="A59" s="25"/>
      <c r="B59" s="11" t="str">
        <f>CONCATENATE("          ", "6382", " - ", "DISCOUNTS/MARK DOWNS")</f>
        <v xml:space="preserve">          6382 - DISCOUNTS/MARK DOWNS</v>
      </c>
      <c r="C59" s="11"/>
      <c r="D59" s="7">
        <v>31.78</v>
      </c>
      <c r="E59" s="2"/>
      <c r="F59" s="6">
        <f t="shared" si="28"/>
        <v>7.5046478990646137E-4</v>
      </c>
      <c r="G59" s="2"/>
      <c r="H59" s="7"/>
      <c r="I59" s="2"/>
      <c r="J59" s="6">
        <f t="shared" si="29"/>
        <v>0</v>
      </c>
      <c r="K59" s="2"/>
      <c r="L59" s="7">
        <f t="shared" si="30"/>
        <v>31.78</v>
      </c>
      <c r="M59" s="2"/>
      <c r="N59" s="6">
        <f t="shared" si="31"/>
        <v>0</v>
      </c>
      <c r="O59" s="11"/>
      <c r="P59" s="7">
        <v>108.15</v>
      </c>
      <c r="Q59" s="2"/>
      <c r="R59" s="6">
        <f t="shared" si="32"/>
        <v>2.8466490794729147E-4</v>
      </c>
      <c r="S59" s="2"/>
      <c r="T59" s="7"/>
      <c r="U59" s="2"/>
      <c r="V59" s="6">
        <f t="shared" si="33"/>
        <v>0</v>
      </c>
      <c r="W59" s="2"/>
      <c r="X59" s="7">
        <f t="shared" si="34"/>
        <v>108.15</v>
      </c>
      <c r="Y59" s="2"/>
      <c r="Z59" s="6">
        <f t="shared" si="35"/>
        <v>0</v>
      </c>
    </row>
    <row r="60" spans="1:26" s="27" customFormat="1" outlineLevel="1" collapsed="1" x14ac:dyDescent="0.25">
      <c r="A60" s="26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SUM(OSRRefD22_7x_0)</f>
        <v>0</v>
      </c>
      <c r="E60" s="1"/>
      <c r="F60" s="5">
        <f t="shared" si="28"/>
        <v>0</v>
      </c>
      <c r="G60" s="1"/>
      <c r="H60" s="1">
        <f>SUM(OSRRefH22_7x_0)</f>
        <v>0</v>
      </c>
      <c r="I60" s="1"/>
      <c r="J60" s="5">
        <f t="shared" si="29"/>
        <v>0</v>
      </c>
      <c r="K60" s="1"/>
      <c r="L60" s="1">
        <f t="shared" si="30"/>
        <v>0</v>
      </c>
      <c r="M60" s="1"/>
      <c r="N60" s="5">
        <f t="shared" si="31"/>
        <v>0</v>
      </c>
      <c r="O60" s="13"/>
      <c r="P60" s="1">
        <f>SUM(OSRRefP22_7x_0)</f>
        <v>0</v>
      </c>
      <c r="Q60" s="1"/>
      <c r="R60" s="5">
        <f t="shared" si="32"/>
        <v>0</v>
      </c>
      <c r="S60" s="1"/>
      <c r="T60" s="1">
        <f>SUM(OSRRefT22_7x_0)</f>
        <v>0</v>
      </c>
      <c r="U60" s="1"/>
      <c r="V60" s="5">
        <f t="shared" si="33"/>
        <v>0</v>
      </c>
      <c r="W60" s="1"/>
      <c r="X60" s="1">
        <f t="shared" si="34"/>
        <v>0</v>
      </c>
      <c r="Y60" s="1"/>
      <c r="Z60" s="5">
        <f t="shared" si="35"/>
        <v>0</v>
      </c>
    </row>
    <row r="61" spans="1:26" s="24" customFormat="1" hidden="1" outlineLevel="2" x14ac:dyDescent="0.25">
      <c r="A61" s="25"/>
      <c r="B61" s="11" t="str">
        <f>CONCATENATE("          ", "6277", " - ", "EMPLOYEE APPRECIATION")</f>
        <v xml:space="preserve">          6277 - EMPLOYEE APPRECIATION</v>
      </c>
      <c r="C61" s="11"/>
      <c r="D61" s="7"/>
      <c r="E61" s="2"/>
      <c r="F61" s="6">
        <f t="shared" si="28"/>
        <v>0</v>
      </c>
      <c r="G61" s="2"/>
      <c r="H61" s="7">
        <v>0</v>
      </c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/>
      <c r="Q61" s="2"/>
      <c r="R61" s="6">
        <f t="shared" si="32"/>
        <v>0</v>
      </c>
      <c r="S61" s="2"/>
      <c r="T61" s="7">
        <v>0</v>
      </c>
      <c r="U61" s="2"/>
      <c r="V61" s="6">
        <f t="shared" si="33"/>
        <v>0</v>
      </c>
      <c r="W61" s="2"/>
      <c r="X61" s="7">
        <f t="shared" si="34"/>
        <v>0</v>
      </c>
      <c r="Y61" s="2"/>
      <c r="Z61" s="6">
        <f t="shared" si="35"/>
        <v>0</v>
      </c>
    </row>
    <row r="62" spans="1:26" s="27" customFormat="1" outlineLevel="1" collapsed="1" x14ac:dyDescent="0.25">
      <c r="A62" s="26"/>
      <c r="B62" s="13" t="str">
        <f>CONCATENATE("     ","Freight out/Postage                               ")</f>
        <v xml:space="preserve">     Freight out/Postage                               </v>
      </c>
      <c r="C62" s="13"/>
      <c r="D62" s="1">
        <f>SUM(OSRRefD22_8x_0)</f>
        <v>7.64</v>
      </c>
      <c r="E62" s="1"/>
      <c r="F62" s="5">
        <f t="shared" si="28"/>
        <v>1.8041381355838151E-4</v>
      </c>
      <c r="G62" s="1"/>
      <c r="H62" s="1">
        <f>SUM(OSRRefH22_8x_0)</f>
        <v>0</v>
      </c>
      <c r="I62" s="1"/>
      <c r="J62" s="5">
        <f t="shared" si="29"/>
        <v>0</v>
      </c>
      <c r="K62" s="1"/>
      <c r="L62" s="1">
        <f t="shared" si="30"/>
        <v>7.64</v>
      </c>
      <c r="M62" s="1"/>
      <c r="N62" s="5">
        <f t="shared" si="31"/>
        <v>0</v>
      </c>
      <c r="O62" s="13"/>
      <c r="P62" s="1">
        <f>SUM(OSRRefP22_8x_0)</f>
        <v>233.63</v>
      </c>
      <c r="Q62" s="1"/>
      <c r="R62" s="5">
        <f t="shared" si="32"/>
        <v>6.1494463655779668E-4</v>
      </c>
      <c r="S62" s="1"/>
      <c r="T62" s="1">
        <f>SUM(OSRRefT22_8x_0)</f>
        <v>0</v>
      </c>
      <c r="U62" s="1"/>
      <c r="V62" s="5">
        <f t="shared" si="33"/>
        <v>0</v>
      </c>
      <c r="W62" s="1"/>
      <c r="X62" s="1">
        <f t="shared" si="34"/>
        <v>233.63</v>
      </c>
      <c r="Y62" s="1"/>
      <c r="Z62" s="5">
        <f t="shared" si="35"/>
        <v>0</v>
      </c>
    </row>
    <row r="63" spans="1:26" s="24" customFormat="1" hidden="1" outlineLevel="2" x14ac:dyDescent="0.25">
      <c r="A63" s="25"/>
      <c r="B63" s="11" t="str">
        <f>CONCATENATE("          ", "6305", " - ", "FREIGHT OUT")</f>
        <v xml:space="preserve">          6305 - FREIGHT OUT</v>
      </c>
      <c r="C63" s="11"/>
      <c r="D63" s="7">
        <v>7.64</v>
      </c>
      <c r="E63" s="2"/>
      <c r="F63" s="6">
        <f t="shared" si="28"/>
        <v>1.8041381355838151E-4</v>
      </c>
      <c r="G63" s="2"/>
      <c r="H63" s="7"/>
      <c r="I63" s="2"/>
      <c r="J63" s="6">
        <f t="shared" si="29"/>
        <v>0</v>
      </c>
      <c r="K63" s="2"/>
      <c r="L63" s="7">
        <f t="shared" si="30"/>
        <v>7.64</v>
      </c>
      <c r="M63" s="2"/>
      <c r="N63" s="6">
        <f t="shared" si="31"/>
        <v>0</v>
      </c>
      <c r="O63" s="11"/>
      <c r="P63" s="7">
        <v>233.63</v>
      </c>
      <c r="Q63" s="2"/>
      <c r="R63" s="6">
        <f t="shared" si="32"/>
        <v>6.1494463655779668E-4</v>
      </c>
      <c r="S63" s="2"/>
      <c r="T63" s="7"/>
      <c r="U63" s="2"/>
      <c r="V63" s="6">
        <f t="shared" si="33"/>
        <v>0</v>
      </c>
      <c r="W63" s="2"/>
      <c r="X63" s="7">
        <f t="shared" si="34"/>
        <v>233.63</v>
      </c>
      <c r="Y63" s="2"/>
      <c r="Z63" s="6">
        <f t="shared" si="35"/>
        <v>0</v>
      </c>
    </row>
    <row r="64" spans="1:26" s="27" customFormat="1" outlineLevel="1" collapsed="1" x14ac:dyDescent="0.25">
      <c r="A64" s="26"/>
      <c r="B64" s="13" t="str">
        <f>CONCATENATE("     ","General                                           ")</f>
        <v xml:space="preserve">     General                                           </v>
      </c>
      <c r="C64" s="13"/>
      <c r="D64" s="1">
        <f>SUM(OSRRefD22_9x_0)</f>
        <v>20.9</v>
      </c>
      <c r="E64" s="1"/>
      <c r="F64" s="5">
        <f t="shared" si="28"/>
        <v>4.9354040620028445E-4</v>
      </c>
      <c r="G64" s="1"/>
      <c r="H64" s="1">
        <f>SUM(OSRRefH22_9x_0)</f>
        <v>119</v>
      </c>
      <c r="I64" s="1"/>
      <c r="J64" s="5">
        <f t="shared" si="29"/>
        <v>2.9585063272257166E-3</v>
      </c>
      <c r="K64" s="1"/>
      <c r="L64" s="1">
        <f t="shared" si="30"/>
        <v>-98.1</v>
      </c>
      <c r="M64" s="1"/>
      <c r="N64" s="5">
        <f t="shared" si="31"/>
        <v>-0.82436974789915962</v>
      </c>
      <c r="O64" s="13"/>
      <c r="P64" s="1">
        <f>SUM(OSRRefP22_9x_0)</f>
        <v>1143.05</v>
      </c>
      <c r="Q64" s="1"/>
      <c r="R64" s="5">
        <f t="shared" si="32"/>
        <v>3.0086567085450904E-3</v>
      </c>
      <c r="S64" s="1"/>
      <c r="T64" s="1">
        <f>SUM(OSRRefT22_9x_0)</f>
        <v>1118</v>
      </c>
      <c r="U64" s="1"/>
      <c r="V64" s="5">
        <f t="shared" si="33"/>
        <v>2.9697710248100728E-3</v>
      </c>
      <c r="W64" s="1"/>
      <c r="X64" s="1">
        <f t="shared" si="34"/>
        <v>25.049999999999955</v>
      </c>
      <c r="Y64" s="1"/>
      <c r="Z64" s="5">
        <f t="shared" si="35"/>
        <v>2.2406082289803179E-2</v>
      </c>
    </row>
    <row r="65" spans="1:26" s="24" customFormat="1" hidden="1" outlineLevel="2" x14ac:dyDescent="0.25">
      <c r="A65" s="25"/>
      <c r="B65" s="11" t="str">
        <f>CONCATENATE("          ", "6279", " - ", "GENERAL EXPENSE")</f>
        <v xml:space="preserve">          6279 - GENERAL EXPENSE</v>
      </c>
      <c r="C65" s="11"/>
      <c r="D65" s="7">
        <v>20.9</v>
      </c>
      <c r="E65" s="2"/>
      <c r="F65" s="6">
        <f t="shared" si="28"/>
        <v>4.9354040620028445E-4</v>
      </c>
      <c r="G65" s="2"/>
      <c r="H65" s="7">
        <v>119</v>
      </c>
      <c r="I65" s="2"/>
      <c r="J65" s="6">
        <f t="shared" si="29"/>
        <v>2.9585063272257166E-3</v>
      </c>
      <c r="K65" s="2"/>
      <c r="L65" s="7">
        <f t="shared" si="30"/>
        <v>-98.1</v>
      </c>
      <c r="M65" s="2"/>
      <c r="N65" s="6">
        <f t="shared" si="31"/>
        <v>-0.82436974789915962</v>
      </c>
      <c r="O65" s="11"/>
      <c r="P65" s="7">
        <v>1143.05</v>
      </c>
      <c r="Q65" s="2"/>
      <c r="R65" s="6">
        <f t="shared" si="32"/>
        <v>3.0086567085450904E-3</v>
      </c>
      <c r="S65" s="2"/>
      <c r="T65" s="7">
        <v>1118</v>
      </c>
      <c r="U65" s="2"/>
      <c r="V65" s="6">
        <f t="shared" si="33"/>
        <v>2.9697710248100728E-3</v>
      </c>
      <c r="W65" s="2"/>
      <c r="X65" s="7">
        <f t="shared" si="34"/>
        <v>25.049999999999955</v>
      </c>
      <c r="Y65" s="2"/>
      <c r="Z65" s="6">
        <f t="shared" si="35"/>
        <v>2.2406082289803179E-2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SUM(OSRRefD22_10x_0)</f>
        <v>0</v>
      </c>
      <c r="E66" s="1"/>
      <c r="F66" s="5">
        <f t="shared" si="28"/>
        <v>0</v>
      </c>
      <c r="G66" s="1"/>
      <c r="H66" s="1">
        <f>SUM(OSRRefH22_10x_0)</f>
        <v>40</v>
      </c>
      <c r="I66" s="1"/>
      <c r="J66" s="5">
        <f t="shared" si="29"/>
        <v>9.9445590831116521E-4</v>
      </c>
      <c r="K66" s="1"/>
      <c r="L66" s="1">
        <f t="shared" si="30"/>
        <v>-40</v>
      </c>
      <c r="M66" s="1"/>
      <c r="N66" s="5">
        <f t="shared" si="31"/>
        <v>-1</v>
      </c>
      <c r="O66" s="13"/>
      <c r="P66" s="1">
        <f>SUM(OSRRefP22_10x_0)</f>
        <v>1064.5</v>
      </c>
      <c r="Q66" s="1"/>
      <c r="R66" s="5">
        <f t="shared" si="32"/>
        <v>2.8019028618575291E-3</v>
      </c>
      <c r="S66" s="1"/>
      <c r="T66" s="1">
        <f>SUM(OSRRefT22_10x_0)</f>
        <v>372</v>
      </c>
      <c r="U66" s="1"/>
      <c r="V66" s="5">
        <f t="shared" si="33"/>
        <v>9.881527917972692E-4</v>
      </c>
      <c r="W66" s="1"/>
      <c r="X66" s="1">
        <f t="shared" si="34"/>
        <v>692.5</v>
      </c>
      <c r="Y66" s="1"/>
      <c r="Z66" s="5">
        <f t="shared" si="35"/>
        <v>1.8615591397849462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8"/>
        <v>0</v>
      </c>
      <c r="G67" s="2"/>
      <c r="H67" s="7"/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>
        <v>437.31</v>
      </c>
      <c r="Q67" s="2"/>
      <c r="R67" s="6">
        <f t="shared" si="32"/>
        <v>1.1510569661990757E-3</v>
      </c>
      <c r="S67" s="2"/>
      <c r="T67" s="7">
        <v>0</v>
      </c>
      <c r="U67" s="2"/>
      <c r="V67" s="6">
        <f t="shared" si="33"/>
        <v>0</v>
      </c>
      <c r="W67" s="2"/>
      <c r="X67" s="7">
        <f t="shared" si="34"/>
        <v>437.31</v>
      </c>
      <c r="Y67" s="2"/>
      <c r="Z67" s="6">
        <f t="shared" si="35"/>
        <v>0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7"/>
      <c r="E68" s="2"/>
      <c r="F68" s="6">
        <f t="shared" si="28"/>
        <v>0</v>
      </c>
      <c r="G68" s="2"/>
      <c r="H68" s="7"/>
      <c r="I68" s="2"/>
      <c r="J68" s="6">
        <f t="shared" si="29"/>
        <v>0</v>
      </c>
      <c r="K68" s="2"/>
      <c r="L68" s="7">
        <f t="shared" si="30"/>
        <v>0</v>
      </c>
      <c r="M68" s="2"/>
      <c r="N68" s="6">
        <f t="shared" si="31"/>
        <v>0</v>
      </c>
      <c r="O68" s="11"/>
      <c r="P68" s="7">
        <v>46.61</v>
      </c>
      <c r="Q68" s="2"/>
      <c r="R68" s="6">
        <f t="shared" si="32"/>
        <v>1.2268360017959553E-4</v>
      </c>
      <c r="S68" s="2"/>
      <c r="T68" s="7"/>
      <c r="U68" s="2"/>
      <c r="V68" s="6">
        <f t="shared" si="33"/>
        <v>0</v>
      </c>
      <c r="W68" s="2"/>
      <c r="X68" s="7">
        <f t="shared" si="34"/>
        <v>46.61</v>
      </c>
      <c r="Y68" s="2"/>
      <c r="Z68" s="6">
        <f t="shared" si="35"/>
        <v>0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7"/>
      <c r="E69" s="2"/>
      <c r="F69" s="6">
        <f t="shared" si="28"/>
        <v>0</v>
      </c>
      <c r="G69" s="2"/>
      <c r="H69" s="7">
        <v>40</v>
      </c>
      <c r="I69" s="2"/>
      <c r="J69" s="6">
        <f t="shared" si="29"/>
        <v>9.9445590831116521E-4</v>
      </c>
      <c r="K69" s="2"/>
      <c r="L69" s="7">
        <f t="shared" si="30"/>
        <v>-40</v>
      </c>
      <c r="M69" s="2"/>
      <c r="N69" s="6">
        <f t="shared" si="31"/>
        <v>-1</v>
      </c>
      <c r="O69" s="11"/>
      <c r="P69" s="7">
        <v>580.58000000000004</v>
      </c>
      <c r="Q69" s="2"/>
      <c r="R69" s="6">
        <f t="shared" si="32"/>
        <v>1.528162295478858E-3</v>
      </c>
      <c r="S69" s="2"/>
      <c r="T69" s="7">
        <v>372</v>
      </c>
      <c r="U69" s="2"/>
      <c r="V69" s="6">
        <f t="shared" si="33"/>
        <v>9.881527917972692E-4</v>
      </c>
      <c r="W69" s="2"/>
      <c r="X69" s="7">
        <f t="shared" si="34"/>
        <v>208.58000000000004</v>
      </c>
      <c r="Y69" s="2"/>
      <c r="Z69" s="6">
        <f t="shared" si="35"/>
        <v>0.56069892473118288</v>
      </c>
    </row>
    <row r="70" spans="1:26" s="27" customFormat="1" outlineLevel="1" collapsed="1" x14ac:dyDescent="0.25">
      <c r="A70" s="26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SUM(OSRRefD22_11x_0)</f>
        <v>137.80000000000001</v>
      </c>
      <c r="E70" s="1"/>
      <c r="F70" s="5">
        <f t="shared" ref="F70:F77" si="36">IF(D$12=0,0,D70/D$12)</f>
        <v>3.2540606686315412E-3</v>
      </c>
      <c r="G70" s="1"/>
      <c r="H70" s="1">
        <f>SUM(OSRRefH22_11x_0)</f>
        <v>0</v>
      </c>
      <c r="I70" s="1"/>
      <c r="J70" s="5">
        <f t="shared" ref="J70:J77" si="37">IF(H$12=0,0,H70/H$12)</f>
        <v>0</v>
      </c>
      <c r="K70" s="1"/>
      <c r="L70" s="1">
        <f t="shared" ref="L70:L77" si="38">+D70-H70</f>
        <v>137.80000000000001</v>
      </c>
      <c r="M70" s="1"/>
      <c r="N70" s="5">
        <f t="shared" ref="N70:N77" si="39">IF(H70=0,0,L70/H70)</f>
        <v>0</v>
      </c>
      <c r="O70" s="13"/>
      <c r="P70" s="1">
        <f>SUM(OSRRefP22_11x_0)</f>
        <v>973.61</v>
      </c>
      <c r="Q70" s="1"/>
      <c r="R70" s="5">
        <f t="shared" ref="R70:R77" si="40">IF(P$12=0,0,P70/P$12)</f>
        <v>2.5626685254420941E-3</v>
      </c>
      <c r="S70" s="1"/>
      <c r="T70" s="1">
        <f>SUM(OSRRefT22_11x_0)</f>
        <v>0</v>
      </c>
      <c r="U70" s="1"/>
      <c r="V70" s="5">
        <f t="shared" ref="V70:V77" si="41">IF(T$12=0,0,T70/T$12)</f>
        <v>0</v>
      </c>
      <c r="W70" s="1"/>
      <c r="X70" s="1">
        <f t="shared" ref="X70:X77" si="42">+P70-T70</f>
        <v>973.61</v>
      </c>
      <c r="Y70" s="1"/>
      <c r="Z70" s="5">
        <f t="shared" ref="Z70:Z77" si="43">IF(T70=0,0,X70/T70)</f>
        <v>0</v>
      </c>
    </row>
    <row r="71" spans="1:26" s="24" customFormat="1" hidden="1" outlineLevel="2" x14ac:dyDescent="0.25">
      <c r="A71" s="25"/>
      <c r="B71" s="11" t="str">
        <f>CONCATENATE("          ", "6286", " - ", "LAUNDRY EXPENSE")</f>
        <v xml:space="preserve">          6286 - LAUNDRY EXPENSE</v>
      </c>
      <c r="C71" s="11"/>
      <c r="D71" s="7">
        <v>137.80000000000001</v>
      </c>
      <c r="E71" s="2"/>
      <c r="F71" s="6">
        <f t="shared" si="36"/>
        <v>3.2540606686315412E-3</v>
      </c>
      <c r="G71" s="2"/>
      <c r="H71" s="7"/>
      <c r="I71" s="2"/>
      <c r="J71" s="6">
        <f t="shared" si="37"/>
        <v>0</v>
      </c>
      <c r="K71" s="2"/>
      <c r="L71" s="7">
        <f t="shared" si="38"/>
        <v>137.80000000000001</v>
      </c>
      <c r="M71" s="2"/>
      <c r="N71" s="6">
        <f t="shared" si="39"/>
        <v>0</v>
      </c>
      <c r="O71" s="11"/>
      <c r="P71" s="7">
        <v>973.61</v>
      </c>
      <c r="Q71" s="2"/>
      <c r="R71" s="6">
        <f t="shared" si="40"/>
        <v>2.5626685254420941E-3</v>
      </c>
      <c r="S71" s="2"/>
      <c r="T71" s="7"/>
      <c r="U71" s="2"/>
      <c r="V71" s="6">
        <f t="shared" si="41"/>
        <v>0</v>
      </c>
      <c r="W71" s="2"/>
      <c r="X71" s="7">
        <f t="shared" si="42"/>
        <v>973.61</v>
      </c>
      <c r="Y71" s="2"/>
      <c r="Z71" s="6">
        <f t="shared" si="43"/>
        <v>0</v>
      </c>
    </row>
    <row r="72" spans="1:26" s="27" customFormat="1" outlineLevel="1" collapsed="1" x14ac:dyDescent="0.25">
      <c r="A72" s="26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SUM(OSRRefD22_12x_0)</f>
        <v>195.73</v>
      </c>
      <c r="E72" s="1"/>
      <c r="F72" s="5">
        <f t="shared" si="36"/>
        <v>4.6220413256259172E-3</v>
      </c>
      <c r="G72" s="1"/>
      <c r="H72" s="1">
        <f>SUM(OSRRefH22_12x_0)</f>
        <v>199</v>
      </c>
      <c r="I72" s="1"/>
      <c r="J72" s="5">
        <f t="shared" si="37"/>
        <v>4.9474181438480475E-3</v>
      </c>
      <c r="K72" s="1"/>
      <c r="L72" s="1">
        <f t="shared" si="38"/>
        <v>-3.2700000000000102</v>
      </c>
      <c r="M72" s="1"/>
      <c r="N72" s="5">
        <f t="shared" si="39"/>
        <v>-1.643216080402015E-2</v>
      </c>
      <c r="O72" s="13"/>
      <c r="P72" s="1">
        <f>SUM(OSRRefP22_12x_0)</f>
        <v>3704.31</v>
      </c>
      <c r="Q72" s="1"/>
      <c r="R72" s="5">
        <f t="shared" si="40"/>
        <v>9.7502271396970076E-3</v>
      </c>
      <c r="S72" s="1"/>
      <c r="T72" s="1">
        <f>SUM(OSRRefT22_12x_0)</f>
        <v>1864</v>
      </c>
      <c r="U72" s="1"/>
      <c r="V72" s="5">
        <f t="shared" si="41"/>
        <v>4.9513892578228764E-3</v>
      </c>
      <c r="W72" s="1"/>
      <c r="X72" s="1">
        <f t="shared" si="42"/>
        <v>1840.31</v>
      </c>
      <c r="Y72" s="1"/>
      <c r="Z72" s="5">
        <f t="shared" si="43"/>
        <v>0.98729077253218878</v>
      </c>
    </row>
    <row r="73" spans="1:26" s="24" customFormat="1" hidden="1" outlineLevel="2" x14ac:dyDescent="0.25">
      <c r="A73" s="25"/>
      <c r="B73" s="11" t="str">
        <f>CONCATENATE("          ", "6234", " - ", "EXPENDABLE SUPPLIES &amp; EQUIPMEN")</f>
        <v xml:space="preserve">          6234 - EXPENDABLE SUPPLIES &amp; EQUIPMEN</v>
      </c>
      <c r="C73" s="11"/>
      <c r="D73" s="7"/>
      <c r="E73" s="2"/>
      <c r="F73" s="6">
        <f t="shared" si="36"/>
        <v>0</v>
      </c>
      <c r="G73" s="2"/>
      <c r="H73" s="7"/>
      <c r="I73" s="2"/>
      <c r="J73" s="6">
        <f t="shared" si="37"/>
        <v>0</v>
      </c>
      <c r="K73" s="2"/>
      <c r="L73" s="7">
        <f t="shared" si="38"/>
        <v>0</v>
      </c>
      <c r="M73" s="2"/>
      <c r="N73" s="6">
        <f t="shared" si="39"/>
        <v>0</v>
      </c>
      <c r="O73" s="11"/>
      <c r="P73" s="7">
        <v>354.82</v>
      </c>
      <c r="Q73" s="2"/>
      <c r="R73" s="6">
        <f t="shared" si="40"/>
        <v>9.339325255465369E-4</v>
      </c>
      <c r="S73" s="2"/>
      <c r="T73" s="7"/>
      <c r="U73" s="2"/>
      <c r="V73" s="6">
        <f t="shared" si="41"/>
        <v>0</v>
      </c>
      <c r="W73" s="2"/>
      <c r="X73" s="7">
        <f t="shared" si="42"/>
        <v>354.82</v>
      </c>
      <c r="Y73" s="2"/>
      <c r="Z73" s="6">
        <f t="shared" si="43"/>
        <v>0</v>
      </c>
    </row>
    <row r="74" spans="1:26" s="24" customFormat="1" hidden="1" outlineLevel="2" x14ac:dyDescent="0.25">
      <c r="A74" s="25"/>
      <c r="B74" s="11" t="str">
        <f>CONCATENATE("          ", "6237", " - ", "JANITORIAL SUPPLIES")</f>
        <v xml:space="preserve">          6237 - JANITORIAL SUPPLIES</v>
      </c>
      <c r="C74" s="11"/>
      <c r="D74" s="7"/>
      <c r="E74" s="2"/>
      <c r="F74" s="6">
        <f t="shared" si="36"/>
        <v>0</v>
      </c>
      <c r="G74" s="2"/>
      <c r="H74" s="7"/>
      <c r="I74" s="2"/>
      <c r="J74" s="6">
        <f t="shared" si="37"/>
        <v>0</v>
      </c>
      <c r="K74" s="2"/>
      <c r="L74" s="7">
        <f t="shared" si="38"/>
        <v>0</v>
      </c>
      <c r="M74" s="2"/>
      <c r="N74" s="6">
        <f t="shared" si="39"/>
        <v>0</v>
      </c>
      <c r="O74" s="11"/>
      <c r="P74" s="7">
        <v>151.25</v>
      </c>
      <c r="Q74" s="2"/>
      <c r="R74" s="6">
        <f t="shared" si="40"/>
        <v>3.9810973025453388E-4</v>
      </c>
      <c r="S74" s="2"/>
      <c r="T74" s="7"/>
      <c r="U74" s="2"/>
      <c r="V74" s="6">
        <f t="shared" si="41"/>
        <v>0</v>
      </c>
      <c r="W74" s="2"/>
      <c r="X74" s="7">
        <f t="shared" si="42"/>
        <v>151.25</v>
      </c>
      <c r="Y74" s="2"/>
      <c r="Z74" s="6">
        <f t="shared" si="43"/>
        <v>0</v>
      </c>
    </row>
    <row r="75" spans="1:26" s="24" customFormat="1" hidden="1" outlineLevel="2" x14ac:dyDescent="0.25">
      <c r="A75" s="25"/>
      <c r="B75" s="11" t="str">
        <f>CONCATENATE("          ", "6241", " - ", "OFFICE EXPENSE")</f>
        <v xml:space="preserve">          6241 - OFFICE EXPENSE</v>
      </c>
      <c r="C75" s="11"/>
      <c r="D75" s="7"/>
      <c r="E75" s="2"/>
      <c r="F75" s="6">
        <f t="shared" si="36"/>
        <v>0</v>
      </c>
      <c r="G75" s="2"/>
      <c r="H75" s="7"/>
      <c r="I75" s="2"/>
      <c r="J75" s="6">
        <f t="shared" si="37"/>
        <v>0</v>
      </c>
      <c r="K75" s="2"/>
      <c r="L75" s="7">
        <f t="shared" si="38"/>
        <v>0</v>
      </c>
      <c r="M75" s="2"/>
      <c r="N75" s="6">
        <f t="shared" si="39"/>
        <v>0</v>
      </c>
      <c r="O75" s="11"/>
      <c r="P75" s="7">
        <v>328.56</v>
      </c>
      <c r="Q75" s="2"/>
      <c r="R75" s="6">
        <f t="shared" si="40"/>
        <v>8.6481277998300588E-4</v>
      </c>
      <c r="S75" s="2"/>
      <c r="T75" s="7"/>
      <c r="U75" s="2"/>
      <c r="V75" s="6">
        <f t="shared" si="41"/>
        <v>0</v>
      </c>
      <c r="W75" s="2"/>
      <c r="X75" s="7">
        <f t="shared" si="42"/>
        <v>328.56</v>
      </c>
      <c r="Y75" s="2"/>
      <c r="Z75" s="6">
        <f t="shared" si="43"/>
        <v>0</v>
      </c>
    </row>
    <row r="76" spans="1:26" s="24" customFormat="1" hidden="1" outlineLevel="2" x14ac:dyDescent="0.25">
      <c r="A76" s="25"/>
      <c r="B76" s="11" t="str">
        <f>CONCATENATE("          ", "6245", " - ", "PRINTING")</f>
        <v xml:space="preserve">          6245 - PRINTING</v>
      </c>
      <c r="C76" s="11"/>
      <c r="D76" s="7"/>
      <c r="E76" s="2"/>
      <c r="F76" s="6">
        <f t="shared" si="36"/>
        <v>0</v>
      </c>
      <c r="G76" s="2"/>
      <c r="H76" s="7"/>
      <c r="I76" s="2"/>
      <c r="J76" s="6">
        <f t="shared" si="37"/>
        <v>0</v>
      </c>
      <c r="K76" s="2"/>
      <c r="L76" s="7">
        <f t="shared" si="38"/>
        <v>0</v>
      </c>
      <c r="M76" s="2"/>
      <c r="N76" s="6">
        <f t="shared" si="39"/>
        <v>0</v>
      </c>
      <c r="O76" s="11"/>
      <c r="P76" s="7">
        <v>81.739999999999995</v>
      </c>
      <c r="Q76" s="2"/>
      <c r="R76" s="6">
        <f t="shared" si="40"/>
        <v>2.151503428165659E-4</v>
      </c>
      <c r="S76" s="2"/>
      <c r="T76" s="7"/>
      <c r="U76" s="2"/>
      <c r="V76" s="6">
        <f t="shared" si="41"/>
        <v>0</v>
      </c>
      <c r="W76" s="2"/>
      <c r="X76" s="7">
        <f t="shared" si="42"/>
        <v>81.739999999999995</v>
      </c>
      <c r="Y76" s="2"/>
      <c r="Z76" s="6">
        <f t="shared" si="43"/>
        <v>0</v>
      </c>
    </row>
    <row r="77" spans="1:26" s="24" customFormat="1" hidden="1" outlineLevel="2" x14ac:dyDescent="0.25">
      <c r="A77" s="25"/>
      <c r="B77" s="11" t="str">
        <f>CONCATENATE("          ", "6247", " - ", "STORE SUPPLIES")</f>
        <v xml:space="preserve">          6247 - STORE SUPPLIES</v>
      </c>
      <c r="C77" s="11"/>
      <c r="D77" s="7">
        <v>195.73</v>
      </c>
      <c r="E77" s="2"/>
      <c r="F77" s="6">
        <f t="shared" si="36"/>
        <v>4.6220413256259172E-3</v>
      </c>
      <c r="G77" s="2"/>
      <c r="H77" s="7">
        <v>199</v>
      </c>
      <c r="I77" s="2"/>
      <c r="J77" s="6">
        <f t="shared" si="37"/>
        <v>4.9474181438480475E-3</v>
      </c>
      <c r="K77" s="2"/>
      <c r="L77" s="7">
        <f t="shared" si="38"/>
        <v>-3.2700000000000102</v>
      </c>
      <c r="M77" s="2"/>
      <c r="N77" s="6">
        <f t="shared" si="39"/>
        <v>-1.643216080402015E-2</v>
      </c>
      <c r="O77" s="11"/>
      <c r="P77" s="7">
        <v>2787.94</v>
      </c>
      <c r="Q77" s="2"/>
      <c r="R77" s="6">
        <f t="shared" si="40"/>
        <v>7.3382217610963646E-3</v>
      </c>
      <c r="S77" s="2"/>
      <c r="T77" s="7">
        <v>1864</v>
      </c>
      <c r="U77" s="2"/>
      <c r="V77" s="6">
        <f t="shared" si="41"/>
        <v>4.9513892578228764E-3</v>
      </c>
      <c r="W77" s="2"/>
      <c r="X77" s="7">
        <f t="shared" si="42"/>
        <v>923.94</v>
      </c>
      <c r="Y77" s="2"/>
      <c r="Z77" s="6">
        <f t="shared" si="43"/>
        <v>0.49567596566523608</v>
      </c>
    </row>
    <row r="78" spans="1:26" s="27" customFormat="1" outlineLevel="1" collapsed="1" x14ac:dyDescent="0.25">
      <c r="A78" s="26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SUM(OSRRefD22_13x_0)</f>
        <v>126.1</v>
      </c>
      <c r="E78" s="1"/>
      <c r="F78" s="5">
        <f t="shared" ref="F78:F81" si="44">IF(D$12=0,0,D78/D$12)</f>
        <v>2.9777724986533908E-3</v>
      </c>
      <c r="G78" s="1"/>
      <c r="H78" s="1">
        <f>SUM(OSRRefH22_13x_0)</f>
        <v>75</v>
      </c>
      <c r="I78" s="1"/>
      <c r="J78" s="5">
        <f t="shared" ref="J78:J81" si="45">IF(H$12=0,0,H78/H$12)</f>
        <v>1.8646048280834349E-3</v>
      </c>
      <c r="K78" s="1"/>
      <c r="L78" s="1">
        <f t="shared" ref="L78:L81" si="46">+D78-H78</f>
        <v>51.099999999999994</v>
      </c>
      <c r="M78" s="1"/>
      <c r="N78" s="5">
        <f t="shared" ref="N78:N81" si="47">IF(H78=0,0,L78/H78)</f>
        <v>0.68133333333333324</v>
      </c>
      <c r="O78" s="13"/>
      <c r="P78" s="1">
        <f>SUM(OSRRefP22_13x_0)</f>
        <v>831.7</v>
      </c>
      <c r="Q78" s="1"/>
      <c r="R78" s="5">
        <f t="shared" ref="R78:R81" si="48">IF(P$12=0,0,P78/P$12)</f>
        <v>2.1891428935715425E-3</v>
      </c>
      <c r="S78" s="1"/>
      <c r="T78" s="1">
        <f>SUM(OSRRefT22_13x_0)</f>
        <v>525</v>
      </c>
      <c r="U78" s="1"/>
      <c r="V78" s="5">
        <f t="shared" ref="V78:V81" si="49">IF(T$12=0,0,T78/T$12)</f>
        <v>1.3945704722945333E-3</v>
      </c>
      <c r="W78" s="1"/>
      <c r="X78" s="1">
        <f t="shared" ref="X78:X81" si="50">+P78-T78</f>
        <v>306.70000000000005</v>
      </c>
      <c r="Y78" s="1"/>
      <c r="Z78" s="5">
        <f t="shared" ref="Z78:Z81" si="51">IF(T78=0,0,X78/T78)</f>
        <v>0.58419047619047626</v>
      </c>
    </row>
    <row r="79" spans="1:26" s="24" customFormat="1" hidden="1" outlineLevel="2" x14ac:dyDescent="0.25">
      <c r="A79" s="25"/>
      <c r="B79" s="11" t="str">
        <f>CONCATENATE("          ", "6309", " - ", "TELEPHONE")</f>
        <v xml:space="preserve">          6309 - TELEPHONE</v>
      </c>
      <c r="C79" s="11"/>
      <c r="D79" s="7">
        <v>126.1</v>
      </c>
      <c r="E79" s="2"/>
      <c r="F79" s="6">
        <f t="shared" si="44"/>
        <v>2.9777724986533908E-3</v>
      </c>
      <c r="G79" s="2"/>
      <c r="H79" s="7">
        <v>75</v>
      </c>
      <c r="I79" s="2"/>
      <c r="J79" s="6">
        <f t="shared" si="45"/>
        <v>1.8646048280834349E-3</v>
      </c>
      <c r="K79" s="2"/>
      <c r="L79" s="7">
        <f t="shared" si="46"/>
        <v>51.099999999999994</v>
      </c>
      <c r="M79" s="2"/>
      <c r="N79" s="6">
        <f t="shared" si="47"/>
        <v>0.68133333333333324</v>
      </c>
      <c r="O79" s="11"/>
      <c r="P79" s="7">
        <v>831.7</v>
      </c>
      <c r="Q79" s="2"/>
      <c r="R79" s="6">
        <f t="shared" si="48"/>
        <v>2.1891428935715425E-3</v>
      </c>
      <c r="S79" s="2"/>
      <c r="T79" s="7">
        <v>525</v>
      </c>
      <c r="U79" s="2"/>
      <c r="V79" s="6">
        <f t="shared" si="49"/>
        <v>1.3945704722945333E-3</v>
      </c>
      <c r="W79" s="2"/>
      <c r="X79" s="7">
        <f t="shared" si="50"/>
        <v>306.70000000000005</v>
      </c>
      <c r="Y79" s="2"/>
      <c r="Z79" s="6">
        <f t="shared" si="51"/>
        <v>0.58419047619047626</v>
      </c>
    </row>
    <row r="80" spans="1:26" s="27" customFormat="1" outlineLevel="1" collapsed="1" x14ac:dyDescent="0.25">
      <c r="A80" s="26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SUM(OSRRefD22_14x_0)</f>
        <v>0</v>
      </c>
      <c r="E80" s="1"/>
      <c r="F80" s="5">
        <f t="shared" si="44"/>
        <v>0</v>
      </c>
      <c r="G80" s="1"/>
      <c r="H80" s="1">
        <f>SUM(OSRRefH22_14x_0)</f>
        <v>500</v>
      </c>
      <c r="I80" s="1"/>
      <c r="J80" s="5">
        <f t="shared" si="45"/>
        <v>1.2430698853889565E-2</v>
      </c>
      <c r="K80" s="1"/>
      <c r="L80" s="1">
        <f t="shared" si="46"/>
        <v>-500</v>
      </c>
      <c r="M80" s="1"/>
      <c r="N80" s="5">
        <f t="shared" si="47"/>
        <v>-1</v>
      </c>
      <c r="O80" s="13"/>
      <c r="P80" s="1">
        <f>SUM(OSRRefP22_14x_0)</f>
        <v>96</v>
      </c>
      <c r="Q80" s="1"/>
      <c r="R80" s="5">
        <f t="shared" si="48"/>
        <v>2.5268452300453056E-4</v>
      </c>
      <c r="S80" s="1"/>
      <c r="T80" s="1">
        <f>SUM(OSRRefT22_14x_0)</f>
        <v>1000</v>
      </c>
      <c r="U80" s="1"/>
      <c r="V80" s="5">
        <f t="shared" si="49"/>
        <v>2.6563247091324444E-3</v>
      </c>
      <c r="W80" s="1"/>
      <c r="X80" s="1">
        <f t="shared" si="50"/>
        <v>-904</v>
      </c>
      <c r="Y80" s="1"/>
      <c r="Z80" s="5">
        <f t="shared" si="51"/>
        <v>-0.90400000000000003</v>
      </c>
    </row>
    <row r="81" spans="1:26" s="24" customFormat="1" hidden="1" outlineLevel="2" x14ac:dyDescent="0.25">
      <c r="A81" s="25"/>
      <c r="B81" s="11" t="str">
        <f>CONCATENATE("          ", "6376", " - ", "TRAINING")</f>
        <v xml:space="preserve">          6376 - TRAINING</v>
      </c>
      <c r="C81" s="11"/>
      <c r="D81" s="7"/>
      <c r="E81" s="2"/>
      <c r="F81" s="6">
        <f t="shared" si="44"/>
        <v>0</v>
      </c>
      <c r="G81" s="2"/>
      <c r="H81" s="7">
        <v>500</v>
      </c>
      <c r="I81" s="2"/>
      <c r="J81" s="6">
        <f t="shared" si="45"/>
        <v>1.2430698853889565E-2</v>
      </c>
      <c r="K81" s="2"/>
      <c r="L81" s="7">
        <f t="shared" si="46"/>
        <v>-500</v>
      </c>
      <c r="M81" s="2"/>
      <c r="N81" s="6">
        <f t="shared" si="47"/>
        <v>-1</v>
      </c>
      <c r="O81" s="11"/>
      <c r="P81" s="7">
        <v>96</v>
      </c>
      <c r="Q81" s="2"/>
      <c r="R81" s="6">
        <f t="shared" si="48"/>
        <v>2.5268452300453056E-4</v>
      </c>
      <c r="S81" s="2"/>
      <c r="T81" s="7">
        <v>1000</v>
      </c>
      <c r="U81" s="2"/>
      <c r="V81" s="6">
        <f t="shared" si="49"/>
        <v>2.6563247091324444E-3</v>
      </c>
      <c r="W81" s="2"/>
      <c r="X81" s="7">
        <f t="shared" si="50"/>
        <v>-904</v>
      </c>
      <c r="Y81" s="2"/>
      <c r="Z81" s="6">
        <f t="shared" si="51"/>
        <v>-0.90400000000000003</v>
      </c>
    </row>
    <row r="82" spans="1:26" s="53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8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1">
        <f>+D26-D28+D83</f>
        <v>3048.4599999999919</v>
      </c>
      <c r="E85" s="14"/>
      <c r="F85" s="20">
        <f>IF(D$12=0,0,D85/D$12)</f>
        <v>7.1987473047144271E-2</v>
      </c>
      <c r="G85" s="14"/>
      <c r="H85" s="21">
        <f>+H26-H28+H83</f>
        <v>867.47864499999923</v>
      </c>
      <c r="I85" s="14"/>
      <c r="J85" s="20">
        <f>IF(H$12=0,0,H85/H$12)</f>
        <v>2.1566731596350329E-2</v>
      </c>
      <c r="K85" s="16"/>
      <c r="L85" s="21">
        <f>+D85-H85</f>
        <v>2180.9813549999926</v>
      </c>
      <c r="M85" s="16"/>
      <c r="N85" s="20">
        <f>IF(H85=0,0,L85/H85)</f>
        <v>2.5141614350633317</v>
      </c>
      <c r="O85" s="28"/>
      <c r="P85" s="21">
        <f>+P26-P28+P83</f>
        <v>67822.979999999981</v>
      </c>
      <c r="Q85" s="14"/>
      <c r="R85" s="20">
        <f>IF(P$12=0,0,P85/P$12)</f>
        <v>0.17851893072964389</v>
      </c>
      <c r="S85" s="14"/>
      <c r="T85" s="21">
        <f>+T26-T28+T83</f>
        <v>59487.364259599999</v>
      </c>
      <c r="U85" s="14"/>
      <c r="V85" s="20">
        <f>IF(T$12=0,0,T85/T$12)</f>
        <v>0.15801775556393774</v>
      </c>
      <c r="W85" s="16"/>
      <c r="X85" s="21">
        <f>+P85-T85</f>
        <v>8335.6157403999823</v>
      </c>
      <c r="Y85" s="16"/>
      <c r="Z85" s="20">
        <f>IF(T85=0,0,X85/T85)</f>
        <v>0.14012413970845566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14</v>
      </c>
      <c r="C87" s="10"/>
      <c r="D87" s="4">
        <v>3159.79</v>
      </c>
      <c r="E87" s="4"/>
      <c r="F87" s="12">
        <f>IF(D$12=0,0,D87/D$12)</f>
        <v>7.4616461249167321E-2</v>
      </c>
      <c r="G87" s="4"/>
      <c r="H87" s="4">
        <v>3039</v>
      </c>
      <c r="I87" s="4"/>
      <c r="J87" s="12">
        <f>IF(H$12=0,0,H87/H$12)</f>
        <v>7.5553787633940786E-2</v>
      </c>
      <c r="K87" s="4"/>
      <c r="L87" s="4">
        <f>+D87-H87</f>
        <v>120.78999999999996</v>
      </c>
      <c r="M87" s="4"/>
      <c r="N87" s="12">
        <f>IF(H87=0,0,L87/H87)</f>
        <v>3.9746627179993409E-2</v>
      </c>
      <c r="O87" s="10"/>
      <c r="P87" s="4">
        <v>39620.310000000005</v>
      </c>
      <c r="Q87" s="4"/>
      <c r="R87" s="12">
        <f>IF(P$12=0,0,P87/P$12)</f>
        <v>0.10428582430876703</v>
      </c>
      <c r="S87" s="4"/>
      <c r="T87" s="4">
        <v>46351</v>
      </c>
      <c r="U87" s="4"/>
      <c r="V87" s="12">
        <f>IF(T$12=0,0,T87/T$12)</f>
        <v>0.12312330659299793</v>
      </c>
      <c r="W87" s="4"/>
      <c r="X87" s="4">
        <f>+P87-T87</f>
        <v>-6730.6899999999951</v>
      </c>
      <c r="Y87" s="4"/>
      <c r="Z87" s="12">
        <f>IF(T87=0,0,X87/T87)</f>
        <v>-0.14521132230156836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4">
        <f>+D85-D87</f>
        <v>-111.33000000000811</v>
      </c>
      <c r="E89" s="14"/>
      <c r="F89" s="32">
        <f>IF(D$12=0,0,D89/D$12)</f>
        <v>-2.6289882020230468E-3</v>
      </c>
      <c r="G89" s="14"/>
      <c r="H89" s="34">
        <f>+H85-H87</f>
        <v>-2171.5213550000008</v>
      </c>
      <c r="I89" s="14"/>
      <c r="J89" s="32">
        <f>IF(H$12=0,0,H89/H$12)</f>
        <v>-5.398705603759045E-2</v>
      </c>
      <c r="K89" s="16"/>
      <c r="L89" s="34">
        <f>D89-H89</f>
        <v>2060.1913549999927</v>
      </c>
      <c r="M89" s="16"/>
      <c r="N89" s="32">
        <f>IF(H89=0,0,L89/H89)</f>
        <v>-0.94873179591641266</v>
      </c>
      <c r="O89" s="28"/>
      <c r="P89" s="34">
        <f>+P85-P87</f>
        <v>28202.669999999976</v>
      </c>
      <c r="Q89" s="14"/>
      <c r="R89" s="32">
        <f>IF(P$12=0,0,P89/P$12)</f>
        <v>7.4233106420876854E-2</v>
      </c>
      <c r="S89" s="14"/>
      <c r="T89" s="34">
        <f>+T85-T87</f>
        <v>13136.364259599999</v>
      </c>
      <c r="U89" s="14"/>
      <c r="V89" s="32">
        <f>IF(T$12=0,0,T89/T$12)</f>
        <v>3.4894448970939802E-2</v>
      </c>
      <c r="W89" s="16"/>
      <c r="X89" s="34">
        <f>P89-T89</f>
        <v>15066.305740399977</v>
      </c>
      <c r="Y89" s="16"/>
      <c r="Z89" s="32">
        <f>IF(T89=0,0,X89/T89)</f>
        <v>1.1469159535059015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1">
        <f>SUM(D89:D91)</f>
        <v>-111.33000000000811</v>
      </c>
      <c r="E92" s="14"/>
      <c r="F92" s="30">
        <f>IF(D$12=0,0,D92/D$12)</f>
        <v>-2.6289882020230468E-3</v>
      </c>
      <c r="G92" s="14"/>
      <c r="H92" s="31">
        <f>SUM(H89:H91)</f>
        <v>-2171.5213550000008</v>
      </c>
      <c r="I92" s="14"/>
      <c r="J92" s="30">
        <f>IF(H$12=0,0,H92/H$12)</f>
        <v>-5.398705603759045E-2</v>
      </c>
      <c r="K92" s="16"/>
      <c r="L92" s="31">
        <f>+D92-H92</f>
        <v>2060.1913549999927</v>
      </c>
      <c r="M92" s="16"/>
      <c r="N92" s="30">
        <f>IF(H92=0,0,L92/H92)</f>
        <v>-0.94873179591641266</v>
      </c>
      <c r="O92" s="28"/>
      <c r="P92" s="31">
        <f>SUM(P89:P91)</f>
        <v>28202.669999999976</v>
      </c>
      <c r="Q92" s="14"/>
      <c r="R92" s="30">
        <f>IF(P$12=0,0,P92/P$12)</f>
        <v>7.4233106420876854E-2</v>
      </c>
      <c r="S92" s="14"/>
      <c r="T92" s="31">
        <f>SUM(T89:T91)</f>
        <v>13136.364259599999</v>
      </c>
      <c r="U92" s="14"/>
      <c r="V92" s="30">
        <f>IF(T$12=0,0,T92/T$12)</f>
        <v>3.4894448970939802E-2</v>
      </c>
      <c r="W92" s="16"/>
      <c r="X92" s="31">
        <f>+P92-T92</f>
        <v>15066.305740399977</v>
      </c>
      <c r="Y92" s="16"/>
      <c r="Z92" s="30">
        <f>IF(T92=0,0,X92/T92)</f>
        <v>1.1469159535059015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3">
        <v>43879.54620636574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7" t="s">
        <v>314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60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25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","321", " - ", "Student Union C-Store")</f>
        <v>Department 321 - Student Union C-Store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21076.5</v>
      </c>
      <c r="E12" s="4"/>
      <c r="F12" s="12"/>
      <c r="G12" s="4"/>
      <c r="H12" s="4">
        <f>SUM(OSRRefH13x_0)</f>
        <v>19158</v>
      </c>
      <c r="I12" s="4"/>
      <c r="J12" s="12"/>
      <c r="K12" s="4"/>
      <c r="L12" s="4">
        <f t="shared" ref="L12:L15" si="0">+D12-H12</f>
        <v>1918.5</v>
      </c>
      <c r="M12" s="4"/>
      <c r="N12" s="12">
        <f t="shared" ref="N12:N15" si="1">IF(H12=0,0,L12/H12)</f>
        <v>0.10014093329157532</v>
      </c>
      <c r="O12" s="10"/>
      <c r="P12" s="4">
        <f>SUM(OSRRefP13x_0)</f>
        <v>213250.18</v>
      </c>
      <c r="Q12" s="4"/>
      <c r="R12" s="12"/>
      <c r="S12" s="4"/>
      <c r="T12" s="4">
        <f>SUM(OSRRefT13x_0)</f>
        <v>189722</v>
      </c>
      <c r="U12" s="4"/>
      <c r="V12" s="12"/>
      <c r="W12" s="4"/>
      <c r="X12" s="4">
        <f t="shared" ref="X12:X15" si="2">+P12-T12</f>
        <v>23528.179999999993</v>
      </c>
      <c r="Y12" s="4"/>
      <c r="Z12" s="12">
        <f t="shared" ref="Z12:Z15" si="3">IF(T12=0,0,X12/T12)</f>
        <v>0.12401397834726596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--4612.21</f>
        <v>4612.21</v>
      </c>
      <c r="E13" s="2"/>
      <c r="F13" s="19"/>
      <c r="G13" s="2"/>
      <c r="H13" s="2"/>
      <c r="I13" s="2"/>
      <c r="J13" s="19"/>
      <c r="K13" s="2"/>
      <c r="L13" s="2">
        <f t="shared" si="0"/>
        <v>4612.21</v>
      </c>
      <c r="M13" s="2"/>
      <c r="N13" s="19">
        <f t="shared" si="1"/>
        <v>0</v>
      </c>
      <c r="O13" s="11"/>
      <c r="P13" s="2">
        <f>--49434.02</f>
        <v>49434.02</v>
      </c>
      <c r="Q13" s="2"/>
      <c r="R13" s="19"/>
      <c r="S13" s="2"/>
      <c r="T13" s="2"/>
      <c r="U13" s="2"/>
      <c r="V13" s="19"/>
      <c r="W13" s="2"/>
      <c r="X13" s="2">
        <f t="shared" si="2"/>
        <v>49434.02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19158</v>
      </c>
      <c r="I14" s="2"/>
      <c r="J14" s="19"/>
      <c r="K14" s="2"/>
      <c r="L14" s="2">
        <f t="shared" si="0"/>
        <v>-19158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189722</v>
      </c>
      <c r="U14" s="2"/>
      <c r="V14" s="19"/>
      <c r="W14" s="2"/>
      <c r="X14" s="2">
        <f t="shared" si="2"/>
        <v>-189722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>--16464.29</f>
        <v>16464.29</v>
      </c>
      <c r="E15" s="2"/>
      <c r="F15" s="19"/>
      <c r="G15" s="2"/>
      <c r="H15" s="2"/>
      <c r="I15" s="2"/>
      <c r="J15" s="19"/>
      <c r="K15" s="2"/>
      <c r="L15" s="2">
        <f t="shared" si="0"/>
        <v>16464.29</v>
      </c>
      <c r="M15" s="2"/>
      <c r="N15" s="19">
        <f t="shared" si="1"/>
        <v>0</v>
      </c>
      <c r="O15" s="11"/>
      <c r="P15" s="2">
        <f>--163816.16</f>
        <v>163816.16</v>
      </c>
      <c r="Q15" s="2"/>
      <c r="R15" s="19"/>
      <c r="S15" s="2"/>
      <c r="T15" s="2"/>
      <c r="U15" s="2"/>
      <c r="V15" s="19"/>
      <c r="W15" s="2"/>
      <c r="X15" s="2">
        <f t="shared" si="2"/>
        <v>163816.16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10075.029999999997</v>
      </c>
      <c r="E17" s="4"/>
      <c r="F17" s="12">
        <f t="shared" ref="F17:F20" si="4">IF(D$12=0,0,D17/D$12)</f>
        <v>0.47802196759423987</v>
      </c>
      <c r="G17" s="4"/>
      <c r="H17" s="4">
        <f>SUM(OSRRefH16x_0)</f>
        <v>9158</v>
      </c>
      <c r="I17" s="4"/>
      <c r="J17" s="12">
        <f t="shared" ref="J17:J20" si="5">IF(H$12=0,0,H17/H$12)</f>
        <v>0.47802484601732959</v>
      </c>
      <c r="K17" s="4"/>
      <c r="L17" s="4">
        <f t="shared" ref="L17:L20" si="6">+D17-H17</f>
        <v>917.02999999999702</v>
      </c>
      <c r="M17" s="4"/>
      <c r="N17" s="12">
        <f t="shared" ref="N17:N20" si="7">IF(H17=0,0,L17/H17)</f>
        <v>0.10013430880104794</v>
      </c>
      <c r="O17" s="10"/>
      <c r="P17" s="4">
        <f>SUM(OSRRefP16x_0)</f>
        <v>102261.2</v>
      </c>
      <c r="Q17" s="4"/>
      <c r="R17" s="12">
        <f t="shared" ref="R17:R20" si="8">IF(P$12=0,0,P17/P$12)</f>
        <v>0.47953628925424591</v>
      </c>
      <c r="S17" s="4"/>
      <c r="T17" s="4">
        <f>SUM(OSRRefT16x_0)</f>
        <v>90687</v>
      </c>
      <c r="U17" s="4"/>
      <c r="V17" s="12">
        <f t="shared" ref="V17:V20" si="9">IF(T$12=0,0,T17/T$12)</f>
        <v>0.47799938857907887</v>
      </c>
      <c r="W17" s="4"/>
      <c r="X17" s="4">
        <f t="shared" ref="X17:X20" si="10">+P17-T17</f>
        <v>11574.199999999997</v>
      </c>
      <c r="Y17" s="4"/>
      <c r="Z17" s="12">
        <f t="shared" ref="Z17:Z20" si="11">IF(T17=0,0,X17/T17)</f>
        <v>0.12762799519225465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9158</v>
      </c>
      <c r="I18" s="2"/>
      <c r="J18" s="19">
        <f t="shared" si="5"/>
        <v>0.47802484601732959</v>
      </c>
      <c r="K18" s="2"/>
      <c r="L18" s="2">
        <f t="shared" si="6"/>
        <v>-9158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90687</v>
      </c>
      <c r="U18" s="2"/>
      <c r="V18" s="19">
        <f t="shared" si="9"/>
        <v>0.47799938857907887</v>
      </c>
      <c r="W18" s="2"/>
      <c r="X18" s="2">
        <f t="shared" si="10"/>
        <v>-90687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18605.609999999997</v>
      </c>
      <c r="E19" s="2"/>
      <c r="F19" s="19">
        <f t="shared" si="4"/>
        <v>0.88276563945626629</v>
      </c>
      <c r="G19" s="2"/>
      <c r="H19" s="2"/>
      <c r="I19" s="2"/>
      <c r="J19" s="19">
        <f t="shared" si="5"/>
        <v>0</v>
      </c>
      <c r="K19" s="2"/>
      <c r="L19" s="2">
        <f t="shared" si="6"/>
        <v>18605.609999999997</v>
      </c>
      <c r="M19" s="2"/>
      <c r="N19" s="19">
        <f t="shared" si="7"/>
        <v>0</v>
      </c>
      <c r="O19" s="11"/>
      <c r="P19" s="2">
        <v>105194.95</v>
      </c>
      <c r="Q19" s="2"/>
      <c r="R19" s="19">
        <f t="shared" si="8"/>
        <v>0.49329360472286587</v>
      </c>
      <c r="S19" s="2"/>
      <c r="T19" s="2"/>
      <c r="U19" s="2"/>
      <c r="V19" s="19">
        <f t="shared" si="9"/>
        <v>0</v>
      </c>
      <c r="W19" s="2"/>
      <c r="X19" s="2">
        <f t="shared" si="10"/>
        <v>105194.95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-8530.58</v>
      </c>
      <c r="E20" s="2"/>
      <c r="F20" s="19">
        <f t="shared" si="4"/>
        <v>-0.40474367186202642</v>
      </c>
      <c r="G20" s="2"/>
      <c r="H20" s="2"/>
      <c r="I20" s="2"/>
      <c r="J20" s="19">
        <f t="shared" si="5"/>
        <v>0</v>
      </c>
      <c r="K20" s="2"/>
      <c r="L20" s="2">
        <f t="shared" si="6"/>
        <v>-8530.58</v>
      </c>
      <c r="M20" s="2"/>
      <c r="N20" s="19">
        <f t="shared" si="7"/>
        <v>0</v>
      </c>
      <c r="O20" s="11"/>
      <c r="P20" s="2">
        <v>-2933.75</v>
      </c>
      <c r="Q20" s="2"/>
      <c r="R20" s="19">
        <f t="shared" si="8"/>
        <v>-1.3757315468620003E-2</v>
      </c>
      <c r="S20" s="2"/>
      <c r="T20" s="2"/>
      <c r="U20" s="2"/>
      <c r="V20" s="19">
        <f t="shared" si="9"/>
        <v>0</v>
      </c>
      <c r="W20" s="2"/>
      <c r="X20" s="2">
        <f t="shared" si="10"/>
        <v>-2933.75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1">
        <f>D12-D17</f>
        <v>11001.470000000003</v>
      </c>
      <c r="E22" s="14"/>
      <c r="F22" s="20">
        <f>IF(D$12=0,0,D22/D$12)</f>
        <v>0.52197803240576013</v>
      </c>
      <c r="G22" s="14"/>
      <c r="H22" s="21">
        <f>H12-H17</f>
        <v>10000</v>
      </c>
      <c r="I22" s="14"/>
      <c r="J22" s="20">
        <f>IF(H$12=0,0,H22/H$12)</f>
        <v>0.52197515398267047</v>
      </c>
      <c r="K22" s="16"/>
      <c r="L22" s="21">
        <f>+D22-H22</f>
        <v>1001.470000000003</v>
      </c>
      <c r="M22" s="16"/>
      <c r="N22" s="20">
        <f>IF(H22=0,0,L22/H22)</f>
        <v>0.10014700000000031</v>
      </c>
      <c r="O22" s="28"/>
      <c r="P22" s="21">
        <f>P12-P17</f>
        <v>110988.98</v>
      </c>
      <c r="Q22" s="14"/>
      <c r="R22" s="20">
        <f>IF(P$12=0,0,P22/P$12)</f>
        <v>0.52046371074575415</v>
      </c>
      <c r="S22" s="14"/>
      <c r="T22" s="21">
        <f>T12-T17</f>
        <v>99035</v>
      </c>
      <c r="U22" s="14"/>
      <c r="V22" s="20">
        <f>IF(T$12=0,0,T22/T$12)</f>
        <v>0.52200061142092113</v>
      </c>
      <c r="W22" s="16"/>
      <c r="X22" s="21">
        <f>+P22-T22</f>
        <v>11953.979999999996</v>
      </c>
      <c r="Y22" s="16"/>
      <c r="Z22" s="20">
        <f>IF(T22=0,0,X22/T22)</f>
        <v>0.1207045993840561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2">
        <f>SUM(OSRRefD22x_0)</f>
        <v>8518.6999999999989</v>
      </c>
      <c r="E24" s="22"/>
      <c r="F24" s="35">
        <f t="shared" ref="F24:F33" si="12">IF(D$12=0,0,D24/D$12)</f>
        <v>0.40418001091262773</v>
      </c>
      <c r="G24" s="22"/>
      <c r="H24" s="22">
        <f>SUM(OSRRefH22x_0)</f>
        <v>13134.01053831731</v>
      </c>
      <c r="I24" s="22"/>
      <c r="J24" s="35">
        <f t="shared" ref="J24:J33" si="13">IF(H$12=0,0,H24/H$12)</f>
        <v>0.68556271731481944</v>
      </c>
      <c r="K24" s="4"/>
      <c r="L24" s="22">
        <f t="shared" ref="L24:L33" si="14">+D24-H24</f>
        <v>-4615.3105383173115</v>
      </c>
      <c r="M24" s="4"/>
      <c r="N24" s="35">
        <f t="shared" ref="N24:N33" si="15">IF(H24=0,0,L24/H24)</f>
        <v>-0.35140146453001181</v>
      </c>
      <c r="O24" s="10"/>
      <c r="P24" s="22">
        <f>SUM(OSRRefP22x_0)</f>
        <v>89343.419999999984</v>
      </c>
      <c r="Q24" s="22"/>
      <c r="R24" s="35">
        <f t="shared" ref="R24:R33" si="16">IF(P$12=0,0,P24/P$12)</f>
        <v>0.41896058423022192</v>
      </c>
      <c r="S24" s="22"/>
      <c r="T24" s="22">
        <f>SUM(OSRRefT22x_0)</f>
        <v>91561.534073317336</v>
      </c>
      <c r="U24" s="22"/>
      <c r="V24" s="35">
        <f t="shared" ref="V24:V33" si="17">IF(T$12=0,0,T24/T$12)</f>
        <v>0.48260894399867876</v>
      </c>
      <c r="W24" s="4"/>
      <c r="X24" s="22">
        <f t="shared" ref="X24:X33" si="18">+P24-T24</f>
        <v>-2218.1140733173524</v>
      </c>
      <c r="Y24" s="4"/>
      <c r="Z24" s="35">
        <f t="shared" ref="Z24:Z33" si="19">IF(T24=0,0,X24/T24)</f>
        <v>-2.4225392199536667E-2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176.35</v>
      </c>
      <c r="E25" s="1"/>
      <c r="F25" s="5">
        <f t="shared" si="12"/>
        <v>8.3671387564348918E-3</v>
      </c>
      <c r="G25" s="1"/>
      <c r="H25" s="1">
        <f>SUM(OSRRefH22_0x_0)</f>
        <v>1566.1713556250008</v>
      </c>
      <c r="I25" s="1"/>
      <c r="J25" s="5">
        <f t="shared" si="13"/>
        <v>8.1750253451560756E-2</v>
      </c>
      <c r="K25" s="1"/>
      <c r="L25" s="1">
        <f t="shared" si="14"/>
        <v>-1389.8213556250009</v>
      </c>
      <c r="M25" s="1"/>
      <c r="N25" s="5">
        <f t="shared" si="15"/>
        <v>-0.88740057122956051</v>
      </c>
      <c r="O25" s="13"/>
      <c r="P25" s="1">
        <f>SUM(OSRRefP22_0x_0)</f>
        <v>9418.08</v>
      </c>
      <c r="Q25" s="1"/>
      <c r="R25" s="5">
        <f t="shared" si="16"/>
        <v>4.4164464480170661E-2</v>
      </c>
      <c r="S25" s="1"/>
      <c r="T25" s="1">
        <f>SUM(OSRRefT22_0x_0)</f>
        <v>10187.919890625</v>
      </c>
      <c r="U25" s="1"/>
      <c r="V25" s="5">
        <f t="shared" si="17"/>
        <v>5.369920141377911E-2</v>
      </c>
      <c r="W25" s="1"/>
      <c r="X25" s="1">
        <f t="shared" si="18"/>
        <v>-769.83989062500041</v>
      </c>
      <c r="Y25" s="1"/>
      <c r="Z25" s="5">
        <f t="shared" si="19"/>
        <v>-7.5563991363282387E-2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7">
        <v>156.59</v>
      </c>
      <c r="E26" s="2"/>
      <c r="F26" s="6">
        <f t="shared" si="12"/>
        <v>7.4296016890850001E-3</v>
      </c>
      <c r="G26" s="2"/>
      <c r="H26" s="7">
        <v>198.642813317308</v>
      </c>
      <c r="I26" s="2"/>
      <c r="J26" s="6">
        <f t="shared" si="13"/>
        <v>1.036866130688527E-2</v>
      </c>
      <c r="K26" s="2"/>
      <c r="L26" s="7">
        <f t="shared" si="14"/>
        <v>-42.052813317307994</v>
      </c>
      <c r="M26" s="2"/>
      <c r="N26" s="6">
        <f t="shared" si="15"/>
        <v>-0.21170065312221331</v>
      </c>
      <c r="O26" s="11"/>
      <c r="P26" s="7">
        <v>1837.57</v>
      </c>
      <c r="Q26" s="2"/>
      <c r="R26" s="6">
        <f t="shared" si="16"/>
        <v>8.6169681076001901E-3</v>
      </c>
      <c r="S26" s="2"/>
      <c r="T26" s="7">
        <v>1319.003748317306</v>
      </c>
      <c r="U26" s="2"/>
      <c r="V26" s="6">
        <f t="shared" si="17"/>
        <v>6.9522972998245112E-3</v>
      </c>
      <c r="W26" s="2"/>
      <c r="X26" s="7">
        <f t="shared" si="18"/>
        <v>518.56625168269397</v>
      </c>
      <c r="Y26" s="2"/>
      <c r="Z26" s="6">
        <f t="shared" si="19"/>
        <v>0.39314994543741444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7">
        <v>17.38</v>
      </c>
      <c r="E27" s="2"/>
      <c r="F27" s="6">
        <f t="shared" si="12"/>
        <v>8.2461509263872081E-4</v>
      </c>
      <c r="G27" s="2"/>
      <c r="H27" s="7">
        <v>147.98378365384599</v>
      </c>
      <c r="I27" s="2"/>
      <c r="J27" s="6">
        <f t="shared" si="13"/>
        <v>7.7243858259654448E-3</v>
      </c>
      <c r="K27" s="2"/>
      <c r="L27" s="7">
        <f t="shared" si="14"/>
        <v>-130.60378365384599</v>
      </c>
      <c r="M27" s="2"/>
      <c r="N27" s="6">
        <f t="shared" si="15"/>
        <v>-0.88255469909693518</v>
      </c>
      <c r="O27" s="11"/>
      <c r="P27" s="7">
        <v>642.36</v>
      </c>
      <c r="Q27" s="2"/>
      <c r="R27" s="6">
        <f t="shared" si="16"/>
        <v>3.0122366133524484E-3</v>
      </c>
      <c r="S27" s="2"/>
      <c r="T27" s="7">
        <v>882.87528365384469</v>
      </c>
      <c r="U27" s="2"/>
      <c r="V27" s="6">
        <f t="shared" si="17"/>
        <v>4.653520855008089E-3</v>
      </c>
      <c r="W27" s="2"/>
      <c r="X27" s="7">
        <f t="shared" si="18"/>
        <v>-240.51528365384468</v>
      </c>
      <c r="Y27" s="2"/>
      <c r="Z27" s="6">
        <f t="shared" si="19"/>
        <v>-0.27242271712314153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7"/>
      <c r="E28" s="2"/>
      <c r="F28" s="6">
        <f t="shared" si="12"/>
        <v>0</v>
      </c>
      <c r="G28" s="2"/>
      <c r="H28" s="7">
        <v>690.5</v>
      </c>
      <c r="I28" s="2"/>
      <c r="J28" s="6">
        <f t="shared" si="13"/>
        <v>3.6042384382503394E-2</v>
      </c>
      <c r="K28" s="2"/>
      <c r="L28" s="7">
        <f t="shared" si="14"/>
        <v>-690.5</v>
      </c>
      <c r="M28" s="2"/>
      <c r="N28" s="6">
        <f t="shared" si="15"/>
        <v>-1</v>
      </c>
      <c r="O28" s="11"/>
      <c r="P28" s="7">
        <v>4676.5</v>
      </c>
      <c r="Q28" s="2"/>
      <c r="R28" s="6">
        <f t="shared" si="16"/>
        <v>2.1929641513081022E-2</v>
      </c>
      <c r="S28" s="2"/>
      <c r="T28" s="7">
        <v>4833.5</v>
      </c>
      <c r="U28" s="2"/>
      <c r="V28" s="6">
        <f t="shared" si="17"/>
        <v>2.5476750192386755E-2</v>
      </c>
      <c r="W28" s="2"/>
      <c r="X28" s="7">
        <f t="shared" si="18"/>
        <v>-157</v>
      </c>
      <c r="Y28" s="2"/>
      <c r="Z28" s="6">
        <f t="shared" si="19"/>
        <v>-3.248163856418744E-2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7">
        <v>2.38</v>
      </c>
      <c r="E29" s="2"/>
      <c r="F29" s="6">
        <f t="shared" si="12"/>
        <v>1.129219747111712E-4</v>
      </c>
      <c r="G29" s="2"/>
      <c r="H29" s="7">
        <v>20.250412499999999</v>
      </c>
      <c r="I29" s="2"/>
      <c r="J29" s="6">
        <f t="shared" si="13"/>
        <v>1.0570212182900093E-3</v>
      </c>
      <c r="K29" s="2"/>
      <c r="L29" s="7">
        <f t="shared" si="14"/>
        <v>-17.8704125</v>
      </c>
      <c r="M29" s="2"/>
      <c r="N29" s="6">
        <f t="shared" si="15"/>
        <v>-0.88247152990093414</v>
      </c>
      <c r="O29" s="11"/>
      <c r="P29" s="7">
        <v>93.78</v>
      </c>
      <c r="Q29" s="2"/>
      <c r="R29" s="6">
        <f t="shared" si="16"/>
        <v>4.3976516221463447E-4</v>
      </c>
      <c r="S29" s="2"/>
      <c r="T29" s="7">
        <v>120.81451250000001</v>
      </c>
      <c r="U29" s="2"/>
      <c r="V29" s="6">
        <f t="shared" si="17"/>
        <v>6.3679759068531851E-4</v>
      </c>
      <c r="W29" s="2"/>
      <c r="X29" s="7">
        <f t="shared" si="18"/>
        <v>-27.034512500000005</v>
      </c>
      <c r="Y29" s="2"/>
      <c r="Z29" s="6">
        <f t="shared" si="19"/>
        <v>-0.22376875046364983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7"/>
      <c r="E30" s="2"/>
      <c r="F30" s="6">
        <f t="shared" si="12"/>
        <v>0</v>
      </c>
      <c r="G30" s="2"/>
      <c r="H30" s="7">
        <v>223.22333653846201</v>
      </c>
      <c r="I30" s="2"/>
      <c r="J30" s="6">
        <f t="shared" si="13"/>
        <v>1.1651703546218917E-2</v>
      </c>
      <c r="K30" s="2"/>
      <c r="L30" s="7">
        <f t="shared" si="14"/>
        <v>-223.22333653846201</v>
      </c>
      <c r="M30" s="2"/>
      <c r="N30" s="6">
        <f t="shared" si="15"/>
        <v>-1</v>
      </c>
      <c r="O30" s="11"/>
      <c r="P30" s="7">
        <v>670.55</v>
      </c>
      <c r="Q30" s="2"/>
      <c r="R30" s="6">
        <f t="shared" si="16"/>
        <v>3.1444287643743137E-3</v>
      </c>
      <c r="S30" s="2"/>
      <c r="T30" s="7">
        <v>1328.7103365384621</v>
      </c>
      <c r="U30" s="2"/>
      <c r="V30" s="6">
        <f t="shared" si="17"/>
        <v>7.0034594645769187E-3</v>
      </c>
      <c r="W30" s="2"/>
      <c r="X30" s="7">
        <f t="shared" si="18"/>
        <v>-658.16033653846216</v>
      </c>
      <c r="Y30" s="2"/>
      <c r="Z30" s="6">
        <f t="shared" si="19"/>
        <v>-0.49533771089121831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7"/>
      <c r="E32" s="2"/>
      <c r="F32" s="6">
        <f t="shared" si="12"/>
        <v>0</v>
      </c>
      <c r="G32" s="2"/>
      <c r="H32" s="7">
        <v>51.9124038461539</v>
      </c>
      <c r="I32" s="2"/>
      <c r="J32" s="6">
        <f t="shared" si="13"/>
        <v>2.7096984991206753E-3</v>
      </c>
      <c r="K32" s="2"/>
      <c r="L32" s="7">
        <f t="shared" si="14"/>
        <v>-51.9124038461539</v>
      </c>
      <c r="M32" s="2"/>
      <c r="N32" s="6">
        <f t="shared" si="15"/>
        <v>-1</v>
      </c>
      <c r="O32" s="11"/>
      <c r="P32" s="7">
        <v>1098.8</v>
      </c>
      <c r="Q32" s="2"/>
      <c r="R32" s="6">
        <f t="shared" si="16"/>
        <v>5.1526333998873994E-3</v>
      </c>
      <c r="S32" s="2"/>
      <c r="T32" s="7">
        <v>309.00240384615387</v>
      </c>
      <c r="U32" s="2"/>
      <c r="V32" s="6">
        <f t="shared" si="17"/>
        <v>1.6287115033899804E-3</v>
      </c>
      <c r="W32" s="2"/>
      <c r="X32" s="7">
        <f t="shared" si="18"/>
        <v>789.79759615384614</v>
      </c>
      <c r="Y32" s="2"/>
      <c r="Z32" s="6">
        <f t="shared" si="19"/>
        <v>2.5559593916527286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7"/>
      <c r="E33" s="2"/>
      <c r="F33" s="6">
        <f t="shared" si="12"/>
        <v>0</v>
      </c>
      <c r="G33" s="2"/>
      <c r="H33" s="7">
        <v>233.658605769231</v>
      </c>
      <c r="I33" s="2"/>
      <c r="J33" s="6">
        <f t="shared" si="13"/>
        <v>1.2196398672577043E-2</v>
      </c>
      <c r="K33" s="2"/>
      <c r="L33" s="7">
        <f t="shared" si="14"/>
        <v>-233.658605769231</v>
      </c>
      <c r="M33" s="2"/>
      <c r="N33" s="6">
        <f t="shared" si="15"/>
        <v>-1</v>
      </c>
      <c r="O33" s="11"/>
      <c r="P33" s="7">
        <v>398.52</v>
      </c>
      <c r="Q33" s="2"/>
      <c r="R33" s="6">
        <f t="shared" si="16"/>
        <v>1.868790919660654E-3</v>
      </c>
      <c r="S33" s="2"/>
      <c r="T33" s="7">
        <v>1394.013605769233</v>
      </c>
      <c r="U33" s="2"/>
      <c r="V33" s="6">
        <f t="shared" si="17"/>
        <v>7.3476645079075332E-3</v>
      </c>
      <c r="W33" s="2"/>
      <c r="X33" s="7">
        <f t="shared" si="18"/>
        <v>-995.493605769233</v>
      </c>
      <c r="Y33" s="2"/>
      <c r="Z33" s="6">
        <f t="shared" si="19"/>
        <v>-0.71412043731087405</v>
      </c>
    </row>
    <row r="34" spans="1:26" s="27" customFormat="1" outlineLevel="1" collapsed="1" x14ac:dyDescent="0.25">
      <c r="A34" s="26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4789.1099999999997</v>
      </c>
      <c r="E34" s="1"/>
      <c r="F34" s="5">
        <f t="shared" ref="F34:F44" si="20">IF(D$12=0,0,D34/D$12)</f>
        <v>0.22722510853320046</v>
      </c>
      <c r="G34" s="1"/>
      <c r="H34" s="1">
        <f>SUM(OSRRefH22_1x_0)</f>
        <v>7658.8391826923107</v>
      </c>
      <c r="I34" s="1"/>
      <c r="J34" s="5">
        <f t="shared" ref="J34:J44" si="21">IF(H$12=0,0,H34/H$12)</f>
        <v>0.39977237617143285</v>
      </c>
      <c r="K34" s="1"/>
      <c r="L34" s="1">
        <f t="shared" ref="L34:L44" si="22">+D34-H34</f>
        <v>-2869.729182692311</v>
      </c>
      <c r="M34" s="1"/>
      <c r="N34" s="5">
        <f t="shared" ref="N34:N44" si="23">IF(H34=0,0,L34/H34)</f>
        <v>-0.3746950568145388</v>
      </c>
      <c r="O34" s="13"/>
      <c r="P34" s="1">
        <f>SUM(OSRRefP22_1x_0)</f>
        <v>39609.589999999997</v>
      </c>
      <c r="Q34" s="1"/>
      <c r="R34" s="5">
        <f t="shared" ref="R34:R44" si="24">IF(P$12=0,0,P34/P$12)</f>
        <v>0.18574235201114483</v>
      </c>
      <c r="S34" s="1"/>
      <c r="T34" s="1">
        <f>SUM(OSRRefT22_1x_0)</f>
        <v>45694.614182692327</v>
      </c>
      <c r="U34" s="1"/>
      <c r="V34" s="5">
        <f t="shared" ref="V34:V44" si="25">IF(T$12=0,0,T34/T$12)</f>
        <v>0.24085037150510918</v>
      </c>
      <c r="W34" s="1"/>
      <c r="X34" s="1">
        <f t="shared" ref="X34:X44" si="26">+P34-T34</f>
        <v>-6085.0241826923302</v>
      </c>
      <c r="Y34" s="1"/>
      <c r="Z34" s="5">
        <f t="shared" ref="Z34:Z44" si="27">IF(T34=0,0,X34/T34)</f>
        <v>-0.13316720781061206</v>
      </c>
    </row>
    <row r="35" spans="1:26" s="24" customFormat="1" hidden="1" outlineLevel="2" x14ac:dyDescent="0.25">
      <c r="A35" s="25"/>
      <c r="B35" s="11" t="str">
        <f>CONCATENATE("          ", "6001", " - ", "ADMINISTRATIVE SALARIES")</f>
        <v xml:space="preserve">          6001 - ADMINISTRATIVE SALARIES</v>
      </c>
      <c r="C35" s="11"/>
      <c r="D35" s="7"/>
      <c r="E35" s="2"/>
      <c r="F35" s="6">
        <f t="shared" si="20"/>
        <v>0</v>
      </c>
      <c r="G35" s="2"/>
      <c r="H35" s="7">
        <v>2465.8391826923103</v>
      </c>
      <c r="I35" s="2"/>
      <c r="J35" s="6">
        <f t="shared" si="21"/>
        <v>0.12871067870823208</v>
      </c>
      <c r="K35" s="2"/>
      <c r="L35" s="7">
        <f t="shared" si="22"/>
        <v>-2465.8391826923103</v>
      </c>
      <c r="M35" s="2"/>
      <c r="N35" s="6">
        <f t="shared" si="23"/>
        <v>-1</v>
      </c>
      <c r="O35" s="11"/>
      <c r="P35" s="7"/>
      <c r="Q35" s="2"/>
      <c r="R35" s="6">
        <f t="shared" si="24"/>
        <v>0</v>
      </c>
      <c r="S35" s="2"/>
      <c r="T35" s="7">
        <v>14677.61418269233</v>
      </c>
      <c r="U35" s="2"/>
      <c r="V35" s="6">
        <f t="shared" si="25"/>
        <v>7.7363796411024185E-2</v>
      </c>
      <c r="W35" s="2"/>
      <c r="X35" s="7">
        <f t="shared" si="26"/>
        <v>-14677.61418269233</v>
      </c>
      <c r="Y35" s="2"/>
      <c r="Z35" s="6">
        <f t="shared" si="27"/>
        <v>-1</v>
      </c>
    </row>
    <row r="36" spans="1:26" s="24" customFormat="1" hidden="1" outlineLevel="2" x14ac:dyDescent="0.25">
      <c r="A36" s="25"/>
      <c r="B36" s="11" t="str">
        <f>CONCATENATE("          ", "6002", " - ", "STAFF SALARIES")</f>
        <v xml:space="preserve">          6002 - STAFF SALARIES</v>
      </c>
      <c r="C36" s="11"/>
      <c r="D36" s="7">
        <v>800</v>
      </c>
      <c r="E36" s="2"/>
      <c r="F36" s="6">
        <f t="shared" si="20"/>
        <v>3.7956966289469311E-2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800</v>
      </c>
      <c r="M36" s="2"/>
      <c r="N36" s="6">
        <f t="shared" si="23"/>
        <v>0</v>
      </c>
      <c r="O36" s="11"/>
      <c r="P36" s="7">
        <v>11072</v>
      </c>
      <c r="Q36" s="2"/>
      <c r="R36" s="6">
        <f t="shared" si="24"/>
        <v>5.1920237535086726E-2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11072</v>
      </c>
      <c r="Y36" s="2"/>
      <c r="Z36" s="6">
        <f t="shared" si="27"/>
        <v>0</v>
      </c>
    </row>
    <row r="37" spans="1:26" s="24" customFormat="1" hidden="1" outlineLevel="2" x14ac:dyDescent="0.25">
      <c r="A37" s="25"/>
      <c r="B37" s="11" t="str">
        <f>CONCATENATE("          ", "6003", " - ", "STAFF HOURLY-9 MONTH")</f>
        <v xml:space="preserve">          6003 - STAFF HOURLY-9 MONTH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"6004", " - ", "STAFF HOURLY")</f>
        <v xml:space="preserve">          6004 - STAFF HOURLY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"6005", " - ", "TEMPORARY WAGES-HOURLY")</f>
        <v xml:space="preserve">          6005 - TEMPORARY WAGES-HOURLY</v>
      </c>
      <c r="C39" s="11"/>
      <c r="D39" s="7">
        <v>644.49</v>
      </c>
      <c r="E39" s="2"/>
      <c r="F39" s="6">
        <f t="shared" si="20"/>
        <v>3.0578606504875098E-2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644.49</v>
      </c>
      <c r="M39" s="2"/>
      <c r="N39" s="6">
        <f t="shared" si="23"/>
        <v>0</v>
      </c>
      <c r="O39" s="11"/>
      <c r="P39" s="7">
        <v>2353.27</v>
      </c>
      <c r="Q39" s="2"/>
      <c r="R39" s="6">
        <f t="shared" si="24"/>
        <v>1.1035254460277595E-2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2353.27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"6006", " - ", "TEMPORARY PART TIME")</f>
        <v xml:space="preserve">          6006 - TEMPORARY PART TIME</v>
      </c>
      <c r="C40" s="11"/>
      <c r="D40" s="7">
        <v>602.55999999999995</v>
      </c>
      <c r="E40" s="2"/>
      <c r="F40" s="6">
        <f t="shared" si="20"/>
        <v>2.8589187009228283E-2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602.55999999999995</v>
      </c>
      <c r="M40" s="2"/>
      <c r="N40" s="6">
        <f t="shared" si="23"/>
        <v>0</v>
      </c>
      <c r="O40" s="11"/>
      <c r="P40" s="7">
        <v>7304.3</v>
      </c>
      <c r="Q40" s="2"/>
      <c r="R40" s="6">
        <f t="shared" si="24"/>
        <v>3.4252257137602417E-2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7304.3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"6007", " - ", "STUDENT HOURLY")</f>
        <v xml:space="preserve">          6007 - STUDENT HOURLY</v>
      </c>
      <c r="C41" s="11"/>
      <c r="D41" s="7">
        <v>2742.06</v>
      </c>
      <c r="E41" s="2"/>
      <c r="F41" s="6">
        <f t="shared" si="20"/>
        <v>0.13010034872962778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2742.06</v>
      </c>
      <c r="M41" s="2"/>
      <c r="N41" s="6">
        <f t="shared" si="23"/>
        <v>0</v>
      </c>
      <c r="O41" s="11"/>
      <c r="P41" s="7">
        <v>17825.710000000003</v>
      </c>
      <c r="Q41" s="2"/>
      <c r="R41" s="6">
        <f t="shared" si="24"/>
        <v>8.3590597672649106E-2</v>
      </c>
      <c r="S41" s="2"/>
      <c r="T41" s="7">
        <v>1785</v>
      </c>
      <c r="U41" s="2"/>
      <c r="V41" s="6">
        <f t="shared" si="25"/>
        <v>9.4085029674998155E-3</v>
      </c>
      <c r="W41" s="2"/>
      <c r="X41" s="7">
        <f t="shared" si="26"/>
        <v>16040.710000000003</v>
      </c>
      <c r="Y41" s="2"/>
      <c r="Z41" s="6">
        <f t="shared" si="27"/>
        <v>8.9863921568627472</v>
      </c>
    </row>
    <row r="42" spans="1:26" s="24" customFormat="1" hidden="1" outlineLevel="2" x14ac:dyDescent="0.25">
      <c r="A42" s="25"/>
      <c r="B42" s="11" t="str">
        <f>CONCATENATE("          ", "6008", " - ", "STUDENT HOURLY-FICA EXEMPT")</f>
        <v xml:space="preserve">          6008 - STUDENT HOURLY-FICA EXEMPT</v>
      </c>
      <c r="C42" s="11"/>
      <c r="D42" s="7"/>
      <c r="E42" s="2"/>
      <c r="F42" s="6">
        <f t="shared" si="20"/>
        <v>0</v>
      </c>
      <c r="G42" s="2"/>
      <c r="H42" s="7">
        <v>5193</v>
      </c>
      <c r="I42" s="2"/>
      <c r="J42" s="6">
        <f t="shared" si="21"/>
        <v>0.27106169746320075</v>
      </c>
      <c r="K42" s="2"/>
      <c r="L42" s="7">
        <f t="shared" si="22"/>
        <v>-5193</v>
      </c>
      <c r="M42" s="2"/>
      <c r="N42" s="6">
        <f t="shared" si="23"/>
        <v>-1</v>
      </c>
      <c r="O42" s="11"/>
      <c r="P42" s="7">
        <v>1054.31</v>
      </c>
      <c r="Q42" s="2"/>
      <c r="R42" s="6">
        <f t="shared" si="24"/>
        <v>4.9440052055290179E-3</v>
      </c>
      <c r="S42" s="2"/>
      <c r="T42" s="7">
        <v>29232</v>
      </c>
      <c r="U42" s="2"/>
      <c r="V42" s="6">
        <f t="shared" si="25"/>
        <v>0.15407807212658522</v>
      </c>
      <c r="W42" s="2"/>
      <c r="X42" s="7">
        <f t="shared" si="26"/>
        <v>-28177.69</v>
      </c>
      <c r="Y42" s="2"/>
      <c r="Z42" s="6">
        <f t="shared" si="27"/>
        <v>-0.96393301860974268</v>
      </c>
    </row>
    <row r="43" spans="1:26" s="24" customFormat="1" hidden="1" outlineLevel="2" x14ac:dyDescent="0.25">
      <c r="A43" s="25"/>
      <c r="B43" s="11" t="str">
        <f>CONCATENATE("          ", "6009", " - ", "TEMPORARY-SEASONAL")</f>
        <v xml:space="preserve">          6009 - TEMPORARY-SEASONAL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5"/>
      <c r="B44" s="11" t="str">
        <f>CONCATENATE("          ", "6010", " - ", "GRATUITY")</f>
        <v xml:space="preserve">          6010 - GRATUITY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7" customFormat="1" outlineLevel="1" collapsed="1" x14ac:dyDescent="0.25">
      <c r="A45" s="26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62" si="28">IF(D$12=0,0,D45/D$12)</f>
        <v>0</v>
      </c>
      <c r="G45" s="1"/>
      <c r="H45" s="1">
        <f>SUM(OSRRefH22_2x_0)</f>
        <v>0</v>
      </c>
      <c r="I45" s="1"/>
      <c r="J45" s="5">
        <f t="shared" ref="J45:J62" si="29">IF(H$12=0,0,H45/H$12)</f>
        <v>0</v>
      </c>
      <c r="K45" s="1"/>
      <c r="L45" s="1">
        <f t="shared" ref="L45:L62" si="30">+D45-H45</f>
        <v>0</v>
      </c>
      <c r="M45" s="1"/>
      <c r="N45" s="5">
        <f t="shared" ref="N45:N62" si="31">IF(H45=0,0,L45/H45)</f>
        <v>0</v>
      </c>
      <c r="O45" s="13"/>
      <c r="P45" s="1">
        <f>SUM(OSRRefP22_2x_0)</f>
        <v>0</v>
      </c>
      <c r="Q45" s="1"/>
      <c r="R45" s="5">
        <f t="shared" ref="R45:R62" si="32">IF(P$12=0,0,P45/P$12)</f>
        <v>0</v>
      </c>
      <c r="S45" s="1"/>
      <c r="T45" s="1">
        <f>SUM(OSRRefT22_2x_0)</f>
        <v>0</v>
      </c>
      <c r="U45" s="1"/>
      <c r="V45" s="5">
        <f t="shared" ref="V45:V62" si="33">IF(T$12=0,0,T45/T$12)</f>
        <v>0</v>
      </c>
      <c r="W45" s="1"/>
      <c r="X45" s="1">
        <f t="shared" ref="X45:X62" si="34">+P45-T45</f>
        <v>0</v>
      </c>
      <c r="Y45" s="1"/>
      <c r="Z45" s="5">
        <f t="shared" ref="Z45:Z62" si="35">IF(T45=0,0,X45/T45)</f>
        <v>0</v>
      </c>
    </row>
    <row r="46" spans="1:26" s="24" customFormat="1" hidden="1" outlineLevel="2" x14ac:dyDescent="0.25">
      <c r="A46" s="25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28"/>
        <v>0</v>
      </c>
      <c r="G46" s="2"/>
      <c r="H46" s="7">
        <v>0</v>
      </c>
      <c r="I46" s="2"/>
      <c r="J46" s="6">
        <f t="shared" si="29"/>
        <v>0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/>
      <c r="Q46" s="2"/>
      <c r="R46" s="6">
        <f t="shared" si="32"/>
        <v>0</v>
      </c>
      <c r="S46" s="2"/>
      <c r="T46" s="7">
        <v>0</v>
      </c>
      <c r="U46" s="2"/>
      <c r="V46" s="6">
        <f t="shared" si="33"/>
        <v>0</v>
      </c>
      <c r="W46" s="2"/>
      <c r="X46" s="7">
        <f t="shared" si="34"/>
        <v>0</v>
      </c>
      <c r="Y46" s="2"/>
      <c r="Z46" s="6">
        <f t="shared" si="35"/>
        <v>0</v>
      </c>
    </row>
    <row r="47" spans="1:26" s="27" customFormat="1" outlineLevel="1" collapsed="1" x14ac:dyDescent="0.25">
      <c r="A47" s="26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-5.26</v>
      </c>
      <c r="E47" s="1"/>
      <c r="F47" s="5">
        <f t="shared" si="28"/>
        <v>-2.4956705335326074E-4</v>
      </c>
      <c r="G47" s="1"/>
      <c r="H47" s="1">
        <f>SUM(OSRRefH22_3x_0)</f>
        <v>0</v>
      </c>
      <c r="I47" s="1"/>
      <c r="J47" s="5">
        <f t="shared" si="29"/>
        <v>0</v>
      </c>
      <c r="K47" s="1"/>
      <c r="L47" s="1">
        <f t="shared" si="30"/>
        <v>-5.26</v>
      </c>
      <c r="M47" s="1"/>
      <c r="N47" s="5">
        <f t="shared" si="31"/>
        <v>0</v>
      </c>
      <c r="O47" s="13"/>
      <c r="P47" s="1">
        <f>SUM(OSRRefP22_3x_0)</f>
        <v>-63.19</v>
      </c>
      <c r="Q47" s="1"/>
      <c r="R47" s="5">
        <f t="shared" si="32"/>
        <v>-2.9631862444383399E-4</v>
      </c>
      <c r="S47" s="1"/>
      <c r="T47" s="1">
        <f>SUM(OSRRefT22_3x_0)</f>
        <v>0</v>
      </c>
      <c r="U47" s="1"/>
      <c r="V47" s="5">
        <f t="shared" si="33"/>
        <v>0</v>
      </c>
      <c r="W47" s="1"/>
      <c r="X47" s="1">
        <f t="shared" si="34"/>
        <v>-63.19</v>
      </c>
      <c r="Y47" s="1"/>
      <c r="Z47" s="5">
        <f t="shared" si="35"/>
        <v>0</v>
      </c>
    </row>
    <row r="48" spans="1:26" s="24" customFormat="1" hidden="1" outlineLevel="2" x14ac:dyDescent="0.25">
      <c r="A48" s="25"/>
      <c r="B48" s="11" t="str">
        <f>CONCATENATE("          ", "6272", " - ", "CASH (OVER/SHORT)")</f>
        <v xml:space="preserve">          6272 - CASH (OVER/SHORT)</v>
      </c>
      <c r="C48" s="11"/>
      <c r="D48" s="7">
        <v>-5.26</v>
      </c>
      <c r="E48" s="2"/>
      <c r="F48" s="6">
        <f t="shared" si="28"/>
        <v>-2.4956705335326074E-4</v>
      </c>
      <c r="G48" s="2"/>
      <c r="H48" s="7">
        <v>0</v>
      </c>
      <c r="I48" s="2"/>
      <c r="J48" s="6">
        <f t="shared" si="29"/>
        <v>0</v>
      </c>
      <c r="K48" s="2"/>
      <c r="L48" s="7">
        <f t="shared" si="30"/>
        <v>-5.26</v>
      </c>
      <c r="M48" s="2"/>
      <c r="N48" s="6">
        <f t="shared" si="31"/>
        <v>0</v>
      </c>
      <c r="O48" s="11"/>
      <c r="P48" s="7">
        <v>-63.19</v>
      </c>
      <c r="Q48" s="2"/>
      <c r="R48" s="6">
        <f t="shared" si="32"/>
        <v>-2.9631862444383399E-4</v>
      </c>
      <c r="S48" s="2"/>
      <c r="T48" s="7">
        <v>0</v>
      </c>
      <c r="U48" s="2"/>
      <c r="V48" s="6">
        <f t="shared" si="33"/>
        <v>0</v>
      </c>
      <c r="W48" s="2"/>
      <c r="X48" s="7">
        <f t="shared" si="34"/>
        <v>-63.19</v>
      </c>
      <c r="Y48" s="2"/>
      <c r="Z48" s="6">
        <f t="shared" si="35"/>
        <v>0</v>
      </c>
    </row>
    <row r="49" spans="1:26" s="27" customFormat="1" outlineLevel="1" collapsed="1" x14ac:dyDescent="0.25">
      <c r="A49" s="26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888.27</v>
      </c>
      <c r="E49" s="1"/>
      <c r="F49" s="5">
        <f t="shared" si="28"/>
        <v>4.2145043057433634E-2</v>
      </c>
      <c r="G49" s="1"/>
      <c r="H49" s="1">
        <f>SUM(OSRRefH22_4x_0)</f>
        <v>588</v>
      </c>
      <c r="I49" s="1"/>
      <c r="J49" s="5">
        <f t="shared" si="29"/>
        <v>3.0692139054181021E-2</v>
      </c>
      <c r="K49" s="1"/>
      <c r="L49" s="1">
        <f t="shared" si="30"/>
        <v>300.27</v>
      </c>
      <c r="M49" s="1"/>
      <c r="N49" s="5">
        <f t="shared" si="31"/>
        <v>0.51066326530612238</v>
      </c>
      <c r="O49" s="13"/>
      <c r="P49" s="1">
        <f>SUM(OSRRefP22_4x_0)</f>
        <v>7606.38</v>
      </c>
      <c r="Q49" s="1"/>
      <c r="R49" s="5">
        <f t="shared" si="32"/>
        <v>3.566880928306837E-2</v>
      </c>
      <c r="S49" s="1"/>
      <c r="T49" s="1">
        <f>SUM(OSRRefT22_4x_0)</f>
        <v>5825</v>
      </c>
      <c r="U49" s="1"/>
      <c r="V49" s="5">
        <f t="shared" si="33"/>
        <v>3.0702817807107242E-2</v>
      </c>
      <c r="W49" s="1"/>
      <c r="X49" s="1">
        <f t="shared" si="34"/>
        <v>1781.38</v>
      </c>
      <c r="Y49" s="1"/>
      <c r="Z49" s="5">
        <f t="shared" si="35"/>
        <v>0.30581630901287554</v>
      </c>
    </row>
    <row r="50" spans="1:26" s="24" customFormat="1" hidden="1" outlineLevel="2" x14ac:dyDescent="0.25">
      <c r="A50" s="25"/>
      <c r="B50" s="11" t="str">
        <f>CONCATENATE("          ", "6381", " - ", "BANK/CREDIT CARD FEES")</f>
        <v xml:space="preserve">          6381 - BANK/CREDIT CARD FEES</v>
      </c>
      <c r="C50" s="11"/>
      <c r="D50" s="7">
        <v>888.27</v>
      </c>
      <c r="E50" s="2"/>
      <c r="F50" s="6">
        <f t="shared" si="28"/>
        <v>4.2145043057433634E-2</v>
      </c>
      <c r="G50" s="2"/>
      <c r="H50" s="7">
        <v>588</v>
      </c>
      <c r="I50" s="2"/>
      <c r="J50" s="6">
        <f t="shared" si="29"/>
        <v>3.0692139054181021E-2</v>
      </c>
      <c r="K50" s="2"/>
      <c r="L50" s="7">
        <f t="shared" si="30"/>
        <v>300.27</v>
      </c>
      <c r="M50" s="2"/>
      <c r="N50" s="6">
        <f t="shared" si="31"/>
        <v>0.51066326530612238</v>
      </c>
      <c r="O50" s="11"/>
      <c r="P50" s="7">
        <v>7606.38</v>
      </c>
      <c r="Q50" s="2"/>
      <c r="R50" s="6">
        <f t="shared" si="32"/>
        <v>3.566880928306837E-2</v>
      </c>
      <c r="S50" s="2"/>
      <c r="T50" s="7">
        <v>5825</v>
      </c>
      <c r="U50" s="2"/>
      <c r="V50" s="6">
        <f t="shared" si="33"/>
        <v>3.0702817807107242E-2</v>
      </c>
      <c r="W50" s="2"/>
      <c r="X50" s="7">
        <f t="shared" si="34"/>
        <v>1781.38</v>
      </c>
      <c r="Y50" s="2"/>
      <c r="Z50" s="6">
        <f t="shared" si="35"/>
        <v>0.30581630901287554</v>
      </c>
    </row>
    <row r="51" spans="1:26" s="27" customFormat="1" outlineLevel="1" collapsed="1" x14ac:dyDescent="0.25">
      <c r="A51" s="26"/>
      <c r="B51" s="13" t="str">
        <f>CONCATENATE("     ","Depreciation                                      ")</f>
        <v xml:space="preserve">     Depreciation                                      </v>
      </c>
      <c r="C51" s="13"/>
      <c r="D51" s="1">
        <f>SUM(OSRRefD22_5x_0)</f>
        <v>968.86</v>
      </c>
      <c r="E51" s="1"/>
      <c r="F51" s="5">
        <f t="shared" si="28"/>
        <v>4.5968732949019049E-2</v>
      </c>
      <c r="G51" s="1"/>
      <c r="H51" s="1">
        <f>SUM(OSRRefH22_5x_0)</f>
        <v>969</v>
      </c>
      <c r="I51" s="1"/>
      <c r="J51" s="5">
        <f t="shared" si="29"/>
        <v>5.0579392420920764E-2</v>
      </c>
      <c r="K51" s="1"/>
      <c r="L51" s="1">
        <f t="shared" si="30"/>
        <v>-0.13999999999998636</v>
      </c>
      <c r="M51" s="1"/>
      <c r="N51" s="5">
        <f t="shared" si="31"/>
        <v>-1.4447884416923256E-4</v>
      </c>
      <c r="O51" s="13"/>
      <c r="P51" s="1">
        <f>SUM(OSRRefP22_5x_0)</f>
        <v>6782.02</v>
      </c>
      <c r="Q51" s="1"/>
      <c r="R51" s="5">
        <f t="shared" si="32"/>
        <v>3.1803115007921684E-2</v>
      </c>
      <c r="S51" s="1"/>
      <c r="T51" s="1">
        <f>SUM(OSRRefT22_5x_0)</f>
        <v>6783</v>
      </c>
      <c r="U51" s="1"/>
      <c r="V51" s="5">
        <f t="shared" si="33"/>
        <v>3.5752311276499298E-2</v>
      </c>
      <c r="W51" s="1"/>
      <c r="X51" s="1">
        <f t="shared" si="34"/>
        <v>-0.97999999999956344</v>
      </c>
      <c r="Y51" s="1"/>
      <c r="Z51" s="5">
        <f t="shared" si="35"/>
        <v>-1.4447884416918228E-4</v>
      </c>
    </row>
    <row r="52" spans="1:26" s="24" customFormat="1" hidden="1" outlineLevel="2" x14ac:dyDescent="0.25">
      <c r="A52" s="25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968.86</v>
      </c>
      <c r="E52" s="2"/>
      <c r="F52" s="6">
        <f t="shared" si="28"/>
        <v>4.5968732949019049E-2</v>
      </c>
      <c r="G52" s="2"/>
      <c r="H52" s="7">
        <v>969</v>
      </c>
      <c r="I52" s="2"/>
      <c r="J52" s="6">
        <f t="shared" si="29"/>
        <v>5.0579392420920764E-2</v>
      </c>
      <c r="K52" s="2"/>
      <c r="L52" s="7">
        <f t="shared" si="30"/>
        <v>-0.13999999999998636</v>
      </c>
      <c r="M52" s="2"/>
      <c r="N52" s="6">
        <f t="shared" si="31"/>
        <v>-1.4447884416923256E-4</v>
      </c>
      <c r="O52" s="11"/>
      <c r="P52" s="7">
        <v>6782.02</v>
      </c>
      <c r="Q52" s="2"/>
      <c r="R52" s="6">
        <f t="shared" si="32"/>
        <v>3.1803115007921684E-2</v>
      </c>
      <c r="S52" s="2"/>
      <c r="T52" s="7">
        <v>6783</v>
      </c>
      <c r="U52" s="2"/>
      <c r="V52" s="6">
        <f t="shared" si="33"/>
        <v>3.5752311276499298E-2</v>
      </c>
      <c r="W52" s="2"/>
      <c r="X52" s="7">
        <f t="shared" si="34"/>
        <v>-0.97999999999956344</v>
      </c>
      <c r="Y52" s="2"/>
      <c r="Z52" s="6">
        <f t="shared" si="35"/>
        <v>-1.4447884416918228E-4</v>
      </c>
    </row>
    <row r="53" spans="1:26" s="27" customFormat="1" outlineLevel="1" collapsed="1" x14ac:dyDescent="0.25">
      <c r="A53" s="26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0</v>
      </c>
      <c r="E53" s="1"/>
      <c r="F53" s="5">
        <f t="shared" si="28"/>
        <v>0</v>
      </c>
      <c r="G53" s="1"/>
      <c r="H53" s="1">
        <f>SUM(OSRRefH22_6x_0)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SUM(OSRRefP22_6x_0)</f>
        <v>0</v>
      </c>
      <c r="Q53" s="1"/>
      <c r="R53" s="5">
        <f t="shared" si="32"/>
        <v>0</v>
      </c>
      <c r="S53" s="1"/>
      <c r="T53" s="1">
        <f>SUM(OSRRefT22_6x_0)</f>
        <v>0</v>
      </c>
      <c r="U53" s="1"/>
      <c r="V53" s="5">
        <f t="shared" si="33"/>
        <v>0</v>
      </c>
      <c r="W53" s="1"/>
      <c r="X53" s="1">
        <f t="shared" si="34"/>
        <v>0</v>
      </c>
      <c r="Y53" s="1"/>
      <c r="Z53" s="5">
        <f t="shared" si="35"/>
        <v>0</v>
      </c>
    </row>
    <row r="54" spans="1:26" s="24" customFormat="1" hidden="1" outlineLevel="2" x14ac:dyDescent="0.25">
      <c r="A54" s="25"/>
      <c r="B54" s="11" t="str">
        <f>CONCATENATE("          ", "6277", " - ", "EMPLOYEE APPRECIATION")</f>
        <v xml:space="preserve">          6277 - EMPLOYEE APPRECIATION</v>
      </c>
      <c r="C54" s="11"/>
      <c r="D54" s="7"/>
      <c r="E54" s="2"/>
      <c r="F54" s="6">
        <f t="shared" si="28"/>
        <v>0</v>
      </c>
      <c r="G54" s="2"/>
      <c r="H54" s="7">
        <v>0</v>
      </c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/>
      <c r="Q54" s="2"/>
      <c r="R54" s="6">
        <f t="shared" si="32"/>
        <v>0</v>
      </c>
      <c r="S54" s="2"/>
      <c r="T54" s="7">
        <v>0</v>
      </c>
      <c r="U54" s="2"/>
      <c r="V54" s="6">
        <f t="shared" si="33"/>
        <v>0</v>
      </c>
      <c r="W54" s="2"/>
      <c r="X54" s="7">
        <f t="shared" si="34"/>
        <v>0</v>
      </c>
      <c r="Y54" s="2"/>
      <c r="Z54" s="6">
        <f t="shared" si="35"/>
        <v>0</v>
      </c>
    </row>
    <row r="55" spans="1:26" s="27" customFormat="1" outlineLevel="1" collapsed="1" x14ac:dyDescent="0.25">
      <c r="A55" s="26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SUM(OSRRefD22_7x_0)</f>
        <v>13.5</v>
      </c>
      <c r="E55" s="1"/>
      <c r="F55" s="5">
        <f t="shared" si="28"/>
        <v>6.4052380613479471E-4</v>
      </c>
      <c r="G55" s="1"/>
      <c r="H55" s="1">
        <f>SUM(OSRRefH22_7x_0)</f>
        <v>133</v>
      </c>
      <c r="I55" s="1"/>
      <c r="J55" s="5">
        <f t="shared" si="29"/>
        <v>6.942269547969517E-3</v>
      </c>
      <c r="K55" s="1"/>
      <c r="L55" s="1">
        <f t="shared" si="30"/>
        <v>-119.5</v>
      </c>
      <c r="M55" s="1"/>
      <c r="N55" s="5">
        <f t="shared" si="31"/>
        <v>-0.89849624060150379</v>
      </c>
      <c r="O55" s="13"/>
      <c r="P55" s="1">
        <f>SUM(OSRRefP22_7x_0)</f>
        <v>1204.69</v>
      </c>
      <c r="Q55" s="1"/>
      <c r="R55" s="5">
        <f t="shared" si="32"/>
        <v>5.6491863219060362E-3</v>
      </c>
      <c r="S55" s="1"/>
      <c r="T55" s="1">
        <f>SUM(OSRRefT22_7x_0)</f>
        <v>1315</v>
      </c>
      <c r="U55" s="1"/>
      <c r="V55" s="5">
        <f t="shared" si="33"/>
        <v>6.9311940628920213E-3</v>
      </c>
      <c r="W55" s="1"/>
      <c r="X55" s="1">
        <f t="shared" si="34"/>
        <v>-110.30999999999995</v>
      </c>
      <c r="Y55" s="1"/>
      <c r="Z55" s="5">
        <f t="shared" si="35"/>
        <v>-8.3885931558935325E-2</v>
      </c>
    </row>
    <row r="56" spans="1:26" s="24" customFormat="1" hidden="1" outlineLevel="2" x14ac:dyDescent="0.25">
      <c r="A56" s="25"/>
      <c r="B56" s="11" t="str">
        <f>CONCATENATE("          ", "6279", " - ", "GENERAL EXPENSE")</f>
        <v xml:space="preserve">          6279 - GENERAL EXPENSE</v>
      </c>
      <c r="C56" s="11"/>
      <c r="D56" s="7">
        <v>13.5</v>
      </c>
      <c r="E56" s="2"/>
      <c r="F56" s="6">
        <f t="shared" si="28"/>
        <v>6.4052380613479471E-4</v>
      </c>
      <c r="G56" s="2"/>
      <c r="H56" s="7">
        <v>133</v>
      </c>
      <c r="I56" s="2"/>
      <c r="J56" s="6">
        <f t="shared" si="29"/>
        <v>6.942269547969517E-3</v>
      </c>
      <c r="K56" s="2"/>
      <c r="L56" s="7">
        <f t="shared" si="30"/>
        <v>-119.5</v>
      </c>
      <c r="M56" s="2"/>
      <c r="N56" s="6">
        <f t="shared" si="31"/>
        <v>-0.89849624060150379</v>
      </c>
      <c r="O56" s="11"/>
      <c r="P56" s="7">
        <v>1204.69</v>
      </c>
      <c r="Q56" s="2"/>
      <c r="R56" s="6">
        <f t="shared" si="32"/>
        <v>5.6491863219060362E-3</v>
      </c>
      <c r="S56" s="2"/>
      <c r="T56" s="7">
        <v>1315</v>
      </c>
      <c r="U56" s="2"/>
      <c r="V56" s="6">
        <f t="shared" si="33"/>
        <v>6.9311940628920213E-3</v>
      </c>
      <c r="W56" s="2"/>
      <c r="X56" s="7">
        <f t="shared" si="34"/>
        <v>-110.30999999999995</v>
      </c>
      <c r="Y56" s="2"/>
      <c r="Z56" s="6">
        <f t="shared" si="35"/>
        <v>-8.3885931558935325E-2</v>
      </c>
    </row>
    <row r="57" spans="1:26" s="27" customFormat="1" outlineLevel="1" collapsed="1" x14ac:dyDescent="0.25">
      <c r="A57" s="26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SUM(OSRRefD22_8x_0)</f>
        <v>0</v>
      </c>
      <c r="E57" s="1"/>
      <c r="F57" s="5">
        <f t="shared" si="28"/>
        <v>0</v>
      </c>
      <c r="G57" s="1"/>
      <c r="H57" s="1">
        <f>SUM(OSRRefH22_8x_0)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SUM(OSRRefP22_8x_0)</f>
        <v>0</v>
      </c>
      <c r="Q57" s="1"/>
      <c r="R57" s="5">
        <f t="shared" si="32"/>
        <v>0</v>
      </c>
      <c r="S57" s="1"/>
      <c r="T57" s="1">
        <f>SUM(OSRRefT22_8x_0)</f>
        <v>0</v>
      </c>
      <c r="U57" s="1"/>
      <c r="V57" s="5">
        <f t="shared" si="33"/>
        <v>0</v>
      </c>
      <c r="W57" s="1"/>
      <c r="X57" s="1">
        <f t="shared" si="34"/>
        <v>0</v>
      </c>
      <c r="Y57" s="1"/>
      <c r="Z57" s="5">
        <f t="shared" si="35"/>
        <v>0</v>
      </c>
    </row>
    <row r="58" spans="1:26" s="24" customFormat="1" hidden="1" outlineLevel="2" x14ac:dyDescent="0.25">
      <c r="A58" s="25"/>
      <c r="B58" s="11" t="str">
        <f>CONCATENATE("          ", "6387", " - ", "COMMISSION DUE HOUSING")</f>
        <v xml:space="preserve">          6387 - COMMISSION DUE HOUSING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0</v>
      </c>
      <c r="U58" s="2"/>
      <c r="V58" s="6">
        <f t="shared" si="33"/>
        <v>0</v>
      </c>
      <c r="W58" s="2"/>
      <c r="X58" s="7">
        <f t="shared" si="34"/>
        <v>0</v>
      </c>
      <c r="Y58" s="2"/>
      <c r="Z58" s="6">
        <f t="shared" si="35"/>
        <v>0</v>
      </c>
    </row>
    <row r="59" spans="1:26" s="27" customFormat="1" outlineLevel="1" collapsed="1" x14ac:dyDescent="0.25">
      <c r="A59" s="26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SUM(OSRRefD22_9x_0)</f>
        <v>0</v>
      </c>
      <c r="E59" s="1"/>
      <c r="F59" s="5">
        <f t="shared" si="28"/>
        <v>0</v>
      </c>
      <c r="G59" s="1"/>
      <c r="H59" s="1">
        <f>SUM(OSRRefH22_9x_0)</f>
        <v>0</v>
      </c>
      <c r="I59" s="1"/>
      <c r="J59" s="5">
        <f t="shared" si="29"/>
        <v>0</v>
      </c>
      <c r="K59" s="1"/>
      <c r="L59" s="1">
        <f t="shared" si="30"/>
        <v>0</v>
      </c>
      <c r="M59" s="1"/>
      <c r="N59" s="5">
        <f t="shared" si="31"/>
        <v>0</v>
      </c>
      <c r="O59" s="13"/>
      <c r="P59" s="1">
        <f>SUM(OSRRefP22_9x_0)</f>
        <v>887.48</v>
      </c>
      <c r="Q59" s="1"/>
      <c r="R59" s="5">
        <f t="shared" si="32"/>
        <v>4.1616846466436749E-3</v>
      </c>
      <c r="S59" s="1"/>
      <c r="T59" s="1">
        <f>SUM(OSRRefT22_9x_0)</f>
        <v>0</v>
      </c>
      <c r="U59" s="1"/>
      <c r="V59" s="5">
        <f t="shared" si="33"/>
        <v>0</v>
      </c>
      <c r="W59" s="1"/>
      <c r="X59" s="1">
        <f t="shared" si="34"/>
        <v>887.48</v>
      </c>
      <c r="Y59" s="1"/>
      <c r="Z59" s="5">
        <f t="shared" si="35"/>
        <v>0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437.31</v>
      </c>
      <c r="Q60" s="2"/>
      <c r="R60" s="6">
        <f t="shared" si="32"/>
        <v>2.0506899454903159E-3</v>
      </c>
      <c r="S60" s="2"/>
      <c r="T60" s="7">
        <v>0</v>
      </c>
      <c r="U60" s="2"/>
      <c r="V60" s="6">
        <f t="shared" si="33"/>
        <v>0</v>
      </c>
      <c r="W60" s="2"/>
      <c r="X60" s="7">
        <f t="shared" si="34"/>
        <v>437.31</v>
      </c>
      <c r="Y60" s="2"/>
      <c r="Z60" s="6">
        <f t="shared" si="35"/>
        <v>0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93.22</v>
      </c>
      <c r="Q61" s="2"/>
      <c r="R61" s="6">
        <f t="shared" si="32"/>
        <v>4.3713913863988301E-4</v>
      </c>
      <c r="S61" s="2"/>
      <c r="T61" s="7"/>
      <c r="U61" s="2"/>
      <c r="V61" s="6">
        <f t="shared" si="33"/>
        <v>0</v>
      </c>
      <c r="W61" s="2"/>
      <c r="X61" s="7">
        <f t="shared" si="34"/>
        <v>93.22</v>
      </c>
      <c r="Y61" s="2"/>
      <c r="Z61" s="6">
        <f t="shared" si="35"/>
        <v>0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7"/>
      <c r="E62" s="2"/>
      <c r="F62" s="6">
        <f t="shared" si="28"/>
        <v>0</v>
      </c>
      <c r="G62" s="2"/>
      <c r="H62" s="7"/>
      <c r="I62" s="2"/>
      <c r="J62" s="6">
        <f t="shared" si="29"/>
        <v>0</v>
      </c>
      <c r="K62" s="2"/>
      <c r="L62" s="7">
        <f t="shared" si="30"/>
        <v>0</v>
      </c>
      <c r="M62" s="2"/>
      <c r="N62" s="6">
        <f t="shared" si="31"/>
        <v>0</v>
      </c>
      <c r="O62" s="11"/>
      <c r="P62" s="7">
        <v>356.95</v>
      </c>
      <c r="Q62" s="2"/>
      <c r="R62" s="6">
        <f t="shared" si="32"/>
        <v>1.673855562513476E-3</v>
      </c>
      <c r="S62" s="2"/>
      <c r="T62" s="7"/>
      <c r="U62" s="2"/>
      <c r="V62" s="6">
        <f t="shared" si="33"/>
        <v>0</v>
      </c>
      <c r="W62" s="2"/>
      <c r="X62" s="7">
        <f t="shared" si="34"/>
        <v>356.95</v>
      </c>
      <c r="Y62" s="2"/>
      <c r="Z62" s="6">
        <f t="shared" si="35"/>
        <v>0</v>
      </c>
    </row>
    <row r="63" spans="1:26" s="27" customFormat="1" outlineLevel="1" collapsed="1" x14ac:dyDescent="0.25">
      <c r="A63" s="26"/>
      <c r="B63" s="13" t="str">
        <f>CONCATENATE("     ","Royalty &amp; Commissions                             ")</f>
        <v xml:space="preserve">     Royalty &amp; Commissions                             </v>
      </c>
      <c r="C63" s="13"/>
      <c r="D63" s="1">
        <f>SUM(OSRRefD22_10x_0)</f>
        <v>0</v>
      </c>
      <c r="E63" s="1"/>
      <c r="F63" s="5">
        <f t="shared" ref="F63:F65" si="36">IF(D$12=0,0,D63/D$12)</f>
        <v>0</v>
      </c>
      <c r="G63" s="1"/>
      <c r="H63" s="1">
        <f>SUM(OSRRefH22_10x_0)</f>
        <v>1707</v>
      </c>
      <c r="I63" s="1"/>
      <c r="J63" s="5">
        <f t="shared" ref="J63:J65" si="37">IF(H$12=0,0,H63/H$12)</f>
        <v>8.9101158784841844E-2</v>
      </c>
      <c r="K63" s="1"/>
      <c r="L63" s="1">
        <f t="shared" ref="L63:L65" si="38">+D63-H63</f>
        <v>-1707</v>
      </c>
      <c r="M63" s="1"/>
      <c r="N63" s="5">
        <f t="shared" ref="N63:N65" si="39">IF(H63=0,0,L63/H63)</f>
        <v>-1</v>
      </c>
      <c r="O63" s="13"/>
      <c r="P63" s="1">
        <f>SUM(OSRRefP22_10x_0)</f>
        <v>15334.79</v>
      </c>
      <c r="Q63" s="1"/>
      <c r="R63" s="5">
        <f t="shared" ref="R63:R65" si="40">IF(P$12=0,0,P63/P$12)</f>
        <v>7.190985723904196E-2</v>
      </c>
      <c r="S63" s="1"/>
      <c r="T63" s="1">
        <f>SUM(OSRRefT22_10x_0)</f>
        <v>16909</v>
      </c>
      <c r="U63" s="1"/>
      <c r="V63" s="5">
        <f t="shared" ref="V63:V65" si="41">IF(T$12=0,0,T63/T$12)</f>
        <v>8.9125140995772761E-2</v>
      </c>
      <c r="W63" s="1"/>
      <c r="X63" s="1">
        <f t="shared" ref="X63:X65" si="42">+P63-T63</f>
        <v>-1574.2099999999991</v>
      </c>
      <c r="Y63" s="1"/>
      <c r="Z63" s="5">
        <f t="shared" ref="Z63:Z65" si="43">IF(T63=0,0,X63/T63)</f>
        <v>-9.3098941392157977E-2</v>
      </c>
    </row>
    <row r="64" spans="1:26" s="24" customFormat="1" hidden="1" outlineLevel="2" x14ac:dyDescent="0.25">
      <c r="A64" s="25"/>
      <c r="B64" s="11" t="str">
        <f>CONCATENATE("          ", "6254", " - ", "ROYALTY &amp; COMMISSIONS")</f>
        <v xml:space="preserve">          6254 - ROYALTY &amp; COMMISSIONS</v>
      </c>
      <c r="C64" s="11"/>
      <c r="D64" s="7"/>
      <c r="E64" s="2"/>
      <c r="F64" s="6">
        <f t="shared" si="36"/>
        <v>0</v>
      </c>
      <c r="G64" s="2"/>
      <c r="H64" s="7"/>
      <c r="I64" s="2"/>
      <c r="J64" s="6">
        <f t="shared" si="37"/>
        <v>0</v>
      </c>
      <c r="K64" s="2"/>
      <c r="L64" s="7">
        <f t="shared" si="38"/>
        <v>0</v>
      </c>
      <c r="M64" s="2"/>
      <c r="N64" s="6">
        <f t="shared" si="39"/>
        <v>0</v>
      </c>
      <c r="O64" s="11"/>
      <c r="P64" s="7">
        <v>15334.79</v>
      </c>
      <c r="Q64" s="2"/>
      <c r="R64" s="6">
        <f t="shared" si="40"/>
        <v>7.190985723904196E-2</v>
      </c>
      <c r="S64" s="2"/>
      <c r="T64" s="7"/>
      <c r="U64" s="2"/>
      <c r="V64" s="6">
        <f t="shared" si="41"/>
        <v>0</v>
      </c>
      <c r="W64" s="2"/>
      <c r="X64" s="7">
        <f t="shared" si="42"/>
        <v>15334.79</v>
      </c>
      <c r="Y64" s="2"/>
      <c r="Z64" s="6">
        <f t="shared" si="43"/>
        <v>0</v>
      </c>
    </row>
    <row r="65" spans="1:26" s="24" customFormat="1" hidden="1" outlineLevel="2" x14ac:dyDescent="0.25">
      <c r="A65" s="25"/>
      <c r="B65" s="11" t="str">
        <f>CONCATENATE("          ", "6259", " - ", "ROYALTY &amp; COMMISSIONS")</f>
        <v xml:space="preserve">          6259 - ROYALTY &amp; COMMISSIONS</v>
      </c>
      <c r="C65" s="11"/>
      <c r="D65" s="7"/>
      <c r="E65" s="2"/>
      <c r="F65" s="6">
        <f t="shared" si="36"/>
        <v>0</v>
      </c>
      <c r="G65" s="2"/>
      <c r="H65" s="7">
        <v>1707</v>
      </c>
      <c r="I65" s="2"/>
      <c r="J65" s="6">
        <f t="shared" si="37"/>
        <v>8.9101158784841844E-2</v>
      </c>
      <c r="K65" s="2"/>
      <c r="L65" s="7">
        <f t="shared" si="38"/>
        <v>-1707</v>
      </c>
      <c r="M65" s="2"/>
      <c r="N65" s="6">
        <f t="shared" si="39"/>
        <v>-1</v>
      </c>
      <c r="O65" s="11"/>
      <c r="P65" s="7"/>
      <c r="Q65" s="2"/>
      <c r="R65" s="6">
        <f t="shared" si="40"/>
        <v>0</v>
      </c>
      <c r="S65" s="2"/>
      <c r="T65" s="7">
        <v>16909</v>
      </c>
      <c r="U65" s="2"/>
      <c r="V65" s="6">
        <f t="shared" si="41"/>
        <v>8.9125140995772761E-2</v>
      </c>
      <c r="W65" s="2"/>
      <c r="X65" s="7">
        <f t="shared" si="42"/>
        <v>-16909</v>
      </c>
      <c r="Y65" s="2"/>
      <c r="Z65" s="6">
        <f t="shared" si="43"/>
        <v>-1</v>
      </c>
    </row>
    <row r="66" spans="1:26" s="27" customFormat="1" outlineLevel="1" collapsed="1" x14ac:dyDescent="0.25">
      <c r="A66" s="26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SUM(OSRRefD22_11x_0)</f>
        <v>286.82</v>
      </c>
      <c r="E66" s="1"/>
      <c r="F66" s="5">
        <f t="shared" ref="F66:F69" si="44">IF(D$12=0,0,D66/D$12)</f>
        <v>1.3608521338931985E-2</v>
      </c>
      <c r="G66" s="1"/>
      <c r="H66" s="1">
        <f>SUM(OSRRefH22_11x_0)</f>
        <v>114</v>
      </c>
      <c r="I66" s="1"/>
      <c r="J66" s="5">
        <f t="shared" ref="J66:J69" si="45">IF(H$12=0,0,H66/H$12)</f>
        <v>5.9505167554024432E-3</v>
      </c>
      <c r="K66" s="1"/>
      <c r="L66" s="1">
        <f t="shared" ref="L66:L69" si="46">+D66-H66</f>
        <v>172.82</v>
      </c>
      <c r="M66" s="1"/>
      <c r="N66" s="5">
        <f t="shared" ref="N66:N69" si="47">IF(H66=0,0,L66/H66)</f>
        <v>1.5159649122807017</v>
      </c>
      <c r="O66" s="13"/>
      <c r="P66" s="1">
        <f>SUM(OSRRefP22_11x_0)</f>
        <v>1443.42</v>
      </c>
      <c r="Q66" s="1"/>
      <c r="R66" s="5">
        <f t="shared" ref="R66:R69" si="48">IF(P$12=0,0,P66/P$12)</f>
        <v>6.7686695504782226E-3</v>
      </c>
      <c r="S66" s="1"/>
      <c r="T66" s="1">
        <f>SUM(OSRRefT22_11x_0)</f>
        <v>1128</v>
      </c>
      <c r="U66" s="1"/>
      <c r="V66" s="5">
        <f t="shared" ref="V66:V69" si="49">IF(T$12=0,0,T66/T$12)</f>
        <v>5.9455413710587067E-3</v>
      </c>
      <c r="W66" s="1"/>
      <c r="X66" s="1">
        <f t="shared" ref="X66:X69" si="50">+P66-T66</f>
        <v>315.42000000000007</v>
      </c>
      <c r="Y66" s="1"/>
      <c r="Z66" s="5">
        <f t="shared" ref="Z66:Z69" si="51">IF(T66=0,0,X66/T66)</f>
        <v>0.27962765957446817</v>
      </c>
    </row>
    <row r="67" spans="1:26" s="24" customFormat="1" hidden="1" outlineLevel="2" x14ac:dyDescent="0.25">
      <c r="A67" s="25"/>
      <c r="B67" s="11" t="str">
        <f>CONCATENATE("          ", "6282", " - ", "JANITORIAL/EXTERMINATOR EXPENS")</f>
        <v xml:space="preserve">          6282 - JANITORIAL/EXTERMINATOR EXPENS</v>
      </c>
      <c r="C67" s="11"/>
      <c r="D67" s="7">
        <v>41</v>
      </c>
      <c r="E67" s="2"/>
      <c r="F67" s="6">
        <f t="shared" si="44"/>
        <v>1.9452945223353024E-3</v>
      </c>
      <c r="G67" s="2"/>
      <c r="H67" s="7"/>
      <c r="I67" s="2"/>
      <c r="J67" s="6">
        <f t="shared" si="45"/>
        <v>0</v>
      </c>
      <c r="K67" s="2"/>
      <c r="L67" s="7">
        <f t="shared" si="46"/>
        <v>41</v>
      </c>
      <c r="M67" s="2"/>
      <c r="N67" s="6">
        <f t="shared" si="47"/>
        <v>0</v>
      </c>
      <c r="O67" s="11"/>
      <c r="P67" s="7">
        <v>164</v>
      </c>
      <c r="Q67" s="2"/>
      <c r="R67" s="6">
        <f t="shared" si="48"/>
        <v>7.6904976117722385E-4</v>
      </c>
      <c r="S67" s="2"/>
      <c r="T67" s="7"/>
      <c r="U67" s="2"/>
      <c r="V67" s="6">
        <f t="shared" si="49"/>
        <v>0</v>
      </c>
      <c r="W67" s="2"/>
      <c r="X67" s="7">
        <f t="shared" si="50"/>
        <v>164</v>
      </c>
      <c r="Y67" s="2"/>
      <c r="Z67" s="6">
        <f t="shared" si="51"/>
        <v>0</v>
      </c>
    </row>
    <row r="68" spans="1:26" s="24" customFormat="1" hidden="1" outlineLevel="2" x14ac:dyDescent="0.25">
      <c r="A68" s="25"/>
      <c r="B68" s="11" t="str">
        <f>CONCATENATE("          ", "6285", " - ", "JANITORIAL SERVICES")</f>
        <v xml:space="preserve">          6285 - JANITORIAL SERVICES</v>
      </c>
      <c r="C68" s="11"/>
      <c r="D68" s="7">
        <v>24.22</v>
      </c>
      <c r="E68" s="2"/>
      <c r="F68" s="6">
        <f t="shared" si="44"/>
        <v>1.1491471544136833E-3</v>
      </c>
      <c r="G68" s="2"/>
      <c r="H68" s="7">
        <v>114</v>
      </c>
      <c r="I68" s="2"/>
      <c r="J68" s="6">
        <f t="shared" si="45"/>
        <v>5.9505167554024432E-3</v>
      </c>
      <c r="K68" s="2"/>
      <c r="L68" s="7">
        <f t="shared" si="46"/>
        <v>-89.78</v>
      </c>
      <c r="M68" s="2"/>
      <c r="N68" s="6">
        <f t="shared" si="47"/>
        <v>-0.78754385964912277</v>
      </c>
      <c r="O68" s="11"/>
      <c r="P68" s="7">
        <v>159.94</v>
      </c>
      <c r="Q68" s="2"/>
      <c r="R68" s="6">
        <f t="shared" si="48"/>
        <v>7.5001109026027557E-4</v>
      </c>
      <c r="S68" s="2"/>
      <c r="T68" s="7">
        <v>1128</v>
      </c>
      <c r="U68" s="2"/>
      <c r="V68" s="6">
        <f t="shared" si="49"/>
        <v>5.9455413710587067E-3</v>
      </c>
      <c r="W68" s="2"/>
      <c r="X68" s="7">
        <f t="shared" si="50"/>
        <v>-968.06</v>
      </c>
      <c r="Y68" s="2"/>
      <c r="Z68" s="6">
        <f t="shared" si="51"/>
        <v>-0.85820921985815601</v>
      </c>
    </row>
    <row r="69" spans="1:26" s="24" customFormat="1" hidden="1" outlineLevel="2" x14ac:dyDescent="0.25">
      <c r="A69" s="25"/>
      <c r="B69" s="11" t="str">
        <f>CONCATENATE("          ", "6286", " - ", "LAUNDRY EXPENSE")</f>
        <v xml:space="preserve">          6286 - LAUNDRY EXPENSE</v>
      </c>
      <c r="C69" s="11"/>
      <c r="D69" s="7">
        <v>221.6</v>
      </c>
      <c r="E69" s="2"/>
      <c r="F69" s="6">
        <f t="shared" si="44"/>
        <v>1.0514079662183E-2</v>
      </c>
      <c r="G69" s="2"/>
      <c r="H69" s="7"/>
      <c r="I69" s="2"/>
      <c r="J69" s="6">
        <f t="shared" si="45"/>
        <v>0</v>
      </c>
      <c r="K69" s="2"/>
      <c r="L69" s="7">
        <f t="shared" si="46"/>
        <v>221.6</v>
      </c>
      <c r="M69" s="2"/>
      <c r="N69" s="6">
        <f t="shared" si="47"/>
        <v>0</v>
      </c>
      <c r="O69" s="11"/>
      <c r="P69" s="7">
        <v>1119.48</v>
      </c>
      <c r="Q69" s="2"/>
      <c r="R69" s="6">
        <f t="shared" si="48"/>
        <v>5.2496086990407231E-3</v>
      </c>
      <c r="S69" s="2"/>
      <c r="T69" s="7"/>
      <c r="U69" s="2"/>
      <c r="V69" s="6">
        <f t="shared" si="49"/>
        <v>0</v>
      </c>
      <c r="W69" s="2"/>
      <c r="X69" s="7">
        <f t="shared" si="50"/>
        <v>1119.48</v>
      </c>
      <c r="Y69" s="2"/>
      <c r="Z69" s="6">
        <f t="shared" si="51"/>
        <v>0</v>
      </c>
    </row>
    <row r="70" spans="1:26" s="27" customFormat="1" outlineLevel="1" collapsed="1" x14ac:dyDescent="0.25">
      <c r="A70" s="26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SUM(OSRRefD22_12x_0)</f>
        <v>1330.55</v>
      </c>
      <c r="E70" s="1"/>
      <c r="F70" s="5">
        <f t="shared" ref="F70:F73" si="52">IF(D$12=0,0,D70/D$12)</f>
        <v>6.312955187056675E-2</v>
      </c>
      <c r="G70" s="1"/>
      <c r="H70" s="1">
        <f>SUM(OSRRefH22_12x_0)</f>
        <v>304</v>
      </c>
      <c r="I70" s="1"/>
      <c r="J70" s="5">
        <f t="shared" ref="J70:J73" si="53">IF(H$12=0,0,H70/H$12)</f>
        <v>1.5868044681073182E-2</v>
      </c>
      <c r="K70" s="1"/>
      <c r="L70" s="1">
        <f t="shared" ref="L70:L73" si="54">+D70-H70</f>
        <v>1026.55</v>
      </c>
      <c r="M70" s="1"/>
      <c r="N70" s="5">
        <f t="shared" ref="N70:N73" si="55">IF(H70=0,0,L70/H70)</f>
        <v>3.3768092105263157</v>
      </c>
      <c r="O70" s="13"/>
      <c r="P70" s="1">
        <f>SUM(OSRRefP22_12x_0)</f>
        <v>7470.54</v>
      </c>
      <c r="Q70" s="1"/>
      <c r="R70" s="5">
        <f t="shared" ref="R70:R73" si="56">IF(P$12=0,0,P70/P$12)</f>
        <v>3.5031810993078644E-2</v>
      </c>
      <c r="S70" s="1"/>
      <c r="T70" s="1">
        <f>SUM(OSRRefT22_12x_0)</f>
        <v>3006</v>
      </c>
      <c r="U70" s="1"/>
      <c r="V70" s="5">
        <f t="shared" ref="V70:V73" si="57">IF(T$12=0,0,T70/T$12)</f>
        <v>1.5844235249470276E-2</v>
      </c>
      <c r="W70" s="1"/>
      <c r="X70" s="1">
        <f t="shared" ref="X70:X73" si="58">+P70-T70</f>
        <v>4464.54</v>
      </c>
      <c r="Y70" s="1"/>
      <c r="Z70" s="5">
        <f t="shared" ref="Z70:Z73" si="59">IF(T70=0,0,X70/T70)</f>
        <v>1.4852095808383234</v>
      </c>
    </row>
    <row r="71" spans="1:26" s="24" customFormat="1" hidden="1" outlineLevel="2" x14ac:dyDescent="0.25">
      <c r="A71" s="25"/>
      <c r="B71" s="11" t="str">
        <f>CONCATENATE("          ", "6234", " - ", "EXPENDABLE SUPPLIES &amp; EQUIPMEN")</f>
        <v xml:space="preserve">          6234 - EXPENDABLE SUPPLIES &amp; EQUIPMEN</v>
      </c>
      <c r="C71" s="11"/>
      <c r="D71" s="7"/>
      <c r="E71" s="2"/>
      <c r="F71" s="6">
        <f t="shared" si="52"/>
        <v>0</v>
      </c>
      <c r="G71" s="2"/>
      <c r="H71" s="7"/>
      <c r="I71" s="2"/>
      <c r="J71" s="6">
        <f t="shared" si="53"/>
        <v>0</v>
      </c>
      <c r="K71" s="2"/>
      <c r="L71" s="7">
        <f t="shared" si="54"/>
        <v>0</v>
      </c>
      <c r="M71" s="2"/>
      <c r="N71" s="6">
        <f t="shared" si="55"/>
        <v>0</v>
      </c>
      <c r="O71" s="11"/>
      <c r="P71" s="7">
        <v>354.71</v>
      </c>
      <c r="Q71" s="2"/>
      <c r="R71" s="6">
        <f t="shared" si="56"/>
        <v>1.66335146821447E-3</v>
      </c>
      <c r="S71" s="2"/>
      <c r="T71" s="7"/>
      <c r="U71" s="2"/>
      <c r="V71" s="6">
        <f t="shared" si="57"/>
        <v>0</v>
      </c>
      <c r="W71" s="2"/>
      <c r="X71" s="7">
        <f t="shared" si="58"/>
        <v>354.71</v>
      </c>
      <c r="Y71" s="2"/>
      <c r="Z71" s="6">
        <f t="shared" si="59"/>
        <v>0</v>
      </c>
    </row>
    <row r="72" spans="1:26" s="24" customFormat="1" hidden="1" outlineLevel="2" x14ac:dyDescent="0.25">
      <c r="A72" s="25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52"/>
        <v>0</v>
      </c>
      <c r="G72" s="2"/>
      <c r="H72" s="7"/>
      <c r="I72" s="2"/>
      <c r="J72" s="6">
        <f t="shared" si="53"/>
        <v>0</v>
      </c>
      <c r="K72" s="2"/>
      <c r="L72" s="7">
        <f t="shared" si="54"/>
        <v>0</v>
      </c>
      <c r="M72" s="2"/>
      <c r="N72" s="6">
        <f t="shared" si="55"/>
        <v>0</v>
      </c>
      <c r="O72" s="11"/>
      <c r="P72" s="7">
        <v>20.93</v>
      </c>
      <c r="Q72" s="2"/>
      <c r="R72" s="6">
        <f t="shared" si="56"/>
        <v>9.8147631106337174E-5</v>
      </c>
      <c r="S72" s="2"/>
      <c r="T72" s="7"/>
      <c r="U72" s="2"/>
      <c r="V72" s="6">
        <f t="shared" si="57"/>
        <v>0</v>
      </c>
      <c r="W72" s="2"/>
      <c r="X72" s="7">
        <f t="shared" si="58"/>
        <v>20.93</v>
      </c>
      <c r="Y72" s="2"/>
      <c r="Z72" s="6">
        <f t="shared" si="59"/>
        <v>0</v>
      </c>
    </row>
    <row r="73" spans="1:26" s="24" customFormat="1" hidden="1" outlineLevel="2" x14ac:dyDescent="0.25">
      <c r="A73" s="25"/>
      <c r="B73" s="11" t="str">
        <f>CONCATENATE("          ", "6247", " - ", "STORE SUPPLIES")</f>
        <v xml:space="preserve">          6247 - STORE SUPPLIES</v>
      </c>
      <c r="C73" s="11"/>
      <c r="D73" s="7">
        <v>1330.55</v>
      </c>
      <c r="E73" s="2"/>
      <c r="F73" s="6">
        <f t="shared" si="52"/>
        <v>6.312955187056675E-2</v>
      </c>
      <c r="G73" s="2"/>
      <c r="H73" s="7">
        <v>304</v>
      </c>
      <c r="I73" s="2"/>
      <c r="J73" s="6">
        <f t="shared" si="53"/>
        <v>1.5868044681073182E-2</v>
      </c>
      <c r="K73" s="2"/>
      <c r="L73" s="7">
        <f t="shared" si="54"/>
        <v>1026.55</v>
      </c>
      <c r="M73" s="2"/>
      <c r="N73" s="6">
        <f t="shared" si="55"/>
        <v>3.3768092105263157</v>
      </c>
      <c r="O73" s="11"/>
      <c r="P73" s="7">
        <v>7094.9</v>
      </c>
      <c r="Q73" s="2"/>
      <c r="R73" s="6">
        <f t="shared" si="56"/>
        <v>3.3270311893757835E-2</v>
      </c>
      <c r="S73" s="2"/>
      <c r="T73" s="7">
        <v>3006</v>
      </c>
      <c r="U73" s="2"/>
      <c r="V73" s="6">
        <f t="shared" si="57"/>
        <v>1.5844235249470276E-2</v>
      </c>
      <c r="W73" s="2"/>
      <c r="X73" s="7">
        <f t="shared" si="58"/>
        <v>4088.8999999999996</v>
      </c>
      <c r="Y73" s="2"/>
      <c r="Z73" s="6">
        <f t="shared" si="59"/>
        <v>1.3602461743180305</v>
      </c>
    </row>
    <row r="74" spans="1:26" s="27" customFormat="1" outlineLevel="1" collapsed="1" x14ac:dyDescent="0.25">
      <c r="A74" s="26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SUM(OSRRefD22_13x_0)</f>
        <v>51.5</v>
      </c>
      <c r="E74" s="1"/>
      <c r="F74" s="5">
        <f t="shared" ref="F74:F77" si="60">IF(D$12=0,0,D74/D$12)</f>
        <v>2.443479704884587E-3</v>
      </c>
      <c r="G74" s="1"/>
      <c r="H74" s="1">
        <f>SUM(OSRRefH22_13x_0)</f>
        <v>75</v>
      </c>
      <c r="I74" s="1"/>
      <c r="J74" s="5">
        <f t="shared" ref="J74:J77" si="61">IF(H$12=0,0,H74/H$12)</f>
        <v>3.9148136548700285E-3</v>
      </c>
      <c r="K74" s="1"/>
      <c r="L74" s="1">
        <f t="shared" ref="L74:L77" si="62">+D74-H74</f>
        <v>-23.5</v>
      </c>
      <c r="M74" s="1"/>
      <c r="N74" s="5">
        <f t="shared" ref="N74:N77" si="63">IF(H74=0,0,L74/H74)</f>
        <v>-0.31333333333333335</v>
      </c>
      <c r="O74" s="13"/>
      <c r="P74" s="1">
        <f>SUM(OSRRefP22_13x_0)</f>
        <v>381.5</v>
      </c>
      <c r="Q74" s="1"/>
      <c r="R74" s="5">
        <f t="shared" ref="R74:R77" si="64">IF(P$12=0,0,P74/P$12)</f>
        <v>1.7889785602994569E-3</v>
      </c>
      <c r="S74" s="1"/>
      <c r="T74" s="1">
        <f>SUM(OSRRefT22_13x_0)</f>
        <v>525</v>
      </c>
      <c r="U74" s="1"/>
      <c r="V74" s="5">
        <f t="shared" ref="V74:V77" si="65">IF(T$12=0,0,T74/T$12)</f>
        <v>2.7672067551470047E-3</v>
      </c>
      <c r="W74" s="1"/>
      <c r="X74" s="1">
        <f t="shared" ref="X74:X77" si="66">+P74-T74</f>
        <v>-143.5</v>
      </c>
      <c r="Y74" s="1"/>
      <c r="Z74" s="5">
        <f t="shared" ref="Z74:Z77" si="67">IF(T74=0,0,X74/T74)</f>
        <v>-0.27333333333333332</v>
      </c>
    </row>
    <row r="75" spans="1:26" s="24" customFormat="1" hidden="1" outlineLevel="2" x14ac:dyDescent="0.25">
      <c r="A75" s="25"/>
      <c r="B75" s="11" t="str">
        <f>CONCATENATE("          ", "6309", " - ", "TELEPHONE")</f>
        <v xml:space="preserve">          6309 - TELEPHONE</v>
      </c>
      <c r="C75" s="11"/>
      <c r="D75" s="7">
        <v>51.5</v>
      </c>
      <c r="E75" s="2"/>
      <c r="F75" s="6">
        <f t="shared" si="60"/>
        <v>2.443479704884587E-3</v>
      </c>
      <c r="G75" s="2"/>
      <c r="H75" s="7">
        <v>75</v>
      </c>
      <c r="I75" s="2"/>
      <c r="J75" s="6">
        <f t="shared" si="61"/>
        <v>3.9148136548700285E-3</v>
      </c>
      <c r="K75" s="2"/>
      <c r="L75" s="7">
        <f t="shared" si="62"/>
        <v>-23.5</v>
      </c>
      <c r="M75" s="2"/>
      <c r="N75" s="6">
        <f t="shared" si="63"/>
        <v>-0.31333333333333335</v>
      </c>
      <c r="O75" s="11"/>
      <c r="P75" s="7">
        <v>381.5</v>
      </c>
      <c r="Q75" s="2"/>
      <c r="R75" s="6">
        <f t="shared" si="64"/>
        <v>1.7889785602994569E-3</v>
      </c>
      <c r="S75" s="2"/>
      <c r="T75" s="7">
        <v>525</v>
      </c>
      <c r="U75" s="2"/>
      <c r="V75" s="6">
        <f t="shared" si="65"/>
        <v>2.7672067551470047E-3</v>
      </c>
      <c r="W75" s="2"/>
      <c r="X75" s="7">
        <f t="shared" si="66"/>
        <v>-143.5</v>
      </c>
      <c r="Y75" s="2"/>
      <c r="Z75" s="6">
        <f t="shared" si="67"/>
        <v>-0.27333333333333332</v>
      </c>
    </row>
    <row r="76" spans="1:26" s="27" customFormat="1" outlineLevel="1" collapsed="1" x14ac:dyDescent="0.25">
      <c r="A76" s="26"/>
      <c r="B76" s="13" t="str">
        <f>CONCATENATE("     ","Utilities                                         ")</f>
        <v xml:space="preserve">     Utilities                                         </v>
      </c>
      <c r="C76" s="13"/>
      <c r="D76" s="1">
        <f>SUM(OSRRefD22_14x_0)</f>
        <v>19</v>
      </c>
      <c r="E76" s="1"/>
      <c r="F76" s="5">
        <f t="shared" si="60"/>
        <v>9.0147794937489622E-4</v>
      </c>
      <c r="G76" s="1"/>
      <c r="H76" s="1">
        <f>SUM(OSRRefH22_14x_0)</f>
        <v>19</v>
      </c>
      <c r="I76" s="1"/>
      <c r="J76" s="5">
        <f t="shared" si="61"/>
        <v>9.9175279256707386E-4</v>
      </c>
      <c r="K76" s="1"/>
      <c r="L76" s="1">
        <f t="shared" si="62"/>
        <v>0</v>
      </c>
      <c r="M76" s="1"/>
      <c r="N76" s="5">
        <f t="shared" si="63"/>
        <v>0</v>
      </c>
      <c r="O76" s="13"/>
      <c r="P76" s="1">
        <f>SUM(OSRRefP22_14x_0)</f>
        <v>-731.88</v>
      </c>
      <c r="Q76" s="1"/>
      <c r="R76" s="5">
        <f t="shared" si="64"/>
        <v>-3.4320252390877232E-3</v>
      </c>
      <c r="S76" s="1"/>
      <c r="T76" s="1">
        <f>SUM(OSRRefT22_14x_0)</f>
        <v>188</v>
      </c>
      <c r="U76" s="1"/>
      <c r="V76" s="5">
        <f t="shared" si="65"/>
        <v>9.9092356184311793E-4</v>
      </c>
      <c r="W76" s="1"/>
      <c r="X76" s="1">
        <f t="shared" si="66"/>
        <v>-919.88</v>
      </c>
      <c r="Y76" s="1"/>
      <c r="Z76" s="5">
        <f t="shared" si="67"/>
        <v>-4.892978723404255</v>
      </c>
    </row>
    <row r="77" spans="1:26" s="24" customFormat="1" hidden="1" outlineLevel="2" x14ac:dyDescent="0.25">
      <c r="A77" s="25"/>
      <c r="B77" s="11" t="str">
        <f>CONCATENATE("          ", "6274", " - ", "UTILITIES")</f>
        <v xml:space="preserve">          6274 - UTILITIES</v>
      </c>
      <c r="C77" s="11"/>
      <c r="D77" s="7">
        <v>19</v>
      </c>
      <c r="E77" s="2"/>
      <c r="F77" s="6">
        <f t="shared" si="60"/>
        <v>9.0147794937489622E-4</v>
      </c>
      <c r="G77" s="2"/>
      <c r="H77" s="7">
        <v>19</v>
      </c>
      <c r="I77" s="2"/>
      <c r="J77" s="6">
        <f t="shared" si="61"/>
        <v>9.9175279256707386E-4</v>
      </c>
      <c r="K77" s="2"/>
      <c r="L77" s="7">
        <f t="shared" si="62"/>
        <v>0</v>
      </c>
      <c r="M77" s="2"/>
      <c r="N77" s="6">
        <f t="shared" si="63"/>
        <v>0</v>
      </c>
      <c r="O77" s="11"/>
      <c r="P77" s="7">
        <v>-731.88</v>
      </c>
      <c r="Q77" s="2"/>
      <c r="R77" s="6">
        <f t="shared" si="64"/>
        <v>-3.4320252390877232E-3</v>
      </c>
      <c r="S77" s="2"/>
      <c r="T77" s="7">
        <v>188</v>
      </c>
      <c r="U77" s="2"/>
      <c r="V77" s="6">
        <f t="shared" si="65"/>
        <v>9.9092356184311793E-4</v>
      </c>
      <c r="W77" s="2"/>
      <c r="X77" s="7">
        <f t="shared" si="66"/>
        <v>-919.88</v>
      </c>
      <c r="Y77" s="2"/>
      <c r="Z77" s="6">
        <f t="shared" si="67"/>
        <v>-4.892978723404255</v>
      </c>
    </row>
    <row r="78" spans="1:26" s="53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8" t="s">
        <v>0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9" t="s">
        <v>3</v>
      </c>
      <c r="C81" s="29"/>
      <c r="D81" s="21">
        <f>+D22-D24+D79</f>
        <v>2482.7700000000041</v>
      </c>
      <c r="E81" s="14"/>
      <c r="F81" s="20">
        <f>IF(D$12=0,0,D81/D$12)</f>
        <v>0.11779802149313236</v>
      </c>
      <c r="G81" s="14"/>
      <c r="H81" s="21">
        <f>+H22-H24+H79</f>
        <v>-3134.0105383173104</v>
      </c>
      <c r="I81" s="14"/>
      <c r="J81" s="20">
        <f>IF(H$12=0,0,H81/H$12)</f>
        <v>-0.16358756333214899</v>
      </c>
      <c r="K81" s="16"/>
      <c r="L81" s="21">
        <f>+D81-H81</f>
        <v>5616.7805383173145</v>
      </c>
      <c r="M81" s="16"/>
      <c r="N81" s="20">
        <f>IF(H81=0,0,L81/H81)</f>
        <v>-1.792202186190808</v>
      </c>
      <c r="O81" s="28"/>
      <c r="P81" s="21">
        <f>+P22-P24+P79</f>
        <v>21645.560000000012</v>
      </c>
      <c r="Q81" s="14"/>
      <c r="R81" s="20">
        <f>IF(P$12=0,0,P81/P$12)</f>
        <v>0.1015031265155322</v>
      </c>
      <c r="S81" s="14"/>
      <c r="T81" s="21">
        <f>+T22-T24+T79</f>
        <v>7473.4659266826638</v>
      </c>
      <c r="U81" s="14"/>
      <c r="V81" s="20">
        <f>IF(T$12=0,0,T81/T$12)</f>
        <v>3.939166742224235E-2</v>
      </c>
      <c r="W81" s="16"/>
      <c r="X81" s="21">
        <f>+P81-T81</f>
        <v>14172.094073317348</v>
      </c>
      <c r="Y81" s="16"/>
      <c r="Z81" s="20">
        <f>IF(T81=0,0,X81/T81)</f>
        <v>1.8963214942505378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2"/>
      <c r="B83" s="10" t="s">
        <v>14</v>
      </c>
      <c r="C83" s="10"/>
      <c r="D83" s="4">
        <v>1482.73</v>
      </c>
      <c r="E83" s="4"/>
      <c r="F83" s="12">
        <f>IF(D$12=0,0,D83/D$12)</f>
        <v>7.034991578298104E-2</v>
      </c>
      <c r="G83" s="4"/>
      <c r="H83" s="4">
        <v>1388</v>
      </c>
      <c r="I83" s="4"/>
      <c r="J83" s="12">
        <f>IF(H$12=0,0,H83/H$12)</f>
        <v>7.2450151372794661E-2</v>
      </c>
      <c r="K83" s="4"/>
      <c r="L83" s="4">
        <f>+D83-H83</f>
        <v>94.730000000000018</v>
      </c>
      <c r="M83" s="4"/>
      <c r="N83" s="12">
        <f>IF(H83=0,0,L83/H83)</f>
        <v>6.8249279538904917E-2</v>
      </c>
      <c r="O83" s="10"/>
      <c r="P83" s="4">
        <v>22238.969999999998</v>
      </c>
      <c r="Q83" s="4"/>
      <c r="R83" s="12">
        <f>IF(P$12=0,0,P83/P$12)</f>
        <v>0.10428582053248442</v>
      </c>
      <c r="S83" s="4"/>
      <c r="T83" s="4">
        <v>23359</v>
      </c>
      <c r="U83" s="4"/>
      <c r="V83" s="12">
        <f>IF(T$12=0,0,T83/T$12)</f>
        <v>0.12312225255900738</v>
      </c>
      <c r="W83" s="4"/>
      <c r="X83" s="4">
        <f>+P83-T83</f>
        <v>-1120.0300000000025</v>
      </c>
      <c r="Y83" s="4"/>
      <c r="Z83" s="12">
        <f>IF(T83=0,0,X83/T83)</f>
        <v>-4.7948542317736313E-2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9" t="s">
        <v>4</v>
      </c>
      <c r="C85" s="29"/>
      <c r="D85" s="34">
        <f>+D81-D83</f>
        <v>1000.0400000000041</v>
      </c>
      <c r="E85" s="14"/>
      <c r="F85" s="32">
        <f>IF(D$12=0,0,D85/D$12)</f>
        <v>4.744810571015131E-2</v>
      </c>
      <c r="G85" s="14"/>
      <c r="H85" s="34">
        <f>+H81-H83</f>
        <v>-4522.0105383173104</v>
      </c>
      <c r="I85" s="14"/>
      <c r="J85" s="32">
        <f>IF(H$12=0,0,H85/H$12)</f>
        <v>-0.23603771470494364</v>
      </c>
      <c r="K85" s="16"/>
      <c r="L85" s="34">
        <f>D85-H85</f>
        <v>5522.0505383173149</v>
      </c>
      <c r="M85" s="16"/>
      <c r="N85" s="32">
        <f>IF(H85=0,0,L85/H85)</f>
        <v>-1.2211494182789169</v>
      </c>
      <c r="O85" s="28"/>
      <c r="P85" s="34">
        <f>+P81-P83</f>
        <v>-593.4099999999853</v>
      </c>
      <c r="Q85" s="14"/>
      <c r="R85" s="32">
        <f>IF(P$12=0,0,P85/P$12)</f>
        <v>-2.7826940169522266E-3</v>
      </c>
      <c r="S85" s="14"/>
      <c r="T85" s="34">
        <f>+T81-T83</f>
        <v>-15885.534073317336</v>
      </c>
      <c r="U85" s="14"/>
      <c r="V85" s="32">
        <f>IF(T$12=0,0,T85/T$12)</f>
        <v>-8.373058513676504E-2</v>
      </c>
      <c r="W85" s="16"/>
      <c r="X85" s="34">
        <f>P85-T85</f>
        <v>15292.124073317351</v>
      </c>
      <c r="Y85" s="16"/>
      <c r="Z85" s="32">
        <f>IF(T85=0,0,X85/T85)</f>
        <v>-0.96264463018610591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9" t="s">
        <v>5</v>
      </c>
      <c r="C88" s="29"/>
      <c r="D88" s="31">
        <f>SUM(D85:D87)</f>
        <v>1000.0400000000041</v>
      </c>
      <c r="E88" s="14"/>
      <c r="F88" s="30">
        <f>IF(D$12=0,0,D88/D$12)</f>
        <v>4.744810571015131E-2</v>
      </c>
      <c r="G88" s="14"/>
      <c r="H88" s="31">
        <f>SUM(H85:H87)</f>
        <v>-4522.0105383173104</v>
      </c>
      <c r="I88" s="14"/>
      <c r="J88" s="30">
        <f>IF(H$12=0,0,H88/H$12)</f>
        <v>-0.23603771470494364</v>
      </c>
      <c r="K88" s="16"/>
      <c r="L88" s="31">
        <f>+D88-H88</f>
        <v>5522.0505383173149</v>
      </c>
      <c r="M88" s="16"/>
      <c r="N88" s="30">
        <f>IF(H88=0,0,L88/H88)</f>
        <v>-1.2211494182789169</v>
      </c>
      <c r="O88" s="28"/>
      <c r="P88" s="31">
        <f>SUM(P85:P87)</f>
        <v>-593.4099999999853</v>
      </c>
      <c r="Q88" s="14"/>
      <c r="R88" s="30">
        <f>IF(P$12=0,0,P88/P$12)</f>
        <v>-2.7826940169522266E-3</v>
      </c>
      <c r="S88" s="14"/>
      <c r="T88" s="31">
        <f>SUM(T85:T87)</f>
        <v>-15885.534073317336</v>
      </c>
      <c r="U88" s="14"/>
      <c r="V88" s="30">
        <f>IF(T$12=0,0,T88/T$12)</f>
        <v>-8.373058513676504E-2</v>
      </c>
      <c r="W88" s="16"/>
      <c r="X88" s="31">
        <f>+P88-T88</f>
        <v>15292.124073317351</v>
      </c>
      <c r="Y88" s="16"/>
      <c r="Z88" s="30">
        <f>IF(T88=0,0,X88/T88)</f>
        <v>-0.96264463018610591</v>
      </c>
    </row>
    <row r="89" spans="1:26" ht="15.75" thickTop="1" x14ac:dyDescent="0.25">
      <c r="A89" s="9"/>
      <c r="C89" s="9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63">
        <v>43879.546318946763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7" t="s">
        <v>314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60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","322", " - ", "Beach Hut")</f>
        <v>Department 322 - Beach Hut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47485.21</v>
      </c>
      <c r="E12" s="4"/>
      <c r="F12" s="12"/>
      <c r="G12" s="4"/>
      <c r="H12" s="4">
        <f>SUM(OSRRefH13x_0)</f>
        <v>51927</v>
      </c>
      <c r="I12" s="4"/>
      <c r="J12" s="12"/>
      <c r="K12" s="4"/>
      <c r="L12" s="4">
        <f t="shared" ref="L12:L15" si="0">+D12-H12</f>
        <v>-4441.7900000000009</v>
      </c>
      <c r="M12" s="4"/>
      <c r="N12" s="12">
        <f t="shared" ref="N12:N15" si="1">IF(H12=0,0,L12/H12)</f>
        <v>-8.5539122229283435E-2</v>
      </c>
      <c r="O12" s="10"/>
      <c r="P12" s="4">
        <f>SUM(OSRRefP13x_0)</f>
        <v>533100.18000000005</v>
      </c>
      <c r="Q12" s="4"/>
      <c r="R12" s="12"/>
      <c r="S12" s="4"/>
      <c r="T12" s="4">
        <f>SUM(OSRRefT13x_0)</f>
        <v>576727</v>
      </c>
      <c r="U12" s="4"/>
      <c r="V12" s="12"/>
      <c r="W12" s="4"/>
      <c r="X12" s="4">
        <f t="shared" ref="X12:X15" si="2">+P12-T12</f>
        <v>-43626.819999999949</v>
      </c>
      <c r="Y12" s="4"/>
      <c r="Z12" s="12">
        <f t="shared" ref="Z12:Z15" si="3">IF(T12=0,0,X12/T12)</f>
        <v>-7.5645530727709909E-2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--5141.06</f>
        <v>5141.0600000000004</v>
      </c>
      <c r="E13" s="2"/>
      <c r="F13" s="19"/>
      <c r="G13" s="2"/>
      <c r="H13" s="2"/>
      <c r="I13" s="2"/>
      <c r="J13" s="19"/>
      <c r="K13" s="2"/>
      <c r="L13" s="2">
        <f t="shared" si="0"/>
        <v>5141.0600000000004</v>
      </c>
      <c r="M13" s="2"/>
      <c r="N13" s="19">
        <f t="shared" si="1"/>
        <v>0</v>
      </c>
      <c r="O13" s="11"/>
      <c r="P13" s="2">
        <f>--68272.53</f>
        <v>68272.53</v>
      </c>
      <c r="Q13" s="2"/>
      <c r="R13" s="19"/>
      <c r="S13" s="2"/>
      <c r="T13" s="2"/>
      <c r="U13" s="2"/>
      <c r="V13" s="19"/>
      <c r="W13" s="2"/>
      <c r="X13" s="2">
        <f t="shared" si="2"/>
        <v>68272.53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51927</v>
      </c>
      <c r="I14" s="2"/>
      <c r="J14" s="19"/>
      <c r="K14" s="2"/>
      <c r="L14" s="2">
        <f t="shared" si="0"/>
        <v>-51927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576727</v>
      </c>
      <c r="U14" s="2"/>
      <c r="V14" s="19"/>
      <c r="W14" s="2"/>
      <c r="X14" s="2">
        <f t="shared" si="2"/>
        <v>-576727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--42344.15</f>
        <v>42344.15</v>
      </c>
      <c r="E15" s="2"/>
      <c r="F15" s="19"/>
      <c r="G15" s="2"/>
      <c r="H15" s="2"/>
      <c r="I15" s="2"/>
      <c r="J15" s="19"/>
      <c r="K15" s="2"/>
      <c r="L15" s="2">
        <f t="shared" si="0"/>
        <v>42344.15</v>
      </c>
      <c r="M15" s="2"/>
      <c r="N15" s="19">
        <f t="shared" si="1"/>
        <v>0</v>
      </c>
      <c r="O15" s="11"/>
      <c r="P15" s="2">
        <f>--464827.65</f>
        <v>464827.65</v>
      </c>
      <c r="Q15" s="2"/>
      <c r="R15" s="19"/>
      <c r="S15" s="2"/>
      <c r="T15" s="2"/>
      <c r="U15" s="2"/>
      <c r="V15" s="19"/>
      <c r="W15" s="2"/>
      <c r="X15" s="2">
        <f t="shared" si="2"/>
        <v>464827.65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22793.030000000002</v>
      </c>
      <c r="E17" s="4"/>
      <c r="F17" s="12">
        <f t="shared" ref="F17:F20" si="4">IF(D$12=0,0,D17/D$12)</f>
        <v>0.48000272084718593</v>
      </c>
      <c r="G17" s="4"/>
      <c r="H17" s="4">
        <f>SUM(OSRRefH16x_0)</f>
        <v>24925</v>
      </c>
      <c r="I17" s="4"/>
      <c r="J17" s="12">
        <f t="shared" ref="J17:J20" si="5">IF(H$12=0,0,H17/H$12)</f>
        <v>0.48000077031216903</v>
      </c>
      <c r="K17" s="4"/>
      <c r="L17" s="4">
        <f t="shared" ref="L17:L20" si="6">+D17-H17</f>
        <v>-2131.9699999999975</v>
      </c>
      <c r="M17" s="4"/>
      <c r="N17" s="12">
        <f t="shared" ref="N17:N20" si="7">IF(H17=0,0,L17/H17)</f>
        <v>-8.5535406218655866E-2</v>
      </c>
      <c r="O17" s="10"/>
      <c r="P17" s="4">
        <f>SUM(OSRRefP16x_0)</f>
        <v>269829.16000000003</v>
      </c>
      <c r="Q17" s="4"/>
      <c r="R17" s="12">
        <f t="shared" ref="R17:R20" si="8">IF(P$12=0,0,P17/P$12)</f>
        <v>0.50615094521258652</v>
      </c>
      <c r="S17" s="4"/>
      <c r="T17" s="4">
        <f>SUM(OSRRefT16x_0)</f>
        <v>276829</v>
      </c>
      <c r="U17" s="4"/>
      <c r="V17" s="12">
        <f t="shared" ref="V17:V20" si="9">IF(T$12=0,0,T17/T$12)</f>
        <v>0.48000006935690542</v>
      </c>
      <c r="W17" s="4"/>
      <c r="X17" s="4">
        <f t="shared" ref="X17:X20" si="10">+P17-T17</f>
        <v>-6999.8399999999674</v>
      </c>
      <c r="Y17" s="4"/>
      <c r="Z17" s="12">
        <f t="shared" ref="Z17:Z20" si="11">IF(T17=0,0,X17/T17)</f>
        <v>-2.5285790144818524E-2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24925</v>
      </c>
      <c r="I18" s="2"/>
      <c r="J18" s="19">
        <f t="shared" si="5"/>
        <v>0.48000077031216903</v>
      </c>
      <c r="K18" s="2"/>
      <c r="L18" s="2">
        <f t="shared" si="6"/>
        <v>-24925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276829</v>
      </c>
      <c r="U18" s="2"/>
      <c r="V18" s="19">
        <f t="shared" si="9"/>
        <v>0.48000006935690542</v>
      </c>
      <c r="W18" s="2"/>
      <c r="X18" s="2">
        <f t="shared" si="10"/>
        <v>-276829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32109.820000000003</v>
      </c>
      <c r="E19" s="2"/>
      <c r="F19" s="19">
        <f t="shared" si="4"/>
        <v>0.67620675995746893</v>
      </c>
      <c r="G19" s="2"/>
      <c r="H19" s="2"/>
      <c r="I19" s="2"/>
      <c r="J19" s="19">
        <f t="shared" si="5"/>
        <v>0</v>
      </c>
      <c r="K19" s="2"/>
      <c r="L19" s="2">
        <f t="shared" si="6"/>
        <v>32109.820000000003</v>
      </c>
      <c r="M19" s="2"/>
      <c r="N19" s="19">
        <f t="shared" si="7"/>
        <v>0</v>
      </c>
      <c r="O19" s="11"/>
      <c r="P19" s="2">
        <v>285348.11000000004</v>
      </c>
      <c r="Q19" s="2"/>
      <c r="R19" s="19">
        <f t="shared" si="8"/>
        <v>0.53526170259406036</v>
      </c>
      <c r="S19" s="2"/>
      <c r="T19" s="2"/>
      <c r="U19" s="2"/>
      <c r="V19" s="19">
        <f t="shared" si="9"/>
        <v>0</v>
      </c>
      <c r="W19" s="2"/>
      <c r="X19" s="2">
        <f t="shared" si="10"/>
        <v>285348.11000000004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-9316.7900000000009</v>
      </c>
      <c r="E20" s="2"/>
      <c r="F20" s="19">
        <f t="shared" si="4"/>
        <v>-0.196204039110283</v>
      </c>
      <c r="G20" s="2"/>
      <c r="H20" s="2"/>
      <c r="I20" s="2"/>
      <c r="J20" s="19">
        <f t="shared" si="5"/>
        <v>0</v>
      </c>
      <c r="K20" s="2"/>
      <c r="L20" s="2">
        <f t="shared" si="6"/>
        <v>-9316.7900000000009</v>
      </c>
      <c r="M20" s="2"/>
      <c r="N20" s="19">
        <f t="shared" si="7"/>
        <v>0</v>
      </c>
      <c r="O20" s="11"/>
      <c r="P20" s="2">
        <v>-15518.950000000003</v>
      </c>
      <c r="Q20" s="2"/>
      <c r="R20" s="19">
        <f t="shared" si="8"/>
        <v>-2.9110757381473781E-2</v>
      </c>
      <c r="S20" s="2"/>
      <c r="T20" s="2"/>
      <c r="U20" s="2"/>
      <c r="V20" s="19">
        <f t="shared" si="9"/>
        <v>0</v>
      </c>
      <c r="W20" s="2"/>
      <c r="X20" s="2">
        <f t="shared" si="10"/>
        <v>-15518.950000000003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1">
        <f>D12-D17</f>
        <v>24692.179999999997</v>
      </c>
      <c r="E22" s="14"/>
      <c r="F22" s="20">
        <f>IF(D$12=0,0,D22/D$12)</f>
        <v>0.51999727915281402</v>
      </c>
      <c r="G22" s="14"/>
      <c r="H22" s="21">
        <f>H12-H17</f>
        <v>27002</v>
      </c>
      <c r="I22" s="14"/>
      <c r="J22" s="20">
        <f>IF(H$12=0,0,H22/H$12)</f>
        <v>0.51999922968783097</v>
      </c>
      <c r="K22" s="16"/>
      <c r="L22" s="21">
        <f>+D22-H22</f>
        <v>-2309.8200000000033</v>
      </c>
      <c r="M22" s="16"/>
      <c r="N22" s="20">
        <f>IF(H22=0,0,L22/H22)</f>
        <v>-8.554255240352579E-2</v>
      </c>
      <c r="O22" s="28"/>
      <c r="P22" s="21">
        <f>P12-P17</f>
        <v>263271.02</v>
      </c>
      <c r="Q22" s="14"/>
      <c r="R22" s="20">
        <f>IF(P$12=0,0,P22/P$12)</f>
        <v>0.49384905478741348</v>
      </c>
      <c r="S22" s="14"/>
      <c r="T22" s="21">
        <f>T12-T17</f>
        <v>299898</v>
      </c>
      <c r="U22" s="14"/>
      <c r="V22" s="20">
        <f>IF(T$12=0,0,T22/T$12)</f>
        <v>0.51999993064309458</v>
      </c>
      <c r="W22" s="16"/>
      <c r="X22" s="21">
        <f>+P22-T22</f>
        <v>-36626.979999999981</v>
      </c>
      <c r="Y22" s="16"/>
      <c r="Z22" s="20">
        <f>IF(T22=0,0,X22/T22)</f>
        <v>-0.12213145802906315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2">
        <f>SUM(OSRRefD22x_0)</f>
        <v>24954.720000000001</v>
      </c>
      <c r="E24" s="22"/>
      <c r="F24" s="35">
        <f t="shared" ref="F24:F34" si="12">IF(D$12=0,0,D24/D$12)</f>
        <v>0.52552615856600404</v>
      </c>
      <c r="G24" s="22"/>
      <c r="H24" s="22">
        <f>SUM(OSRRefH22x_0)</f>
        <v>23684.978519161541</v>
      </c>
      <c r="I24" s="22"/>
      <c r="J24" s="35">
        <f t="shared" ref="J24:J34" si="13">IF(H$12=0,0,H24/H$12)</f>
        <v>0.45612067939918621</v>
      </c>
      <c r="K24" s="4"/>
      <c r="L24" s="22">
        <f t="shared" ref="L24:L34" si="14">+D24-H24</f>
        <v>1269.7414808384601</v>
      </c>
      <c r="M24" s="4"/>
      <c r="N24" s="35">
        <f t="shared" ref="N24:N34" si="15">IF(H24=0,0,L24/H24)</f>
        <v>5.3609568605317424E-2</v>
      </c>
      <c r="O24" s="10"/>
      <c r="P24" s="22">
        <f>SUM(OSRRefP22x_0)</f>
        <v>197926.69999999998</v>
      </c>
      <c r="Q24" s="22"/>
      <c r="R24" s="35">
        <f t="shared" ref="R24:R34" si="16">IF(P$12=0,0,P24/P$12)</f>
        <v>0.3712748699503346</v>
      </c>
      <c r="S24" s="22"/>
      <c r="T24" s="22">
        <f>SUM(OSRRefT22x_0)</f>
        <v>190084.82605166154</v>
      </c>
      <c r="U24" s="22"/>
      <c r="V24" s="35">
        <f t="shared" ref="V24:V34" si="17">IF(T$12=0,0,T24/T$12)</f>
        <v>0.32959238262065332</v>
      </c>
      <c r="W24" s="4"/>
      <c r="X24" s="22">
        <f t="shared" ref="X24:X34" si="18">+P24-T24</f>
        <v>7841.8739483384416</v>
      </c>
      <c r="Y24" s="4"/>
      <c r="Z24" s="35">
        <f t="shared" ref="Z24:Z34" si="19">IF(T24=0,0,X24/T24)</f>
        <v>4.1254602543641043E-2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2342.9299999999998</v>
      </c>
      <c r="E25" s="1"/>
      <c r="F25" s="5">
        <f t="shared" si="12"/>
        <v>4.9340205087015511E-2</v>
      </c>
      <c r="G25" s="1"/>
      <c r="H25" s="1">
        <f>SUM(OSRRefH22_0x_0)</f>
        <v>2407.641480700001</v>
      </c>
      <c r="I25" s="1"/>
      <c r="J25" s="5">
        <f t="shared" si="13"/>
        <v>4.6365888279700368E-2</v>
      </c>
      <c r="K25" s="1"/>
      <c r="L25" s="1">
        <f t="shared" si="14"/>
        <v>-64.711480700001175</v>
      </c>
      <c r="M25" s="1"/>
      <c r="N25" s="5">
        <f t="shared" si="15"/>
        <v>-2.6877540206354508E-2</v>
      </c>
      <c r="O25" s="13"/>
      <c r="P25" s="1">
        <f>SUM(OSRRefP22_0x_0)</f>
        <v>16787.210000000003</v>
      </c>
      <c r="Q25" s="1"/>
      <c r="R25" s="5">
        <f t="shared" si="16"/>
        <v>3.1489784903092698E-2</v>
      </c>
      <c r="S25" s="1"/>
      <c r="T25" s="1">
        <f>SUM(OSRRefT22_0x_0)</f>
        <v>16828.689013200001</v>
      </c>
      <c r="U25" s="1"/>
      <c r="V25" s="5">
        <f t="shared" si="17"/>
        <v>2.9179644811496604E-2</v>
      </c>
      <c r="W25" s="1"/>
      <c r="X25" s="1">
        <f t="shared" si="18"/>
        <v>-41.479013199998008</v>
      </c>
      <c r="Y25" s="1"/>
      <c r="Z25" s="5">
        <f t="shared" si="19"/>
        <v>-2.4647798273212435E-3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7">
        <v>355.22</v>
      </c>
      <c r="E26" s="2"/>
      <c r="F26" s="6">
        <f t="shared" si="12"/>
        <v>7.4806450261039178E-3</v>
      </c>
      <c r="G26" s="2"/>
      <c r="H26" s="7">
        <v>398.04236116153902</v>
      </c>
      <c r="I26" s="2"/>
      <c r="J26" s="6">
        <f t="shared" si="13"/>
        <v>7.665421864570243E-3</v>
      </c>
      <c r="K26" s="2"/>
      <c r="L26" s="7">
        <f t="shared" si="14"/>
        <v>-42.822361161538993</v>
      </c>
      <c r="M26" s="2"/>
      <c r="N26" s="6">
        <f t="shared" si="15"/>
        <v>-0.10758242172159217</v>
      </c>
      <c r="O26" s="11"/>
      <c r="P26" s="7">
        <v>3910.88</v>
      </c>
      <c r="Q26" s="2"/>
      <c r="R26" s="6">
        <f t="shared" si="16"/>
        <v>7.3361070709073847E-3</v>
      </c>
      <c r="S26" s="2"/>
      <c r="T26" s="7">
        <v>2717.6857936615406</v>
      </c>
      <c r="U26" s="2"/>
      <c r="V26" s="6">
        <f t="shared" si="17"/>
        <v>4.71225691473009E-3</v>
      </c>
      <c r="W26" s="2"/>
      <c r="X26" s="7">
        <f t="shared" si="18"/>
        <v>1193.1942063384595</v>
      </c>
      <c r="Y26" s="2"/>
      <c r="Z26" s="6">
        <f t="shared" si="19"/>
        <v>0.43904788740528677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7">
        <v>241.62</v>
      </c>
      <c r="E27" s="2"/>
      <c r="F27" s="6">
        <f t="shared" si="12"/>
        <v>5.0883211846383331E-3</v>
      </c>
      <c r="G27" s="2"/>
      <c r="H27" s="7">
        <v>292.83547576923098</v>
      </c>
      <c r="I27" s="2"/>
      <c r="J27" s="6">
        <f t="shared" si="13"/>
        <v>5.639368262546093E-3</v>
      </c>
      <c r="K27" s="2"/>
      <c r="L27" s="7">
        <f t="shared" si="14"/>
        <v>-51.215475769230977</v>
      </c>
      <c r="M27" s="2"/>
      <c r="N27" s="6">
        <f t="shared" si="15"/>
        <v>-0.17489505202433647</v>
      </c>
      <c r="O27" s="11"/>
      <c r="P27" s="7">
        <v>1979.07</v>
      </c>
      <c r="Q27" s="2"/>
      <c r="R27" s="6">
        <f t="shared" si="16"/>
        <v>3.7123791629558251E-3</v>
      </c>
      <c r="S27" s="2"/>
      <c r="T27" s="7">
        <v>2280.5632257692328</v>
      </c>
      <c r="U27" s="2"/>
      <c r="V27" s="6">
        <f t="shared" si="17"/>
        <v>3.9543201996251826E-3</v>
      </c>
      <c r="W27" s="2"/>
      <c r="X27" s="7">
        <f t="shared" si="18"/>
        <v>-301.49322576923282</v>
      </c>
      <c r="Y27" s="2"/>
      <c r="Z27" s="6">
        <f t="shared" si="19"/>
        <v>-0.13220121343820201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7">
        <v>683.68</v>
      </c>
      <c r="E28" s="2"/>
      <c r="F28" s="6">
        <f t="shared" si="12"/>
        <v>1.4397746161383724E-2</v>
      </c>
      <c r="G28" s="2"/>
      <c r="H28" s="7">
        <v>663</v>
      </c>
      <c r="I28" s="2"/>
      <c r="J28" s="6">
        <f t="shared" si="13"/>
        <v>1.276792420128257E-2</v>
      </c>
      <c r="K28" s="2"/>
      <c r="L28" s="7">
        <f t="shared" si="14"/>
        <v>20.67999999999995</v>
      </c>
      <c r="M28" s="2"/>
      <c r="N28" s="6">
        <f t="shared" si="15"/>
        <v>3.1191553544494644E-2</v>
      </c>
      <c r="O28" s="11"/>
      <c r="P28" s="7">
        <v>4530.5200000000004</v>
      </c>
      <c r="Q28" s="2"/>
      <c r="R28" s="6">
        <f t="shared" si="16"/>
        <v>8.4984401993636535E-3</v>
      </c>
      <c r="S28" s="2"/>
      <c r="T28" s="7">
        <v>4641</v>
      </c>
      <c r="U28" s="2"/>
      <c r="V28" s="6">
        <f t="shared" si="17"/>
        <v>8.0471349529326695E-3</v>
      </c>
      <c r="W28" s="2"/>
      <c r="X28" s="7">
        <f t="shared" si="18"/>
        <v>-110.47999999999956</v>
      </c>
      <c r="Y28" s="2"/>
      <c r="Z28" s="6">
        <f t="shared" si="19"/>
        <v>-2.3805214393449594E-2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7">
        <v>33.06</v>
      </c>
      <c r="E29" s="2"/>
      <c r="F29" s="6">
        <f t="shared" si="12"/>
        <v>6.9621677991947388E-4</v>
      </c>
      <c r="G29" s="2"/>
      <c r="H29" s="7">
        <v>40.072223000000001</v>
      </c>
      <c r="I29" s="2"/>
      <c r="J29" s="6">
        <f t="shared" si="13"/>
        <v>7.7170302540104378E-4</v>
      </c>
      <c r="K29" s="2"/>
      <c r="L29" s="7">
        <f t="shared" si="14"/>
        <v>-7.0122229999999988</v>
      </c>
      <c r="M29" s="2"/>
      <c r="N29" s="6">
        <f t="shared" si="15"/>
        <v>-0.17498961812026248</v>
      </c>
      <c r="O29" s="11"/>
      <c r="P29" s="7">
        <v>315.99</v>
      </c>
      <c r="Q29" s="2"/>
      <c r="R29" s="6">
        <f t="shared" si="16"/>
        <v>5.9274037386368916E-4</v>
      </c>
      <c r="S29" s="2"/>
      <c r="T29" s="7">
        <v>312.07707299999998</v>
      </c>
      <c r="U29" s="2"/>
      <c r="V29" s="6">
        <f t="shared" si="17"/>
        <v>5.4111750100134027E-4</v>
      </c>
      <c r="W29" s="2"/>
      <c r="X29" s="7">
        <f t="shared" si="18"/>
        <v>3.9129270000000247</v>
      </c>
      <c r="Y29" s="2"/>
      <c r="Z29" s="6">
        <f t="shared" si="19"/>
        <v>1.2538335361790659E-2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7">
        <v>424.69</v>
      </c>
      <c r="E30" s="2"/>
      <c r="F30" s="6">
        <f t="shared" si="12"/>
        <v>8.9436268682396049E-3</v>
      </c>
      <c r="G30" s="2"/>
      <c r="H30" s="7">
        <v>447.29704769230801</v>
      </c>
      <c r="I30" s="2"/>
      <c r="J30" s="6">
        <f t="shared" si="13"/>
        <v>8.6139589749515289E-3</v>
      </c>
      <c r="K30" s="2"/>
      <c r="L30" s="7">
        <f t="shared" si="14"/>
        <v>-22.607047692308015</v>
      </c>
      <c r="M30" s="2"/>
      <c r="N30" s="6">
        <f t="shared" si="15"/>
        <v>-5.0541464132039651E-2</v>
      </c>
      <c r="O30" s="11"/>
      <c r="P30" s="7">
        <v>1899.9</v>
      </c>
      <c r="Q30" s="2"/>
      <c r="R30" s="6">
        <f t="shared" si="16"/>
        <v>3.5638704905333178E-3</v>
      </c>
      <c r="S30" s="2"/>
      <c r="T30" s="7">
        <v>2658.271047692308</v>
      </c>
      <c r="U30" s="2"/>
      <c r="V30" s="6">
        <f t="shared" si="17"/>
        <v>4.6092363417913644E-3</v>
      </c>
      <c r="W30" s="2"/>
      <c r="X30" s="7">
        <f t="shared" si="18"/>
        <v>-758.37104769230791</v>
      </c>
      <c r="Y30" s="2"/>
      <c r="Z30" s="6">
        <f t="shared" si="19"/>
        <v>-0.28528732927767586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7">
        <v>239.72</v>
      </c>
      <c r="E32" s="2"/>
      <c r="F32" s="6">
        <f t="shared" si="12"/>
        <v>5.0483087260222714E-3</v>
      </c>
      <c r="G32" s="2"/>
      <c r="H32" s="7">
        <v>156.03385384615402</v>
      </c>
      <c r="I32" s="2"/>
      <c r="J32" s="6">
        <f t="shared" si="13"/>
        <v>3.0048694098668135E-3</v>
      </c>
      <c r="K32" s="2"/>
      <c r="L32" s="7">
        <f t="shared" si="14"/>
        <v>83.686146153845982</v>
      </c>
      <c r="M32" s="2"/>
      <c r="N32" s="6">
        <f t="shared" si="15"/>
        <v>0.53633326416688198</v>
      </c>
      <c r="O32" s="11"/>
      <c r="P32" s="7">
        <v>1678.04</v>
      </c>
      <c r="Q32" s="2"/>
      <c r="R32" s="6">
        <f t="shared" si="16"/>
        <v>3.1477010568632707E-3</v>
      </c>
      <c r="S32" s="2"/>
      <c r="T32" s="7">
        <v>927.30385384615408</v>
      </c>
      <c r="U32" s="2"/>
      <c r="V32" s="6">
        <f t="shared" si="17"/>
        <v>1.6078731424853598E-3</v>
      </c>
      <c r="W32" s="2"/>
      <c r="X32" s="7">
        <f t="shared" si="18"/>
        <v>750.73614615384588</v>
      </c>
      <c r="Y32" s="2"/>
      <c r="Z32" s="6">
        <f t="shared" si="19"/>
        <v>0.80959023629637372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7">
        <v>191.88</v>
      </c>
      <c r="E33" s="2"/>
      <c r="F33" s="6">
        <f t="shared" si="12"/>
        <v>4.0408371364473276E-3</v>
      </c>
      <c r="G33" s="2"/>
      <c r="H33" s="7">
        <v>410.360519230769</v>
      </c>
      <c r="I33" s="2"/>
      <c r="J33" s="6">
        <f t="shared" si="13"/>
        <v>7.9026425410820764E-3</v>
      </c>
      <c r="K33" s="2"/>
      <c r="L33" s="7">
        <f t="shared" si="14"/>
        <v>-218.480519230769</v>
      </c>
      <c r="M33" s="2"/>
      <c r="N33" s="6">
        <f t="shared" si="15"/>
        <v>-0.53241115797473937</v>
      </c>
      <c r="O33" s="11"/>
      <c r="P33" s="7">
        <v>1343.16</v>
      </c>
      <c r="Q33" s="2"/>
      <c r="R33" s="6">
        <f t="shared" si="16"/>
        <v>2.51952644247841E-3</v>
      </c>
      <c r="S33" s="2"/>
      <c r="T33" s="7">
        <v>3291.7880192307671</v>
      </c>
      <c r="U33" s="2"/>
      <c r="V33" s="6">
        <f t="shared" si="17"/>
        <v>5.7077057589305985E-3</v>
      </c>
      <c r="W33" s="2"/>
      <c r="X33" s="7">
        <f t="shared" si="18"/>
        <v>-1948.628019230767</v>
      </c>
      <c r="Y33" s="2"/>
      <c r="Z33" s="6">
        <f t="shared" si="19"/>
        <v>-0.59196643521599757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7">
        <v>173.06</v>
      </c>
      <c r="E34" s="2"/>
      <c r="F34" s="6">
        <f t="shared" si="12"/>
        <v>3.6445032042608638E-3</v>
      </c>
      <c r="G34" s="2"/>
      <c r="H34" s="7"/>
      <c r="I34" s="2"/>
      <c r="J34" s="6">
        <f t="shared" si="13"/>
        <v>0</v>
      </c>
      <c r="K34" s="2"/>
      <c r="L34" s="7">
        <f t="shared" si="14"/>
        <v>173.06</v>
      </c>
      <c r="M34" s="2"/>
      <c r="N34" s="6">
        <f t="shared" si="15"/>
        <v>0</v>
      </c>
      <c r="O34" s="11"/>
      <c r="P34" s="7">
        <v>1129.6500000000001</v>
      </c>
      <c r="Q34" s="2"/>
      <c r="R34" s="6">
        <f t="shared" si="16"/>
        <v>2.1190201061271449E-3</v>
      </c>
      <c r="S34" s="2"/>
      <c r="T34" s="7"/>
      <c r="U34" s="2"/>
      <c r="V34" s="6">
        <f t="shared" si="17"/>
        <v>0</v>
      </c>
      <c r="W34" s="2"/>
      <c r="X34" s="7">
        <f t="shared" si="18"/>
        <v>1129.6500000000001</v>
      </c>
      <c r="Y34" s="2"/>
      <c r="Z34" s="6">
        <f t="shared" si="19"/>
        <v>0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15854.490000000002</v>
      </c>
      <c r="E35" s="1"/>
      <c r="F35" s="5">
        <f t="shared" ref="F35:F45" si="20">IF(D$12=0,0,D35/D$12)</f>
        <v>0.33388269737040233</v>
      </c>
      <c r="G35" s="1"/>
      <c r="H35" s="1">
        <f>SUM(OSRRefH22_1x_0)</f>
        <v>15152.337038461539</v>
      </c>
      <c r="I35" s="1"/>
      <c r="J35" s="5">
        <f t="shared" ref="J35:J45" si="21">IF(H$12=0,0,H35/H$12)</f>
        <v>0.29180074024036706</v>
      </c>
      <c r="K35" s="1"/>
      <c r="L35" s="1">
        <f t="shared" ref="L35:L45" si="22">+D35-H35</f>
        <v>702.15296153846248</v>
      </c>
      <c r="M35" s="1"/>
      <c r="N35" s="5">
        <f t="shared" ref="N35:N45" si="23">IF(H35=0,0,L35/H35)</f>
        <v>4.63395817923117E-2</v>
      </c>
      <c r="O35" s="13"/>
      <c r="P35" s="1">
        <f>SUM(OSRRefP22_1x_0)</f>
        <v>116257.38</v>
      </c>
      <c r="Q35" s="1"/>
      <c r="R35" s="5">
        <f t="shared" ref="R35:R45" si="24">IF(P$12=0,0,P35/P$12)</f>
        <v>0.21807792299000911</v>
      </c>
      <c r="S35" s="1"/>
      <c r="T35" s="1">
        <f>SUM(OSRRefT22_1x_0)</f>
        <v>118484.13703846154</v>
      </c>
      <c r="U35" s="1"/>
      <c r="V35" s="5">
        <f t="shared" ref="V35:V45" si="25">IF(T$12=0,0,T35/T$12)</f>
        <v>0.20544232719893735</v>
      </c>
      <c r="W35" s="1"/>
      <c r="X35" s="1">
        <f t="shared" ref="X35:X45" si="26">+P35-T35</f>
        <v>-2226.7570384615392</v>
      </c>
      <c r="Y35" s="1"/>
      <c r="Z35" s="5">
        <f t="shared" ref="Z35:Z45" si="27">IF(T35=0,0,X35/T35)</f>
        <v>-1.8793714450894838E-2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4941.0720384615397</v>
      </c>
      <c r="I36" s="2"/>
      <c r="J36" s="6">
        <f t="shared" si="21"/>
        <v>9.5154197979115673E-2</v>
      </c>
      <c r="K36" s="2"/>
      <c r="L36" s="7">
        <f t="shared" si="22"/>
        <v>-4941.0720384615397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29364.622038461541</v>
      </c>
      <c r="U36" s="2"/>
      <c r="V36" s="6">
        <f t="shared" si="25"/>
        <v>5.0915982845369717E-2</v>
      </c>
      <c r="W36" s="2"/>
      <c r="X36" s="7">
        <f t="shared" si="26"/>
        <v>-29364.622038461541</v>
      </c>
      <c r="Y36" s="2"/>
      <c r="Z36" s="6">
        <f t="shared" si="27"/>
        <v>-1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7">
        <v>4576</v>
      </c>
      <c r="E37" s="2"/>
      <c r="F37" s="6">
        <f t="shared" si="20"/>
        <v>9.6366847698472854E-2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4576</v>
      </c>
      <c r="M37" s="2"/>
      <c r="N37" s="6">
        <f t="shared" si="23"/>
        <v>0</v>
      </c>
      <c r="O37" s="11"/>
      <c r="P37" s="7">
        <v>26656</v>
      </c>
      <c r="Q37" s="2"/>
      <c r="R37" s="6">
        <f t="shared" si="24"/>
        <v>5.000185893765783E-2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26656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7">
        <v>482.3</v>
      </c>
      <c r="E40" s="2"/>
      <c r="F40" s="6">
        <f t="shared" si="20"/>
        <v>1.0156846731856089E-2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482.3</v>
      </c>
      <c r="M40" s="2"/>
      <c r="N40" s="6">
        <f t="shared" si="23"/>
        <v>0</v>
      </c>
      <c r="O40" s="11"/>
      <c r="P40" s="7">
        <v>8406.2999999999993</v>
      </c>
      <c r="Q40" s="2"/>
      <c r="R40" s="6">
        <f t="shared" si="24"/>
        <v>1.576870598693101E-2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8406.2999999999993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7">
        <v>10796.19</v>
      </c>
      <c r="E42" s="2"/>
      <c r="F42" s="6">
        <f t="shared" si="20"/>
        <v>0.22735900294007336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10796.19</v>
      </c>
      <c r="M42" s="2"/>
      <c r="N42" s="6">
        <f t="shared" si="23"/>
        <v>0</v>
      </c>
      <c r="O42" s="11"/>
      <c r="P42" s="7">
        <v>79350.080000000002</v>
      </c>
      <c r="Q42" s="2"/>
      <c r="R42" s="6">
        <f t="shared" si="24"/>
        <v>0.14884647009498289</v>
      </c>
      <c r="S42" s="2"/>
      <c r="T42" s="7">
        <v>4601.25</v>
      </c>
      <c r="U42" s="2"/>
      <c r="V42" s="6">
        <f t="shared" si="25"/>
        <v>7.9782115281580371E-3</v>
      </c>
      <c r="W42" s="2"/>
      <c r="X42" s="7">
        <f t="shared" si="26"/>
        <v>74748.83</v>
      </c>
      <c r="Y42" s="2"/>
      <c r="Z42" s="6">
        <f t="shared" si="27"/>
        <v>16.245331160010867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10211.264999999999</v>
      </c>
      <c r="I43" s="2"/>
      <c r="J43" s="6">
        <f t="shared" si="21"/>
        <v>0.19664654226125136</v>
      </c>
      <c r="K43" s="2"/>
      <c r="L43" s="7">
        <f t="shared" si="22"/>
        <v>-10211.264999999999</v>
      </c>
      <c r="M43" s="2"/>
      <c r="N43" s="6">
        <f t="shared" si="23"/>
        <v>-1</v>
      </c>
      <c r="O43" s="11"/>
      <c r="P43" s="7">
        <v>1845</v>
      </c>
      <c r="Q43" s="2"/>
      <c r="R43" s="6">
        <f t="shared" si="24"/>
        <v>3.460887970437376E-3</v>
      </c>
      <c r="S43" s="2"/>
      <c r="T43" s="7">
        <v>84518.264999999999</v>
      </c>
      <c r="U43" s="2"/>
      <c r="V43" s="6">
        <f t="shared" si="25"/>
        <v>0.1465481328254096</v>
      </c>
      <c r="W43" s="2"/>
      <c r="X43" s="7">
        <f t="shared" si="26"/>
        <v>-82673.264999999999</v>
      </c>
      <c r="Y43" s="2"/>
      <c r="Z43" s="6">
        <f t="shared" si="27"/>
        <v>-0.97817039902558345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44.96</v>
      </c>
      <c r="E46" s="1"/>
      <c r="F46" s="5">
        <f t="shared" ref="F46:F54" si="28">IF(D$12=0,0,D46/D$12)</f>
        <v>9.4682112598849203E-4</v>
      </c>
      <c r="G46" s="1"/>
      <c r="H46" s="1">
        <f>SUM(OSRRefH22_2x_0)</f>
        <v>0</v>
      </c>
      <c r="I46" s="1"/>
      <c r="J46" s="5">
        <f t="shared" ref="J46:J54" si="29">IF(H$12=0,0,H46/H$12)</f>
        <v>0</v>
      </c>
      <c r="K46" s="1"/>
      <c r="L46" s="1">
        <f t="shared" ref="L46:L54" si="30">+D46-H46</f>
        <v>44.96</v>
      </c>
      <c r="M46" s="1"/>
      <c r="N46" s="5">
        <f t="shared" ref="N46:N54" si="31">IF(H46=0,0,L46/H46)</f>
        <v>0</v>
      </c>
      <c r="O46" s="13"/>
      <c r="P46" s="1">
        <f>SUM(OSRRefP22_2x_0)</f>
        <v>194.96</v>
      </c>
      <c r="Q46" s="1"/>
      <c r="R46" s="5">
        <f t="shared" ref="R46:R54" si="32">IF(P$12=0,0,P46/P$12)</f>
        <v>3.6570987464307366E-4</v>
      </c>
      <c r="S46" s="1"/>
      <c r="T46" s="1">
        <f>SUM(OSRRefT22_2x_0)</f>
        <v>0</v>
      </c>
      <c r="U46" s="1"/>
      <c r="V46" s="5">
        <f t="shared" ref="V46:V54" si="33">IF(T$12=0,0,T46/T$12)</f>
        <v>0</v>
      </c>
      <c r="W46" s="1"/>
      <c r="X46" s="1">
        <f t="shared" ref="X46:X54" si="34">+P46-T46</f>
        <v>194.96</v>
      </c>
      <c r="Y46" s="1"/>
      <c r="Z46" s="5">
        <f t="shared" ref="Z46:Z54" si="35">IF(T46=0,0,X46/T46)</f>
        <v>0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7">
        <v>44.96</v>
      </c>
      <c r="E47" s="2"/>
      <c r="F47" s="6">
        <f t="shared" si="28"/>
        <v>9.4682112598849203E-4</v>
      </c>
      <c r="G47" s="2"/>
      <c r="H47" s="7">
        <v>0</v>
      </c>
      <c r="I47" s="2"/>
      <c r="J47" s="6">
        <f t="shared" si="29"/>
        <v>0</v>
      </c>
      <c r="K47" s="2"/>
      <c r="L47" s="7">
        <f t="shared" si="30"/>
        <v>44.96</v>
      </c>
      <c r="M47" s="2"/>
      <c r="N47" s="6">
        <f t="shared" si="31"/>
        <v>0</v>
      </c>
      <c r="O47" s="11"/>
      <c r="P47" s="7">
        <v>194.96</v>
      </c>
      <c r="Q47" s="2"/>
      <c r="R47" s="6">
        <f t="shared" si="32"/>
        <v>3.6570987464307366E-4</v>
      </c>
      <c r="S47" s="2"/>
      <c r="T47" s="7">
        <v>0</v>
      </c>
      <c r="U47" s="2"/>
      <c r="V47" s="6">
        <f t="shared" si="33"/>
        <v>0</v>
      </c>
      <c r="W47" s="2"/>
      <c r="X47" s="7">
        <f t="shared" si="34"/>
        <v>194.96</v>
      </c>
      <c r="Y47" s="2"/>
      <c r="Z47" s="6">
        <f t="shared" si="35"/>
        <v>0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8.16</v>
      </c>
      <c r="E48" s="1"/>
      <c r="F48" s="5">
        <f t="shared" si="28"/>
        <v>1.7184298016161242E-4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8.16</v>
      </c>
      <c r="M48" s="1"/>
      <c r="N48" s="5">
        <f t="shared" si="31"/>
        <v>0</v>
      </c>
      <c r="O48" s="13"/>
      <c r="P48" s="1">
        <f>SUM(OSRRefP22_3x_0)</f>
        <v>-13.74</v>
      </c>
      <c r="Q48" s="1"/>
      <c r="R48" s="5">
        <f t="shared" si="32"/>
        <v>-2.5773767324558021E-5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-13.74</v>
      </c>
      <c r="Y48" s="1"/>
      <c r="Z48" s="5">
        <f t="shared" si="35"/>
        <v>0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7">
        <v>8.16</v>
      </c>
      <c r="E49" s="2"/>
      <c r="F49" s="6">
        <f t="shared" si="28"/>
        <v>1.7184298016161242E-4</v>
      </c>
      <c r="G49" s="2"/>
      <c r="H49" s="7">
        <v>0</v>
      </c>
      <c r="I49" s="2"/>
      <c r="J49" s="6">
        <f t="shared" si="29"/>
        <v>0</v>
      </c>
      <c r="K49" s="2"/>
      <c r="L49" s="7">
        <f t="shared" si="30"/>
        <v>8.16</v>
      </c>
      <c r="M49" s="2"/>
      <c r="N49" s="6">
        <f t="shared" si="31"/>
        <v>0</v>
      </c>
      <c r="O49" s="11"/>
      <c r="P49" s="7">
        <v>-13.74</v>
      </c>
      <c r="Q49" s="2"/>
      <c r="R49" s="6">
        <f t="shared" si="32"/>
        <v>-2.5773767324558021E-5</v>
      </c>
      <c r="S49" s="2"/>
      <c r="T49" s="7">
        <v>0</v>
      </c>
      <c r="U49" s="2"/>
      <c r="V49" s="6">
        <f t="shared" si="33"/>
        <v>0</v>
      </c>
      <c r="W49" s="2"/>
      <c r="X49" s="7">
        <f t="shared" si="34"/>
        <v>-13.74</v>
      </c>
      <c r="Y49" s="2"/>
      <c r="Z49" s="6">
        <f t="shared" si="35"/>
        <v>0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1924.78</v>
      </c>
      <c r="E50" s="1"/>
      <c r="F50" s="5">
        <f t="shared" si="28"/>
        <v>4.0534305313170142E-2</v>
      </c>
      <c r="G50" s="1"/>
      <c r="H50" s="1">
        <f>SUM(OSRRefH22_4x_0)</f>
        <v>1575</v>
      </c>
      <c r="I50" s="1"/>
      <c r="J50" s="5">
        <f t="shared" si="29"/>
        <v>3.033104165463054E-2</v>
      </c>
      <c r="K50" s="1"/>
      <c r="L50" s="1">
        <f t="shared" si="30"/>
        <v>349.78</v>
      </c>
      <c r="M50" s="1"/>
      <c r="N50" s="5">
        <f t="shared" si="31"/>
        <v>0.22208253968253966</v>
      </c>
      <c r="O50" s="13"/>
      <c r="P50" s="1">
        <f>SUM(OSRRefP22_4x_0)</f>
        <v>18708.34</v>
      </c>
      <c r="Q50" s="1"/>
      <c r="R50" s="5">
        <f t="shared" si="32"/>
        <v>3.5093479053036523E-2</v>
      </c>
      <c r="S50" s="1"/>
      <c r="T50" s="1">
        <f>SUM(OSRRefT22_4x_0)</f>
        <v>17490</v>
      </c>
      <c r="U50" s="1"/>
      <c r="V50" s="5">
        <f t="shared" si="33"/>
        <v>3.03263069008387E-2</v>
      </c>
      <c r="W50" s="1"/>
      <c r="X50" s="1">
        <f t="shared" si="34"/>
        <v>1218.3400000000001</v>
      </c>
      <c r="Y50" s="1"/>
      <c r="Z50" s="5">
        <f t="shared" si="35"/>
        <v>6.9659233847913102E-2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7">
        <v>1924.78</v>
      </c>
      <c r="E51" s="2"/>
      <c r="F51" s="6">
        <f t="shared" si="28"/>
        <v>4.0534305313170142E-2</v>
      </c>
      <c r="G51" s="2"/>
      <c r="H51" s="7">
        <v>1575</v>
      </c>
      <c r="I51" s="2"/>
      <c r="J51" s="6">
        <f t="shared" si="29"/>
        <v>3.033104165463054E-2</v>
      </c>
      <c r="K51" s="2"/>
      <c r="L51" s="7">
        <f t="shared" si="30"/>
        <v>349.78</v>
      </c>
      <c r="M51" s="2"/>
      <c r="N51" s="6">
        <f t="shared" si="31"/>
        <v>0.22208253968253966</v>
      </c>
      <c r="O51" s="11"/>
      <c r="P51" s="7">
        <v>18708.34</v>
      </c>
      <c r="Q51" s="2"/>
      <c r="R51" s="6">
        <f t="shared" si="32"/>
        <v>3.5093479053036523E-2</v>
      </c>
      <c r="S51" s="2"/>
      <c r="T51" s="7">
        <v>17490</v>
      </c>
      <c r="U51" s="2"/>
      <c r="V51" s="6">
        <f t="shared" si="33"/>
        <v>3.03263069008387E-2</v>
      </c>
      <c r="W51" s="2"/>
      <c r="X51" s="7">
        <f t="shared" si="34"/>
        <v>1218.3400000000001</v>
      </c>
      <c r="Y51" s="2"/>
      <c r="Z51" s="6">
        <f t="shared" si="35"/>
        <v>6.9659233847913102E-2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1857.58</v>
      </c>
      <c r="E52" s="1"/>
      <c r="F52" s="5">
        <f t="shared" si="28"/>
        <v>3.9119127829486275E-2</v>
      </c>
      <c r="G52" s="1"/>
      <c r="H52" s="1">
        <f>SUM(OSRRefH22_5x_0)</f>
        <v>1941</v>
      </c>
      <c r="I52" s="1"/>
      <c r="J52" s="5">
        <f t="shared" si="29"/>
        <v>3.7379398001039919E-2</v>
      </c>
      <c r="K52" s="1"/>
      <c r="L52" s="1">
        <f t="shared" si="30"/>
        <v>-83.420000000000073</v>
      </c>
      <c r="M52" s="1"/>
      <c r="N52" s="5">
        <f t="shared" si="31"/>
        <v>-4.2977846470891333E-2</v>
      </c>
      <c r="O52" s="13"/>
      <c r="P52" s="1">
        <f>SUM(OSRRefP22_5x_0)</f>
        <v>13003.06</v>
      </c>
      <c r="Q52" s="1"/>
      <c r="R52" s="5">
        <f t="shared" si="32"/>
        <v>2.4391400505623537E-2</v>
      </c>
      <c r="S52" s="1"/>
      <c r="T52" s="1">
        <f>SUM(OSRRefT22_5x_0)</f>
        <v>13338</v>
      </c>
      <c r="U52" s="1"/>
      <c r="V52" s="5">
        <f t="shared" si="33"/>
        <v>2.3127060116831709E-2</v>
      </c>
      <c r="W52" s="1"/>
      <c r="X52" s="1">
        <f t="shared" si="34"/>
        <v>-334.94000000000051</v>
      </c>
      <c r="Y52" s="1"/>
      <c r="Z52" s="5">
        <f t="shared" si="35"/>
        <v>-2.5111710901184622E-2</v>
      </c>
    </row>
    <row r="53" spans="1:26" s="24" customFormat="1" hidden="1" outlineLevel="2" x14ac:dyDescent="0.25">
      <c r="A53" s="25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1857.58</v>
      </c>
      <c r="E53" s="2"/>
      <c r="F53" s="6">
        <f t="shared" si="28"/>
        <v>3.9119127829486275E-2</v>
      </c>
      <c r="G53" s="2"/>
      <c r="H53" s="7">
        <v>1858</v>
      </c>
      <c r="I53" s="2"/>
      <c r="J53" s="6">
        <f t="shared" si="29"/>
        <v>3.5781000250351455E-2</v>
      </c>
      <c r="K53" s="2"/>
      <c r="L53" s="7">
        <f t="shared" si="30"/>
        <v>-0.42000000000007276</v>
      </c>
      <c r="M53" s="2"/>
      <c r="N53" s="6">
        <f t="shared" si="31"/>
        <v>-2.2604951560822E-4</v>
      </c>
      <c r="O53" s="11"/>
      <c r="P53" s="7">
        <v>13003.06</v>
      </c>
      <c r="Q53" s="2"/>
      <c r="R53" s="6">
        <f t="shared" si="32"/>
        <v>2.4391400505623537E-2</v>
      </c>
      <c r="S53" s="2"/>
      <c r="T53" s="7">
        <v>13006</v>
      </c>
      <c r="U53" s="2"/>
      <c r="V53" s="6">
        <f t="shared" si="33"/>
        <v>2.2551397801732882E-2</v>
      </c>
      <c r="W53" s="2"/>
      <c r="X53" s="7">
        <f t="shared" si="34"/>
        <v>-2.9400000000005093</v>
      </c>
      <c r="Y53" s="2"/>
      <c r="Z53" s="6">
        <f t="shared" si="35"/>
        <v>-2.2604951560822E-4</v>
      </c>
    </row>
    <row r="54" spans="1:26" s="24" customFormat="1" hidden="1" outlineLevel="2" x14ac:dyDescent="0.25">
      <c r="A54" s="25"/>
      <c r="B54" s="11" t="str">
        <f>CONCATENATE("          ", "6324", " - ", "FURNITURE + FIXT DEPRECIATION")</f>
        <v xml:space="preserve">          6324 - FURNITURE + FIXT DEPRECIATION</v>
      </c>
      <c r="C54" s="11"/>
      <c r="D54" s="7"/>
      <c r="E54" s="2"/>
      <c r="F54" s="6">
        <f t="shared" si="28"/>
        <v>0</v>
      </c>
      <c r="G54" s="2"/>
      <c r="H54" s="7">
        <v>83</v>
      </c>
      <c r="I54" s="2"/>
      <c r="J54" s="6">
        <f t="shared" si="29"/>
        <v>1.5983977506884666E-3</v>
      </c>
      <c r="K54" s="2"/>
      <c r="L54" s="7">
        <f t="shared" si="30"/>
        <v>-83</v>
      </c>
      <c r="M54" s="2"/>
      <c r="N54" s="6">
        <f t="shared" si="31"/>
        <v>-1</v>
      </c>
      <c r="O54" s="11"/>
      <c r="P54" s="7"/>
      <c r="Q54" s="2"/>
      <c r="R54" s="6">
        <f t="shared" si="32"/>
        <v>0</v>
      </c>
      <c r="S54" s="2"/>
      <c r="T54" s="7">
        <v>332</v>
      </c>
      <c r="U54" s="2"/>
      <c r="V54" s="6">
        <f t="shared" si="33"/>
        <v>5.7566231509882497E-4</v>
      </c>
      <c r="W54" s="2"/>
      <c r="X54" s="7">
        <f t="shared" si="34"/>
        <v>-332</v>
      </c>
      <c r="Y54" s="2"/>
      <c r="Z54" s="6">
        <f t="shared" si="35"/>
        <v>-1</v>
      </c>
    </row>
    <row r="55" spans="1:26" s="27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ref="F55:F64" si="36">IF(D$12=0,0,D55/D$12)</f>
        <v>0</v>
      </c>
      <c r="G55" s="1"/>
      <c r="H55" s="1">
        <f>SUM(OSRRefH22_6x_0)</f>
        <v>0</v>
      </c>
      <c r="I55" s="1"/>
      <c r="J55" s="5">
        <f t="shared" ref="J55:J64" si="37">IF(H$12=0,0,H55/H$12)</f>
        <v>0</v>
      </c>
      <c r="K55" s="1"/>
      <c r="L55" s="1">
        <f t="shared" ref="L55:L64" si="38">+D55-H55</f>
        <v>0</v>
      </c>
      <c r="M55" s="1"/>
      <c r="N55" s="5">
        <f t="shared" ref="N55:N64" si="39">IF(H55=0,0,L55/H55)</f>
        <v>0</v>
      </c>
      <c r="O55" s="13"/>
      <c r="P55" s="1">
        <f>SUM(OSRRefP22_6x_0)</f>
        <v>0</v>
      </c>
      <c r="Q55" s="1"/>
      <c r="R55" s="5">
        <f t="shared" ref="R55:R64" si="40">IF(P$12=0,0,P55/P$12)</f>
        <v>0</v>
      </c>
      <c r="S55" s="1"/>
      <c r="T55" s="1">
        <f>SUM(OSRRefT22_6x_0)</f>
        <v>0</v>
      </c>
      <c r="U55" s="1"/>
      <c r="V55" s="5">
        <f t="shared" ref="V55:V64" si="41">IF(T$12=0,0,T55/T$12)</f>
        <v>0</v>
      </c>
      <c r="W55" s="1"/>
      <c r="X55" s="1">
        <f t="shared" ref="X55:X64" si="42">+P55-T55</f>
        <v>0</v>
      </c>
      <c r="Y55" s="1"/>
      <c r="Z55" s="5">
        <f t="shared" ref="Z55:Z64" si="43">IF(T55=0,0,X55/T55)</f>
        <v>0</v>
      </c>
    </row>
    <row r="56" spans="1:26" s="24" customFormat="1" hidden="1" outlineLevel="2" x14ac:dyDescent="0.25">
      <c r="A56" s="25"/>
      <c r="B56" s="11" t="str">
        <f>CONCATENATE("          ", "6277", " - ", "EMPLOYEE APPRECIATION")</f>
        <v xml:space="preserve">          6277 - EMPLOYEE APPRECIATION</v>
      </c>
      <c r="C56" s="11"/>
      <c r="D56" s="7"/>
      <c r="E56" s="2"/>
      <c r="F56" s="6">
        <f t="shared" si="36"/>
        <v>0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/>
      <c r="Q56" s="2"/>
      <c r="R56" s="6">
        <f t="shared" si="40"/>
        <v>0</v>
      </c>
      <c r="S56" s="2"/>
      <c r="T56" s="7">
        <v>0</v>
      </c>
      <c r="U56" s="2"/>
      <c r="V56" s="6">
        <f t="shared" si="41"/>
        <v>0</v>
      </c>
      <c r="W56" s="2"/>
      <c r="X56" s="7">
        <f t="shared" si="42"/>
        <v>0</v>
      </c>
      <c r="Y56" s="2"/>
      <c r="Z56" s="6">
        <f t="shared" si="43"/>
        <v>0</v>
      </c>
    </row>
    <row r="57" spans="1:26" s="27" customFormat="1" outlineLevel="1" collapsed="1" x14ac:dyDescent="0.25">
      <c r="A57" s="26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24</v>
      </c>
      <c r="E57" s="1"/>
      <c r="F57" s="5">
        <f t="shared" si="36"/>
        <v>5.0542052988709538E-4</v>
      </c>
      <c r="G57" s="1"/>
      <c r="H57" s="1">
        <f>SUM(OSRRefH22_7x_0)</f>
        <v>143</v>
      </c>
      <c r="I57" s="1"/>
      <c r="J57" s="5">
        <f t="shared" si="37"/>
        <v>2.7538660041982015E-3</v>
      </c>
      <c r="K57" s="1"/>
      <c r="L57" s="1">
        <f t="shared" si="38"/>
        <v>-119</v>
      </c>
      <c r="M57" s="1"/>
      <c r="N57" s="5">
        <f t="shared" si="39"/>
        <v>-0.83216783216783219</v>
      </c>
      <c r="O57" s="13"/>
      <c r="P57" s="1">
        <f>SUM(OSRRefP22_7x_0)</f>
        <v>1217.53</v>
      </c>
      <c r="Q57" s="1"/>
      <c r="R57" s="5">
        <f t="shared" si="40"/>
        <v>2.2838671710821781E-3</v>
      </c>
      <c r="S57" s="1"/>
      <c r="T57" s="1">
        <f>SUM(OSRRefT22_7x_0)</f>
        <v>1591</v>
      </c>
      <c r="U57" s="1"/>
      <c r="V57" s="5">
        <f t="shared" si="41"/>
        <v>2.7586709136211761E-3</v>
      </c>
      <c r="W57" s="1"/>
      <c r="X57" s="1">
        <f t="shared" si="42"/>
        <v>-373.47</v>
      </c>
      <c r="Y57" s="1"/>
      <c r="Z57" s="5">
        <f t="shared" si="43"/>
        <v>-0.23473915776241358</v>
      </c>
    </row>
    <row r="58" spans="1:26" s="24" customFormat="1" hidden="1" outlineLevel="2" x14ac:dyDescent="0.25">
      <c r="A58" s="25"/>
      <c r="B58" s="11" t="str">
        <f>CONCATENATE("          ", "6279", " - ", "GENERAL EXPENSE")</f>
        <v xml:space="preserve">          6279 - GENERAL EXPENSE</v>
      </c>
      <c r="C58" s="11"/>
      <c r="D58" s="7">
        <v>24</v>
      </c>
      <c r="E58" s="2"/>
      <c r="F58" s="6">
        <f t="shared" si="36"/>
        <v>5.0542052988709538E-4</v>
      </c>
      <c r="G58" s="2"/>
      <c r="H58" s="7">
        <v>143</v>
      </c>
      <c r="I58" s="2"/>
      <c r="J58" s="6">
        <f t="shared" si="37"/>
        <v>2.7538660041982015E-3</v>
      </c>
      <c r="K58" s="2"/>
      <c r="L58" s="7">
        <f t="shared" si="38"/>
        <v>-119</v>
      </c>
      <c r="M58" s="2"/>
      <c r="N58" s="6">
        <f t="shared" si="39"/>
        <v>-0.83216783216783219</v>
      </c>
      <c r="O58" s="11"/>
      <c r="P58" s="7">
        <v>1217.53</v>
      </c>
      <c r="Q58" s="2"/>
      <c r="R58" s="6">
        <f t="shared" si="40"/>
        <v>2.2838671710821781E-3</v>
      </c>
      <c r="S58" s="2"/>
      <c r="T58" s="7">
        <v>1591</v>
      </c>
      <c r="U58" s="2"/>
      <c r="V58" s="6">
        <f t="shared" si="41"/>
        <v>2.7586709136211761E-3</v>
      </c>
      <c r="W58" s="2"/>
      <c r="X58" s="7">
        <f t="shared" si="42"/>
        <v>-373.47</v>
      </c>
      <c r="Y58" s="2"/>
      <c r="Z58" s="6">
        <f t="shared" si="43"/>
        <v>-0.23473915776241358</v>
      </c>
    </row>
    <row r="59" spans="1:26" s="27" customFormat="1" outlineLevel="1" collapsed="1" x14ac:dyDescent="0.25">
      <c r="A59" s="26"/>
      <c r="B59" s="13" t="str">
        <f>CONCATENATE("     ","Rent                                              ")</f>
        <v xml:space="preserve">     Rent                                              </v>
      </c>
      <c r="C59" s="13"/>
      <c r="D59" s="1">
        <f>SUM(OSRRefD22_8x_0)</f>
        <v>1150</v>
      </c>
      <c r="E59" s="1"/>
      <c r="F59" s="5">
        <f t="shared" si="36"/>
        <v>2.4218067057089988E-2</v>
      </c>
      <c r="G59" s="1"/>
      <c r="H59" s="1">
        <f>SUM(OSRRefH22_8x_0)</f>
        <v>1150</v>
      </c>
      <c r="I59" s="1"/>
      <c r="J59" s="5">
        <f t="shared" si="37"/>
        <v>2.2146474858936584E-2</v>
      </c>
      <c r="K59" s="1"/>
      <c r="L59" s="1">
        <f t="shared" si="38"/>
        <v>0</v>
      </c>
      <c r="M59" s="1"/>
      <c r="N59" s="5">
        <f t="shared" si="39"/>
        <v>0</v>
      </c>
      <c r="O59" s="13"/>
      <c r="P59" s="1">
        <f>SUM(OSRRefP22_8x_0)</f>
        <v>8050</v>
      </c>
      <c r="Q59" s="1"/>
      <c r="R59" s="5">
        <f t="shared" si="40"/>
        <v>1.5100351307328388E-2</v>
      </c>
      <c r="S59" s="1"/>
      <c r="T59" s="1">
        <f>SUM(OSRRefT22_8x_0)</f>
        <v>8050</v>
      </c>
      <c r="U59" s="1"/>
      <c r="V59" s="5">
        <f t="shared" si="41"/>
        <v>1.3958077218510664E-2</v>
      </c>
      <c r="W59" s="1"/>
      <c r="X59" s="1">
        <f t="shared" si="42"/>
        <v>0</v>
      </c>
      <c r="Y59" s="1"/>
      <c r="Z59" s="5">
        <f t="shared" si="43"/>
        <v>0</v>
      </c>
    </row>
    <row r="60" spans="1:26" s="24" customFormat="1" hidden="1" outlineLevel="2" x14ac:dyDescent="0.25">
      <c r="A60" s="25"/>
      <c r="B60" s="11" t="str">
        <f>CONCATENATE("          ", "6273", " - ", "RENT")</f>
        <v xml:space="preserve">          6273 - RENT</v>
      </c>
      <c r="C60" s="11"/>
      <c r="D60" s="7">
        <v>1150</v>
      </c>
      <c r="E60" s="2"/>
      <c r="F60" s="6">
        <f t="shared" si="36"/>
        <v>2.4218067057089988E-2</v>
      </c>
      <c r="G60" s="2"/>
      <c r="H60" s="7">
        <v>1150</v>
      </c>
      <c r="I60" s="2"/>
      <c r="J60" s="6">
        <f t="shared" si="37"/>
        <v>2.2146474858936584E-2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8050</v>
      </c>
      <c r="Q60" s="2"/>
      <c r="R60" s="6">
        <f t="shared" si="40"/>
        <v>1.5100351307328388E-2</v>
      </c>
      <c r="S60" s="2"/>
      <c r="T60" s="7">
        <v>8050</v>
      </c>
      <c r="U60" s="2"/>
      <c r="V60" s="6">
        <f t="shared" si="41"/>
        <v>1.3958077218510664E-2</v>
      </c>
      <c r="W60" s="2"/>
      <c r="X60" s="7">
        <f t="shared" si="42"/>
        <v>0</v>
      </c>
      <c r="Y60" s="2"/>
      <c r="Z60" s="6">
        <f t="shared" si="43"/>
        <v>0</v>
      </c>
    </row>
    <row r="61" spans="1:26" s="27" customFormat="1" outlineLevel="1" collapsed="1" x14ac:dyDescent="0.25">
      <c r="A61" s="26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SUM(OSRRefD22_9x_0)</f>
        <v>312</v>
      </c>
      <c r="E61" s="1"/>
      <c r="F61" s="5">
        <f t="shared" si="36"/>
        <v>6.5704668885322396E-3</v>
      </c>
      <c r="G61" s="1"/>
      <c r="H61" s="1">
        <f>SUM(OSRRefH22_9x_0)</f>
        <v>239</v>
      </c>
      <c r="I61" s="1"/>
      <c r="J61" s="5">
        <f t="shared" si="37"/>
        <v>4.6026152098137766E-3</v>
      </c>
      <c r="K61" s="1"/>
      <c r="L61" s="1">
        <f t="shared" si="38"/>
        <v>73</v>
      </c>
      <c r="M61" s="1"/>
      <c r="N61" s="5">
        <f t="shared" si="39"/>
        <v>0.30543933054393307</v>
      </c>
      <c r="O61" s="13"/>
      <c r="P61" s="1">
        <f>SUM(OSRRefP22_9x_0)</f>
        <v>5873.64</v>
      </c>
      <c r="Q61" s="1"/>
      <c r="R61" s="5">
        <f t="shared" si="40"/>
        <v>1.1017891609040537E-2</v>
      </c>
      <c r="S61" s="1"/>
      <c r="T61" s="1">
        <f>SUM(OSRRefT22_9x_0)</f>
        <v>2650</v>
      </c>
      <c r="U61" s="1"/>
      <c r="V61" s="5">
        <f t="shared" si="41"/>
        <v>4.5948949849755607E-3</v>
      </c>
      <c r="W61" s="1"/>
      <c r="X61" s="1">
        <f t="shared" si="42"/>
        <v>3223.6400000000003</v>
      </c>
      <c r="Y61" s="1"/>
      <c r="Z61" s="5">
        <f t="shared" si="43"/>
        <v>1.2164679245283021</v>
      </c>
    </row>
    <row r="62" spans="1:26" s="24" customFormat="1" hidden="1" outlineLevel="2" x14ac:dyDescent="0.25">
      <c r="A62" s="25"/>
      <c r="B62" s="11" t="str">
        <f>CONCATENATE("          ", "6371", " - ", "COMPUTER SOFTWARE MAINTENANCE")</f>
        <v xml:space="preserve">          6371 - COMPUTER SOFTWARE MAINTENANCE</v>
      </c>
      <c r="C62" s="11"/>
      <c r="D62" s="7"/>
      <c r="E62" s="2"/>
      <c r="F62" s="6">
        <f t="shared" si="36"/>
        <v>0</v>
      </c>
      <c r="G62" s="2"/>
      <c r="H62" s="7"/>
      <c r="I62" s="2"/>
      <c r="J62" s="6">
        <f t="shared" si="37"/>
        <v>0</v>
      </c>
      <c r="K62" s="2"/>
      <c r="L62" s="7">
        <f t="shared" si="38"/>
        <v>0</v>
      </c>
      <c r="M62" s="2"/>
      <c r="N62" s="6">
        <f t="shared" si="39"/>
        <v>0</v>
      </c>
      <c r="O62" s="11"/>
      <c r="P62" s="7"/>
      <c r="Q62" s="2"/>
      <c r="R62" s="6">
        <f t="shared" si="40"/>
        <v>0</v>
      </c>
      <c r="S62" s="2"/>
      <c r="T62" s="7">
        <v>0</v>
      </c>
      <c r="U62" s="2"/>
      <c r="V62" s="6">
        <f t="shared" si="41"/>
        <v>0</v>
      </c>
      <c r="W62" s="2"/>
      <c r="X62" s="7">
        <f t="shared" si="42"/>
        <v>0</v>
      </c>
      <c r="Y62" s="2"/>
      <c r="Z62" s="6">
        <f t="shared" si="43"/>
        <v>0</v>
      </c>
    </row>
    <row r="63" spans="1:26" s="24" customFormat="1" hidden="1" outlineLevel="2" x14ac:dyDescent="0.25">
      <c r="A63" s="25"/>
      <c r="B63" s="11" t="str">
        <f>CONCATENATE("          ", "6373", " - ", "MAINTENANCE CONTRACTS")</f>
        <v xml:space="preserve">          6373 - MAINTENANCE CONTRACTS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139.83000000000001</v>
      </c>
      <c r="Q63" s="2"/>
      <c r="R63" s="6">
        <f t="shared" si="40"/>
        <v>2.6229591593835138E-4</v>
      </c>
      <c r="S63" s="2"/>
      <c r="T63" s="7"/>
      <c r="U63" s="2"/>
      <c r="V63" s="6">
        <f t="shared" si="41"/>
        <v>0</v>
      </c>
      <c r="W63" s="2"/>
      <c r="X63" s="7">
        <f t="shared" si="42"/>
        <v>139.83000000000001</v>
      </c>
      <c r="Y63" s="2"/>
      <c r="Z63" s="6">
        <f t="shared" si="43"/>
        <v>0</v>
      </c>
    </row>
    <row r="64" spans="1:26" s="24" customFormat="1" hidden="1" outlineLevel="2" x14ac:dyDescent="0.25">
      <c r="A64" s="25"/>
      <c r="B64" s="11" t="str">
        <f>CONCATENATE("          ", "6375", " - ", "OUTSIDE REPAIRS &amp; MAINTENANCE")</f>
        <v xml:space="preserve">          6375 - OUTSIDE REPAIRS &amp; MAINTENANCE</v>
      </c>
      <c r="C64" s="11"/>
      <c r="D64" s="7">
        <v>312</v>
      </c>
      <c r="E64" s="2"/>
      <c r="F64" s="6">
        <f t="shared" si="36"/>
        <v>6.5704668885322396E-3</v>
      </c>
      <c r="G64" s="2"/>
      <c r="H64" s="7">
        <v>239</v>
      </c>
      <c r="I64" s="2"/>
      <c r="J64" s="6">
        <f t="shared" si="37"/>
        <v>4.6026152098137766E-3</v>
      </c>
      <c r="K64" s="2"/>
      <c r="L64" s="7">
        <f t="shared" si="38"/>
        <v>73</v>
      </c>
      <c r="M64" s="2"/>
      <c r="N64" s="6">
        <f t="shared" si="39"/>
        <v>0.30543933054393307</v>
      </c>
      <c r="O64" s="11"/>
      <c r="P64" s="7">
        <v>5733.81</v>
      </c>
      <c r="Q64" s="2"/>
      <c r="R64" s="6">
        <f t="shared" si="40"/>
        <v>1.0755595693102185E-2</v>
      </c>
      <c r="S64" s="2"/>
      <c r="T64" s="7">
        <v>2650</v>
      </c>
      <c r="U64" s="2"/>
      <c r="V64" s="6">
        <f t="shared" si="41"/>
        <v>4.5948949849755607E-3</v>
      </c>
      <c r="W64" s="2"/>
      <c r="X64" s="7">
        <f t="shared" si="42"/>
        <v>3083.8100000000004</v>
      </c>
      <c r="Y64" s="2"/>
      <c r="Z64" s="6">
        <f t="shared" si="43"/>
        <v>1.1637018867924529</v>
      </c>
    </row>
    <row r="65" spans="1:26" s="27" customFormat="1" outlineLevel="1" collapsed="1" x14ac:dyDescent="0.25">
      <c r="A65" s="26"/>
      <c r="B65" s="13" t="str">
        <f>CONCATENATE("     ","Services                                          ")</f>
        <v xml:space="preserve">     Services                                          </v>
      </c>
      <c r="C65" s="13"/>
      <c r="D65" s="1">
        <f>SUM(OSRRefD22_10x_0)</f>
        <v>585.79999999999995</v>
      </c>
      <c r="E65" s="1"/>
      <c r="F65" s="5">
        <f t="shared" ref="F65:F68" si="44">IF(D$12=0,0,D65/D$12)</f>
        <v>1.2336472766994186E-2</v>
      </c>
      <c r="G65" s="1"/>
      <c r="H65" s="1">
        <f>SUM(OSRRefH22_10x_0)</f>
        <v>0</v>
      </c>
      <c r="I65" s="1"/>
      <c r="J65" s="5">
        <f t="shared" ref="J65:J68" si="45">IF(H$12=0,0,H65/H$12)</f>
        <v>0</v>
      </c>
      <c r="K65" s="1"/>
      <c r="L65" s="1">
        <f t="shared" ref="L65:L68" si="46">+D65-H65</f>
        <v>585.79999999999995</v>
      </c>
      <c r="M65" s="1"/>
      <c r="N65" s="5">
        <f t="shared" ref="N65:N68" si="47">IF(H65=0,0,L65/H65)</f>
        <v>0</v>
      </c>
      <c r="O65" s="13"/>
      <c r="P65" s="1">
        <f>SUM(OSRRefP22_10x_0)</f>
        <v>3513.66</v>
      </c>
      <c r="Q65" s="1"/>
      <c r="R65" s="5">
        <f t="shared" ref="R65:R68" si="48">IF(P$12=0,0,P65/P$12)</f>
        <v>6.5909938353425424E-3</v>
      </c>
      <c r="S65" s="1"/>
      <c r="T65" s="1">
        <f>SUM(OSRRefT22_10x_0)</f>
        <v>0</v>
      </c>
      <c r="U65" s="1"/>
      <c r="V65" s="5">
        <f t="shared" ref="V65:V68" si="49">IF(T$12=0,0,T65/T$12)</f>
        <v>0</v>
      </c>
      <c r="W65" s="1"/>
      <c r="X65" s="1">
        <f t="shared" ref="X65:X68" si="50">+P65-T65</f>
        <v>3513.66</v>
      </c>
      <c r="Y65" s="1"/>
      <c r="Z65" s="5">
        <f t="shared" ref="Z65:Z68" si="51">IF(T65=0,0,X65/T65)</f>
        <v>0</v>
      </c>
    </row>
    <row r="66" spans="1:26" s="24" customFormat="1" hidden="1" outlineLevel="2" x14ac:dyDescent="0.25">
      <c r="A66" s="25"/>
      <c r="B66" s="11" t="str">
        <f>CONCATENATE("          ", "6282", " - ", "JANITORIAL/EXTERMINATOR EXPENS")</f>
        <v xml:space="preserve">          6282 - JANITORIAL/EXTERMINATOR EXPENS</v>
      </c>
      <c r="C66" s="11"/>
      <c r="D66" s="7">
        <v>116.81</v>
      </c>
      <c r="E66" s="2"/>
      <c r="F66" s="6">
        <f t="shared" si="44"/>
        <v>2.4599238373379838E-3</v>
      </c>
      <c r="G66" s="2"/>
      <c r="H66" s="7"/>
      <c r="I66" s="2"/>
      <c r="J66" s="6">
        <f t="shared" si="45"/>
        <v>0</v>
      </c>
      <c r="K66" s="2"/>
      <c r="L66" s="7">
        <f t="shared" si="46"/>
        <v>116.81</v>
      </c>
      <c r="M66" s="2"/>
      <c r="N66" s="6">
        <f t="shared" si="47"/>
        <v>0</v>
      </c>
      <c r="O66" s="11"/>
      <c r="P66" s="7">
        <v>934.48</v>
      </c>
      <c r="Q66" s="2"/>
      <c r="R66" s="6">
        <f t="shared" si="48"/>
        <v>1.7529163092760537E-3</v>
      </c>
      <c r="S66" s="2"/>
      <c r="T66" s="7"/>
      <c r="U66" s="2"/>
      <c r="V66" s="6">
        <f t="shared" si="49"/>
        <v>0</v>
      </c>
      <c r="W66" s="2"/>
      <c r="X66" s="7">
        <f t="shared" si="50"/>
        <v>934.48</v>
      </c>
      <c r="Y66" s="2"/>
      <c r="Z66" s="6">
        <f t="shared" si="51"/>
        <v>0</v>
      </c>
    </row>
    <row r="67" spans="1:26" s="24" customFormat="1" hidden="1" outlineLevel="2" x14ac:dyDescent="0.25">
      <c r="A67" s="25"/>
      <c r="B67" s="11" t="str">
        <f>CONCATENATE("          ", "6285", " - ", "JANITORIAL SERVICES")</f>
        <v xml:space="preserve">          6285 - JANITORIAL SERVICES</v>
      </c>
      <c r="C67" s="11"/>
      <c r="D67" s="7">
        <v>81.040000000000006</v>
      </c>
      <c r="E67" s="2"/>
      <c r="F67" s="6">
        <f t="shared" si="44"/>
        <v>1.7066366559187589E-3</v>
      </c>
      <c r="G67" s="2"/>
      <c r="H67" s="7"/>
      <c r="I67" s="2"/>
      <c r="J67" s="6">
        <f t="shared" si="45"/>
        <v>0</v>
      </c>
      <c r="K67" s="2"/>
      <c r="L67" s="7">
        <f t="shared" si="46"/>
        <v>81.040000000000006</v>
      </c>
      <c r="M67" s="2"/>
      <c r="N67" s="6">
        <f t="shared" si="47"/>
        <v>0</v>
      </c>
      <c r="O67" s="11"/>
      <c r="P67" s="7">
        <v>435.12</v>
      </c>
      <c r="Q67" s="2"/>
      <c r="R67" s="6">
        <f t="shared" si="48"/>
        <v>8.1620681501176748E-4</v>
      </c>
      <c r="S67" s="2"/>
      <c r="T67" s="7"/>
      <c r="U67" s="2"/>
      <c r="V67" s="6">
        <f t="shared" si="49"/>
        <v>0</v>
      </c>
      <c r="W67" s="2"/>
      <c r="X67" s="7">
        <f t="shared" si="50"/>
        <v>435.12</v>
      </c>
      <c r="Y67" s="2"/>
      <c r="Z67" s="6">
        <f t="shared" si="51"/>
        <v>0</v>
      </c>
    </row>
    <row r="68" spans="1:26" s="24" customFormat="1" hidden="1" outlineLevel="2" x14ac:dyDescent="0.25">
      <c r="A68" s="25"/>
      <c r="B68" s="11" t="str">
        <f>CONCATENATE("          ", "6286", " - ", "LAUNDRY EXPENSE")</f>
        <v xml:space="preserve">          6286 - LAUNDRY EXPENSE</v>
      </c>
      <c r="C68" s="11"/>
      <c r="D68" s="7">
        <v>387.95</v>
      </c>
      <c r="E68" s="2"/>
      <c r="F68" s="6">
        <f t="shared" si="44"/>
        <v>8.1699122737374438E-3</v>
      </c>
      <c r="G68" s="2"/>
      <c r="H68" s="7"/>
      <c r="I68" s="2"/>
      <c r="J68" s="6">
        <f t="shared" si="45"/>
        <v>0</v>
      </c>
      <c r="K68" s="2"/>
      <c r="L68" s="7">
        <f t="shared" si="46"/>
        <v>387.95</v>
      </c>
      <c r="M68" s="2"/>
      <c r="N68" s="6">
        <f t="shared" si="47"/>
        <v>0</v>
      </c>
      <c r="O68" s="11"/>
      <c r="P68" s="7">
        <v>2144.06</v>
      </c>
      <c r="Q68" s="2"/>
      <c r="R68" s="6">
        <f t="shared" si="48"/>
        <v>4.0218707110547206E-3</v>
      </c>
      <c r="S68" s="2"/>
      <c r="T68" s="7"/>
      <c r="U68" s="2"/>
      <c r="V68" s="6">
        <f t="shared" si="49"/>
        <v>0</v>
      </c>
      <c r="W68" s="2"/>
      <c r="X68" s="7">
        <f t="shared" si="50"/>
        <v>2144.06</v>
      </c>
      <c r="Y68" s="2"/>
      <c r="Z68" s="6">
        <f t="shared" si="51"/>
        <v>0</v>
      </c>
    </row>
    <row r="69" spans="1:26" s="27" customFormat="1" outlineLevel="1" collapsed="1" x14ac:dyDescent="0.25">
      <c r="A69" s="26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SUM(OSRRefD22_11x_0)</f>
        <v>556.02</v>
      </c>
      <c r="E69" s="1"/>
      <c r="F69" s="5">
        <f t="shared" ref="F69:F75" si="52">IF(D$12=0,0,D69/D$12)</f>
        <v>1.1709330126159281E-2</v>
      </c>
      <c r="G69" s="1"/>
      <c r="H69" s="1">
        <f>SUM(OSRRefH22_11x_0)</f>
        <v>1002</v>
      </c>
      <c r="I69" s="1"/>
      <c r="J69" s="5">
        <f t="shared" ref="J69:J75" si="53">IF(H$12=0,0,H69/H$12)</f>
        <v>1.9296319833612571E-2</v>
      </c>
      <c r="K69" s="1"/>
      <c r="L69" s="1">
        <f t="shared" ref="L69:L75" si="54">+D69-H69</f>
        <v>-445.98</v>
      </c>
      <c r="M69" s="1"/>
      <c r="N69" s="5">
        <f t="shared" ref="N69:N75" si="55">IF(H69=0,0,L69/H69)</f>
        <v>-0.44508982035928146</v>
      </c>
      <c r="O69" s="13"/>
      <c r="P69" s="1">
        <f>SUM(OSRRefP22_11x_0)</f>
        <v>12624.66</v>
      </c>
      <c r="Q69" s="1"/>
      <c r="R69" s="5">
        <f t="shared" ref="R69:R75" si="56">IF(P$12=0,0,P69/P$12)</f>
        <v>2.3681590203177193E-2</v>
      </c>
      <c r="S69" s="1"/>
      <c r="T69" s="1">
        <f>SUM(OSRRefT22_11x_0)</f>
        <v>11128</v>
      </c>
      <c r="U69" s="1"/>
      <c r="V69" s="5">
        <f t="shared" ref="V69:V75" si="57">IF(T$12=0,0,T69/T$12)</f>
        <v>1.9295091091625673E-2</v>
      </c>
      <c r="W69" s="1"/>
      <c r="X69" s="1">
        <f t="shared" ref="X69:X75" si="58">+P69-T69</f>
        <v>1496.6599999999999</v>
      </c>
      <c r="Y69" s="1"/>
      <c r="Z69" s="5">
        <f t="shared" ref="Z69:Z75" si="59">IF(T69=0,0,X69/T69)</f>
        <v>0.13449496764917324</v>
      </c>
    </row>
    <row r="70" spans="1:26" s="24" customFormat="1" hidden="1" outlineLevel="2" x14ac:dyDescent="0.25">
      <c r="A70" s="25"/>
      <c r="B70" s="11" t="str">
        <f>CONCATENATE("          ", "6234", " - ", "EXPENDABLE SUPPLIES &amp; EQUIPMEN")</f>
        <v xml:space="preserve">          6234 - EXPENDABLE SUPPLIES &amp; EQUIPMEN</v>
      </c>
      <c r="C70" s="11"/>
      <c r="D70" s="7"/>
      <c r="E70" s="2"/>
      <c r="F70" s="6">
        <f t="shared" si="52"/>
        <v>0</v>
      </c>
      <c r="G70" s="2"/>
      <c r="H70" s="7"/>
      <c r="I70" s="2"/>
      <c r="J70" s="6">
        <f t="shared" si="53"/>
        <v>0</v>
      </c>
      <c r="K70" s="2"/>
      <c r="L70" s="7">
        <f t="shared" si="54"/>
        <v>0</v>
      </c>
      <c r="M70" s="2"/>
      <c r="N70" s="6">
        <f t="shared" si="55"/>
        <v>0</v>
      </c>
      <c r="O70" s="11"/>
      <c r="P70" s="7">
        <v>354.71</v>
      </c>
      <c r="Q70" s="2"/>
      <c r="R70" s="6">
        <f t="shared" si="56"/>
        <v>6.653721257419196E-4</v>
      </c>
      <c r="S70" s="2"/>
      <c r="T70" s="7"/>
      <c r="U70" s="2"/>
      <c r="V70" s="6">
        <f t="shared" si="57"/>
        <v>0</v>
      </c>
      <c r="W70" s="2"/>
      <c r="X70" s="7">
        <f t="shared" si="58"/>
        <v>354.71</v>
      </c>
      <c r="Y70" s="2"/>
      <c r="Z70" s="6">
        <f t="shared" si="59"/>
        <v>0</v>
      </c>
    </row>
    <row r="71" spans="1:26" s="24" customFormat="1" hidden="1" outlineLevel="2" x14ac:dyDescent="0.25">
      <c r="A71" s="25"/>
      <c r="B71" s="11" t="str">
        <f>CONCATENATE("          ", "6237", " - ", "JANITORIAL SUPPLIES")</f>
        <v xml:space="preserve">          6237 - JANITORIAL SUPPLIES</v>
      </c>
      <c r="C71" s="11"/>
      <c r="D71" s="7">
        <v>35.270000000000003</v>
      </c>
      <c r="E71" s="2"/>
      <c r="F71" s="6">
        <f t="shared" si="52"/>
        <v>7.4275758704657729E-4</v>
      </c>
      <c r="G71" s="2"/>
      <c r="H71" s="7"/>
      <c r="I71" s="2"/>
      <c r="J71" s="6">
        <f t="shared" si="53"/>
        <v>0</v>
      </c>
      <c r="K71" s="2"/>
      <c r="L71" s="7">
        <f t="shared" si="54"/>
        <v>35.270000000000003</v>
      </c>
      <c r="M71" s="2"/>
      <c r="N71" s="6">
        <f t="shared" si="55"/>
        <v>0</v>
      </c>
      <c r="O71" s="11"/>
      <c r="P71" s="7">
        <v>1277.05</v>
      </c>
      <c r="Q71" s="2"/>
      <c r="R71" s="6">
        <f t="shared" si="56"/>
        <v>2.3955159797544993E-3</v>
      </c>
      <c r="S71" s="2"/>
      <c r="T71" s="7"/>
      <c r="U71" s="2"/>
      <c r="V71" s="6">
        <f t="shared" si="57"/>
        <v>0</v>
      </c>
      <c r="W71" s="2"/>
      <c r="X71" s="7">
        <f t="shared" si="58"/>
        <v>1277.05</v>
      </c>
      <c r="Y71" s="2"/>
      <c r="Z71" s="6">
        <f t="shared" si="59"/>
        <v>0</v>
      </c>
    </row>
    <row r="72" spans="1:26" s="24" customFormat="1" hidden="1" outlineLevel="2" x14ac:dyDescent="0.25">
      <c r="A72" s="25"/>
      <c r="B72" s="11" t="str">
        <f>CONCATENATE("          ", "6239", " - ", "KITCHEN SUPPLIES")</f>
        <v xml:space="preserve">          6239 - KITCHEN SUPPLIES</v>
      </c>
      <c r="C72" s="11"/>
      <c r="D72" s="7">
        <v>63.92</v>
      </c>
      <c r="E72" s="2"/>
      <c r="F72" s="6">
        <f t="shared" si="52"/>
        <v>1.3461033445992974E-3</v>
      </c>
      <c r="G72" s="2"/>
      <c r="H72" s="7"/>
      <c r="I72" s="2"/>
      <c r="J72" s="6">
        <f t="shared" si="53"/>
        <v>0</v>
      </c>
      <c r="K72" s="2"/>
      <c r="L72" s="7">
        <f t="shared" si="54"/>
        <v>63.92</v>
      </c>
      <c r="M72" s="2"/>
      <c r="N72" s="6">
        <f t="shared" si="55"/>
        <v>0</v>
      </c>
      <c r="O72" s="11"/>
      <c r="P72" s="7">
        <v>63.92</v>
      </c>
      <c r="Q72" s="2"/>
      <c r="R72" s="6">
        <f t="shared" si="56"/>
        <v>1.1990241684030195E-4</v>
      </c>
      <c r="S72" s="2"/>
      <c r="T72" s="7"/>
      <c r="U72" s="2"/>
      <c r="V72" s="6">
        <f t="shared" si="57"/>
        <v>0</v>
      </c>
      <c r="W72" s="2"/>
      <c r="X72" s="7">
        <f t="shared" si="58"/>
        <v>63.92</v>
      </c>
      <c r="Y72" s="2"/>
      <c r="Z72" s="6">
        <f t="shared" si="59"/>
        <v>0</v>
      </c>
    </row>
    <row r="73" spans="1:26" s="24" customFormat="1" hidden="1" outlineLevel="2" x14ac:dyDescent="0.25">
      <c r="A73" s="25"/>
      <c r="B73" s="11" t="str">
        <f>CONCATENATE("          ", "6241", " - ", "OFFICE EXPENSE")</f>
        <v xml:space="preserve">          6241 - OFFICE EXPENSE</v>
      </c>
      <c r="C73" s="11"/>
      <c r="D73" s="7">
        <v>245.34</v>
      </c>
      <c r="E73" s="2"/>
      <c r="F73" s="6">
        <f t="shared" si="52"/>
        <v>5.1666613667708328E-3</v>
      </c>
      <c r="G73" s="2"/>
      <c r="H73" s="7"/>
      <c r="I73" s="2"/>
      <c r="J73" s="6">
        <f t="shared" si="53"/>
        <v>0</v>
      </c>
      <c r="K73" s="2"/>
      <c r="L73" s="7">
        <f t="shared" si="54"/>
        <v>245.34</v>
      </c>
      <c r="M73" s="2"/>
      <c r="N73" s="6">
        <f t="shared" si="55"/>
        <v>0</v>
      </c>
      <c r="O73" s="11"/>
      <c r="P73" s="7">
        <v>1347.59</v>
      </c>
      <c r="Q73" s="2"/>
      <c r="R73" s="6">
        <f t="shared" si="56"/>
        <v>2.5278363252475358E-3</v>
      </c>
      <c r="S73" s="2"/>
      <c r="T73" s="7"/>
      <c r="U73" s="2"/>
      <c r="V73" s="6">
        <f t="shared" si="57"/>
        <v>0</v>
      </c>
      <c r="W73" s="2"/>
      <c r="X73" s="7">
        <f t="shared" si="58"/>
        <v>1347.59</v>
      </c>
      <c r="Y73" s="2"/>
      <c r="Z73" s="6">
        <f t="shared" si="59"/>
        <v>0</v>
      </c>
    </row>
    <row r="74" spans="1:26" s="24" customFormat="1" hidden="1" outlineLevel="2" x14ac:dyDescent="0.25">
      <c r="A74" s="25"/>
      <c r="B74" s="11" t="str">
        <f>CONCATENATE("          ", "6243", " - ", "PAPER SUPPLIES")</f>
        <v xml:space="preserve">          6243 - PAPER SUPPLIES</v>
      </c>
      <c r="C74" s="11"/>
      <c r="D74" s="7">
        <v>125.01</v>
      </c>
      <c r="E74" s="2"/>
      <c r="F74" s="6">
        <f t="shared" si="52"/>
        <v>2.6326091850494083E-3</v>
      </c>
      <c r="G74" s="2"/>
      <c r="H74" s="7"/>
      <c r="I74" s="2"/>
      <c r="J74" s="6">
        <f t="shared" si="53"/>
        <v>0</v>
      </c>
      <c r="K74" s="2"/>
      <c r="L74" s="7">
        <f t="shared" si="54"/>
        <v>125.01</v>
      </c>
      <c r="M74" s="2"/>
      <c r="N74" s="6">
        <f t="shared" si="55"/>
        <v>0</v>
      </c>
      <c r="O74" s="11"/>
      <c r="P74" s="7">
        <v>2096.3000000000002</v>
      </c>
      <c r="Q74" s="2"/>
      <c r="R74" s="6">
        <f t="shared" si="56"/>
        <v>3.932281546031367E-3</v>
      </c>
      <c r="S74" s="2"/>
      <c r="T74" s="7"/>
      <c r="U74" s="2"/>
      <c r="V74" s="6">
        <f t="shared" si="57"/>
        <v>0</v>
      </c>
      <c r="W74" s="2"/>
      <c r="X74" s="7">
        <f t="shared" si="58"/>
        <v>2096.3000000000002</v>
      </c>
      <c r="Y74" s="2"/>
      <c r="Z74" s="6">
        <f t="shared" si="59"/>
        <v>0</v>
      </c>
    </row>
    <row r="75" spans="1:26" s="24" customFormat="1" hidden="1" outlineLevel="2" x14ac:dyDescent="0.25">
      <c r="A75" s="25"/>
      <c r="B75" s="11" t="str">
        <f>CONCATENATE("          ", "6247", " - ", "STORE SUPPLIES")</f>
        <v xml:space="preserve">          6247 - STORE SUPPLIES</v>
      </c>
      <c r="C75" s="11"/>
      <c r="D75" s="7">
        <v>86.48</v>
      </c>
      <c r="E75" s="2"/>
      <c r="F75" s="6">
        <f t="shared" si="52"/>
        <v>1.8211986426931671E-3</v>
      </c>
      <c r="G75" s="2"/>
      <c r="H75" s="7">
        <v>1002</v>
      </c>
      <c r="I75" s="2"/>
      <c r="J75" s="6">
        <f t="shared" si="53"/>
        <v>1.9296319833612571E-2</v>
      </c>
      <c r="K75" s="2"/>
      <c r="L75" s="7">
        <f t="shared" si="54"/>
        <v>-915.52</v>
      </c>
      <c r="M75" s="2"/>
      <c r="N75" s="6">
        <f t="shared" si="55"/>
        <v>-0.91369261477045904</v>
      </c>
      <c r="O75" s="11"/>
      <c r="P75" s="7">
        <v>7485.09</v>
      </c>
      <c r="Q75" s="2"/>
      <c r="R75" s="6">
        <f t="shared" si="56"/>
        <v>1.4040681809561572E-2</v>
      </c>
      <c r="S75" s="2"/>
      <c r="T75" s="7">
        <v>11128</v>
      </c>
      <c r="U75" s="2"/>
      <c r="V75" s="6">
        <f t="shared" si="57"/>
        <v>1.9295091091625673E-2</v>
      </c>
      <c r="W75" s="2"/>
      <c r="X75" s="7">
        <f t="shared" si="58"/>
        <v>-3642.91</v>
      </c>
      <c r="Y75" s="2"/>
      <c r="Z75" s="6">
        <f t="shared" si="59"/>
        <v>-0.32736430625449314</v>
      </c>
    </row>
    <row r="76" spans="1:26" s="27" customFormat="1" outlineLevel="1" collapsed="1" x14ac:dyDescent="0.25">
      <c r="A76" s="26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SUM(OSRRefD22_12x_0)</f>
        <v>86</v>
      </c>
      <c r="E76" s="1"/>
      <c r="F76" s="5">
        <f t="shared" ref="F76:F79" si="60">IF(D$12=0,0,D76/D$12)</f>
        <v>1.8110902320954251E-3</v>
      </c>
      <c r="G76" s="1"/>
      <c r="H76" s="1">
        <f>SUM(OSRRefH22_12x_0)</f>
        <v>75</v>
      </c>
      <c r="I76" s="1"/>
      <c r="J76" s="5">
        <f t="shared" ref="J76:J79" si="61">IF(H$12=0,0,H76/H$12)</f>
        <v>1.4443353168871686E-3</v>
      </c>
      <c r="K76" s="1"/>
      <c r="L76" s="1">
        <f t="shared" ref="L76:L79" si="62">+D76-H76</f>
        <v>11</v>
      </c>
      <c r="M76" s="1"/>
      <c r="N76" s="5">
        <f t="shared" ref="N76:N79" si="63">IF(H76=0,0,L76/H76)</f>
        <v>0.14666666666666667</v>
      </c>
      <c r="O76" s="13"/>
      <c r="P76" s="1">
        <f>SUM(OSRRefP22_12x_0)</f>
        <v>317</v>
      </c>
      <c r="Q76" s="1"/>
      <c r="R76" s="5">
        <f t="shared" ref="R76:R79" si="64">IF(P$12=0,0,P76/P$12)</f>
        <v>5.946349521022483E-4</v>
      </c>
      <c r="S76" s="1"/>
      <c r="T76" s="1">
        <f>SUM(OSRRefT22_12x_0)</f>
        <v>525</v>
      </c>
      <c r="U76" s="1"/>
      <c r="V76" s="5">
        <f t="shared" ref="V76:V79" si="65">IF(T$12=0,0,T76/T$12)</f>
        <v>9.1030938381591285E-4</v>
      </c>
      <c r="W76" s="1"/>
      <c r="X76" s="1">
        <f t="shared" ref="X76:X79" si="66">+P76-T76</f>
        <v>-208</v>
      </c>
      <c r="Y76" s="1"/>
      <c r="Z76" s="5">
        <f t="shared" ref="Z76:Z79" si="67">IF(T76=0,0,X76/T76)</f>
        <v>-0.3961904761904762</v>
      </c>
    </row>
    <row r="77" spans="1:26" s="24" customFormat="1" hidden="1" outlineLevel="2" x14ac:dyDescent="0.25">
      <c r="A77" s="25"/>
      <c r="B77" s="11" t="str">
        <f>CONCATENATE("          ", "6309", " - ", "TELEPHONE")</f>
        <v xml:space="preserve">          6309 - TELEPHONE</v>
      </c>
      <c r="C77" s="11"/>
      <c r="D77" s="7">
        <v>86</v>
      </c>
      <c r="E77" s="2"/>
      <c r="F77" s="6">
        <f t="shared" si="60"/>
        <v>1.8110902320954251E-3</v>
      </c>
      <c r="G77" s="2"/>
      <c r="H77" s="7">
        <v>75</v>
      </c>
      <c r="I77" s="2"/>
      <c r="J77" s="6">
        <f t="shared" si="61"/>
        <v>1.4443353168871686E-3</v>
      </c>
      <c r="K77" s="2"/>
      <c r="L77" s="7">
        <f t="shared" si="62"/>
        <v>11</v>
      </c>
      <c r="M77" s="2"/>
      <c r="N77" s="6">
        <f t="shared" si="63"/>
        <v>0.14666666666666667</v>
      </c>
      <c r="O77" s="11"/>
      <c r="P77" s="7">
        <v>317</v>
      </c>
      <c r="Q77" s="2"/>
      <c r="R77" s="6">
        <f t="shared" si="64"/>
        <v>5.946349521022483E-4</v>
      </c>
      <c r="S77" s="2"/>
      <c r="T77" s="7">
        <v>525</v>
      </c>
      <c r="U77" s="2"/>
      <c r="V77" s="6">
        <f t="shared" si="65"/>
        <v>9.1030938381591285E-4</v>
      </c>
      <c r="W77" s="2"/>
      <c r="X77" s="7">
        <f t="shared" si="66"/>
        <v>-208</v>
      </c>
      <c r="Y77" s="2"/>
      <c r="Z77" s="6">
        <f t="shared" si="67"/>
        <v>-0.3961904761904762</v>
      </c>
    </row>
    <row r="78" spans="1:26" s="27" customFormat="1" outlineLevel="1" collapsed="1" x14ac:dyDescent="0.25">
      <c r="A78" s="26"/>
      <c r="B78" s="13" t="str">
        <f>CONCATENATE("     ","Utilities                                         ")</f>
        <v xml:space="preserve">     Utilities                                         </v>
      </c>
      <c r="C78" s="13"/>
      <c r="D78" s="1">
        <f>SUM(OSRRefD22_13x_0)</f>
        <v>208</v>
      </c>
      <c r="E78" s="1"/>
      <c r="F78" s="5">
        <f t="shared" si="60"/>
        <v>4.3803112590214931E-3</v>
      </c>
      <c r="G78" s="1"/>
      <c r="H78" s="1">
        <f>SUM(OSRRefH22_13x_0)</f>
        <v>0</v>
      </c>
      <c r="I78" s="1"/>
      <c r="J78" s="5">
        <f t="shared" si="61"/>
        <v>0</v>
      </c>
      <c r="K78" s="1"/>
      <c r="L78" s="1">
        <f t="shared" si="62"/>
        <v>208</v>
      </c>
      <c r="M78" s="1"/>
      <c r="N78" s="5">
        <f t="shared" si="63"/>
        <v>0</v>
      </c>
      <c r="O78" s="13"/>
      <c r="P78" s="1">
        <f>SUM(OSRRefP22_13x_0)</f>
        <v>1393</v>
      </c>
      <c r="Q78" s="1"/>
      <c r="R78" s="5">
        <f t="shared" si="64"/>
        <v>2.6130173131811733E-3</v>
      </c>
      <c r="S78" s="1"/>
      <c r="T78" s="1">
        <f>SUM(OSRRefT22_13x_0)</f>
        <v>0</v>
      </c>
      <c r="U78" s="1"/>
      <c r="V78" s="5">
        <f t="shared" si="65"/>
        <v>0</v>
      </c>
      <c r="W78" s="1"/>
      <c r="X78" s="1">
        <f t="shared" si="66"/>
        <v>1393</v>
      </c>
      <c r="Y78" s="1"/>
      <c r="Z78" s="5">
        <f t="shared" si="67"/>
        <v>0</v>
      </c>
    </row>
    <row r="79" spans="1:26" s="24" customFormat="1" hidden="1" outlineLevel="2" x14ac:dyDescent="0.25">
      <c r="A79" s="25"/>
      <c r="B79" s="11" t="str">
        <f>CONCATENATE("          ", "6274", " - ", "UTILITIES")</f>
        <v xml:space="preserve">          6274 - UTILITIES</v>
      </c>
      <c r="C79" s="11"/>
      <c r="D79" s="7">
        <v>208</v>
      </c>
      <c r="E79" s="2"/>
      <c r="F79" s="6">
        <f t="shared" si="60"/>
        <v>4.3803112590214931E-3</v>
      </c>
      <c r="G79" s="2"/>
      <c r="H79" s="7"/>
      <c r="I79" s="2"/>
      <c r="J79" s="6">
        <f t="shared" si="61"/>
        <v>0</v>
      </c>
      <c r="K79" s="2"/>
      <c r="L79" s="7">
        <f t="shared" si="62"/>
        <v>208</v>
      </c>
      <c r="M79" s="2"/>
      <c r="N79" s="6">
        <f t="shared" si="63"/>
        <v>0</v>
      </c>
      <c r="O79" s="11"/>
      <c r="P79" s="7">
        <v>1393</v>
      </c>
      <c r="Q79" s="2"/>
      <c r="R79" s="6">
        <f t="shared" si="64"/>
        <v>2.6130173131811733E-3</v>
      </c>
      <c r="S79" s="2"/>
      <c r="T79" s="7"/>
      <c r="U79" s="2"/>
      <c r="V79" s="6">
        <f t="shared" si="65"/>
        <v>0</v>
      </c>
      <c r="W79" s="2"/>
      <c r="X79" s="7">
        <f t="shared" si="66"/>
        <v>1393</v>
      </c>
      <c r="Y79" s="2"/>
      <c r="Z79" s="6">
        <f t="shared" si="67"/>
        <v>0</v>
      </c>
    </row>
    <row r="80" spans="1:26" s="53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8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9" t="s">
        <v>3</v>
      </c>
      <c r="C83" s="29"/>
      <c r="D83" s="21">
        <f>+D22-D24+D81</f>
        <v>-262.54000000000451</v>
      </c>
      <c r="E83" s="14"/>
      <c r="F83" s="20">
        <f>IF(D$12=0,0,D83/D$12)</f>
        <v>-5.5288794131900122E-3</v>
      </c>
      <c r="G83" s="14"/>
      <c r="H83" s="21">
        <f>+H22-H24+H81</f>
        <v>3317.021480838459</v>
      </c>
      <c r="I83" s="14"/>
      <c r="J83" s="20">
        <f>IF(H$12=0,0,H83/H$12)</f>
        <v>6.3878550288644809E-2</v>
      </c>
      <c r="K83" s="16"/>
      <c r="L83" s="21">
        <f>+D83-H83</f>
        <v>-3579.5614808384635</v>
      </c>
      <c r="M83" s="16"/>
      <c r="N83" s="20">
        <f>IF(H83=0,0,L83/H83)</f>
        <v>-1.079149321617791</v>
      </c>
      <c r="O83" s="28"/>
      <c r="P83" s="21">
        <f>+P22-P24+P81</f>
        <v>65344.320000000036</v>
      </c>
      <c r="Q83" s="14"/>
      <c r="R83" s="20">
        <f>IF(P$12=0,0,P83/P$12)</f>
        <v>0.1225741848370789</v>
      </c>
      <c r="S83" s="14"/>
      <c r="T83" s="21">
        <f>+T22-T24+T81</f>
        <v>109813.17394833846</v>
      </c>
      <c r="U83" s="14"/>
      <c r="V83" s="20">
        <f>IF(T$12=0,0,T83/T$12)</f>
        <v>0.19040754802244123</v>
      </c>
      <c r="W83" s="16"/>
      <c r="X83" s="21">
        <f>+P83-T83</f>
        <v>-44468.853948338423</v>
      </c>
      <c r="Y83" s="16"/>
      <c r="Z83" s="20">
        <f>IF(T83=0,0,X83/T83)</f>
        <v>-0.40495008339581157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2"/>
      <c r="B85" s="10" t="s">
        <v>14</v>
      </c>
      <c r="C85" s="10"/>
      <c r="D85" s="4">
        <v>3144.64</v>
      </c>
      <c r="E85" s="4"/>
      <c r="F85" s="12">
        <f>IF(D$12=0,0,D85/D$12)</f>
        <v>6.622356729600648E-2</v>
      </c>
      <c r="G85" s="4"/>
      <c r="H85" s="4">
        <v>3407</v>
      </c>
      <c r="I85" s="4"/>
      <c r="J85" s="12">
        <f>IF(H$12=0,0,H85/H$12)</f>
        <v>6.5611338995127777E-2</v>
      </c>
      <c r="K85" s="4"/>
      <c r="L85" s="4">
        <f>+D85-H85</f>
        <v>-262.36000000000013</v>
      </c>
      <c r="M85" s="4"/>
      <c r="N85" s="12">
        <f>IF(H85=0,0,L85/H85)</f>
        <v>-7.7006163780452053E-2</v>
      </c>
      <c r="O85" s="10"/>
      <c r="P85" s="4">
        <v>55594.8</v>
      </c>
      <c r="Q85" s="4"/>
      <c r="R85" s="12">
        <f>IF(P$12=0,0,P85/P$12)</f>
        <v>0.10428583985846712</v>
      </c>
      <c r="S85" s="4"/>
      <c r="T85" s="4">
        <v>71008</v>
      </c>
      <c r="U85" s="4"/>
      <c r="V85" s="12">
        <f>IF(T$12=0,0,T85/T$12)</f>
        <v>0.12312237852571493</v>
      </c>
      <c r="W85" s="4"/>
      <c r="X85" s="4">
        <f>+P85-T85</f>
        <v>-15413.199999999997</v>
      </c>
      <c r="Y85" s="4"/>
      <c r="Z85" s="12">
        <f>IF(T85=0,0,X85/T85)</f>
        <v>-0.21706286615592604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4</v>
      </c>
      <c r="C87" s="29"/>
      <c r="D87" s="34">
        <f>+D83-D85</f>
        <v>-3407.1800000000044</v>
      </c>
      <c r="E87" s="14"/>
      <c r="F87" s="32">
        <f>IF(D$12=0,0,D87/D$12)</f>
        <v>-7.1752446709196491E-2</v>
      </c>
      <c r="G87" s="14"/>
      <c r="H87" s="34">
        <f>+H83-H85</f>
        <v>-89.978519161541044</v>
      </c>
      <c r="I87" s="14"/>
      <c r="J87" s="32">
        <f>IF(H$12=0,0,H87/H$12)</f>
        <v>-1.7327887064829673E-3</v>
      </c>
      <c r="K87" s="16"/>
      <c r="L87" s="34">
        <f>D87-H87</f>
        <v>-3317.2014808384633</v>
      </c>
      <c r="M87" s="16"/>
      <c r="N87" s="32">
        <f>IF(H87=0,0,L87/H87)</f>
        <v>36.866593401954027</v>
      </c>
      <c r="O87" s="28"/>
      <c r="P87" s="34">
        <f>+P83-P85</f>
        <v>9749.5200000000332</v>
      </c>
      <c r="Q87" s="14"/>
      <c r="R87" s="32">
        <f>IF(P$12=0,0,P87/P$12)</f>
        <v>1.8288344978611773E-2</v>
      </c>
      <c r="S87" s="14"/>
      <c r="T87" s="34">
        <f>+T83-T85</f>
        <v>38805.173948338459</v>
      </c>
      <c r="U87" s="14"/>
      <c r="V87" s="32">
        <f>IF(T$12=0,0,T87/T$12)</f>
        <v>6.7285169496726277E-2</v>
      </c>
      <c r="W87" s="16"/>
      <c r="X87" s="34">
        <f>P87-T87</f>
        <v>-29055.653948338426</v>
      </c>
      <c r="Y87" s="16"/>
      <c r="Z87" s="32">
        <f>IF(T87=0,0,X87/T87)</f>
        <v>-0.74875721436065146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5</v>
      </c>
      <c r="C90" s="29"/>
      <c r="D90" s="31">
        <f>SUM(D87:D89)</f>
        <v>-3407.1800000000044</v>
      </c>
      <c r="E90" s="14"/>
      <c r="F90" s="30">
        <f>IF(D$12=0,0,D90/D$12)</f>
        <v>-7.1752446709196491E-2</v>
      </c>
      <c r="G90" s="14"/>
      <c r="H90" s="31">
        <f>SUM(H87:H89)</f>
        <v>-89.978519161541044</v>
      </c>
      <c r="I90" s="14"/>
      <c r="J90" s="30">
        <f>IF(H$12=0,0,H90/H$12)</f>
        <v>-1.7327887064829673E-3</v>
      </c>
      <c r="K90" s="16"/>
      <c r="L90" s="31">
        <f>+D90-H90</f>
        <v>-3317.2014808384633</v>
      </c>
      <c r="M90" s="16"/>
      <c r="N90" s="30">
        <f>IF(H90=0,0,L90/H90)</f>
        <v>36.866593401954027</v>
      </c>
      <c r="O90" s="28"/>
      <c r="P90" s="31">
        <f>SUM(P87:P89)</f>
        <v>9749.5200000000332</v>
      </c>
      <c r="Q90" s="14"/>
      <c r="R90" s="30">
        <f>IF(P$12=0,0,P90/P$12)</f>
        <v>1.8288344978611773E-2</v>
      </c>
      <c r="S90" s="14"/>
      <c r="T90" s="31">
        <f>SUM(T87:T89)</f>
        <v>38805.173948338459</v>
      </c>
      <c r="U90" s="14"/>
      <c r="V90" s="30">
        <f>IF(T$12=0,0,T90/T$12)</f>
        <v>6.7285169496726277E-2</v>
      </c>
      <c r="W90" s="16"/>
      <c r="X90" s="31">
        <f>+P90-T90</f>
        <v>-29055.653948338426</v>
      </c>
      <c r="Y90" s="16"/>
      <c r="Z90" s="30">
        <f>IF(T90=0,0,X90/T90)</f>
        <v>-0.74875721436065146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63">
        <v>43879.546332256941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7" t="s">
        <v>314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0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","325", " - ", "Outpost C-Store")</f>
        <v>Department 325 - Outpost C-Store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49540.77</v>
      </c>
      <c r="E12" s="4"/>
      <c r="F12" s="12"/>
      <c r="G12" s="4"/>
      <c r="H12" s="4">
        <f>SUM(OSRRefH13x_0)</f>
        <v>44439</v>
      </c>
      <c r="I12" s="4"/>
      <c r="J12" s="12"/>
      <c r="K12" s="4"/>
      <c r="L12" s="4">
        <f t="shared" ref="L12:L15" si="0">+D12-H12</f>
        <v>5101.7699999999968</v>
      </c>
      <c r="M12" s="4"/>
      <c r="N12" s="12">
        <f t="shared" ref="N12:N15" si="1">IF(H12=0,0,L12/H12)</f>
        <v>0.11480388847633828</v>
      </c>
      <c r="O12" s="10"/>
      <c r="P12" s="4">
        <f>SUM(OSRRefP13x_0)</f>
        <v>452216.81</v>
      </c>
      <c r="Q12" s="4"/>
      <c r="R12" s="12"/>
      <c r="S12" s="4"/>
      <c r="T12" s="4">
        <f>SUM(OSRRefT13x_0)</f>
        <v>424898.2</v>
      </c>
      <c r="U12" s="4"/>
      <c r="V12" s="12"/>
      <c r="W12" s="4"/>
      <c r="X12" s="4">
        <f t="shared" ref="X12:X15" si="2">+P12-T12</f>
        <v>27318.609999999986</v>
      </c>
      <c r="Y12" s="4"/>
      <c r="Z12" s="12">
        <f t="shared" ref="Z12:Z15" si="3">IF(T12=0,0,X12/T12)</f>
        <v>6.4294482772579375E-2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44439</v>
      </c>
      <c r="I13" s="2"/>
      <c r="J13" s="19"/>
      <c r="K13" s="2"/>
      <c r="L13" s="2">
        <f t="shared" si="0"/>
        <v>-44439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424898.2</v>
      </c>
      <c r="U13" s="2"/>
      <c r="V13" s="19"/>
      <c r="W13" s="2"/>
      <c r="X13" s="2">
        <f t="shared" si="2"/>
        <v>-424898.2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--8569.18</f>
        <v>8569.18</v>
      </c>
      <c r="E14" s="2"/>
      <c r="F14" s="19"/>
      <c r="G14" s="2"/>
      <c r="H14" s="2"/>
      <c r="I14" s="2"/>
      <c r="J14" s="19"/>
      <c r="K14" s="2"/>
      <c r="L14" s="2">
        <f t="shared" si="0"/>
        <v>8569.18</v>
      </c>
      <c r="M14" s="2"/>
      <c r="N14" s="19">
        <f t="shared" si="1"/>
        <v>0</v>
      </c>
      <c r="O14" s="11"/>
      <c r="P14" s="2">
        <f>--81471.17</f>
        <v>81471.17</v>
      </c>
      <c r="Q14" s="2"/>
      <c r="R14" s="19"/>
      <c r="S14" s="2"/>
      <c r="T14" s="2"/>
      <c r="U14" s="2"/>
      <c r="V14" s="19"/>
      <c r="W14" s="2"/>
      <c r="X14" s="2">
        <f t="shared" si="2"/>
        <v>81471.17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>--40971.59</f>
        <v>40971.589999999997</v>
      </c>
      <c r="E15" s="2"/>
      <c r="F15" s="19"/>
      <c r="G15" s="2"/>
      <c r="H15" s="2"/>
      <c r="I15" s="2"/>
      <c r="J15" s="19"/>
      <c r="K15" s="2"/>
      <c r="L15" s="2">
        <f t="shared" si="0"/>
        <v>40971.589999999997</v>
      </c>
      <c r="M15" s="2"/>
      <c r="N15" s="19">
        <f t="shared" si="1"/>
        <v>0</v>
      </c>
      <c r="O15" s="11"/>
      <c r="P15" s="2">
        <f>--370745.64</f>
        <v>370745.64</v>
      </c>
      <c r="Q15" s="2"/>
      <c r="R15" s="19"/>
      <c r="S15" s="2"/>
      <c r="T15" s="2"/>
      <c r="U15" s="2"/>
      <c r="V15" s="19"/>
      <c r="W15" s="2"/>
      <c r="X15" s="2">
        <f t="shared" si="2"/>
        <v>370745.64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23780.32</v>
      </c>
      <c r="E17" s="4"/>
      <c r="F17" s="12">
        <f t="shared" ref="F17:F20" si="4">IF(D$12=0,0,D17/D$12)</f>
        <v>0.48001514712024057</v>
      </c>
      <c r="G17" s="4"/>
      <c r="H17" s="4">
        <f>SUM(OSRRefH16x_0)</f>
        <v>21330</v>
      </c>
      <c r="I17" s="4"/>
      <c r="J17" s="12">
        <f t="shared" ref="J17:J20" si="5">IF(H$12=0,0,H17/H$12)</f>
        <v>0.47998379801525687</v>
      </c>
      <c r="K17" s="4"/>
      <c r="L17" s="4">
        <f t="shared" ref="L17:L20" si="6">+D17-H17</f>
        <v>2450.3199999999997</v>
      </c>
      <c r="M17" s="4"/>
      <c r="N17" s="12">
        <f t="shared" ref="N17:N20" si="7">IF(H17=0,0,L17/H17)</f>
        <v>0.11487669948429441</v>
      </c>
      <c r="O17" s="10"/>
      <c r="P17" s="4">
        <f>SUM(OSRRefP16x_0)</f>
        <v>207330.19999999998</v>
      </c>
      <c r="Q17" s="4"/>
      <c r="R17" s="12">
        <f t="shared" ref="R17:R20" si="8">IF(P$12=0,0,P17/P$12)</f>
        <v>0.45847521678815961</v>
      </c>
      <c r="S17" s="4"/>
      <c r="T17" s="4">
        <f>SUM(OSRRefT16x_0)</f>
        <v>203950</v>
      </c>
      <c r="U17" s="4"/>
      <c r="V17" s="12">
        <f t="shared" ref="V17:V20" si="9">IF(T$12=0,0,T17/T$12)</f>
        <v>0.47999732641842208</v>
      </c>
      <c r="W17" s="4"/>
      <c r="X17" s="4">
        <f t="shared" ref="X17:X20" si="10">+P17-T17</f>
        <v>3380.1999999999825</v>
      </c>
      <c r="Y17" s="4"/>
      <c r="Z17" s="12">
        <f t="shared" ref="Z17:Z20" si="11">IF(T17=0,0,X17/T17)</f>
        <v>1.6573670017160983E-2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21330</v>
      </c>
      <c r="I18" s="2"/>
      <c r="J18" s="19">
        <f t="shared" si="5"/>
        <v>0.47998379801525687</v>
      </c>
      <c r="K18" s="2"/>
      <c r="L18" s="2">
        <f t="shared" si="6"/>
        <v>-21330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203950</v>
      </c>
      <c r="U18" s="2"/>
      <c r="V18" s="19">
        <f t="shared" si="9"/>
        <v>0.47999732641842208</v>
      </c>
      <c r="W18" s="2"/>
      <c r="X18" s="2">
        <f t="shared" si="10"/>
        <v>-203950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26509.31</v>
      </c>
      <c r="E19" s="2"/>
      <c r="F19" s="19">
        <f t="shared" si="4"/>
        <v>0.53510088761236463</v>
      </c>
      <c r="G19" s="2"/>
      <c r="H19" s="2"/>
      <c r="I19" s="2"/>
      <c r="J19" s="19">
        <f t="shared" si="5"/>
        <v>0</v>
      </c>
      <c r="K19" s="2"/>
      <c r="L19" s="2">
        <f t="shared" si="6"/>
        <v>26509.31</v>
      </c>
      <c r="M19" s="2"/>
      <c r="N19" s="19">
        <f t="shared" si="7"/>
        <v>0</v>
      </c>
      <c r="O19" s="11"/>
      <c r="P19" s="2">
        <v>213688.62999999998</v>
      </c>
      <c r="Q19" s="2"/>
      <c r="R19" s="19">
        <f t="shared" si="8"/>
        <v>0.47253579538540369</v>
      </c>
      <c r="S19" s="2"/>
      <c r="T19" s="2"/>
      <c r="U19" s="2"/>
      <c r="V19" s="19">
        <f t="shared" si="9"/>
        <v>0</v>
      </c>
      <c r="W19" s="2"/>
      <c r="X19" s="2">
        <f t="shared" si="10"/>
        <v>213688.62999999998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-2728.99</v>
      </c>
      <c r="E20" s="2"/>
      <c r="F20" s="19">
        <f t="shared" si="4"/>
        <v>-5.5085740492123961E-2</v>
      </c>
      <c r="G20" s="2"/>
      <c r="H20" s="2"/>
      <c r="I20" s="2"/>
      <c r="J20" s="19">
        <f t="shared" si="5"/>
        <v>0</v>
      </c>
      <c r="K20" s="2"/>
      <c r="L20" s="2">
        <f t="shared" si="6"/>
        <v>-2728.99</v>
      </c>
      <c r="M20" s="2"/>
      <c r="N20" s="19">
        <f t="shared" si="7"/>
        <v>0</v>
      </c>
      <c r="O20" s="11"/>
      <c r="P20" s="2">
        <v>-6358.43</v>
      </c>
      <c r="Q20" s="2"/>
      <c r="R20" s="19">
        <f t="shared" si="8"/>
        <v>-1.4060578597244097E-2</v>
      </c>
      <c r="S20" s="2"/>
      <c r="T20" s="2"/>
      <c r="U20" s="2"/>
      <c r="V20" s="19">
        <f t="shared" si="9"/>
        <v>0</v>
      </c>
      <c r="W20" s="2"/>
      <c r="X20" s="2">
        <f t="shared" si="10"/>
        <v>-6358.43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1">
        <f>D12-D17</f>
        <v>25760.449999999997</v>
      </c>
      <c r="E22" s="14"/>
      <c r="F22" s="20">
        <f>IF(D$12=0,0,D22/D$12)</f>
        <v>0.51998485287975937</v>
      </c>
      <c r="G22" s="14"/>
      <c r="H22" s="21">
        <f>H12-H17</f>
        <v>23109</v>
      </c>
      <c r="I22" s="14"/>
      <c r="J22" s="20">
        <f>IF(H$12=0,0,H22/H$12)</f>
        <v>0.52001620198474308</v>
      </c>
      <c r="K22" s="16"/>
      <c r="L22" s="21">
        <f>+D22-H22</f>
        <v>2651.4499999999971</v>
      </c>
      <c r="M22" s="16"/>
      <c r="N22" s="20">
        <f>IF(H22=0,0,L22/H22)</f>
        <v>0.11473668267774448</v>
      </c>
      <c r="O22" s="28"/>
      <c r="P22" s="21">
        <f>P12-P17</f>
        <v>244886.61000000002</v>
      </c>
      <c r="Q22" s="14"/>
      <c r="R22" s="20">
        <f>IF(P$12=0,0,P22/P$12)</f>
        <v>0.54152478321184039</v>
      </c>
      <c r="S22" s="14"/>
      <c r="T22" s="21">
        <f>T12-T17</f>
        <v>220948.2</v>
      </c>
      <c r="U22" s="14"/>
      <c r="V22" s="20">
        <f>IF(T$12=0,0,T22/T$12)</f>
        <v>0.52000267358157792</v>
      </c>
      <c r="W22" s="16"/>
      <c r="X22" s="21">
        <f>+P22-T22</f>
        <v>23938.410000000003</v>
      </c>
      <c r="Y22" s="16"/>
      <c r="Z22" s="20">
        <f>IF(T22=0,0,X22/T22)</f>
        <v>0.10834399194019233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2">
        <f>SUM(OSRRefD22x_0)</f>
        <v>30245.699999999997</v>
      </c>
      <c r="E24" s="22"/>
      <c r="F24" s="35">
        <f t="shared" ref="F24:F34" si="12">IF(D$12=0,0,D24/D$12)</f>
        <v>0.61052139480270495</v>
      </c>
      <c r="G24" s="22"/>
      <c r="H24" s="22">
        <f>SUM(OSRRefH22x_0)</f>
        <v>28257.180376</v>
      </c>
      <c r="I24" s="22"/>
      <c r="J24" s="35">
        <f t="shared" ref="J24:J34" si="13">IF(H$12=0,0,H24/H$12)</f>
        <v>0.63586445185535234</v>
      </c>
      <c r="K24" s="4"/>
      <c r="L24" s="22">
        <f t="shared" ref="L24:L34" si="14">+D24-H24</f>
        <v>1988.5196239999968</v>
      </c>
      <c r="M24" s="4"/>
      <c r="N24" s="35">
        <f t="shared" ref="N24:N34" si="15">IF(H24=0,0,L24/H24)</f>
        <v>7.0372188503596389E-2</v>
      </c>
      <c r="O24" s="10"/>
      <c r="P24" s="22">
        <f>SUM(OSRRefP22x_0)</f>
        <v>210863.84999999995</v>
      </c>
      <c r="Q24" s="22"/>
      <c r="R24" s="35">
        <f t="shared" ref="R24:R34" si="16">IF(P$12=0,0,P24/P$12)</f>
        <v>0.46628927836627732</v>
      </c>
      <c r="S24" s="22"/>
      <c r="T24" s="22">
        <f>SUM(OSRRefT22x_0)</f>
        <v>206721.26973875001</v>
      </c>
      <c r="U24" s="22"/>
      <c r="V24" s="35">
        <f t="shared" ref="V24:V34" si="17">IF(T$12=0,0,T24/T$12)</f>
        <v>0.48651952335582971</v>
      </c>
      <c r="W24" s="4"/>
      <c r="X24" s="22">
        <f t="shared" ref="X24:X34" si="18">+P24-T24</f>
        <v>4142.5802612499392</v>
      </c>
      <c r="Y24" s="4"/>
      <c r="Z24" s="35">
        <f t="shared" ref="Z24:Z34" si="19">IF(T24=0,0,X24/T24)</f>
        <v>2.0039448608676045E-2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3910.08</v>
      </c>
      <c r="E25" s="1"/>
      <c r="F25" s="5">
        <f t="shared" si="12"/>
        <v>7.8926508409134538E-2</v>
      </c>
      <c r="G25" s="1"/>
      <c r="H25" s="1">
        <f>SUM(OSRRefH22_0x_0)</f>
        <v>3656.2976760000001</v>
      </c>
      <c r="I25" s="1"/>
      <c r="J25" s="5">
        <f t="shared" si="13"/>
        <v>8.2276776615135355E-2</v>
      </c>
      <c r="K25" s="1"/>
      <c r="L25" s="1">
        <f t="shared" si="14"/>
        <v>253.78232399999979</v>
      </c>
      <c r="M25" s="1"/>
      <c r="N25" s="5">
        <f t="shared" si="15"/>
        <v>6.9409645080549989E-2</v>
      </c>
      <c r="O25" s="13"/>
      <c r="P25" s="1">
        <f>SUM(OSRRefP22_0x_0)</f>
        <v>26619.440000000002</v>
      </c>
      <c r="Q25" s="1"/>
      <c r="R25" s="5">
        <f t="shared" si="16"/>
        <v>5.8864331027411392E-2</v>
      </c>
      <c r="S25" s="1"/>
      <c r="T25" s="1">
        <f>SUM(OSRRefT22_0x_0)</f>
        <v>25243.215788749996</v>
      </c>
      <c r="U25" s="1"/>
      <c r="V25" s="5">
        <f t="shared" si="17"/>
        <v>5.9410032305973512E-2</v>
      </c>
      <c r="W25" s="1"/>
      <c r="X25" s="1">
        <f t="shared" si="18"/>
        <v>1376.2242112500062</v>
      </c>
      <c r="Y25" s="1"/>
      <c r="Z25" s="5">
        <f t="shared" si="19"/>
        <v>5.4518577298829744E-2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7">
        <v>510.3</v>
      </c>
      <c r="E26" s="2"/>
      <c r="F26" s="6">
        <f t="shared" si="12"/>
        <v>1.0300606954635546E-2</v>
      </c>
      <c r="G26" s="2"/>
      <c r="H26" s="7">
        <v>378.36432000000002</v>
      </c>
      <c r="I26" s="2"/>
      <c r="J26" s="6">
        <f t="shared" si="13"/>
        <v>8.5142401944238166E-3</v>
      </c>
      <c r="K26" s="2"/>
      <c r="L26" s="7">
        <f t="shared" si="14"/>
        <v>131.93567999999999</v>
      </c>
      <c r="M26" s="2"/>
      <c r="N26" s="6">
        <f t="shared" si="15"/>
        <v>0.3487001099892294</v>
      </c>
      <c r="O26" s="11"/>
      <c r="P26" s="7">
        <v>4032.63</v>
      </c>
      <c r="Q26" s="2"/>
      <c r="R26" s="6">
        <f t="shared" si="16"/>
        <v>8.9174703611747657E-3</v>
      </c>
      <c r="S26" s="2"/>
      <c r="T26" s="7">
        <v>2611.75270275</v>
      </c>
      <c r="U26" s="2"/>
      <c r="V26" s="6">
        <f t="shared" si="17"/>
        <v>6.1467728099342386E-3</v>
      </c>
      <c r="W26" s="2"/>
      <c r="X26" s="7">
        <f t="shared" si="18"/>
        <v>1420.8772972500001</v>
      </c>
      <c r="Y26" s="2"/>
      <c r="Z26" s="6">
        <f t="shared" si="19"/>
        <v>0.5440320960533177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7">
        <v>168.99</v>
      </c>
      <c r="E27" s="2"/>
      <c r="F27" s="6">
        <f t="shared" si="12"/>
        <v>3.4111298633428592E-3</v>
      </c>
      <c r="G27" s="2"/>
      <c r="H27" s="7">
        <v>195.03328999999999</v>
      </c>
      <c r="I27" s="2"/>
      <c r="J27" s="6">
        <f t="shared" si="13"/>
        <v>4.3887866513647924E-3</v>
      </c>
      <c r="K27" s="2"/>
      <c r="L27" s="7">
        <f t="shared" si="14"/>
        <v>-26.043289999999985</v>
      </c>
      <c r="M27" s="2"/>
      <c r="N27" s="6">
        <f t="shared" si="15"/>
        <v>-0.13353253693254102</v>
      </c>
      <c r="O27" s="11"/>
      <c r="P27" s="7">
        <v>1243.32</v>
      </c>
      <c r="Q27" s="2"/>
      <c r="R27" s="6">
        <f t="shared" si="16"/>
        <v>2.7493891702079806E-3</v>
      </c>
      <c r="S27" s="2"/>
      <c r="T27" s="7">
        <v>1430.7538649999999</v>
      </c>
      <c r="U27" s="2"/>
      <c r="V27" s="6">
        <f t="shared" si="17"/>
        <v>3.3672862464467958E-3</v>
      </c>
      <c r="W27" s="2"/>
      <c r="X27" s="7">
        <f t="shared" si="18"/>
        <v>-187.43386499999997</v>
      </c>
      <c r="Y27" s="2"/>
      <c r="Z27" s="6">
        <f t="shared" si="19"/>
        <v>-0.13100357062463708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7">
        <v>1915.63</v>
      </c>
      <c r="E28" s="2"/>
      <c r="F28" s="6">
        <f t="shared" si="12"/>
        <v>3.8667747796410919E-2</v>
      </c>
      <c r="G28" s="2"/>
      <c r="H28" s="7">
        <v>1977</v>
      </c>
      <c r="I28" s="2"/>
      <c r="J28" s="6">
        <f t="shared" si="13"/>
        <v>4.4487949773847298E-2</v>
      </c>
      <c r="K28" s="2"/>
      <c r="L28" s="7">
        <f t="shared" si="14"/>
        <v>-61.369999999999891</v>
      </c>
      <c r="M28" s="2"/>
      <c r="N28" s="6">
        <f t="shared" si="15"/>
        <v>-3.1041982802225539E-2</v>
      </c>
      <c r="O28" s="11"/>
      <c r="P28" s="7">
        <v>13278.2</v>
      </c>
      <c r="Q28" s="2"/>
      <c r="R28" s="6">
        <f t="shared" si="16"/>
        <v>2.9362464433818816E-2</v>
      </c>
      <c r="S28" s="2"/>
      <c r="T28" s="7">
        <v>13839</v>
      </c>
      <c r="U28" s="2"/>
      <c r="V28" s="6">
        <f t="shared" si="17"/>
        <v>3.2570154451113227E-2</v>
      </c>
      <c r="W28" s="2"/>
      <c r="X28" s="7">
        <f t="shared" si="18"/>
        <v>-560.79999999999927</v>
      </c>
      <c r="Y28" s="2"/>
      <c r="Z28" s="6">
        <f t="shared" si="19"/>
        <v>-4.0523159187802534E-2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7">
        <v>23.13</v>
      </c>
      <c r="E29" s="2"/>
      <c r="F29" s="6">
        <f t="shared" si="12"/>
        <v>4.6688818118894801E-4</v>
      </c>
      <c r="G29" s="2"/>
      <c r="H29" s="7">
        <v>26.688766000000001</v>
      </c>
      <c r="I29" s="2"/>
      <c r="J29" s="6">
        <f t="shared" si="13"/>
        <v>6.0057080492360317E-4</v>
      </c>
      <c r="K29" s="2"/>
      <c r="L29" s="7">
        <f t="shared" si="14"/>
        <v>-3.5587660000000021</v>
      </c>
      <c r="M29" s="2"/>
      <c r="N29" s="6">
        <f t="shared" si="15"/>
        <v>-0.13334322013988964</v>
      </c>
      <c r="O29" s="11"/>
      <c r="P29" s="7">
        <v>206.4</v>
      </c>
      <c r="Q29" s="2"/>
      <c r="R29" s="6">
        <f t="shared" si="16"/>
        <v>4.5641823885317313E-4</v>
      </c>
      <c r="S29" s="2"/>
      <c r="T29" s="7">
        <v>195.78737100000001</v>
      </c>
      <c r="U29" s="2"/>
      <c r="V29" s="6">
        <f t="shared" si="17"/>
        <v>4.6078653898745631E-4</v>
      </c>
      <c r="W29" s="2"/>
      <c r="X29" s="7">
        <f t="shared" si="18"/>
        <v>10.612628999999998</v>
      </c>
      <c r="Y29" s="2"/>
      <c r="Z29" s="6">
        <f t="shared" si="19"/>
        <v>5.4204870037301831E-2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7">
        <v>621.44000000000005</v>
      </c>
      <c r="E30" s="2"/>
      <c r="F30" s="6">
        <f t="shared" si="12"/>
        <v>1.2544011730136615E-2</v>
      </c>
      <c r="G30" s="2"/>
      <c r="H30" s="7">
        <v>425.18400000000003</v>
      </c>
      <c r="I30" s="2"/>
      <c r="J30" s="6">
        <f t="shared" si="13"/>
        <v>9.5678120569769806E-3</v>
      </c>
      <c r="K30" s="2"/>
      <c r="L30" s="7">
        <f t="shared" si="14"/>
        <v>196.25600000000003</v>
      </c>
      <c r="M30" s="2"/>
      <c r="N30" s="6">
        <f t="shared" si="15"/>
        <v>0.46157898697975469</v>
      </c>
      <c r="O30" s="11"/>
      <c r="P30" s="7">
        <v>3257</v>
      </c>
      <c r="Q30" s="2"/>
      <c r="R30" s="6">
        <f t="shared" si="16"/>
        <v>7.2022974997324844E-3</v>
      </c>
      <c r="S30" s="2"/>
      <c r="T30" s="7">
        <v>2636.1408000000001</v>
      </c>
      <c r="U30" s="2"/>
      <c r="V30" s="6">
        <f t="shared" si="17"/>
        <v>6.2041703165605314E-3</v>
      </c>
      <c r="W30" s="2"/>
      <c r="X30" s="7">
        <f t="shared" si="18"/>
        <v>620.85919999999987</v>
      </c>
      <c r="Y30" s="2"/>
      <c r="Z30" s="6">
        <f t="shared" si="19"/>
        <v>0.23551822421624818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7">
        <v>304.2</v>
      </c>
      <c r="E32" s="2"/>
      <c r="F32" s="6">
        <f t="shared" si="12"/>
        <v>6.1403970911231296E-3</v>
      </c>
      <c r="G32" s="2"/>
      <c r="H32" s="7">
        <v>247.2</v>
      </c>
      <c r="I32" s="2"/>
      <c r="J32" s="6">
        <f t="shared" si="13"/>
        <v>5.562681428474988E-3</v>
      </c>
      <c r="K32" s="2"/>
      <c r="L32" s="7">
        <f t="shared" si="14"/>
        <v>57</v>
      </c>
      <c r="M32" s="2"/>
      <c r="N32" s="6">
        <f t="shared" si="15"/>
        <v>0.23058252427184467</v>
      </c>
      <c r="O32" s="11"/>
      <c r="P32" s="7">
        <v>2129.4</v>
      </c>
      <c r="Q32" s="2"/>
      <c r="R32" s="6">
        <f t="shared" si="16"/>
        <v>4.7088032839823005E-3</v>
      </c>
      <c r="S32" s="2"/>
      <c r="T32" s="7">
        <v>1532.64</v>
      </c>
      <c r="U32" s="2"/>
      <c r="V32" s="6">
        <f t="shared" si="17"/>
        <v>3.6070757654421697E-3</v>
      </c>
      <c r="W32" s="2"/>
      <c r="X32" s="7">
        <f t="shared" si="18"/>
        <v>596.76</v>
      </c>
      <c r="Y32" s="2"/>
      <c r="Z32" s="6">
        <f t="shared" si="19"/>
        <v>0.38936736611337297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7">
        <v>191.88</v>
      </c>
      <c r="E33" s="2"/>
      <c r="F33" s="6">
        <f t="shared" si="12"/>
        <v>3.8731735497853589E-3</v>
      </c>
      <c r="G33" s="2"/>
      <c r="H33" s="7">
        <v>406.82729999999998</v>
      </c>
      <c r="I33" s="2"/>
      <c r="J33" s="6">
        <f t="shared" si="13"/>
        <v>9.1547357051238766E-3</v>
      </c>
      <c r="K33" s="2"/>
      <c r="L33" s="7">
        <f t="shared" si="14"/>
        <v>-214.94729999999998</v>
      </c>
      <c r="M33" s="2"/>
      <c r="N33" s="6">
        <f t="shared" si="15"/>
        <v>-0.52835023608297671</v>
      </c>
      <c r="O33" s="11"/>
      <c r="P33" s="7">
        <v>1343.16</v>
      </c>
      <c r="Q33" s="2"/>
      <c r="R33" s="6">
        <f t="shared" si="16"/>
        <v>2.9701682252811436E-3</v>
      </c>
      <c r="S33" s="2"/>
      <c r="T33" s="7">
        <v>2872.1410499999997</v>
      </c>
      <c r="U33" s="2"/>
      <c r="V33" s="6">
        <f t="shared" si="17"/>
        <v>6.7595980637244393E-3</v>
      </c>
      <c r="W33" s="2"/>
      <c r="X33" s="7">
        <f t="shared" si="18"/>
        <v>-1528.9810499999996</v>
      </c>
      <c r="Y33" s="2"/>
      <c r="Z33" s="6">
        <f t="shared" si="19"/>
        <v>-0.53234887262935771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7">
        <v>174.51</v>
      </c>
      <c r="E34" s="2"/>
      <c r="F34" s="6">
        <f t="shared" si="12"/>
        <v>3.5225532425111681E-3</v>
      </c>
      <c r="G34" s="2"/>
      <c r="H34" s="7"/>
      <c r="I34" s="2"/>
      <c r="J34" s="6">
        <f t="shared" si="13"/>
        <v>0</v>
      </c>
      <c r="K34" s="2"/>
      <c r="L34" s="7">
        <f t="shared" si="14"/>
        <v>174.51</v>
      </c>
      <c r="M34" s="2"/>
      <c r="N34" s="6">
        <f t="shared" si="15"/>
        <v>0</v>
      </c>
      <c r="O34" s="11"/>
      <c r="P34" s="7">
        <v>1129.33</v>
      </c>
      <c r="Q34" s="2"/>
      <c r="R34" s="6">
        <f t="shared" si="16"/>
        <v>2.4973198143607264E-3</v>
      </c>
      <c r="S34" s="2"/>
      <c r="T34" s="7">
        <v>125</v>
      </c>
      <c r="U34" s="2"/>
      <c r="V34" s="6">
        <f t="shared" si="17"/>
        <v>2.9418811376466172E-4</v>
      </c>
      <c r="W34" s="2"/>
      <c r="X34" s="7">
        <f t="shared" si="18"/>
        <v>1004.3299999999999</v>
      </c>
      <c r="Y34" s="2"/>
      <c r="Z34" s="6">
        <f t="shared" si="19"/>
        <v>8.0346399999999996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11559.630000000001</v>
      </c>
      <c r="E35" s="1"/>
      <c r="F35" s="5">
        <f t="shared" ref="F35:F45" si="20">IF(D$12=0,0,D35/D$12)</f>
        <v>0.23333569502452225</v>
      </c>
      <c r="G35" s="1"/>
      <c r="H35" s="1">
        <f>SUM(OSRRefH22_1x_0)</f>
        <v>9610.8827000000001</v>
      </c>
      <c r="I35" s="1"/>
      <c r="J35" s="5">
        <f t="shared" ref="J35:J45" si="21">IF(H$12=0,0,H35/H$12)</f>
        <v>0.21627135399086389</v>
      </c>
      <c r="K35" s="1"/>
      <c r="L35" s="1">
        <f t="shared" ref="L35:L45" si="22">+D35-H35</f>
        <v>1948.7473000000009</v>
      </c>
      <c r="M35" s="1"/>
      <c r="N35" s="5">
        <f t="shared" ref="N35:N45" si="23">IF(H35=0,0,L35/H35)</f>
        <v>0.20276465344853298</v>
      </c>
      <c r="O35" s="13"/>
      <c r="P35" s="1">
        <f>SUM(OSRRefP22_1x_0)</f>
        <v>74051.199999999997</v>
      </c>
      <c r="Q35" s="1"/>
      <c r="R35" s="5">
        <f t="shared" ref="R35:R45" si="24">IF(P$12=0,0,P35/P$12)</f>
        <v>0.16375154209769424</v>
      </c>
      <c r="S35" s="1"/>
      <c r="T35" s="1">
        <f>SUM(OSRRefT22_1x_0)</f>
        <v>70898.053950000001</v>
      </c>
      <c r="U35" s="1"/>
      <c r="V35" s="5">
        <f t="shared" ref="V35:V45" si="25">IF(T$12=0,0,T35/T$12)</f>
        <v>0.16685891808908582</v>
      </c>
      <c r="W35" s="1"/>
      <c r="X35" s="1">
        <f t="shared" ref="X35:X45" si="26">+P35-T35</f>
        <v>3153.1460499999957</v>
      </c>
      <c r="Y35" s="1"/>
      <c r="Z35" s="5">
        <f t="shared" ref="Z35:Z45" si="27">IF(T35=0,0,X35/T35)</f>
        <v>4.4474366704390984E-2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7">
        <v>4576</v>
      </c>
      <c r="E37" s="2"/>
      <c r="F37" s="6">
        <f t="shared" si="20"/>
        <v>9.2368366498946225E-2</v>
      </c>
      <c r="G37" s="2"/>
      <c r="H37" s="7">
        <v>4449.6000000000004</v>
      </c>
      <c r="I37" s="2"/>
      <c r="J37" s="6">
        <f t="shared" si="21"/>
        <v>0.10012826571254979</v>
      </c>
      <c r="K37" s="2"/>
      <c r="L37" s="7">
        <f t="shared" si="22"/>
        <v>126.39999999999964</v>
      </c>
      <c r="M37" s="2"/>
      <c r="N37" s="6">
        <f t="shared" si="23"/>
        <v>2.8407047824523468E-2</v>
      </c>
      <c r="O37" s="11"/>
      <c r="P37" s="7">
        <v>26656</v>
      </c>
      <c r="Q37" s="2"/>
      <c r="R37" s="6">
        <f t="shared" si="24"/>
        <v>5.89451772038284E-2</v>
      </c>
      <c r="S37" s="2"/>
      <c r="T37" s="7">
        <v>27587.52</v>
      </c>
      <c r="U37" s="2"/>
      <c r="V37" s="6">
        <f t="shared" si="25"/>
        <v>6.4927363777959046E-2</v>
      </c>
      <c r="W37" s="2"/>
      <c r="X37" s="7">
        <f t="shared" si="26"/>
        <v>-931.52000000000044</v>
      </c>
      <c r="Y37" s="2"/>
      <c r="Z37" s="6">
        <f t="shared" si="27"/>
        <v>-3.376599273874565E-2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>
        <v>254.64</v>
      </c>
      <c r="Q39" s="2"/>
      <c r="R39" s="6">
        <f t="shared" si="24"/>
        <v>5.6309273421304264E-4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254.64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7">
        <v>2510.5</v>
      </c>
      <c r="E40" s="2"/>
      <c r="F40" s="6">
        <f t="shared" si="20"/>
        <v>5.0675433587326159E-2</v>
      </c>
      <c r="G40" s="2"/>
      <c r="H40" s="7">
        <v>1638.2911999999999</v>
      </c>
      <c r="I40" s="2"/>
      <c r="J40" s="6">
        <f t="shared" si="21"/>
        <v>3.6866068093341434E-2</v>
      </c>
      <c r="K40" s="2"/>
      <c r="L40" s="7">
        <f t="shared" si="22"/>
        <v>872.20880000000011</v>
      </c>
      <c r="M40" s="2"/>
      <c r="N40" s="6">
        <f t="shared" si="23"/>
        <v>0.53238935788704733</v>
      </c>
      <c r="O40" s="11"/>
      <c r="P40" s="7">
        <v>16486.04</v>
      </c>
      <c r="Q40" s="2"/>
      <c r="R40" s="6">
        <f t="shared" si="24"/>
        <v>3.6456053015808947E-2</v>
      </c>
      <c r="S40" s="2"/>
      <c r="T40" s="7">
        <v>8346.8112000000001</v>
      </c>
      <c r="U40" s="2"/>
      <c r="V40" s="6">
        <f t="shared" si="25"/>
        <v>1.9644261143022021E-2</v>
      </c>
      <c r="W40" s="2"/>
      <c r="X40" s="7">
        <f t="shared" si="26"/>
        <v>8139.2288000000008</v>
      </c>
      <c r="Y40" s="2"/>
      <c r="Z40" s="6">
        <f t="shared" si="27"/>
        <v>0.97513033480378719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7">
        <v>4320.38</v>
      </c>
      <c r="E42" s="2"/>
      <c r="F42" s="6">
        <f t="shared" si="20"/>
        <v>8.7208575886083328E-2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4320.38</v>
      </c>
      <c r="M42" s="2"/>
      <c r="N42" s="6">
        <f t="shared" si="23"/>
        <v>0</v>
      </c>
      <c r="O42" s="11"/>
      <c r="P42" s="7">
        <v>28182.769999999997</v>
      </c>
      <c r="Q42" s="2"/>
      <c r="R42" s="6">
        <f t="shared" si="24"/>
        <v>6.2321367487422674E-2</v>
      </c>
      <c r="S42" s="2"/>
      <c r="T42" s="7">
        <v>3370.1437500000002</v>
      </c>
      <c r="U42" s="2"/>
      <c r="V42" s="6">
        <f t="shared" si="25"/>
        <v>7.9316498634261108E-3</v>
      </c>
      <c r="W42" s="2"/>
      <c r="X42" s="7">
        <f t="shared" si="26"/>
        <v>24812.626249999998</v>
      </c>
      <c r="Y42" s="2"/>
      <c r="Z42" s="6">
        <f t="shared" si="27"/>
        <v>7.3624830543207533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7">
        <v>152.75</v>
      </c>
      <c r="E43" s="2"/>
      <c r="F43" s="6">
        <f t="shared" si="20"/>
        <v>3.0833190521665291E-3</v>
      </c>
      <c r="G43" s="2"/>
      <c r="H43" s="7">
        <v>3522.9915000000001</v>
      </c>
      <c r="I43" s="2"/>
      <c r="J43" s="6">
        <f t="shared" si="21"/>
        <v>7.9277020184972666E-2</v>
      </c>
      <c r="K43" s="2"/>
      <c r="L43" s="7">
        <f t="shared" si="22"/>
        <v>-3370.2415000000001</v>
      </c>
      <c r="M43" s="2"/>
      <c r="N43" s="6">
        <f t="shared" si="23"/>
        <v>-0.95664196181001293</v>
      </c>
      <c r="O43" s="11"/>
      <c r="P43" s="7">
        <v>2471.75</v>
      </c>
      <c r="Q43" s="2"/>
      <c r="R43" s="6">
        <f t="shared" si="24"/>
        <v>5.4658516564211751E-3</v>
      </c>
      <c r="S43" s="2"/>
      <c r="T43" s="7">
        <v>31593.579000000002</v>
      </c>
      <c r="U43" s="2"/>
      <c r="V43" s="6">
        <f t="shared" si="25"/>
        <v>7.4355643304678629E-2</v>
      </c>
      <c r="W43" s="2"/>
      <c r="X43" s="7">
        <f t="shared" si="26"/>
        <v>-29121.829000000002</v>
      </c>
      <c r="Y43" s="2"/>
      <c r="Z43" s="6">
        <f t="shared" si="27"/>
        <v>-0.92176416606678213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12</v>
      </c>
      <c r="E46" s="1"/>
      <c r="F46" s="5">
        <f t="shared" ref="F46:F55" si="28">IF(D$12=0,0,D46/D$12)</f>
        <v>2.4222473732241144E-4</v>
      </c>
      <c r="G46" s="1"/>
      <c r="H46" s="1">
        <f>SUM(OSRRefH22_2x_0)</f>
        <v>150</v>
      </c>
      <c r="I46" s="1"/>
      <c r="J46" s="5">
        <f t="shared" ref="J46:J55" si="29">IF(H$12=0,0,H46/H$12)</f>
        <v>3.3754134881522988E-3</v>
      </c>
      <c r="K46" s="1"/>
      <c r="L46" s="1">
        <f t="shared" ref="L46:L55" si="30">+D46-H46</f>
        <v>-138</v>
      </c>
      <c r="M46" s="1"/>
      <c r="N46" s="5">
        <f t="shared" ref="N46:N55" si="31">IF(H46=0,0,L46/H46)</f>
        <v>-0.92</v>
      </c>
      <c r="O46" s="13"/>
      <c r="P46" s="1">
        <f>SUM(OSRRefP22_2x_0)</f>
        <v>729.02</v>
      </c>
      <c r="Q46" s="1"/>
      <c r="R46" s="5">
        <f t="shared" ref="R46:R55" si="32">IF(P$12=0,0,P46/P$12)</f>
        <v>1.6121028318252918E-3</v>
      </c>
      <c r="S46" s="1"/>
      <c r="T46" s="1">
        <f>SUM(OSRRefT22_2x_0)</f>
        <v>825</v>
      </c>
      <c r="U46" s="1"/>
      <c r="V46" s="5">
        <f t="shared" ref="V46:V55" si="33">IF(T$12=0,0,T46/T$12)</f>
        <v>1.9416415508467675E-3</v>
      </c>
      <c r="W46" s="1"/>
      <c r="X46" s="1">
        <f t="shared" ref="X46:X55" si="34">+P46-T46</f>
        <v>-95.980000000000018</v>
      </c>
      <c r="Y46" s="1"/>
      <c r="Z46" s="5">
        <f t="shared" ref="Z46:Z55" si="35">IF(T46=0,0,X46/T46)</f>
        <v>-0.11633939393939396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7">
        <v>12</v>
      </c>
      <c r="E47" s="2"/>
      <c r="F47" s="6">
        <f t="shared" si="28"/>
        <v>2.4222473732241144E-4</v>
      </c>
      <c r="G47" s="2"/>
      <c r="H47" s="7">
        <v>150</v>
      </c>
      <c r="I47" s="2"/>
      <c r="J47" s="6">
        <f t="shared" si="29"/>
        <v>3.3754134881522988E-3</v>
      </c>
      <c r="K47" s="2"/>
      <c r="L47" s="7">
        <f t="shared" si="30"/>
        <v>-138</v>
      </c>
      <c r="M47" s="2"/>
      <c r="N47" s="6">
        <f t="shared" si="31"/>
        <v>-0.92</v>
      </c>
      <c r="O47" s="11"/>
      <c r="P47" s="7">
        <v>729.02</v>
      </c>
      <c r="Q47" s="2"/>
      <c r="R47" s="6">
        <f t="shared" si="32"/>
        <v>1.6121028318252918E-3</v>
      </c>
      <c r="S47" s="2"/>
      <c r="T47" s="7">
        <v>825</v>
      </c>
      <c r="U47" s="2"/>
      <c r="V47" s="6">
        <f t="shared" si="33"/>
        <v>1.9416415508467675E-3</v>
      </c>
      <c r="W47" s="2"/>
      <c r="X47" s="7">
        <f t="shared" si="34"/>
        <v>-95.980000000000018</v>
      </c>
      <c r="Y47" s="2"/>
      <c r="Z47" s="6">
        <f t="shared" si="35"/>
        <v>-0.11633939393939396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-6.63</v>
      </c>
      <c r="E48" s="1"/>
      <c r="F48" s="5">
        <f t="shared" si="28"/>
        <v>-1.3382916737063232E-4</v>
      </c>
      <c r="G48" s="1"/>
      <c r="H48" s="1">
        <f>SUM(OSRRefH22_3x_0)</f>
        <v>10</v>
      </c>
      <c r="I48" s="1"/>
      <c r="J48" s="5">
        <f t="shared" si="29"/>
        <v>2.2502756587681992E-4</v>
      </c>
      <c r="K48" s="1"/>
      <c r="L48" s="1">
        <f t="shared" si="30"/>
        <v>-16.63</v>
      </c>
      <c r="M48" s="1"/>
      <c r="N48" s="5">
        <f t="shared" si="31"/>
        <v>-1.6629999999999998</v>
      </c>
      <c r="O48" s="13"/>
      <c r="P48" s="1">
        <f>SUM(OSRRefP22_3x_0)</f>
        <v>-58.71</v>
      </c>
      <c r="Q48" s="1"/>
      <c r="R48" s="5">
        <f t="shared" si="32"/>
        <v>-1.2982710660402032E-4</v>
      </c>
      <c r="S48" s="1"/>
      <c r="T48" s="1">
        <f>SUM(OSRRefT22_3x_0)</f>
        <v>70</v>
      </c>
      <c r="U48" s="1"/>
      <c r="V48" s="5">
        <f t="shared" si="33"/>
        <v>1.6474534370821057E-4</v>
      </c>
      <c r="W48" s="1"/>
      <c r="X48" s="1">
        <f t="shared" si="34"/>
        <v>-128.71</v>
      </c>
      <c r="Y48" s="1"/>
      <c r="Z48" s="5">
        <f t="shared" si="35"/>
        <v>-1.8387142857142857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7">
        <v>-6.63</v>
      </c>
      <c r="E49" s="2"/>
      <c r="F49" s="6">
        <f t="shared" si="28"/>
        <v>-1.3382916737063232E-4</v>
      </c>
      <c r="G49" s="2"/>
      <c r="H49" s="7">
        <v>10</v>
      </c>
      <c r="I49" s="2"/>
      <c r="J49" s="6">
        <f t="shared" si="29"/>
        <v>2.2502756587681992E-4</v>
      </c>
      <c r="K49" s="2"/>
      <c r="L49" s="7">
        <f t="shared" si="30"/>
        <v>-16.63</v>
      </c>
      <c r="M49" s="2"/>
      <c r="N49" s="6">
        <f t="shared" si="31"/>
        <v>-1.6629999999999998</v>
      </c>
      <c r="O49" s="11"/>
      <c r="P49" s="7">
        <v>-58.71</v>
      </c>
      <c r="Q49" s="2"/>
      <c r="R49" s="6">
        <f t="shared" si="32"/>
        <v>-1.2982710660402032E-4</v>
      </c>
      <c r="S49" s="2"/>
      <c r="T49" s="7">
        <v>70</v>
      </c>
      <c r="U49" s="2"/>
      <c r="V49" s="6">
        <f t="shared" si="33"/>
        <v>1.6474534370821057E-4</v>
      </c>
      <c r="W49" s="2"/>
      <c r="X49" s="7">
        <f t="shared" si="34"/>
        <v>-128.71</v>
      </c>
      <c r="Y49" s="2"/>
      <c r="Z49" s="6">
        <f t="shared" si="35"/>
        <v>-1.8387142857142857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2045.83</v>
      </c>
      <c r="E50" s="1"/>
      <c r="F50" s="5">
        <f t="shared" si="28"/>
        <v>4.1295886196359079E-2</v>
      </c>
      <c r="G50" s="1"/>
      <c r="H50" s="1">
        <f>SUM(OSRRefH22_4x_0)</f>
        <v>1199</v>
      </c>
      <c r="I50" s="1"/>
      <c r="J50" s="5">
        <f t="shared" si="29"/>
        <v>2.6980805148630709E-2</v>
      </c>
      <c r="K50" s="1"/>
      <c r="L50" s="1">
        <f t="shared" si="30"/>
        <v>846.82999999999993</v>
      </c>
      <c r="M50" s="1"/>
      <c r="N50" s="5">
        <f t="shared" si="31"/>
        <v>0.70628023352793989</v>
      </c>
      <c r="O50" s="13"/>
      <c r="P50" s="1">
        <f>SUM(OSRRefP22_4x_0)</f>
        <v>16381.990000000002</v>
      </c>
      <c r="Q50" s="1"/>
      <c r="R50" s="5">
        <f t="shared" si="32"/>
        <v>3.6225964267007235E-2</v>
      </c>
      <c r="S50" s="1"/>
      <c r="T50" s="1">
        <f>SUM(OSRRefT22_4x_0)</f>
        <v>14349</v>
      </c>
      <c r="U50" s="1"/>
      <c r="V50" s="5">
        <f t="shared" si="33"/>
        <v>3.3770441955273053E-2</v>
      </c>
      <c r="W50" s="1"/>
      <c r="X50" s="1">
        <f t="shared" si="34"/>
        <v>2032.9900000000016</v>
      </c>
      <c r="Y50" s="1"/>
      <c r="Z50" s="5">
        <f t="shared" si="35"/>
        <v>0.14168165028921886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7">
        <v>2045.83</v>
      </c>
      <c r="E51" s="2"/>
      <c r="F51" s="6">
        <f t="shared" si="28"/>
        <v>4.1295886196359079E-2</v>
      </c>
      <c r="G51" s="2"/>
      <c r="H51" s="7">
        <v>1199</v>
      </c>
      <c r="I51" s="2"/>
      <c r="J51" s="6">
        <f t="shared" si="29"/>
        <v>2.6980805148630709E-2</v>
      </c>
      <c r="K51" s="2"/>
      <c r="L51" s="7">
        <f t="shared" si="30"/>
        <v>846.82999999999993</v>
      </c>
      <c r="M51" s="2"/>
      <c r="N51" s="6">
        <f t="shared" si="31"/>
        <v>0.70628023352793989</v>
      </c>
      <c r="O51" s="11"/>
      <c r="P51" s="7">
        <v>16381.990000000002</v>
      </c>
      <c r="Q51" s="2"/>
      <c r="R51" s="6">
        <f t="shared" si="32"/>
        <v>3.6225964267007235E-2</v>
      </c>
      <c r="S51" s="2"/>
      <c r="T51" s="7">
        <v>14349</v>
      </c>
      <c r="U51" s="2"/>
      <c r="V51" s="6">
        <f t="shared" si="33"/>
        <v>3.3770441955273053E-2</v>
      </c>
      <c r="W51" s="2"/>
      <c r="X51" s="7">
        <f t="shared" si="34"/>
        <v>2032.9900000000016</v>
      </c>
      <c r="Y51" s="2"/>
      <c r="Z51" s="6">
        <f t="shared" si="35"/>
        <v>0.14168165028921886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5564.79</v>
      </c>
      <c r="E52" s="1"/>
      <c r="F52" s="5">
        <f t="shared" si="28"/>
        <v>0.11232748300036516</v>
      </c>
      <c r="G52" s="1"/>
      <c r="H52" s="1">
        <f>SUM(OSRRefH22_5x_0)</f>
        <v>6026</v>
      </c>
      <c r="I52" s="1"/>
      <c r="J52" s="5">
        <f t="shared" si="29"/>
        <v>0.13560161119737169</v>
      </c>
      <c r="K52" s="1"/>
      <c r="L52" s="1">
        <f t="shared" si="30"/>
        <v>-461.21000000000004</v>
      </c>
      <c r="M52" s="1"/>
      <c r="N52" s="5">
        <f t="shared" si="31"/>
        <v>-7.6536674410886171E-2</v>
      </c>
      <c r="O52" s="13"/>
      <c r="P52" s="1">
        <f>SUM(OSRRefP22_5x_0)</f>
        <v>38236.43</v>
      </c>
      <c r="Q52" s="1"/>
      <c r="R52" s="5">
        <f t="shared" si="32"/>
        <v>8.4553314150351902E-2</v>
      </c>
      <c r="S52" s="1"/>
      <c r="T52" s="1">
        <f>SUM(OSRRefT22_5x_0)</f>
        <v>40571</v>
      </c>
      <c r="U52" s="1"/>
      <c r="V52" s="5">
        <f t="shared" si="33"/>
        <v>9.5484047708368727E-2</v>
      </c>
      <c r="W52" s="1"/>
      <c r="X52" s="1">
        <f t="shared" si="34"/>
        <v>-2334.5699999999997</v>
      </c>
      <c r="Y52" s="1"/>
      <c r="Z52" s="5">
        <f t="shared" si="35"/>
        <v>-5.7542826156614324E-2</v>
      </c>
    </row>
    <row r="53" spans="1:26" s="24" customFormat="1" hidden="1" outlineLevel="2" x14ac:dyDescent="0.25">
      <c r="A53" s="25"/>
      <c r="B53" s="11" t="str">
        <f>CONCATENATE("          ", "6321", " - ", "BUILDING DEPRECIATION")</f>
        <v xml:space="preserve">          6321 - BUILDING DEPRECIATION</v>
      </c>
      <c r="C53" s="11"/>
      <c r="D53" s="7">
        <v>5080.51</v>
      </c>
      <c r="E53" s="2"/>
      <c r="F53" s="6">
        <f t="shared" si="28"/>
        <v>0.10255210001782371</v>
      </c>
      <c r="G53" s="2"/>
      <c r="H53" s="7">
        <v>5081</v>
      </c>
      <c r="I53" s="2"/>
      <c r="J53" s="6">
        <f t="shared" si="29"/>
        <v>0.11433650622201219</v>
      </c>
      <c r="K53" s="2"/>
      <c r="L53" s="7">
        <f t="shared" si="30"/>
        <v>-0.48999999999978172</v>
      </c>
      <c r="M53" s="2"/>
      <c r="N53" s="6">
        <f t="shared" si="31"/>
        <v>-9.6437709112336489E-5</v>
      </c>
      <c r="O53" s="11"/>
      <c r="P53" s="7">
        <v>35563.57</v>
      </c>
      <c r="Q53" s="2"/>
      <c r="R53" s="6">
        <f t="shared" si="32"/>
        <v>7.8642742183776843E-2</v>
      </c>
      <c r="S53" s="2"/>
      <c r="T53" s="7">
        <v>35567</v>
      </c>
      <c r="U53" s="2"/>
      <c r="V53" s="6">
        <f t="shared" si="33"/>
        <v>8.3707109138141791E-2</v>
      </c>
      <c r="W53" s="2"/>
      <c r="X53" s="7">
        <f t="shared" si="34"/>
        <v>-3.430000000000291</v>
      </c>
      <c r="Y53" s="2"/>
      <c r="Z53" s="6">
        <f t="shared" si="35"/>
        <v>-9.6437709112387636E-5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484.28</v>
      </c>
      <c r="E54" s="2"/>
      <c r="F54" s="6">
        <f t="shared" si="28"/>
        <v>9.7753829825414501E-3</v>
      </c>
      <c r="G54" s="2"/>
      <c r="H54" s="7">
        <v>348</v>
      </c>
      <c r="I54" s="2"/>
      <c r="J54" s="6">
        <f t="shared" si="29"/>
        <v>7.8309592925133332E-3</v>
      </c>
      <c r="K54" s="2"/>
      <c r="L54" s="7">
        <f t="shared" si="30"/>
        <v>136.27999999999997</v>
      </c>
      <c r="M54" s="2"/>
      <c r="N54" s="6">
        <f t="shared" si="31"/>
        <v>0.39160919540229877</v>
      </c>
      <c r="O54" s="11"/>
      <c r="P54" s="7">
        <v>2672.86</v>
      </c>
      <c r="Q54" s="2"/>
      <c r="R54" s="6">
        <f t="shared" si="32"/>
        <v>5.9105719665750595E-3</v>
      </c>
      <c r="S54" s="2"/>
      <c r="T54" s="7">
        <v>2436</v>
      </c>
      <c r="U54" s="2"/>
      <c r="V54" s="6">
        <f t="shared" si="33"/>
        <v>5.7331379610457284E-3</v>
      </c>
      <c r="W54" s="2"/>
      <c r="X54" s="7">
        <f t="shared" si="34"/>
        <v>236.86000000000013</v>
      </c>
      <c r="Y54" s="2"/>
      <c r="Z54" s="6">
        <f t="shared" si="35"/>
        <v>9.7233169129720909E-2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7"/>
      <c r="E55" s="2"/>
      <c r="F55" s="6">
        <f t="shared" si="28"/>
        <v>0</v>
      </c>
      <c r="G55" s="2"/>
      <c r="H55" s="7">
        <v>597</v>
      </c>
      <c r="I55" s="2"/>
      <c r="J55" s="6">
        <f t="shared" si="29"/>
        <v>1.3434145682846149E-2</v>
      </c>
      <c r="K55" s="2"/>
      <c r="L55" s="7">
        <f t="shared" si="30"/>
        <v>-597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2568</v>
      </c>
      <c r="U55" s="2"/>
      <c r="V55" s="6">
        <f t="shared" si="33"/>
        <v>6.0438006091812109E-3</v>
      </c>
      <c r="W55" s="2"/>
      <c r="X55" s="7">
        <f t="shared" si="34"/>
        <v>-2568</v>
      </c>
      <c r="Y55" s="2"/>
      <c r="Z55" s="6">
        <f t="shared" si="35"/>
        <v>-1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9" si="36">IF(D$12=0,0,D56/D$12)</f>
        <v>0</v>
      </c>
      <c r="G56" s="1"/>
      <c r="H56" s="1">
        <f>SUM(OSRRefH22_6x_0)</f>
        <v>25</v>
      </c>
      <c r="I56" s="1"/>
      <c r="J56" s="5">
        <f t="shared" ref="J56:J69" si="37">IF(H$12=0,0,H56/H$12)</f>
        <v>5.625689146920498E-4</v>
      </c>
      <c r="K56" s="1"/>
      <c r="L56" s="1">
        <f t="shared" ref="L56:L69" si="38">+D56-H56</f>
        <v>-25</v>
      </c>
      <c r="M56" s="1"/>
      <c r="N56" s="5">
        <f t="shared" ref="N56:N69" si="39">IF(H56=0,0,L56/H56)</f>
        <v>-1</v>
      </c>
      <c r="O56" s="13"/>
      <c r="P56" s="1">
        <f>SUM(OSRRefP22_6x_0)</f>
        <v>74.569999999999993</v>
      </c>
      <c r="Q56" s="1"/>
      <c r="R56" s="5">
        <f t="shared" ref="R56:R69" si="40">IF(P$12=0,0,P56/P$12)</f>
        <v>1.6489877941512168E-4</v>
      </c>
      <c r="S56" s="1"/>
      <c r="T56" s="1">
        <f>SUM(OSRRefT22_6x_0)</f>
        <v>175</v>
      </c>
      <c r="U56" s="1"/>
      <c r="V56" s="5">
        <f t="shared" ref="V56:V69" si="41">IF(T$12=0,0,T56/T$12)</f>
        <v>4.1186335927052641E-4</v>
      </c>
      <c r="W56" s="1"/>
      <c r="X56" s="1">
        <f t="shared" ref="X56:X69" si="42">+P56-T56</f>
        <v>-100.43</v>
      </c>
      <c r="Y56" s="1"/>
      <c r="Z56" s="5">
        <f t="shared" ref="Z56:Z69" si="43">IF(T56=0,0,X56/T56)</f>
        <v>-0.57388571428571433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6"/>
        <v>0</v>
      </c>
      <c r="G57" s="2"/>
      <c r="H57" s="7">
        <v>25</v>
      </c>
      <c r="I57" s="2"/>
      <c r="J57" s="6">
        <f t="shared" si="37"/>
        <v>5.625689146920498E-4</v>
      </c>
      <c r="K57" s="2"/>
      <c r="L57" s="7">
        <f t="shared" si="38"/>
        <v>-25</v>
      </c>
      <c r="M57" s="2"/>
      <c r="N57" s="6">
        <f t="shared" si="39"/>
        <v>-1</v>
      </c>
      <c r="O57" s="11"/>
      <c r="P57" s="7">
        <v>74.569999999999993</v>
      </c>
      <c r="Q57" s="2"/>
      <c r="R57" s="6">
        <f t="shared" si="40"/>
        <v>1.6489877941512168E-4</v>
      </c>
      <c r="S57" s="2"/>
      <c r="T57" s="7">
        <v>175</v>
      </c>
      <c r="U57" s="2"/>
      <c r="V57" s="6">
        <f t="shared" si="41"/>
        <v>4.1186335927052641E-4</v>
      </c>
      <c r="W57" s="2"/>
      <c r="X57" s="7">
        <f t="shared" si="42"/>
        <v>-100.43</v>
      </c>
      <c r="Y57" s="2"/>
      <c r="Z57" s="6">
        <f t="shared" si="43"/>
        <v>-0.57388571428571433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93</v>
      </c>
      <c r="E58" s="1"/>
      <c r="F58" s="5">
        <f t="shared" si="36"/>
        <v>1.8772417142486886E-3</v>
      </c>
      <c r="G58" s="1"/>
      <c r="H58" s="1">
        <f>SUM(OSRRefH22_7x_0)</f>
        <v>80</v>
      </c>
      <c r="I58" s="1"/>
      <c r="J58" s="5">
        <f t="shared" si="37"/>
        <v>1.8002205270145593E-3</v>
      </c>
      <c r="K58" s="1"/>
      <c r="L58" s="1">
        <f t="shared" si="38"/>
        <v>13</v>
      </c>
      <c r="M58" s="1"/>
      <c r="N58" s="5">
        <f t="shared" si="39"/>
        <v>0.16250000000000001</v>
      </c>
      <c r="O58" s="13"/>
      <c r="P58" s="1">
        <f>SUM(OSRRefP22_7x_0)</f>
        <v>761.97</v>
      </c>
      <c r="Q58" s="1"/>
      <c r="R58" s="5">
        <f t="shared" si="40"/>
        <v>1.6849661117197302E-3</v>
      </c>
      <c r="S58" s="1"/>
      <c r="T58" s="1">
        <f>SUM(OSRRefT22_7x_0)</f>
        <v>560</v>
      </c>
      <c r="U58" s="1"/>
      <c r="V58" s="5">
        <f t="shared" si="41"/>
        <v>1.3179627496656846E-3</v>
      </c>
      <c r="W58" s="1"/>
      <c r="X58" s="1">
        <f t="shared" si="42"/>
        <v>201.97000000000003</v>
      </c>
      <c r="Y58" s="1"/>
      <c r="Z58" s="5">
        <f t="shared" si="43"/>
        <v>0.36066071428571433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7">
        <v>93</v>
      </c>
      <c r="E59" s="2"/>
      <c r="F59" s="6">
        <f t="shared" si="36"/>
        <v>1.8772417142486886E-3</v>
      </c>
      <c r="G59" s="2"/>
      <c r="H59" s="7">
        <v>80</v>
      </c>
      <c r="I59" s="2"/>
      <c r="J59" s="6">
        <f t="shared" si="37"/>
        <v>1.8002205270145593E-3</v>
      </c>
      <c r="K59" s="2"/>
      <c r="L59" s="7">
        <f t="shared" si="38"/>
        <v>13</v>
      </c>
      <c r="M59" s="2"/>
      <c r="N59" s="6">
        <f t="shared" si="39"/>
        <v>0.16250000000000001</v>
      </c>
      <c r="O59" s="11"/>
      <c r="P59" s="7">
        <v>761.97</v>
      </c>
      <c r="Q59" s="2"/>
      <c r="R59" s="6">
        <f t="shared" si="40"/>
        <v>1.6849661117197302E-3</v>
      </c>
      <c r="S59" s="2"/>
      <c r="T59" s="7">
        <v>560</v>
      </c>
      <c r="U59" s="2"/>
      <c r="V59" s="6">
        <f t="shared" si="41"/>
        <v>1.3179627496656846E-3</v>
      </c>
      <c r="W59" s="2"/>
      <c r="X59" s="7">
        <f t="shared" si="42"/>
        <v>201.97000000000003</v>
      </c>
      <c r="Y59" s="2"/>
      <c r="Z59" s="6">
        <f t="shared" si="43"/>
        <v>0.36066071428571433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27</v>
      </c>
      <c r="E60" s="1"/>
      <c r="F60" s="5">
        <f t="shared" si="36"/>
        <v>5.4500565897542576E-4</v>
      </c>
      <c r="G60" s="1"/>
      <c r="H60" s="1">
        <f>SUM(OSRRefH22_8x_0)</f>
        <v>400</v>
      </c>
      <c r="I60" s="1"/>
      <c r="J60" s="5">
        <f t="shared" si="37"/>
        <v>9.0011026350727968E-3</v>
      </c>
      <c r="K60" s="1"/>
      <c r="L60" s="1">
        <f t="shared" si="38"/>
        <v>-373</v>
      </c>
      <c r="M60" s="1"/>
      <c r="N60" s="5">
        <f t="shared" si="39"/>
        <v>-0.9325</v>
      </c>
      <c r="O60" s="13"/>
      <c r="P60" s="1">
        <f>SUM(OSRRefP22_8x_0)</f>
        <v>1268.23</v>
      </c>
      <c r="Q60" s="1"/>
      <c r="R60" s="5">
        <f t="shared" si="40"/>
        <v>2.8044733675424405E-3</v>
      </c>
      <c r="S60" s="1"/>
      <c r="T60" s="1">
        <f>SUM(OSRRefT22_8x_0)</f>
        <v>800</v>
      </c>
      <c r="U60" s="1"/>
      <c r="V60" s="5">
        <f t="shared" si="41"/>
        <v>1.882803928093835E-3</v>
      </c>
      <c r="W60" s="1"/>
      <c r="X60" s="1">
        <f t="shared" si="42"/>
        <v>468.23</v>
      </c>
      <c r="Y60" s="1"/>
      <c r="Z60" s="5">
        <f t="shared" si="43"/>
        <v>0.58528750000000007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7">
        <v>27</v>
      </c>
      <c r="E61" s="2"/>
      <c r="F61" s="6">
        <f t="shared" si="36"/>
        <v>5.4500565897542576E-4</v>
      </c>
      <c r="G61" s="2"/>
      <c r="H61" s="7">
        <v>400</v>
      </c>
      <c r="I61" s="2"/>
      <c r="J61" s="6">
        <f t="shared" si="37"/>
        <v>9.0011026350727968E-3</v>
      </c>
      <c r="K61" s="2"/>
      <c r="L61" s="7">
        <f t="shared" si="38"/>
        <v>-373</v>
      </c>
      <c r="M61" s="2"/>
      <c r="N61" s="6">
        <f t="shared" si="39"/>
        <v>-0.9325</v>
      </c>
      <c r="O61" s="11"/>
      <c r="P61" s="7">
        <v>1268.23</v>
      </c>
      <c r="Q61" s="2"/>
      <c r="R61" s="6">
        <f t="shared" si="40"/>
        <v>2.8044733675424405E-3</v>
      </c>
      <c r="S61" s="2"/>
      <c r="T61" s="7">
        <v>800</v>
      </c>
      <c r="U61" s="2"/>
      <c r="V61" s="6">
        <f t="shared" si="41"/>
        <v>1.882803928093835E-3</v>
      </c>
      <c r="W61" s="2"/>
      <c r="X61" s="7">
        <f t="shared" si="42"/>
        <v>468.23</v>
      </c>
      <c r="Y61" s="2"/>
      <c r="Z61" s="6">
        <f t="shared" si="43"/>
        <v>0.58528750000000007</v>
      </c>
    </row>
    <row r="62" spans="1:26" s="27" customFormat="1" outlineLevel="1" collapsed="1" x14ac:dyDescent="0.25">
      <c r="A62" s="26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243.54</v>
      </c>
      <c r="E62" s="1"/>
      <c r="F62" s="5">
        <f t="shared" si="36"/>
        <v>4.9159510439583396E-3</v>
      </c>
      <c r="G62" s="1"/>
      <c r="H62" s="1">
        <f>SUM(OSRRefH22_9x_0)</f>
        <v>230</v>
      </c>
      <c r="I62" s="1"/>
      <c r="J62" s="5">
        <f t="shared" si="37"/>
        <v>5.1756340151668584E-3</v>
      </c>
      <c r="K62" s="1"/>
      <c r="L62" s="1">
        <f t="shared" si="38"/>
        <v>13.539999999999992</v>
      </c>
      <c r="M62" s="1"/>
      <c r="N62" s="5">
        <f t="shared" si="39"/>
        <v>5.886956521739127E-2</v>
      </c>
      <c r="O62" s="13"/>
      <c r="P62" s="1">
        <f>SUM(OSRRefP22_9x_0)</f>
        <v>1704.78</v>
      </c>
      <c r="Q62" s="1"/>
      <c r="R62" s="5">
        <f t="shared" si="40"/>
        <v>3.7698289013183743E-3</v>
      </c>
      <c r="S62" s="1"/>
      <c r="T62" s="1">
        <f>SUM(OSRRefT22_9x_0)</f>
        <v>1610</v>
      </c>
      <c r="U62" s="1"/>
      <c r="V62" s="5">
        <f t="shared" si="41"/>
        <v>3.7891429052888431E-3</v>
      </c>
      <c r="W62" s="1"/>
      <c r="X62" s="1">
        <f t="shared" si="42"/>
        <v>94.779999999999973</v>
      </c>
      <c r="Y62" s="1"/>
      <c r="Z62" s="5">
        <f t="shared" si="43"/>
        <v>5.8869565217391284E-2</v>
      </c>
    </row>
    <row r="63" spans="1:26" s="24" customFormat="1" hidden="1" outlineLevel="2" x14ac:dyDescent="0.25">
      <c r="A63" s="25"/>
      <c r="B63" s="11" t="str">
        <f>CONCATENATE("          ", "6314", " - ", "LIABILITY INSURANCE")</f>
        <v xml:space="preserve">          6314 - LIABILITY INSURANCE</v>
      </c>
      <c r="C63" s="11"/>
      <c r="D63" s="7">
        <v>243.54</v>
      </c>
      <c r="E63" s="2"/>
      <c r="F63" s="6">
        <f t="shared" si="36"/>
        <v>4.9159510439583396E-3</v>
      </c>
      <c r="G63" s="2"/>
      <c r="H63" s="7">
        <v>230</v>
      </c>
      <c r="I63" s="2"/>
      <c r="J63" s="6">
        <f t="shared" si="37"/>
        <v>5.1756340151668584E-3</v>
      </c>
      <c r="K63" s="2"/>
      <c r="L63" s="7">
        <f t="shared" si="38"/>
        <v>13.539999999999992</v>
      </c>
      <c r="M63" s="2"/>
      <c r="N63" s="6">
        <f t="shared" si="39"/>
        <v>5.886956521739127E-2</v>
      </c>
      <c r="O63" s="11"/>
      <c r="P63" s="7">
        <v>1704.78</v>
      </c>
      <c r="Q63" s="2"/>
      <c r="R63" s="6">
        <f t="shared" si="40"/>
        <v>3.7698289013183743E-3</v>
      </c>
      <c r="S63" s="2"/>
      <c r="T63" s="7">
        <v>1610</v>
      </c>
      <c r="U63" s="2"/>
      <c r="V63" s="6">
        <f t="shared" si="41"/>
        <v>3.7891429052888431E-3</v>
      </c>
      <c r="W63" s="2"/>
      <c r="X63" s="7">
        <f t="shared" si="42"/>
        <v>94.779999999999973</v>
      </c>
      <c r="Y63" s="2"/>
      <c r="Z63" s="6">
        <f t="shared" si="43"/>
        <v>5.8869565217391284E-2</v>
      </c>
    </row>
    <row r="64" spans="1:26" s="27" customFormat="1" outlineLevel="1" collapsed="1" x14ac:dyDescent="0.25">
      <c r="A64" s="26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4175</v>
      </c>
      <c r="E64" s="1"/>
      <c r="F64" s="5">
        <f t="shared" si="36"/>
        <v>8.4274023193422309E-2</v>
      </c>
      <c r="G64" s="1"/>
      <c r="H64" s="1">
        <f>SUM(OSRRefH22_10x_0)</f>
        <v>4175</v>
      </c>
      <c r="I64" s="1"/>
      <c r="J64" s="5">
        <f t="shared" si="37"/>
        <v>9.3949008753572316E-2</v>
      </c>
      <c r="K64" s="1"/>
      <c r="L64" s="1">
        <f t="shared" si="38"/>
        <v>0</v>
      </c>
      <c r="M64" s="1"/>
      <c r="N64" s="5">
        <f t="shared" si="39"/>
        <v>0</v>
      </c>
      <c r="O64" s="13"/>
      <c r="P64" s="1">
        <f>SUM(OSRRefP22_10x_0)</f>
        <v>29018.95</v>
      </c>
      <c r="Q64" s="1"/>
      <c r="R64" s="5">
        <f t="shared" si="40"/>
        <v>6.417043630023396E-2</v>
      </c>
      <c r="S64" s="1"/>
      <c r="T64" s="1">
        <f>SUM(OSRRefT22_10x_0)</f>
        <v>29225</v>
      </c>
      <c r="U64" s="1"/>
      <c r="V64" s="5">
        <f t="shared" si="41"/>
        <v>6.8781180998177913E-2</v>
      </c>
      <c r="W64" s="1"/>
      <c r="X64" s="1">
        <f t="shared" si="42"/>
        <v>-206.04999999999927</v>
      </c>
      <c r="Y64" s="1"/>
      <c r="Z64" s="5">
        <f t="shared" si="43"/>
        <v>-7.0504704875962113E-3</v>
      </c>
    </row>
    <row r="65" spans="1:26" s="24" customFormat="1" hidden="1" outlineLevel="2" x14ac:dyDescent="0.25">
      <c r="A65" s="25"/>
      <c r="B65" s="11" t="str">
        <f>CONCATENATE("          ", "6401", " - ", "INTEREST EXPENSE")</f>
        <v xml:space="preserve">          6401 - INTEREST EXPENSE</v>
      </c>
      <c r="C65" s="11"/>
      <c r="D65" s="7">
        <v>4175</v>
      </c>
      <c r="E65" s="2"/>
      <c r="F65" s="6">
        <f t="shared" si="36"/>
        <v>8.4274023193422309E-2</v>
      </c>
      <c r="G65" s="2"/>
      <c r="H65" s="7">
        <v>4175</v>
      </c>
      <c r="I65" s="2"/>
      <c r="J65" s="6">
        <f t="shared" si="37"/>
        <v>9.3949008753572316E-2</v>
      </c>
      <c r="K65" s="2"/>
      <c r="L65" s="7">
        <f t="shared" si="38"/>
        <v>0</v>
      </c>
      <c r="M65" s="2"/>
      <c r="N65" s="6">
        <f t="shared" si="39"/>
        <v>0</v>
      </c>
      <c r="O65" s="11"/>
      <c r="P65" s="7">
        <v>29018.95</v>
      </c>
      <c r="Q65" s="2"/>
      <c r="R65" s="6">
        <f t="shared" si="40"/>
        <v>6.417043630023396E-2</v>
      </c>
      <c r="S65" s="2"/>
      <c r="T65" s="7">
        <v>29225</v>
      </c>
      <c r="U65" s="2"/>
      <c r="V65" s="6">
        <f t="shared" si="41"/>
        <v>6.8781180998177913E-2</v>
      </c>
      <c r="W65" s="2"/>
      <c r="X65" s="7">
        <f t="shared" si="42"/>
        <v>-206.04999999999927</v>
      </c>
      <c r="Y65" s="2"/>
      <c r="Z65" s="6">
        <f t="shared" si="43"/>
        <v>-7.0504704875962113E-3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20.68</v>
      </c>
      <c r="E66" s="1"/>
      <c r="F66" s="5">
        <f t="shared" si="36"/>
        <v>4.1743396398562238E-4</v>
      </c>
      <c r="G66" s="1"/>
      <c r="H66" s="1">
        <f>SUM(OSRRefH22_11x_0)</f>
        <v>200</v>
      </c>
      <c r="I66" s="1"/>
      <c r="J66" s="5">
        <f t="shared" si="37"/>
        <v>4.5005513175363984E-3</v>
      </c>
      <c r="K66" s="1"/>
      <c r="L66" s="1">
        <f t="shared" si="38"/>
        <v>-179.32</v>
      </c>
      <c r="M66" s="1"/>
      <c r="N66" s="5">
        <f t="shared" si="39"/>
        <v>-0.89659999999999995</v>
      </c>
      <c r="O66" s="13"/>
      <c r="P66" s="1">
        <f>SUM(OSRRefP22_11x_0)</f>
        <v>937.67</v>
      </c>
      <c r="Q66" s="1"/>
      <c r="R66" s="5">
        <f t="shared" si="40"/>
        <v>2.0734965602008468E-3</v>
      </c>
      <c r="S66" s="1"/>
      <c r="T66" s="1">
        <f>SUM(OSRRefT22_11x_0)</f>
        <v>4200</v>
      </c>
      <c r="U66" s="1"/>
      <c r="V66" s="5">
        <f t="shared" si="41"/>
        <v>9.8847206224926352E-3</v>
      </c>
      <c r="W66" s="1"/>
      <c r="X66" s="1">
        <f t="shared" si="42"/>
        <v>-3262.33</v>
      </c>
      <c r="Y66" s="1"/>
      <c r="Z66" s="5">
        <f t="shared" si="43"/>
        <v>-0.7767452380952381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36"/>
        <v>0</v>
      </c>
      <c r="G67" s="2"/>
      <c r="H67" s="7"/>
      <c r="I67" s="2"/>
      <c r="J67" s="6">
        <f t="shared" si="37"/>
        <v>0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>
        <v>437.31</v>
      </c>
      <c r="Q67" s="2"/>
      <c r="R67" s="6">
        <f t="shared" si="40"/>
        <v>9.6703614357016054E-4</v>
      </c>
      <c r="S67" s="2"/>
      <c r="T67" s="7">
        <v>0</v>
      </c>
      <c r="U67" s="2"/>
      <c r="V67" s="6">
        <f t="shared" si="41"/>
        <v>0</v>
      </c>
      <c r="W67" s="2"/>
      <c r="X67" s="7">
        <f t="shared" si="42"/>
        <v>437.31</v>
      </c>
      <c r="Y67" s="2"/>
      <c r="Z67" s="6">
        <f t="shared" si="43"/>
        <v>0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7"/>
      <c r="E68" s="2"/>
      <c r="F68" s="6">
        <f t="shared" si="36"/>
        <v>0</v>
      </c>
      <c r="G68" s="2"/>
      <c r="H68" s="7"/>
      <c r="I68" s="2"/>
      <c r="J68" s="6">
        <f t="shared" si="37"/>
        <v>0</v>
      </c>
      <c r="K68" s="2"/>
      <c r="L68" s="7">
        <f t="shared" si="38"/>
        <v>0</v>
      </c>
      <c r="M68" s="2"/>
      <c r="N68" s="6">
        <f t="shared" si="39"/>
        <v>0</v>
      </c>
      <c r="O68" s="11"/>
      <c r="P68" s="7">
        <v>209.74</v>
      </c>
      <c r="Q68" s="2"/>
      <c r="R68" s="6">
        <f t="shared" si="40"/>
        <v>4.6380407663306459E-4</v>
      </c>
      <c r="S68" s="2"/>
      <c r="T68" s="7"/>
      <c r="U68" s="2"/>
      <c r="V68" s="6">
        <f t="shared" si="41"/>
        <v>0</v>
      </c>
      <c r="W68" s="2"/>
      <c r="X68" s="7">
        <f t="shared" si="42"/>
        <v>209.74</v>
      </c>
      <c r="Y68" s="2"/>
      <c r="Z68" s="6">
        <f t="shared" si="43"/>
        <v>0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7">
        <v>20.68</v>
      </c>
      <c r="E69" s="2"/>
      <c r="F69" s="6">
        <f t="shared" si="36"/>
        <v>4.1743396398562238E-4</v>
      </c>
      <c r="G69" s="2"/>
      <c r="H69" s="7">
        <v>200</v>
      </c>
      <c r="I69" s="2"/>
      <c r="J69" s="6">
        <f t="shared" si="37"/>
        <v>4.5005513175363984E-3</v>
      </c>
      <c r="K69" s="2"/>
      <c r="L69" s="7">
        <f t="shared" si="38"/>
        <v>-179.32</v>
      </c>
      <c r="M69" s="2"/>
      <c r="N69" s="6">
        <f t="shared" si="39"/>
        <v>-0.89659999999999995</v>
      </c>
      <c r="O69" s="11"/>
      <c r="P69" s="7">
        <v>290.62</v>
      </c>
      <c r="Q69" s="2"/>
      <c r="R69" s="6">
        <f t="shared" si="40"/>
        <v>6.4265633999762198E-4</v>
      </c>
      <c r="S69" s="2"/>
      <c r="T69" s="7">
        <v>4200</v>
      </c>
      <c r="U69" s="2"/>
      <c r="V69" s="6">
        <f t="shared" si="41"/>
        <v>9.8847206224926352E-3</v>
      </c>
      <c r="W69" s="2"/>
      <c r="X69" s="7">
        <f t="shared" si="42"/>
        <v>-3909.38</v>
      </c>
      <c r="Y69" s="2"/>
      <c r="Z69" s="6">
        <f t="shared" si="43"/>
        <v>-0.93080476190476191</v>
      </c>
    </row>
    <row r="70" spans="1:26" s="27" customFormat="1" outlineLevel="1" collapsed="1" x14ac:dyDescent="0.25">
      <c r="A70" s="26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425.32</v>
      </c>
      <c r="E70" s="1"/>
      <c r="F70" s="5">
        <f t="shared" ref="F70:F74" si="44">IF(D$12=0,0,D70/D$12)</f>
        <v>8.5852521064973351E-3</v>
      </c>
      <c r="G70" s="1"/>
      <c r="H70" s="1">
        <f>SUM(OSRRefH22_12x_0)</f>
        <v>355</v>
      </c>
      <c r="I70" s="1"/>
      <c r="J70" s="5">
        <f t="shared" ref="J70:J74" si="45">IF(H$12=0,0,H70/H$12)</f>
        <v>7.9884785886271074E-3</v>
      </c>
      <c r="K70" s="1"/>
      <c r="L70" s="1">
        <f t="shared" ref="L70:L74" si="46">+D70-H70</f>
        <v>70.319999999999993</v>
      </c>
      <c r="M70" s="1"/>
      <c r="N70" s="5">
        <f t="shared" ref="N70:N74" si="47">IF(H70=0,0,L70/H70)</f>
        <v>0.1980845070422535</v>
      </c>
      <c r="O70" s="13"/>
      <c r="P70" s="1">
        <f>SUM(OSRRefP22_12x_0)</f>
        <v>3844.31</v>
      </c>
      <c r="Q70" s="1"/>
      <c r="R70" s="5">
        <f t="shared" ref="R70:R74" si="48">IF(P$12=0,0,P70/P$12)</f>
        <v>8.5010329447947758E-3</v>
      </c>
      <c r="S70" s="1"/>
      <c r="T70" s="1">
        <f>SUM(OSRRefT22_12x_0)</f>
        <v>2665</v>
      </c>
      <c r="U70" s="1"/>
      <c r="V70" s="5">
        <f t="shared" ref="V70:V74" si="49">IF(T$12=0,0,T70/T$12)</f>
        <v>6.2720905854625883E-3</v>
      </c>
      <c r="W70" s="1"/>
      <c r="X70" s="1">
        <f t="shared" ref="X70:X74" si="50">+P70-T70</f>
        <v>1179.31</v>
      </c>
      <c r="Y70" s="1"/>
      <c r="Z70" s="5">
        <f t="shared" ref="Z70:Z74" si="51">IF(T70=0,0,X70/T70)</f>
        <v>0.44251782363977482</v>
      </c>
    </row>
    <row r="71" spans="1:26" s="24" customFormat="1" hidden="1" outlineLevel="2" x14ac:dyDescent="0.25">
      <c r="A71" s="25"/>
      <c r="B71" s="11" t="str">
        <f>CONCATENATE("          ", "6281", " - ", "STORAGE FEE")</f>
        <v xml:space="preserve">          6281 - STORAGE FEE</v>
      </c>
      <c r="C71" s="11"/>
      <c r="D71" s="7"/>
      <c r="E71" s="2"/>
      <c r="F71" s="6">
        <f t="shared" si="44"/>
        <v>0</v>
      </c>
      <c r="G71" s="2"/>
      <c r="H71" s="7"/>
      <c r="I71" s="2"/>
      <c r="J71" s="6">
        <f t="shared" si="45"/>
        <v>0</v>
      </c>
      <c r="K71" s="2"/>
      <c r="L71" s="7">
        <f t="shared" si="46"/>
        <v>0</v>
      </c>
      <c r="M71" s="2"/>
      <c r="N71" s="6">
        <f t="shared" si="47"/>
        <v>0</v>
      </c>
      <c r="O71" s="11"/>
      <c r="P71" s="7"/>
      <c r="Q71" s="2"/>
      <c r="R71" s="6">
        <f t="shared" si="48"/>
        <v>0</v>
      </c>
      <c r="S71" s="2"/>
      <c r="T71" s="7">
        <v>0</v>
      </c>
      <c r="U71" s="2"/>
      <c r="V71" s="6">
        <f t="shared" si="49"/>
        <v>0</v>
      </c>
      <c r="W71" s="2"/>
      <c r="X71" s="7">
        <f t="shared" si="50"/>
        <v>0</v>
      </c>
      <c r="Y71" s="2"/>
      <c r="Z71" s="6">
        <f t="shared" si="51"/>
        <v>0</v>
      </c>
    </row>
    <row r="72" spans="1:26" s="24" customFormat="1" hidden="1" outlineLevel="2" x14ac:dyDescent="0.25">
      <c r="A72" s="25"/>
      <c r="B72" s="11" t="str">
        <f>CONCATENATE("          ", "6282", " - ", "JANITORIAL/EXTERMINATOR EXPENS")</f>
        <v xml:space="preserve">          6282 - JANITORIAL/EXTERMINATOR EXPENS</v>
      </c>
      <c r="C72" s="11"/>
      <c r="D72" s="7"/>
      <c r="E72" s="2"/>
      <c r="F72" s="6">
        <f t="shared" si="44"/>
        <v>0</v>
      </c>
      <c r="G72" s="2"/>
      <c r="H72" s="7">
        <v>160</v>
      </c>
      <c r="I72" s="2"/>
      <c r="J72" s="6">
        <f t="shared" si="45"/>
        <v>3.6004410540291187E-3</v>
      </c>
      <c r="K72" s="2"/>
      <c r="L72" s="7">
        <f t="shared" si="46"/>
        <v>-160</v>
      </c>
      <c r="M72" s="2"/>
      <c r="N72" s="6">
        <f t="shared" si="47"/>
        <v>-1</v>
      </c>
      <c r="O72" s="11"/>
      <c r="P72" s="7">
        <v>1101.45</v>
      </c>
      <c r="Q72" s="2"/>
      <c r="R72" s="6">
        <f t="shared" si="48"/>
        <v>2.4356679708567226E-3</v>
      </c>
      <c r="S72" s="2"/>
      <c r="T72" s="7">
        <v>1120</v>
      </c>
      <c r="U72" s="2"/>
      <c r="V72" s="6">
        <f t="shared" si="49"/>
        <v>2.6359254993313691E-3</v>
      </c>
      <c r="W72" s="2"/>
      <c r="X72" s="7">
        <f t="shared" si="50"/>
        <v>-18.549999999999955</v>
      </c>
      <c r="Y72" s="2"/>
      <c r="Z72" s="6">
        <f t="shared" si="51"/>
        <v>-1.6562499999999959E-2</v>
      </c>
    </row>
    <row r="73" spans="1:26" s="24" customFormat="1" hidden="1" outlineLevel="2" x14ac:dyDescent="0.25">
      <c r="A73" s="25"/>
      <c r="B73" s="11" t="str">
        <f>CONCATENATE("          ", "6284", " - ", "TRASH REMOVAL EXPENSE")</f>
        <v xml:space="preserve">          6284 - TRASH REMOVAL EXPENSE</v>
      </c>
      <c r="C73" s="11"/>
      <c r="D73" s="7">
        <v>289</v>
      </c>
      <c r="E73" s="2"/>
      <c r="F73" s="6">
        <f t="shared" si="44"/>
        <v>5.8335790905147417E-3</v>
      </c>
      <c r="G73" s="2"/>
      <c r="H73" s="7">
        <v>150</v>
      </c>
      <c r="I73" s="2"/>
      <c r="J73" s="6">
        <f t="shared" si="45"/>
        <v>3.3754134881522988E-3</v>
      </c>
      <c r="K73" s="2"/>
      <c r="L73" s="7">
        <f t="shared" si="46"/>
        <v>139</v>
      </c>
      <c r="M73" s="2"/>
      <c r="N73" s="6">
        <f t="shared" si="47"/>
        <v>0.92666666666666664</v>
      </c>
      <c r="O73" s="11"/>
      <c r="P73" s="7">
        <v>2022</v>
      </c>
      <c r="Q73" s="2"/>
      <c r="R73" s="6">
        <f t="shared" si="48"/>
        <v>4.4713065841139338E-3</v>
      </c>
      <c r="S73" s="2"/>
      <c r="T73" s="7">
        <v>1050</v>
      </c>
      <c r="U73" s="2"/>
      <c r="V73" s="6">
        <f t="shared" si="49"/>
        <v>2.4711801556231588E-3</v>
      </c>
      <c r="W73" s="2"/>
      <c r="X73" s="7">
        <f t="shared" si="50"/>
        <v>972</v>
      </c>
      <c r="Y73" s="2"/>
      <c r="Z73" s="6">
        <f t="shared" si="51"/>
        <v>0.92571428571428571</v>
      </c>
    </row>
    <row r="74" spans="1:26" s="24" customFormat="1" hidden="1" outlineLevel="2" x14ac:dyDescent="0.25">
      <c r="A74" s="25"/>
      <c r="B74" s="11" t="str">
        <f>CONCATENATE("          ", "6286", " - ", "LAUNDRY EXPENSE")</f>
        <v xml:space="preserve">          6286 - LAUNDRY EXPENSE</v>
      </c>
      <c r="C74" s="11"/>
      <c r="D74" s="7">
        <v>136.32</v>
      </c>
      <c r="E74" s="2"/>
      <c r="F74" s="6">
        <f t="shared" si="44"/>
        <v>2.7516730159825938E-3</v>
      </c>
      <c r="G74" s="2"/>
      <c r="H74" s="7">
        <v>45</v>
      </c>
      <c r="I74" s="2"/>
      <c r="J74" s="6">
        <f t="shared" si="45"/>
        <v>1.0126240464456897E-3</v>
      </c>
      <c r="K74" s="2"/>
      <c r="L74" s="7">
        <f t="shared" si="46"/>
        <v>91.32</v>
      </c>
      <c r="M74" s="2"/>
      <c r="N74" s="6">
        <f t="shared" si="47"/>
        <v>2.0293333333333332</v>
      </c>
      <c r="O74" s="11"/>
      <c r="P74" s="7">
        <v>720.86</v>
      </c>
      <c r="Q74" s="2"/>
      <c r="R74" s="6">
        <f t="shared" si="48"/>
        <v>1.59405838982412E-3</v>
      </c>
      <c r="S74" s="2"/>
      <c r="T74" s="7">
        <v>495</v>
      </c>
      <c r="U74" s="2"/>
      <c r="V74" s="6">
        <f t="shared" si="49"/>
        <v>1.1649849305080606E-3</v>
      </c>
      <c r="W74" s="2"/>
      <c r="X74" s="7">
        <f t="shared" si="50"/>
        <v>225.86</v>
      </c>
      <c r="Y74" s="2"/>
      <c r="Z74" s="6">
        <f t="shared" si="51"/>
        <v>0.45628282828282829</v>
      </c>
    </row>
    <row r="75" spans="1:26" s="27" customFormat="1" outlineLevel="1" collapsed="1" x14ac:dyDescent="0.25">
      <c r="A75" s="26"/>
      <c r="B75" s="13" t="str">
        <f>CONCATENATE("     ","Subscriptions &amp; Dues                              ")</f>
        <v xml:space="preserve">     Subscriptions &amp; Dues                              </v>
      </c>
      <c r="C75" s="13"/>
      <c r="D75" s="1">
        <f>SUM(OSRRefD22_13x_0)</f>
        <v>176.4</v>
      </c>
      <c r="E75" s="1"/>
      <c r="F75" s="5">
        <f t="shared" ref="F75:F84" si="52">IF(D$12=0,0,D75/D$12)</f>
        <v>3.5607036386394483E-3</v>
      </c>
      <c r="G75" s="1"/>
      <c r="H75" s="1">
        <f>SUM(OSRRefH22_13x_0)</f>
        <v>180</v>
      </c>
      <c r="I75" s="1"/>
      <c r="J75" s="5">
        <f t="shared" ref="J75:J84" si="53">IF(H$12=0,0,H75/H$12)</f>
        <v>4.0504961857827588E-3</v>
      </c>
      <c r="K75" s="1"/>
      <c r="L75" s="1">
        <f t="shared" ref="L75:L84" si="54">+D75-H75</f>
        <v>-3.5999999999999943</v>
      </c>
      <c r="M75" s="1"/>
      <c r="N75" s="5">
        <f t="shared" ref="N75:N84" si="55">IF(H75=0,0,L75/H75)</f>
        <v>-1.9999999999999969E-2</v>
      </c>
      <c r="O75" s="13"/>
      <c r="P75" s="1">
        <f>SUM(OSRRefP22_13x_0)</f>
        <v>1234.8</v>
      </c>
      <c r="Q75" s="1"/>
      <c r="R75" s="5">
        <f t="shared" ref="R75:R84" si="56">IF(P$12=0,0,P75/P$12)</f>
        <v>2.7305486498832273E-3</v>
      </c>
      <c r="S75" s="1"/>
      <c r="T75" s="1">
        <f>SUM(OSRRefT22_13x_0)</f>
        <v>1260</v>
      </c>
      <c r="U75" s="1"/>
      <c r="V75" s="5">
        <f t="shared" ref="V75:V84" si="57">IF(T$12=0,0,T75/T$12)</f>
        <v>2.9654161867477902E-3</v>
      </c>
      <c r="W75" s="1"/>
      <c r="X75" s="1">
        <f t="shared" ref="X75:X84" si="58">+P75-T75</f>
        <v>-25.200000000000045</v>
      </c>
      <c r="Y75" s="1"/>
      <c r="Z75" s="5">
        <f t="shared" ref="Z75:Z84" si="59">IF(T75=0,0,X75/T75)</f>
        <v>-2.0000000000000035E-2</v>
      </c>
    </row>
    <row r="76" spans="1:26" s="24" customFormat="1" hidden="1" outlineLevel="2" x14ac:dyDescent="0.25">
      <c r="A76" s="25"/>
      <c r="B76" s="11" t="str">
        <f>CONCATENATE("          ", "6275", " - ", "SUBSCRIPTIONS")</f>
        <v xml:space="preserve">          6275 - SUBSCRIPTIONS</v>
      </c>
      <c r="C76" s="11"/>
      <c r="D76" s="7">
        <v>176.4</v>
      </c>
      <c r="E76" s="2"/>
      <c r="F76" s="6">
        <f t="shared" si="52"/>
        <v>3.5607036386394483E-3</v>
      </c>
      <c r="G76" s="2"/>
      <c r="H76" s="7">
        <v>180</v>
      </c>
      <c r="I76" s="2"/>
      <c r="J76" s="6">
        <f t="shared" si="53"/>
        <v>4.0504961857827588E-3</v>
      </c>
      <c r="K76" s="2"/>
      <c r="L76" s="7">
        <f t="shared" si="54"/>
        <v>-3.5999999999999943</v>
      </c>
      <c r="M76" s="2"/>
      <c r="N76" s="6">
        <f t="shared" si="55"/>
        <v>-1.9999999999999969E-2</v>
      </c>
      <c r="O76" s="11"/>
      <c r="P76" s="7">
        <v>1234.8</v>
      </c>
      <c r="Q76" s="2"/>
      <c r="R76" s="6">
        <f t="shared" si="56"/>
        <v>2.7305486498832273E-3</v>
      </c>
      <c r="S76" s="2"/>
      <c r="T76" s="7">
        <v>1260</v>
      </c>
      <c r="U76" s="2"/>
      <c r="V76" s="6">
        <f t="shared" si="57"/>
        <v>2.9654161867477902E-3</v>
      </c>
      <c r="W76" s="2"/>
      <c r="X76" s="7">
        <f t="shared" si="58"/>
        <v>-25.200000000000045</v>
      </c>
      <c r="Y76" s="2"/>
      <c r="Z76" s="6">
        <f t="shared" si="59"/>
        <v>-2.0000000000000035E-2</v>
      </c>
    </row>
    <row r="77" spans="1:26" s="27" customFormat="1" outlineLevel="1" collapsed="1" x14ac:dyDescent="0.25">
      <c r="A77" s="26"/>
      <c r="B77" s="13" t="str">
        <f>CONCATENATE("     ","Supplies                                          ")</f>
        <v xml:space="preserve">     Supplies                                          </v>
      </c>
      <c r="C77" s="13"/>
      <c r="D77" s="1">
        <f>SUM(OSRRefD22_14x_0)</f>
        <v>1032.4099999999999</v>
      </c>
      <c r="E77" s="1"/>
      <c r="F77" s="5">
        <f t="shared" si="52"/>
        <v>2.0839603421585896E-2</v>
      </c>
      <c r="G77" s="1"/>
      <c r="H77" s="1">
        <f>SUM(OSRRefH22_14x_0)</f>
        <v>720</v>
      </c>
      <c r="I77" s="1"/>
      <c r="J77" s="5">
        <f t="shared" si="53"/>
        <v>1.6201984743131035E-2</v>
      </c>
      <c r="K77" s="1"/>
      <c r="L77" s="1">
        <f t="shared" si="54"/>
        <v>312.40999999999985</v>
      </c>
      <c r="M77" s="1"/>
      <c r="N77" s="5">
        <f t="shared" si="55"/>
        <v>0.43390277777777758</v>
      </c>
      <c r="O77" s="13"/>
      <c r="P77" s="1">
        <f>SUM(OSRRefP22_14x_0)</f>
        <v>9842.9500000000007</v>
      </c>
      <c r="Q77" s="1"/>
      <c r="R77" s="5">
        <f t="shared" si="56"/>
        <v>2.1765997597479849E-2</v>
      </c>
      <c r="S77" s="1"/>
      <c r="T77" s="1">
        <f>SUM(OSRRefT22_14x_0)</f>
        <v>5090</v>
      </c>
      <c r="U77" s="1"/>
      <c r="V77" s="5">
        <f t="shared" si="57"/>
        <v>1.1979339992497026E-2</v>
      </c>
      <c r="W77" s="1"/>
      <c r="X77" s="1">
        <f t="shared" si="58"/>
        <v>4752.9500000000007</v>
      </c>
      <c r="Y77" s="1"/>
      <c r="Z77" s="5">
        <f t="shared" si="59"/>
        <v>0.93378192534381155</v>
      </c>
    </row>
    <row r="78" spans="1:26" s="24" customFormat="1" hidden="1" outlineLevel="2" x14ac:dyDescent="0.25">
      <c r="A78" s="25"/>
      <c r="B78" s="11" t="str">
        <f>CONCATENATE("          ", "6234", " - ", "EXPENDABLE SUPPLIES &amp; EQUIPMEN")</f>
        <v xml:space="preserve">          6234 - EXPENDABLE SUPPLIES &amp; EQUIPMEN</v>
      </c>
      <c r="C78" s="11"/>
      <c r="D78" s="7"/>
      <c r="E78" s="2"/>
      <c r="F78" s="6">
        <f t="shared" si="52"/>
        <v>0</v>
      </c>
      <c r="G78" s="2"/>
      <c r="H78" s="7"/>
      <c r="I78" s="2"/>
      <c r="J78" s="6">
        <f t="shared" si="53"/>
        <v>0</v>
      </c>
      <c r="K78" s="2"/>
      <c r="L78" s="7">
        <f t="shared" si="54"/>
        <v>0</v>
      </c>
      <c r="M78" s="2"/>
      <c r="N78" s="6">
        <f t="shared" si="55"/>
        <v>0</v>
      </c>
      <c r="O78" s="11"/>
      <c r="P78" s="7">
        <v>28.22</v>
      </c>
      <c r="Q78" s="2"/>
      <c r="R78" s="6">
        <f t="shared" si="56"/>
        <v>6.2403695254053024E-5</v>
      </c>
      <c r="S78" s="2"/>
      <c r="T78" s="7">
        <v>3000</v>
      </c>
      <c r="U78" s="2"/>
      <c r="V78" s="6">
        <f t="shared" si="57"/>
        <v>7.0605147303518818E-3</v>
      </c>
      <c r="W78" s="2"/>
      <c r="X78" s="7">
        <f t="shared" si="58"/>
        <v>-2971.78</v>
      </c>
      <c r="Y78" s="2"/>
      <c r="Z78" s="6">
        <f t="shared" si="59"/>
        <v>-0.99059333333333344</v>
      </c>
    </row>
    <row r="79" spans="1:26" s="24" customFormat="1" hidden="1" outlineLevel="2" x14ac:dyDescent="0.25">
      <c r="A79" s="25"/>
      <c r="B79" s="11" t="str">
        <f>CONCATENATE("          ", "6237", " - ", "JANITORIAL SUPPLIES")</f>
        <v xml:space="preserve">          6237 - JANITORIAL SUPPLIES</v>
      </c>
      <c r="C79" s="11"/>
      <c r="D79" s="7">
        <v>230.92</v>
      </c>
      <c r="E79" s="2"/>
      <c r="F79" s="6">
        <f t="shared" si="52"/>
        <v>4.6612113618742703E-3</v>
      </c>
      <c r="G79" s="2"/>
      <c r="H79" s="7">
        <v>300</v>
      </c>
      <c r="I79" s="2"/>
      <c r="J79" s="6">
        <f t="shared" si="53"/>
        <v>6.7508269763045976E-3</v>
      </c>
      <c r="K79" s="2"/>
      <c r="L79" s="7">
        <f t="shared" si="54"/>
        <v>-69.080000000000013</v>
      </c>
      <c r="M79" s="2"/>
      <c r="N79" s="6">
        <f t="shared" si="55"/>
        <v>-0.2302666666666667</v>
      </c>
      <c r="O79" s="11"/>
      <c r="P79" s="7">
        <v>920.97</v>
      </c>
      <c r="Q79" s="2"/>
      <c r="R79" s="6">
        <f t="shared" si="56"/>
        <v>2.0365673713013898E-3</v>
      </c>
      <c r="S79" s="2"/>
      <c r="T79" s="7">
        <v>1100</v>
      </c>
      <c r="U79" s="2"/>
      <c r="V79" s="6">
        <f t="shared" si="57"/>
        <v>2.5888554011290234E-3</v>
      </c>
      <c r="W79" s="2"/>
      <c r="X79" s="7">
        <f t="shared" si="58"/>
        <v>-179.02999999999997</v>
      </c>
      <c r="Y79" s="2"/>
      <c r="Z79" s="6">
        <f t="shared" si="59"/>
        <v>-0.16275454545454543</v>
      </c>
    </row>
    <row r="80" spans="1:26" s="24" customFormat="1" hidden="1" outlineLevel="2" x14ac:dyDescent="0.25">
      <c r="A80" s="25"/>
      <c r="B80" s="11" t="str">
        <f>CONCATENATE("          ", "6241", " - ", "OFFICE EXPENSE")</f>
        <v xml:space="preserve">          6241 - OFFICE EXPENSE</v>
      </c>
      <c r="C80" s="11"/>
      <c r="D80" s="7">
        <v>37.96</v>
      </c>
      <c r="E80" s="2"/>
      <c r="F80" s="6">
        <f t="shared" si="52"/>
        <v>7.6623758572989483E-4</v>
      </c>
      <c r="G80" s="2"/>
      <c r="H80" s="7">
        <v>120</v>
      </c>
      <c r="I80" s="2"/>
      <c r="J80" s="6">
        <f t="shared" si="53"/>
        <v>2.7003307905218389E-3</v>
      </c>
      <c r="K80" s="2"/>
      <c r="L80" s="7">
        <f t="shared" si="54"/>
        <v>-82.039999999999992</v>
      </c>
      <c r="M80" s="2"/>
      <c r="N80" s="6">
        <f t="shared" si="55"/>
        <v>-0.68366666666666664</v>
      </c>
      <c r="O80" s="11"/>
      <c r="P80" s="7">
        <v>484.03</v>
      </c>
      <c r="Q80" s="2"/>
      <c r="R80" s="6">
        <f t="shared" si="56"/>
        <v>1.0703494193415764E-3</v>
      </c>
      <c r="S80" s="2"/>
      <c r="T80" s="7">
        <v>360</v>
      </c>
      <c r="U80" s="2"/>
      <c r="V80" s="6">
        <f t="shared" si="57"/>
        <v>8.472617676422258E-4</v>
      </c>
      <c r="W80" s="2"/>
      <c r="X80" s="7">
        <f t="shared" si="58"/>
        <v>124.02999999999997</v>
      </c>
      <c r="Y80" s="2"/>
      <c r="Z80" s="6">
        <f t="shared" si="59"/>
        <v>0.34452777777777771</v>
      </c>
    </row>
    <row r="81" spans="1:26" s="24" customFormat="1" hidden="1" outlineLevel="2" x14ac:dyDescent="0.25">
      <c r="A81" s="25"/>
      <c r="B81" s="11" t="str">
        <f>CONCATENATE("          ", "6243", " - ", "PAPER SUPPLIES")</f>
        <v xml:space="preserve">          6243 - PAPER SUPPLIES</v>
      </c>
      <c r="C81" s="11"/>
      <c r="D81" s="7">
        <v>453.53</v>
      </c>
      <c r="E81" s="2"/>
      <c r="F81" s="6">
        <f t="shared" si="52"/>
        <v>9.154682093152771E-3</v>
      </c>
      <c r="G81" s="2"/>
      <c r="H81" s="7"/>
      <c r="I81" s="2"/>
      <c r="J81" s="6">
        <f t="shared" si="53"/>
        <v>0</v>
      </c>
      <c r="K81" s="2"/>
      <c r="L81" s="7">
        <f t="shared" si="54"/>
        <v>453.53</v>
      </c>
      <c r="M81" s="2"/>
      <c r="N81" s="6">
        <f t="shared" si="55"/>
        <v>0</v>
      </c>
      <c r="O81" s="11"/>
      <c r="P81" s="7">
        <v>1130.08</v>
      </c>
      <c r="Q81" s="2"/>
      <c r="R81" s="6">
        <f t="shared" si="56"/>
        <v>2.4989783108681873E-3</v>
      </c>
      <c r="S81" s="2"/>
      <c r="T81" s="7"/>
      <c r="U81" s="2"/>
      <c r="V81" s="6">
        <f t="shared" si="57"/>
        <v>0</v>
      </c>
      <c r="W81" s="2"/>
      <c r="X81" s="7">
        <f t="shared" si="58"/>
        <v>1130.08</v>
      </c>
      <c r="Y81" s="2"/>
      <c r="Z81" s="6">
        <f t="shared" si="59"/>
        <v>0</v>
      </c>
    </row>
    <row r="82" spans="1:26" s="24" customFormat="1" hidden="1" outlineLevel="2" x14ac:dyDescent="0.25">
      <c r="A82" s="25"/>
      <c r="B82" s="11" t="str">
        <f>CONCATENATE("          ", "6244", " - ", "SAFETY SUPPLY EXPENSE")</f>
        <v xml:space="preserve">          6244 - SAFETY SUPPLY EXPENSE</v>
      </c>
      <c r="C82" s="11"/>
      <c r="D82" s="7"/>
      <c r="E82" s="2"/>
      <c r="F82" s="6">
        <f t="shared" si="52"/>
        <v>0</v>
      </c>
      <c r="G82" s="2"/>
      <c r="H82" s="7"/>
      <c r="I82" s="2"/>
      <c r="J82" s="6">
        <f t="shared" si="53"/>
        <v>0</v>
      </c>
      <c r="K82" s="2"/>
      <c r="L82" s="7">
        <f t="shared" si="54"/>
        <v>0</v>
      </c>
      <c r="M82" s="2"/>
      <c r="N82" s="6">
        <f t="shared" si="55"/>
        <v>0</v>
      </c>
      <c r="O82" s="11"/>
      <c r="P82" s="7"/>
      <c r="Q82" s="2"/>
      <c r="R82" s="6">
        <f t="shared" si="56"/>
        <v>0</v>
      </c>
      <c r="S82" s="2"/>
      <c r="T82" s="7">
        <v>30</v>
      </c>
      <c r="U82" s="2"/>
      <c r="V82" s="6">
        <f t="shared" si="57"/>
        <v>7.0605147303518822E-5</v>
      </c>
      <c r="W82" s="2"/>
      <c r="X82" s="7">
        <f t="shared" si="58"/>
        <v>-30</v>
      </c>
      <c r="Y82" s="2"/>
      <c r="Z82" s="6">
        <f t="shared" si="59"/>
        <v>-1</v>
      </c>
    </row>
    <row r="83" spans="1:26" s="24" customFormat="1" hidden="1" outlineLevel="2" x14ac:dyDescent="0.25">
      <c r="A83" s="25"/>
      <c r="B83" s="11" t="str">
        <f>CONCATENATE("          ", "6247", " - ", "STORE SUPPLIES")</f>
        <v xml:space="preserve">          6247 - STORE SUPPLIES</v>
      </c>
      <c r="C83" s="11"/>
      <c r="D83" s="7">
        <v>310</v>
      </c>
      <c r="E83" s="2"/>
      <c r="F83" s="6">
        <f t="shared" si="52"/>
        <v>6.2574723808289621E-3</v>
      </c>
      <c r="G83" s="2"/>
      <c r="H83" s="7"/>
      <c r="I83" s="2"/>
      <c r="J83" s="6">
        <f t="shared" si="53"/>
        <v>0</v>
      </c>
      <c r="K83" s="2"/>
      <c r="L83" s="7">
        <f t="shared" si="54"/>
        <v>310</v>
      </c>
      <c r="M83" s="2"/>
      <c r="N83" s="6">
        <f t="shared" si="55"/>
        <v>0</v>
      </c>
      <c r="O83" s="11"/>
      <c r="P83" s="7">
        <v>7279.65</v>
      </c>
      <c r="Q83" s="2"/>
      <c r="R83" s="6">
        <f t="shared" si="56"/>
        <v>1.6097698800714638E-2</v>
      </c>
      <c r="S83" s="2"/>
      <c r="T83" s="7"/>
      <c r="U83" s="2"/>
      <c r="V83" s="6">
        <f t="shared" si="57"/>
        <v>0</v>
      </c>
      <c r="W83" s="2"/>
      <c r="X83" s="7">
        <f t="shared" si="58"/>
        <v>7279.65</v>
      </c>
      <c r="Y83" s="2"/>
      <c r="Z83" s="6">
        <f t="shared" si="59"/>
        <v>0</v>
      </c>
    </row>
    <row r="84" spans="1:26" s="24" customFormat="1" hidden="1" outlineLevel="2" x14ac:dyDescent="0.25">
      <c r="A84" s="25"/>
      <c r="B84" s="11" t="str">
        <f>CONCATENATE("          ", "6248", " - ", "UNIFORMS")</f>
        <v xml:space="preserve">          6248 - UNIFORMS</v>
      </c>
      <c r="C84" s="11"/>
      <c r="D84" s="7"/>
      <c r="E84" s="2"/>
      <c r="F84" s="6">
        <f t="shared" si="52"/>
        <v>0</v>
      </c>
      <c r="G84" s="2"/>
      <c r="H84" s="7">
        <v>300</v>
      </c>
      <c r="I84" s="2"/>
      <c r="J84" s="6">
        <f t="shared" si="53"/>
        <v>6.7508269763045976E-3</v>
      </c>
      <c r="K84" s="2"/>
      <c r="L84" s="7">
        <f t="shared" si="54"/>
        <v>-300</v>
      </c>
      <c r="M84" s="2"/>
      <c r="N84" s="6">
        <f t="shared" si="55"/>
        <v>-1</v>
      </c>
      <c r="O84" s="11"/>
      <c r="P84" s="7"/>
      <c r="Q84" s="2"/>
      <c r="R84" s="6">
        <f t="shared" si="56"/>
        <v>0</v>
      </c>
      <c r="S84" s="2"/>
      <c r="T84" s="7">
        <v>600</v>
      </c>
      <c r="U84" s="2"/>
      <c r="V84" s="6">
        <f t="shared" si="57"/>
        <v>1.4121029460703763E-3</v>
      </c>
      <c r="W84" s="2"/>
      <c r="X84" s="7">
        <f t="shared" si="58"/>
        <v>-600</v>
      </c>
      <c r="Y84" s="2"/>
      <c r="Z84" s="6">
        <f t="shared" si="59"/>
        <v>-1</v>
      </c>
    </row>
    <row r="85" spans="1:26" s="27" customFormat="1" outlineLevel="1" collapsed="1" x14ac:dyDescent="0.25">
      <c r="A85" s="26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SUM(OSRRefD22_15x_0)</f>
        <v>88.65</v>
      </c>
      <c r="E85" s="1"/>
      <c r="F85" s="5">
        <f t="shared" ref="F85:F92" si="60">IF(D$12=0,0,D85/D$12)</f>
        <v>1.7894352469693146E-3</v>
      </c>
      <c r="G85" s="1"/>
      <c r="H85" s="1">
        <f>SUM(OSRRefH22_15x_0)</f>
        <v>40</v>
      </c>
      <c r="I85" s="1"/>
      <c r="J85" s="5">
        <f t="shared" ref="J85:J92" si="61">IF(H$12=0,0,H85/H$12)</f>
        <v>9.0011026350727966E-4</v>
      </c>
      <c r="K85" s="1"/>
      <c r="L85" s="1">
        <f t="shared" ref="L85:L92" si="62">+D85-H85</f>
        <v>48.650000000000006</v>
      </c>
      <c r="M85" s="1"/>
      <c r="N85" s="5">
        <f t="shared" ref="N85:N92" si="63">IF(H85=0,0,L85/H85)</f>
        <v>1.2162500000000001</v>
      </c>
      <c r="O85" s="13"/>
      <c r="P85" s="1">
        <f>SUM(OSRRefP22_15x_0)</f>
        <v>322.25</v>
      </c>
      <c r="Q85" s="1"/>
      <c r="R85" s="5">
        <f t="shared" ref="R85:R92" si="64">IF(P$12=0,0,P85/P$12)</f>
        <v>7.1260066603892939E-4</v>
      </c>
      <c r="S85" s="1"/>
      <c r="T85" s="1">
        <f>SUM(OSRRefT22_15x_0)</f>
        <v>280</v>
      </c>
      <c r="U85" s="1"/>
      <c r="V85" s="5">
        <f t="shared" ref="V85:V92" si="65">IF(T$12=0,0,T85/T$12)</f>
        <v>6.5898137483284228E-4</v>
      </c>
      <c r="W85" s="1"/>
      <c r="X85" s="1">
        <f t="shared" ref="X85:X92" si="66">+P85-T85</f>
        <v>42.25</v>
      </c>
      <c r="Y85" s="1"/>
      <c r="Z85" s="5">
        <f t="shared" ref="Z85:Z92" si="67">IF(T85=0,0,X85/T85)</f>
        <v>0.15089285714285713</v>
      </c>
    </row>
    <row r="86" spans="1:26" s="24" customFormat="1" hidden="1" outlineLevel="2" x14ac:dyDescent="0.25">
      <c r="A86" s="25"/>
      <c r="B86" s="11" t="str">
        <f>CONCATENATE("          ", "6309", " - ", "TELEPHONE")</f>
        <v xml:space="preserve">          6309 - TELEPHONE</v>
      </c>
      <c r="C86" s="11"/>
      <c r="D86" s="7">
        <v>88.65</v>
      </c>
      <c r="E86" s="2"/>
      <c r="F86" s="6">
        <f t="shared" si="60"/>
        <v>1.7894352469693146E-3</v>
      </c>
      <c r="G86" s="2"/>
      <c r="H86" s="7">
        <v>40</v>
      </c>
      <c r="I86" s="2"/>
      <c r="J86" s="6">
        <f t="shared" si="61"/>
        <v>9.0011026350727966E-4</v>
      </c>
      <c r="K86" s="2"/>
      <c r="L86" s="7">
        <f t="shared" si="62"/>
        <v>48.650000000000006</v>
      </c>
      <c r="M86" s="2"/>
      <c r="N86" s="6">
        <f t="shared" si="63"/>
        <v>1.2162500000000001</v>
      </c>
      <c r="O86" s="11"/>
      <c r="P86" s="7">
        <v>322.25</v>
      </c>
      <c r="Q86" s="2"/>
      <c r="R86" s="6">
        <f t="shared" si="64"/>
        <v>7.1260066603892939E-4</v>
      </c>
      <c r="S86" s="2"/>
      <c r="T86" s="7">
        <v>280</v>
      </c>
      <c r="U86" s="2"/>
      <c r="V86" s="6">
        <f t="shared" si="65"/>
        <v>6.5898137483284228E-4</v>
      </c>
      <c r="W86" s="2"/>
      <c r="X86" s="7">
        <f t="shared" si="66"/>
        <v>42.25</v>
      </c>
      <c r="Y86" s="2"/>
      <c r="Z86" s="6">
        <f t="shared" si="67"/>
        <v>0.15089285714285713</v>
      </c>
    </row>
    <row r="87" spans="1:26" s="27" customFormat="1" outlineLevel="1" collapsed="1" x14ac:dyDescent="0.25">
      <c r="A87" s="26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SUM(OSRRefD22_16x_0)</f>
        <v>0</v>
      </c>
      <c r="E87" s="1"/>
      <c r="F87" s="5">
        <f t="shared" si="60"/>
        <v>0</v>
      </c>
      <c r="G87" s="1"/>
      <c r="H87" s="1">
        <f>SUM(OSRRefH22_16x_0)</f>
        <v>100</v>
      </c>
      <c r="I87" s="1"/>
      <c r="J87" s="5">
        <f t="shared" si="61"/>
        <v>2.2502756587681992E-3</v>
      </c>
      <c r="K87" s="1"/>
      <c r="L87" s="1">
        <f t="shared" si="62"/>
        <v>-100</v>
      </c>
      <c r="M87" s="1"/>
      <c r="N87" s="5">
        <f t="shared" si="63"/>
        <v>-1</v>
      </c>
      <c r="O87" s="13"/>
      <c r="P87" s="1">
        <f>SUM(OSRRefP22_16x_0)</f>
        <v>0</v>
      </c>
      <c r="Q87" s="1"/>
      <c r="R87" s="5">
        <f t="shared" si="64"/>
        <v>0</v>
      </c>
      <c r="S87" s="1"/>
      <c r="T87" s="1">
        <f>SUM(OSRRefT22_16x_0)</f>
        <v>200</v>
      </c>
      <c r="U87" s="1"/>
      <c r="V87" s="5">
        <f t="shared" si="65"/>
        <v>4.7070098202345876E-4</v>
      </c>
      <c r="W87" s="1"/>
      <c r="X87" s="1">
        <f t="shared" si="66"/>
        <v>-200</v>
      </c>
      <c r="Y87" s="1"/>
      <c r="Z87" s="5">
        <f t="shared" si="67"/>
        <v>-1</v>
      </c>
    </row>
    <row r="88" spans="1:26" s="24" customFormat="1" hidden="1" outlineLevel="2" x14ac:dyDescent="0.25">
      <c r="A88" s="25"/>
      <c r="B88" s="11" t="str">
        <f>CONCATENATE("          ", "6376", " - ", "TRAINING")</f>
        <v xml:space="preserve">          6376 - TRAINING</v>
      </c>
      <c r="C88" s="11"/>
      <c r="D88" s="7"/>
      <c r="E88" s="2"/>
      <c r="F88" s="6">
        <f t="shared" si="60"/>
        <v>0</v>
      </c>
      <c r="G88" s="2"/>
      <c r="H88" s="7">
        <v>100</v>
      </c>
      <c r="I88" s="2"/>
      <c r="J88" s="6">
        <f t="shared" si="61"/>
        <v>2.2502756587681992E-3</v>
      </c>
      <c r="K88" s="2"/>
      <c r="L88" s="7">
        <f t="shared" si="62"/>
        <v>-100</v>
      </c>
      <c r="M88" s="2"/>
      <c r="N88" s="6">
        <f t="shared" si="63"/>
        <v>-1</v>
      </c>
      <c r="O88" s="11"/>
      <c r="P88" s="7"/>
      <c r="Q88" s="2"/>
      <c r="R88" s="6">
        <f t="shared" si="64"/>
        <v>0</v>
      </c>
      <c r="S88" s="2"/>
      <c r="T88" s="7">
        <v>200</v>
      </c>
      <c r="U88" s="2"/>
      <c r="V88" s="6">
        <f t="shared" si="65"/>
        <v>4.7070098202345876E-4</v>
      </c>
      <c r="W88" s="2"/>
      <c r="X88" s="7">
        <f t="shared" si="66"/>
        <v>-200</v>
      </c>
      <c r="Y88" s="2"/>
      <c r="Z88" s="6">
        <f t="shared" si="67"/>
        <v>-1</v>
      </c>
    </row>
    <row r="89" spans="1:26" s="27" customFormat="1" outlineLevel="1" collapsed="1" x14ac:dyDescent="0.25">
      <c r="A89" s="26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SUM(OSRRefD22_17x_0)</f>
        <v>0</v>
      </c>
      <c r="E89" s="1"/>
      <c r="F89" s="5">
        <f t="shared" si="60"/>
        <v>0</v>
      </c>
      <c r="G89" s="1"/>
      <c r="H89" s="1">
        <f>SUM(OSRRefH22_17x_0)</f>
        <v>0</v>
      </c>
      <c r="I89" s="1"/>
      <c r="J89" s="5">
        <f t="shared" si="61"/>
        <v>0</v>
      </c>
      <c r="K89" s="1"/>
      <c r="L89" s="1">
        <f t="shared" si="62"/>
        <v>0</v>
      </c>
      <c r="M89" s="1"/>
      <c r="N89" s="5">
        <f t="shared" si="63"/>
        <v>0</v>
      </c>
      <c r="O89" s="13"/>
      <c r="P89" s="1">
        <f>SUM(OSRRefP22_17x_0)</f>
        <v>0</v>
      </c>
      <c r="Q89" s="1"/>
      <c r="R89" s="5">
        <f t="shared" si="64"/>
        <v>0</v>
      </c>
      <c r="S89" s="1"/>
      <c r="T89" s="1">
        <f>SUM(OSRRefT22_17x_0)</f>
        <v>1000</v>
      </c>
      <c r="U89" s="1"/>
      <c r="V89" s="5">
        <f t="shared" si="65"/>
        <v>2.3535049101172938E-3</v>
      </c>
      <c r="W89" s="1"/>
      <c r="X89" s="1">
        <f t="shared" si="66"/>
        <v>-1000</v>
      </c>
      <c r="Y89" s="1"/>
      <c r="Z89" s="5">
        <f t="shared" si="67"/>
        <v>-1</v>
      </c>
    </row>
    <row r="90" spans="1:26" s="24" customFormat="1" hidden="1" outlineLevel="2" x14ac:dyDescent="0.25">
      <c r="A90" s="25"/>
      <c r="B90" s="11" t="str">
        <f>CONCATENATE("          ", "6292", " - ", "TRAVEL/CONFERENCE")</f>
        <v xml:space="preserve">          6292 - TRAVEL/CONFERENCE</v>
      </c>
      <c r="C90" s="11"/>
      <c r="D90" s="7"/>
      <c r="E90" s="2"/>
      <c r="F90" s="6">
        <f t="shared" si="60"/>
        <v>0</v>
      </c>
      <c r="G90" s="2"/>
      <c r="H90" s="7"/>
      <c r="I90" s="2"/>
      <c r="J90" s="6">
        <f t="shared" si="61"/>
        <v>0</v>
      </c>
      <c r="K90" s="2"/>
      <c r="L90" s="7">
        <f t="shared" si="62"/>
        <v>0</v>
      </c>
      <c r="M90" s="2"/>
      <c r="N90" s="6">
        <f t="shared" si="63"/>
        <v>0</v>
      </c>
      <c r="O90" s="11"/>
      <c r="P90" s="7"/>
      <c r="Q90" s="2"/>
      <c r="R90" s="6">
        <f t="shared" si="64"/>
        <v>0</v>
      </c>
      <c r="S90" s="2"/>
      <c r="T90" s="7">
        <v>1000</v>
      </c>
      <c r="U90" s="2"/>
      <c r="V90" s="6">
        <f t="shared" si="65"/>
        <v>2.3535049101172938E-3</v>
      </c>
      <c r="W90" s="2"/>
      <c r="X90" s="7">
        <f t="shared" si="66"/>
        <v>-1000</v>
      </c>
      <c r="Y90" s="2"/>
      <c r="Z90" s="6">
        <f t="shared" si="67"/>
        <v>-1</v>
      </c>
    </row>
    <row r="91" spans="1:26" s="27" customFormat="1" outlineLevel="1" collapsed="1" x14ac:dyDescent="0.25">
      <c r="A91" s="26"/>
      <c r="B91" s="13" t="str">
        <f>CONCATENATE("     ","Utilities                                         ")</f>
        <v xml:space="preserve">     Utilities                                         </v>
      </c>
      <c r="C91" s="13"/>
      <c r="D91" s="1">
        <f>SUM(OSRRefD22_18x_0)</f>
        <v>878</v>
      </c>
      <c r="E91" s="1"/>
      <c r="F91" s="5">
        <f t="shared" si="60"/>
        <v>1.7722776614089771E-2</v>
      </c>
      <c r="G91" s="1"/>
      <c r="H91" s="1">
        <f>SUM(OSRRefH22_18x_0)</f>
        <v>1100</v>
      </c>
      <c r="I91" s="1"/>
      <c r="J91" s="5">
        <f t="shared" si="61"/>
        <v>2.4753032246450191E-2</v>
      </c>
      <c r="K91" s="1"/>
      <c r="L91" s="1">
        <f t="shared" si="62"/>
        <v>-222</v>
      </c>
      <c r="M91" s="1"/>
      <c r="N91" s="5">
        <f t="shared" si="63"/>
        <v>-0.20181818181818181</v>
      </c>
      <c r="O91" s="13"/>
      <c r="P91" s="1">
        <f>SUM(OSRRefP22_18x_0)</f>
        <v>5894</v>
      </c>
      <c r="Q91" s="1"/>
      <c r="R91" s="5">
        <f t="shared" si="64"/>
        <v>1.3033571219964159E-2</v>
      </c>
      <c r="S91" s="1"/>
      <c r="T91" s="1">
        <f>SUM(OSRRefT22_18x_0)</f>
        <v>7700</v>
      </c>
      <c r="U91" s="1"/>
      <c r="V91" s="5">
        <f t="shared" si="65"/>
        <v>1.8121987807903164E-2</v>
      </c>
      <c r="W91" s="1"/>
      <c r="X91" s="1">
        <f t="shared" si="66"/>
        <v>-1806</v>
      </c>
      <c r="Y91" s="1"/>
      <c r="Z91" s="5">
        <f t="shared" si="67"/>
        <v>-0.23454545454545456</v>
      </c>
    </row>
    <row r="92" spans="1:26" s="24" customFormat="1" hidden="1" outlineLevel="2" x14ac:dyDescent="0.25">
      <c r="A92" s="25"/>
      <c r="B92" s="11" t="str">
        <f>CONCATENATE("          ", "6274", " - ", "UTILITIES")</f>
        <v xml:space="preserve">          6274 - UTILITIES</v>
      </c>
      <c r="C92" s="11"/>
      <c r="D92" s="7">
        <v>878</v>
      </c>
      <c r="E92" s="2"/>
      <c r="F92" s="6">
        <f t="shared" si="60"/>
        <v>1.7722776614089771E-2</v>
      </c>
      <c r="G92" s="2"/>
      <c r="H92" s="7">
        <v>1100</v>
      </c>
      <c r="I92" s="2"/>
      <c r="J92" s="6">
        <f t="shared" si="61"/>
        <v>2.4753032246450191E-2</v>
      </c>
      <c r="K92" s="2"/>
      <c r="L92" s="7">
        <f t="shared" si="62"/>
        <v>-222</v>
      </c>
      <c r="M92" s="2"/>
      <c r="N92" s="6">
        <f t="shared" si="63"/>
        <v>-0.20181818181818181</v>
      </c>
      <c r="O92" s="11"/>
      <c r="P92" s="7">
        <v>5894</v>
      </c>
      <c r="Q92" s="2"/>
      <c r="R92" s="6">
        <f t="shared" si="64"/>
        <v>1.3033571219964159E-2</v>
      </c>
      <c r="S92" s="2"/>
      <c r="T92" s="7">
        <v>7700</v>
      </c>
      <c r="U92" s="2"/>
      <c r="V92" s="6">
        <f t="shared" si="65"/>
        <v>1.8121987807903164E-2</v>
      </c>
      <c r="W92" s="2"/>
      <c r="X92" s="7">
        <f t="shared" si="66"/>
        <v>-1806</v>
      </c>
      <c r="Y92" s="2"/>
      <c r="Z92" s="6">
        <f t="shared" si="67"/>
        <v>-0.23454545454545456</v>
      </c>
    </row>
    <row r="93" spans="1:26" s="53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8" t="s">
        <v>0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9" t="s">
        <v>3</v>
      </c>
      <c r="C96" s="29"/>
      <c r="D96" s="21">
        <f>+D22-D24+D94</f>
        <v>-4485.25</v>
      </c>
      <c r="E96" s="14"/>
      <c r="F96" s="20">
        <f>IF(D$12=0,0,D96/D$12)</f>
        <v>-9.0536541922945496E-2</v>
      </c>
      <c r="G96" s="14"/>
      <c r="H96" s="21">
        <f>+H22-H24+H94</f>
        <v>-5148.1803760000003</v>
      </c>
      <c r="I96" s="14"/>
      <c r="J96" s="20">
        <f>IF(H$12=0,0,H96/H$12)</f>
        <v>-0.11584824987060915</v>
      </c>
      <c r="K96" s="16"/>
      <c r="L96" s="21">
        <f>+D96-H96</f>
        <v>662.93037600000025</v>
      </c>
      <c r="M96" s="16"/>
      <c r="N96" s="20">
        <f>IF(H96=0,0,L96/H96)</f>
        <v>-0.12876984246520895</v>
      </c>
      <c r="O96" s="28"/>
      <c r="P96" s="21">
        <f>+P22-P24+P94</f>
        <v>34022.760000000068</v>
      </c>
      <c r="Q96" s="14"/>
      <c r="R96" s="20">
        <f>IF(P$12=0,0,P96/P$12)</f>
        <v>7.5235504845563059E-2</v>
      </c>
      <c r="S96" s="14"/>
      <c r="T96" s="21">
        <f>+T22-T24+T94</f>
        <v>14226.930261250003</v>
      </c>
      <c r="U96" s="14"/>
      <c r="V96" s="20">
        <f>IF(T$12=0,0,T96/T$12)</f>
        <v>3.3483150225748201E-2</v>
      </c>
      <c r="W96" s="16"/>
      <c r="X96" s="21">
        <f>+P96-T96</f>
        <v>19795.829738750064</v>
      </c>
      <c r="Y96" s="16"/>
      <c r="Z96" s="20">
        <f>IF(T96=0,0,X96/T96)</f>
        <v>1.3914336666616069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14</v>
      </c>
      <c r="C98" s="10"/>
      <c r="D98" s="4">
        <v>3667.7</v>
      </c>
      <c r="E98" s="4"/>
      <c r="F98" s="12">
        <f>IF(D$12=0,0,D98/D$12)</f>
        <v>7.4033972423117364E-2</v>
      </c>
      <c r="G98" s="4"/>
      <c r="H98" s="4">
        <v>3306</v>
      </c>
      <c r="I98" s="4"/>
      <c r="J98" s="12">
        <f>IF(H$12=0,0,H98/H$12)</f>
        <v>7.4394113278876656E-2</v>
      </c>
      <c r="K98" s="4"/>
      <c r="L98" s="4">
        <f>+D98-H98</f>
        <v>361.69999999999982</v>
      </c>
      <c r="M98" s="4"/>
      <c r="N98" s="12">
        <f>IF(H98=0,0,L98/H98)</f>
        <v>0.10940713853599511</v>
      </c>
      <c r="O98" s="10"/>
      <c r="P98" s="4">
        <v>47159.81</v>
      </c>
      <c r="Q98" s="4"/>
      <c r="R98" s="12">
        <f>IF(P$12=0,0,P98/P$12)</f>
        <v>0.10428584023667761</v>
      </c>
      <c r="S98" s="4"/>
      <c r="T98" s="4">
        <v>52316</v>
      </c>
      <c r="U98" s="4"/>
      <c r="V98" s="12">
        <f>IF(T$12=0,0,T98/T$12)</f>
        <v>0.12312596287769635</v>
      </c>
      <c r="W98" s="4"/>
      <c r="X98" s="4">
        <f>+P98-T98</f>
        <v>-5156.1900000000023</v>
      </c>
      <c r="Y98" s="4"/>
      <c r="Z98" s="12">
        <f>IF(T98=0,0,X98/T98)</f>
        <v>-9.8558567168743838E-2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9" t="s">
        <v>4</v>
      </c>
      <c r="C100" s="29"/>
      <c r="D100" s="34">
        <f>+D96-D98</f>
        <v>-8152.95</v>
      </c>
      <c r="E100" s="14"/>
      <c r="F100" s="32">
        <f>IF(D$12=0,0,D100/D$12)</f>
        <v>-0.16457051434606285</v>
      </c>
      <c r="G100" s="14"/>
      <c r="H100" s="34">
        <f>+H96-H98</f>
        <v>-8454.1803760000003</v>
      </c>
      <c r="I100" s="14"/>
      <c r="J100" s="32">
        <f>IF(H$12=0,0,H100/H$12)</f>
        <v>-0.19024236314948581</v>
      </c>
      <c r="K100" s="16"/>
      <c r="L100" s="34">
        <f>D100-H100</f>
        <v>301.23037600000043</v>
      </c>
      <c r="M100" s="16"/>
      <c r="N100" s="32">
        <f>IF(H100=0,0,L100/H100)</f>
        <v>-3.5630937903234586E-2</v>
      </c>
      <c r="O100" s="28"/>
      <c r="P100" s="34">
        <f>+P96-P98</f>
        <v>-13137.04999999993</v>
      </c>
      <c r="Q100" s="14"/>
      <c r="R100" s="32">
        <f>IF(P$12=0,0,P100/P$12)</f>
        <v>-2.9050335391114564E-2</v>
      </c>
      <c r="S100" s="14"/>
      <c r="T100" s="34">
        <f>+T96-T98</f>
        <v>-38089.069738749997</v>
      </c>
      <c r="U100" s="14"/>
      <c r="V100" s="32">
        <f>IF(T$12=0,0,T100/T$12)</f>
        <v>-8.9642812651948151E-2</v>
      </c>
      <c r="W100" s="16"/>
      <c r="X100" s="34">
        <f>P100-T100</f>
        <v>24952.019738750067</v>
      </c>
      <c r="Y100" s="16"/>
      <c r="Z100" s="32">
        <f>IF(T100=0,0,X100/T100)</f>
        <v>-0.65509659096150297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9" t="s">
        <v>5</v>
      </c>
      <c r="C103" s="29"/>
      <c r="D103" s="31">
        <f>SUM(D100:D102)</f>
        <v>-8152.95</v>
      </c>
      <c r="E103" s="14"/>
      <c r="F103" s="30">
        <f>IF(D$12=0,0,D103/D$12)</f>
        <v>-0.16457051434606285</v>
      </c>
      <c r="G103" s="14"/>
      <c r="H103" s="31">
        <f>SUM(H100:H102)</f>
        <v>-8454.1803760000003</v>
      </c>
      <c r="I103" s="14"/>
      <c r="J103" s="30">
        <f>IF(H$12=0,0,H103/H$12)</f>
        <v>-0.19024236314948581</v>
      </c>
      <c r="K103" s="16"/>
      <c r="L103" s="31">
        <f>+D103-H103</f>
        <v>301.23037600000043</v>
      </c>
      <c r="M103" s="16"/>
      <c r="N103" s="30">
        <f>IF(H103=0,0,L103/H103)</f>
        <v>-3.5630937903234586E-2</v>
      </c>
      <c r="O103" s="28"/>
      <c r="P103" s="31">
        <f>SUM(P100:P102)</f>
        <v>-13137.04999999993</v>
      </c>
      <c r="Q103" s="14"/>
      <c r="R103" s="30">
        <f>IF(P$12=0,0,P103/P$12)</f>
        <v>-2.9050335391114564E-2</v>
      </c>
      <c r="S103" s="14"/>
      <c r="T103" s="31">
        <f>SUM(T100:T102)</f>
        <v>-38089.069738749997</v>
      </c>
      <c r="U103" s="14"/>
      <c r="V103" s="30">
        <f>IF(T$12=0,0,T103/T$12)</f>
        <v>-8.9642812651948151E-2</v>
      </c>
      <c r="W103" s="16"/>
      <c r="X103" s="31">
        <f>+P103-T103</f>
        <v>24952.019738750067</v>
      </c>
      <c r="Y103" s="16"/>
      <c r="Z103" s="30">
        <f>IF(T103=0,0,X103/T103)</f>
        <v>-0.65509659096150297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63">
        <v>43879.546377662038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7" t="s">
        <v>314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60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","327", " - ", "C-Store Vending Machine(s)")</f>
        <v>Department 327 - C-Store Vending Machine(s)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715</v>
      </c>
      <c r="E12" s="4"/>
      <c r="F12" s="12"/>
      <c r="G12" s="4"/>
      <c r="H12" s="4">
        <f>SUM(OSRRefH13x_0)</f>
        <v>400</v>
      </c>
      <c r="I12" s="4"/>
      <c r="J12" s="12"/>
      <c r="K12" s="4"/>
      <c r="L12" s="4">
        <f t="shared" ref="L12:L14" si="0">+D12-H12</f>
        <v>315</v>
      </c>
      <c r="M12" s="4"/>
      <c r="N12" s="12">
        <f t="shared" ref="N12:N14" si="1">IF(H12=0,0,L12/H12)</f>
        <v>0.78749999999999998</v>
      </c>
      <c r="O12" s="10"/>
      <c r="P12" s="4">
        <f>SUM(OSRRefP13x_0)</f>
        <v>10275</v>
      </c>
      <c r="Q12" s="4"/>
      <c r="R12" s="12"/>
      <c r="S12" s="4"/>
      <c r="T12" s="4">
        <f>SUM(OSRRefT13x_0)</f>
        <v>7718</v>
      </c>
      <c r="U12" s="4"/>
      <c r="V12" s="12"/>
      <c r="W12" s="4"/>
      <c r="X12" s="4">
        <f t="shared" ref="X12:X14" si="2">+P12-T12</f>
        <v>2557</v>
      </c>
      <c r="Y12" s="4"/>
      <c r="Z12" s="12">
        <f t="shared" ref="Z12:Z14" si="3">IF(T12=0,0,X12/T12)</f>
        <v>0.33130344648872767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400</v>
      </c>
      <c r="I13" s="2"/>
      <c r="J13" s="19"/>
      <c r="K13" s="2"/>
      <c r="L13" s="2">
        <f t="shared" si="0"/>
        <v>-400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7718</v>
      </c>
      <c r="U13" s="2"/>
      <c r="V13" s="19"/>
      <c r="W13" s="2"/>
      <c r="X13" s="2">
        <f t="shared" si="2"/>
        <v>-7718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--715</f>
        <v>715</v>
      </c>
      <c r="E14" s="2"/>
      <c r="F14" s="19"/>
      <c r="G14" s="2"/>
      <c r="H14" s="2"/>
      <c r="I14" s="2"/>
      <c r="J14" s="19"/>
      <c r="K14" s="2"/>
      <c r="L14" s="2">
        <f t="shared" si="0"/>
        <v>715</v>
      </c>
      <c r="M14" s="2"/>
      <c r="N14" s="19">
        <f t="shared" si="1"/>
        <v>0</v>
      </c>
      <c r="O14" s="11"/>
      <c r="P14" s="2">
        <f>--10275</f>
        <v>10275</v>
      </c>
      <c r="Q14" s="2"/>
      <c r="R14" s="19"/>
      <c r="S14" s="2"/>
      <c r="T14" s="2"/>
      <c r="U14" s="2"/>
      <c r="V14" s="19"/>
      <c r="W14" s="2"/>
      <c r="X14" s="2">
        <f t="shared" si="2"/>
        <v>10275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1074.18</v>
      </c>
      <c r="E16" s="4"/>
      <c r="F16" s="12">
        <f t="shared" ref="F16:F18" si="4">IF(D$12=0,0,D16/D$12)</f>
        <v>1.5023496503496505</v>
      </c>
      <c r="G16" s="4"/>
      <c r="H16" s="4">
        <f>SUM(OSRRefH16x_0)</f>
        <v>200</v>
      </c>
      <c r="I16" s="4"/>
      <c r="J16" s="12">
        <f t="shared" ref="J16:J18" si="5">IF(H$12=0,0,H16/H$12)</f>
        <v>0.5</v>
      </c>
      <c r="K16" s="4"/>
      <c r="L16" s="4">
        <f t="shared" ref="L16:L18" si="6">+D16-H16</f>
        <v>874.18000000000006</v>
      </c>
      <c r="M16" s="4"/>
      <c r="N16" s="12">
        <f t="shared" ref="N16:N18" si="7">IF(H16=0,0,L16/H16)</f>
        <v>4.3709000000000007</v>
      </c>
      <c r="O16" s="10"/>
      <c r="P16" s="4">
        <f>SUM(OSRRefP16x_0)</f>
        <v>1988.12</v>
      </c>
      <c r="Q16" s="4"/>
      <c r="R16" s="12">
        <f t="shared" ref="R16:R18" si="8">IF(P$12=0,0,P16/P$12)</f>
        <v>0.19349099756690996</v>
      </c>
      <c r="S16" s="4"/>
      <c r="T16" s="4">
        <f>SUM(OSRRefT16x_0)</f>
        <v>3858</v>
      </c>
      <c r="U16" s="4"/>
      <c r="V16" s="12">
        <f t="shared" ref="V16:V18" si="9">IF(T$12=0,0,T16/T$12)</f>
        <v>0.49987043275459964</v>
      </c>
      <c r="W16" s="4"/>
      <c r="X16" s="4">
        <f t="shared" ref="X16:X18" si="10">+P16-T16</f>
        <v>-1869.88</v>
      </c>
      <c r="Y16" s="4"/>
      <c r="Z16" s="12">
        <f t="shared" ref="Z16:Z18" si="11">IF(T16=0,0,X16/T16)</f>
        <v>-0.48467599792638677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4"/>
        <v>0</v>
      </c>
      <c r="G17" s="2"/>
      <c r="H17" s="2">
        <v>200</v>
      </c>
      <c r="I17" s="2"/>
      <c r="J17" s="19">
        <f t="shared" si="5"/>
        <v>0.5</v>
      </c>
      <c r="K17" s="2"/>
      <c r="L17" s="2">
        <f t="shared" si="6"/>
        <v>-200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3858</v>
      </c>
      <c r="U17" s="2"/>
      <c r="V17" s="19">
        <f t="shared" si="9"/>
        <v>0.49987043275459964</v>
      </c>
      <c r="W17" s="2"/>
      <c r="X17" s="2">
        <f t="shared" si="10"/>
        <v>-3858</v>
      </c>
      <c r="Y17" s="2"/>
      <c r="Z17" s="19">
        <f t="shared" si="11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1074.18</v>
      </c>
      <c r="E18" s="2"/>
      <c r="F18" s="19">
        <f t="shared" si="4"/>
        <v>1.5023496503496505</v>
      </c>
      <c r="G18" s="2"/>
      <c r="H18" s="2"/>
      <c r="I18" s="2"/>
      <c r="J18" s="19">
        <f t="shared" si="5"/>
        <v>0</v>
      </c>
      <c r="K18" s="2"/>
      <c r="L18" s="2">
        <f t="shared" si="6"/>
        <v>1074.18</v>
      </c>
      <c r="M18" s="2"/>
      <c r="N18" s="19">
        <f t="shared" si="7"/>
        <v>0</v>
      </c>
      <c r="O18" s="11"/>
      <c r="P18" s="2">
        <v>1988.12</v>
      </c>
      <c r="Q18" s="2"/>
      <c r="R18" s="19">
        <f t="shared" si="8"/>
        <v>0.19349099756690996</v>
      </c>
      <c r="S18" s="2"/>
      <c r="T18" s="2"/>
      <c r="U18" s="2"/>
      <c r="V18" s="19">
        <f t="shared" si="9"/>
        <v>0</v>
      </c>
      <c r="W18" s="2"/>
      <c r="X18" s="2">
        <f t="shared" si="10"/>
        <v>1988.12</v>
      </c>
      <c r="Y18" s="2"/>
      <c r="Z18" s="19">
        <f t="shared" si="11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-359.18000000000006</v>
      </c>
      <c r="E20" s="14"/>
      <c r="F20" s="20">
        <f>IF(D$12=0,0,D20/D$12)</f>
        <v>-0.5023496503496504</v>
      </c>
      <c r="G20" s="14"/>
      <c r="H20" s="21">
        <f>H12-H16</f>
        <v>200</v>
      </c>
      <c r="I20" s="14"/>
      <c r="J20" s="20">
        <f>IF(H$12=0,0,H20/H$12)</f>
        <v>0.5</v>
      </c>
      <c r="K20" s="16"/>
      <c r="L20" s="21">
        <f>+D20-H20</f>
        <v>-559.18000000000006</v>
      </c>
      <c r="M20" s="16"/>
      <c r="N20" s="20">
        <f>IF(H20=0,0,L20/H20)</f>
        <v>-2.7959000000000005</v>
      </c>
      <c r="O20" s="28"/>
      <c r="P20" s="21">
        <f>P12-P16</f>
        <v>8286.880000000001</v>
      </c>
      <c r="Q20" s="14"/>
      <c r="R20" s="20">
        <f>IF(P$12=0,0,P20/P$12)</f>
        <v>0.80650900243309009</v>
      </c>
      <c r="S20" s="14"/>
      <c r="T20" s="21">
        <f>T12-T16</f>
        <v>3860</v>
      </c>
      <c r="U20" s="14"/>
      <c r="V20" s="20">
        <f>IF(T$12=0,0,T20/T$12)</f>
        <v>0.50012956724540036</v>
      </c>
      <c r="W20" s="16"/>
      <c r="X20" s="21">
        <f>+P20-T20</f>
        <v>4426.880000000001</v>
      </c>
      <c r="Y20" s="16"/>
      <c r="Z20" s="20">
        <f>IF(T20=0,0,X20/T20)</f>
        <v>1.1468601036269432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61.44</v>
      </c>
      <c r="E22" s="22"/>
      <c r="F22" s="35">
        <f t="shared" ref="F22:F28" si="12">IF(D$12=0,0,D22/D$12)</f>
        <v>8.5930069930069922E-2</v>
      </c>
      <c r="G22" s="22"/>
      <c r="H22" s="22">
        <f>SUM(OSRRefH22x_0)</f>
        <v>34</v>
      </c>
      <c r="I22" s="22"/>
      <c r="J22" s="35">
        <f t="shared" ref="J22:J28" si="13">IF(H$12=0,0,H22/H$12)</f>
        <v>8.5000000000000006E-2</v>
      </c>
      <c r="K22" s="4"/>
      <c r="L22" s="22">
        <f t="shared" ref="L22:L28" si="14">+D22-H22</f>
        <v>27.439999999999998</v>
      </c>
      <c r="M22" s="4"/>
      <c r="N22" s="35">
        <f t="shared" ref="N22:N28" si="15">IF(H22=0,0,L22/H22)</f>
        <v>0.80705882352941172</v>
      </c>
      <c r="O22" s="10"/>
      <c r="P22" s="22">
        <f>SUM(OSRRefP22x_0)</f>
        <v>1247.3699999999999</v>
      </c>
      <c r="Q22" s="22"/>
      <c r="R22" s="35">
        <f t="shared" ref="R22:R28" si="16">IF(P$12=0,0,P22/P$12)</f>
        <v>0.12139854014598539</v>
      </c>
      <c r="S22" s="22"/>
      <c r="T22" s="22">
        <f>SUM(OSRRefT22x_0)</f>
        <v>663</v>
      </c>
      <c r="U22" s="22"/>
      <c r="V22" s="35">
        <f t="shared" ref="V22:V28" si="17">IF(T$12=0,0,T22/T$12)</f>
        <v>8.590308370044053E-2</v>
      </c>
      <c r="W22" s="4"/>
      <c r="X22" s="22">
        <f t="shared" ref="X22:X28" si="18">+P22-T22</f>
        <v>584.36999999999989</v>
      </c>
      <c r="Y22" s="4"/>
      <c r="Z22" s="35">
        <f t="shared" ref="Z22:Z28" si="19">IF(T22=0,0,X22/T22)</f>
        <v>0.88140271493212652</v>
      </c>
    </row>
    <row r="23" spans="1:26" s="27" customFormat="1" outlineLevel="1" collapsed="1" x14ac:dyDescent="0.25">
      <c r="A23" s="26"/>
      <c r="B23" s="13" t="str">
        <f>CONCATENATE("     ","Bank/card Fees                                    ")</f>
        <v xml:space="preserve">     Bank/card Fees                                    </v>
      </c>
      <c r="C23" s="13"/>
      <c r="D23" s="1">
        <f>SUM(OSRRefD22_0x_0)</f>
        <v>61.44</v>
      </c>
      <c r="E23" s="1"/>
      <c r="F23" s="5">
        <f t="shared" si="12"/>
        <v>8.5930069930069922E-2</v>
      </c>
      <c r="G23" s="1"/>
      <c r="H23" s="1">
        <f>SUM(OSRRefH22_0x_0)</f>
        <v>34</v>
      </c>
      <c r="I23" s="1"/>
      <c r="J23" s="5">
        <f t="shared" si="13"/>
        <v>8.5000000000000006E-2</v>
      </c>
      <c r="K23" s="1"/>
      <c r="L23" s="1">
        <f t="shared" si="14"/>
        <v>27.439999999999998</v>
      </c>
      <c r="M23" s="1"/>
      <c r="N23" s="5">
        <f t="shared" si="15"/>
        <v>0.80705882352941172</v>
      </c>
      <c r="O23" s="13"/>
      <c r="P23" s="1">
        <f>SUM(OSRRefP22_0x_0)</f>
        <v>926.92</v>
      </c>
      <c r="Q23" s="1"/>
      <c r="R23" s="5">
        <f t="shared" si="16"/>
        <v>9.0211192214111918E-2</v>
      </c>
      <c r="S23" s="1"/>
      <c r="T23" s="1">
        <f>SUM(OSRRefT22_0x_0)</f>
        <v>663</v>
      </c>
      <c r="U23" s="1"/>
      <c r="V23" s="5">
        <f t="shared" si="17"/>
        <v>8.590308370044053E-2</v>
      </c>
      <c r="W23" s="1"/>
      <c r="X23" s="1">
        <f t="shared" si="18"/>
        <v>263.91999999999996</v>
      </c>
      <c r="Y23" s="1"/>
      <c r="Z23" s="5">
        <f t="shared" si="19"/>
        <v>0.39806938159879329</v>
      </c>
    </row>
    <row r="24" spans="1:26" s="24" customFormat="1" hidden="1" outlineLevel="2" x14ac:dyDescent="0.25">
      <c r="A24" s="25"/>
      <c r="B24" s="11" t="str">
        <f>CONCATENATE("          ", "6381", " - ", "BANK/CREDIT CARD FEES")</f>
        <v xml:space="preserve">          6381 - BANK/CREDIT CARD FEES</v>
      </c>
      <c r="C24" s="11"/>
      <c r="D24" s="7">
        <v>61.44</v>
      </c>
      <c r="E24" s="2"/>
      <c r="F24" s="6">
        <f t="shared" si="12"/>
        <v>8.5930069930069922E-2</v>
      </c>
      <c r="G24" s="2"/>
      <c r="H24" s="7">
        <v>34</v>
      </c>
      <c r="I24" s="2"/>
      <c r="J24" s="6">
        <f t="shared" si="13"/>
        <v>8.5000000000000006E-2</v>
      </c>
      <c r="K24" s="2"/>
      <c r="L24" s="7">
        <f t="shared" si="14"/>
        <v>27.439999999999998</v>
      </c>
      <c r="M24" s="2"/>
      <c r="N24" s="6">
        <f t="shared" si="15"/>
        <v>0.80705882352941172</v>
      </c>
      <c r="O24" s="11"/>
      <c r="P24" s="7">
        <v>926.92</v>
      </c>
      <c r="Q24" s="2"/>
      <c r="R24" s="6">
        <f t="shared" si="16"/>
        <v>9.0211192214111918E-2</v>
      </c>
      <c r="S24" s="2"/>
      <c r="T24" s="7">
        <v>663</v>
      </c>
      <c r="U24" s="2"/>
      <c r="V24" s="6">
        <f t="shared" si="17"/>
        <v>8.590308370044053E-2</v>
      </c>
      <c r="W24" s="2"/>
      <c r="X24" s="7">
        <f t="shared" si="18"/>
        <v>263.91999999999996</v>
      </c>
      <c r="Y24" s="2"/>
      <c r="Z24" s="6">
        <f t="shared" si="19"/>
        <v>0.39806938159879329</v>
      </c>
    </row>
    <row r="25" spans="1:26" s="27" customFormat="1" outlineLevel="1" collapsed="1" x14ac:dyDescent="0.25">
      <c r="A25" s="26"/>
      <c r="B25" s="13" t="str">
        <f>CONCATENATE("     ","General                                           ")</f>
        <v xml:space="preserve">     General                                           </v>
      </c>
      <c r="C25" s="13"/>
      <c r="D25" s="1">
        <f>SUM(OSRRefD22_1x_0)</f>
        <v>0</v>
      </c>
      <c r="E25" s="1"/>
      <c r="F25" s="5">
        <f t="shared" si="12"/>
        <v>0</v>
      </c>
      <c r="G25" s="1"/>
      <c r="H25" s="1">
        <f>SUM(OSRRefH22_1x_0)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3"/>
      <c r="P25" s="1">
        <f>SUM(OSRRefP22_1x_0)</f>
        <v>23.45</v>
      </c>
      <c r="Q25" s="1"/>
      <c r="R25" s="5">
        <f t="shared" si="16"/>
        <v>2.2822384428223845E-3</v>
      </c>
      <c r="S25" s="1"/>
      <c r="T25" s="1">
        <f>SUM(OSRRefT22_1x_0)</f>
        <v>0</v>
      </c>
      <c r="U25" s="1"/>
      <c r="V25" s="5">
        <f t="shared" si="17"/>
        <v>0</v>
      </c>
      <c r="W25" s="1"/>
      <c r="X25" s="1">
        <f t="shared" si="18"/>
        <v>23.45</v>
      </c>
      <c r="Y25" s="1"/>
      <c r="Z25" s="5">
        <f t="shared" si="19"/>
        <v>0</v>
      </c>
    </row>
    <row r="26" spans="1:26" s="24" customFormat="1" hidden="1" outlineLevel="2" x14ac:dyDescent="0.25">
      <c r="A26" s="25"/>
      <c r="B26" s="11" t="str">
        <f>CONCATENATE("          ", "6279", " - ", "GENERAL EXPENSE")</f>
        <v xml:space="preserve">          6279 - GENERAL EXPENSE</v>
      </c>
      <c r="C26" s="11"/>
      <c r="D26" s="7"/>
      <c r="E26" s="2"/>
      <c r="F26" s="6">
        <f t="shared" si="12"/>
        <v>0</v>
      </c>
      <c r="G26" s="2"/>
      <c r="H26" s="7"/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>
        <v>23.45</v>
      </c>
      <c r="Q26" s="2"/>
      <c r="R26" s="6">
        <f t="shared" si="16"/>
        <v>2.2822384428223845E-3</v>
      </c>
      <c r="S26" s="2"/>
      <c r="T26" s="7"/>
      <c r="U26" s="2"/>
      <c r="V26" s="6">
        <f t="shared" si="17"/>
        <v>0</v>
      </c>
      <c r="W26" s="2"/>
      <c r="X26" s="7">
        <f t="shared" si="18"/>
        <v>23.45</v>
      </c>
      <c r="Y26" s="2"/>
      <c r="Z26" s="6">
        <f t="shared" si="19"/>
        <v>0</v>
      </c>
    </row>
    <row r="27" spans="1:26" s="27" customFormat="1" outlineLevel="1" collapsed="1" x14ac:dyDescent="0.25">
      <c r="A27" s="26"/>
      <c r="B27" s="13" t="str">
        <f>CONCATENATE("     ","Supplies                                          ")</f>
        <v xml:space="preserve">     Supplies                                          </v>
      </c>
      <c r="C27" s="13"/>
      <c r="D27" s="1">
        <f>SUM(OSRRefD22_2x_0)</f>
        <v>0</v>
      </c>
      <c r="E27" s="1"/>
      <c r="F27" s="5">
        <f t="shared" si="12"/>
        <v>0</v>
      </c>
      <c r="G27" s="1"/>
      <c r="H27" s="1">
        <f>SUM(OSRRefH22_2x_0)</f>
        <v>0</v>
      </c>
      <c r="I27" s="1"/>
      <c r="J27" s="5">
        <f t="shared" si="13"/>
        <v>0</v>
      </c>
      <c r="K27" s="1"/>
      <c r="L27" s="1">
        <f t="shared" si="14"/>
        <v>0</v>
      </c>
      <c r="M27" s="1"/>
      <c r="N27" s="5">
        <f t="shared" si="15"/>
        <v>0</v>
      </c>
      <c r="O27" s="13"/>
      <c r="P27" s="1">
        <f>SUM(OSRRefP22_2x_0)</f>
        <v>297</v>
      </c>
      <c r="Q27" s="1"/>
      <c r="R27" s="5">
        <f t="shared" si="16"/>
        <v>2.8905109489051097E-2</v>
      </c>
      <c r="S27" s="1"/>
      <c r="T27" s="1">
        <f>SUM(OSRRefT22_2x_0)</f>
        <v>0</v>
      </c>
      <c r="U27" s="1"/>
      <c r="V27" s="5">
        <f t="shared" si="17"/>
        <v>0</v>
      </c>
      <c r="W27" s="1"/>
      <c r="X27" s="1">
        <f t="shared" si="18"/>
        <v>297</v>
      </c>
      <c r="Y27" s="1"/>
      <c r="Z27" s="5">
        <f t="shared" si="19"/>
        <v>0</v>
      </c>
    </row>
    <row r="28" spans="1:26" s="24" customFormat="1" hidden="1" outlineLevel="2" x14ac:dyDescent="0.25">
      <c r="A28" s="25"/>
      <c r="B28" s="11" t="str">
        <f>CONCATENATE("          ", "6247", " - ", "STORE SUPPLIES")</f>
        <v xml:space="preserve">          6247 - STORE SUPPLIES</v>
      </c>
      <c r="C28" s="11"/>
      <c r="D28" s="7"/>
      <c r="E28" s="2"/>
      <c r="F28" s="6">
        <f t="shared" si="12"/>
        <v>0</v>
      </c>
      <c r="G28" s="2"/>
      <c r="H28" s="7"/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>
        <v>297</v>
      </c>
      <c r="Q28" s="2"/>
      <c r="R28" s="6">
        <f t="shared" si="16"/>
        <v>2.8905109489051097E-2</v>
      </c>
      <c r="S28" s="2"/>
      <c r="T28" s="7"/>
      <c r="U28" s="2"/>
      <c r="V28" s="6">
        <f t="shared" si="17"/>
        <v>0</v>
      </c>
      <c r="W28" s="2"/>
      <c r="X28" s="7">
        <f t="shared" si="18"/>
        <v>297</v>
      </c>
      <c r="Y28" s="2"/>
      <c r="Z28" s="6">
        <f t="shared" si="19"/>
        <v>0</v>
      </c>
    </row>
    <row r="29" spans="1:26" s="53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8" t="s">
        <v>0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9" t="s">
        <v>3</v>
      </c>
      <c r="C32" s="29"/>
      <c r="D32" s="21">
        <f>+D20-D22+D30</f>
        <v>-420.62000000000006</v>
      </c>
      <c r="E32" s="14"/>
      <c r="F32" s="20">
        <f>IF(D$12=0,0,D32/D$12)</f>
        <v>-0.58827972027972042</v>
      </c>
      <c r="G32" s="14"/>
      <c r="H32" s="21">
        <f>+H20-H22+H30</f>
        <v>166</v>
      </c>
      <c r="I32" s="14"/>
      <c r="J32" s="20">
        <f>IF(H$12=0,0,H32/H$12)</f>
        <v>0.41499999999999998</v>
      </c>
      <c r="K32" s="16"/>
      <c r="L32" s="21">
        <f>+D32-H32</f>
        <v>-586.62000000000012</v>
      </c>
      <c r="M32" s="16"/>
      <c r="N32" s="20">
        <f>IF(H32=0,0,L32/H32)</f>
        <v>-3.5338554216867477</v>
      </c>
      <c r="O32" s="28"/>
      <c r="P32" s="21">
        <f>+P20-P22+P30</f>
        <v>7039.5100000000011</v>
      </c>
      <c r="Q32" s="14"/>
      <c r="R32" s="20">
        <f>IF(P$12=0,0,P32/P$12)</f>
        <v>0.6851104622871047</v>
      </c>
      <c r="S32" s="14"/>
      <c r="T32" s="21">
        <f>+T20-T22+T30</f>
        <v>3197</v>
      </c>
      <c r="U32" s="14"/>
      <c r="V32" s="20">
        <f>IF(T$12=0,0,T32/T$12)</f>
        <v>0.41422648354495983</v>
      </c>
      <c r="W32" s="16"/>
      <c r="X32" s="21">
        <f>+P32-T32</f>
        <v>3842.5100000000011</v>
      </c>
      <c r="Y32" s="16"/>
      <c r="Z32" s="20">
        <f>IF(T32=0,0,X32/T32)</f>
        <v>1.2019111667187992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14</v>
      </c>
      <c r="C34" s="10"/>
      <c r="D34" s="4">
        <v>38.99</v>
      </c>
      <c r="E34" s="4"/>
      <c r="F34" s="12">
        <f>IF(D$12=0,0,D34/D$12)</f>
        <v>5.4531468531468535E-2</v>
      </c>
      <c r="G34" s="4"/>
      <c r="H34" s="4">
        <v>8</v>
      </c>
      <c r="I34" s="4"/>
      <c r="J34" s="12">
        <f>IF(H$12=0,0,H34/H$12)</f>
        <v>0.02</v>
      </c>
      <c r="K34" s="4"/>
      <c r="L34" s="4">
        <f>+D34-H34</f>
        <v>30.990000000000002</v>
      </c>
      <c r="M34" s="4"/>
      <c r="N34" s="12">
        <f>IF(H34=0,0,L34/H34)</f>
        <v>3.8737500000000002</v>
      </c>
      <c r="O34" s="10"/>
      <c r="P34" s="4">
        <v>1071.54</v>
      </c>
      <c r="Q34" s="4"/>
      <c r="R34" s="12">
        <f>IF(P$12=0,0,P34/P$12)</f>
        <v>0.10428613138686131</v>
      </c>
      <c r="S34" s="4"/>
      <c r="T34" s="4">
        <v>951</v>
      </c>
      <c r="U34" s="4"/>
      <c r="V34" s="12">
        <f>IF(T$12=0,0,T34/T$12)</f>
        <v>0.12321845037574501</v>
      </c>
      <c r="W34" s="4"/>
      <c r="X34" s="4">
        <f>+P34-T34</f>
        <v>120.53999999999996</v>
      </c>
      <c r="Y34" s="4"/>
      <c r="Z34" s="12">
        <f>IF(T34=0,0,X34/T34)</f>
        <v>0.12675078864353309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4</v>
      </c>
      <c r="C36" s="29"/>
      <c r="D36" s="34">
        <f>+D32-D34</f>
        <v>-459.61000000000007</v>
      </c>
      <c r="E36" s="14"/>
      <c r="F36" s="32">
        <f>IF(D$12=0,0,D36/D$12)</f>
        <v>-0.64281118881118893</v>
      </c>
      <c r="G36" s="14"/>
      <c r="H36" s="34">
        <f>+H32-H34</f>
        <v>158</v>
      </c>
      <c r="I36" s="14"/>
      <c r="J36" s="32">
        <f>IF(H$12=0,0,H36/H$12)</f>
        <v>0.39500000000000002</v>
      </c>
      <c r="K36" s="16"/>
      <c r="L36" s="34">
        <f>D36-H36</f>
        <v>-617.61000000000013</v>
      </c>
      <c r="M36" s="16"/>
      <c r="N36" s="32">
        <f>IF(H36=0,0,L36/H36)</f>
        <v>-3.9089240506329124</v>
      </c>
      <c r="O36" s="28"/>
      <c r="P36" s="34">
        <f>+P32-P34</f>
        <v>5967.9700000000012</v>
      </c>
      <c r="Q36" s="14"/>
      <c r="R36" s="32">
        <f>IF(P$12=0,0,P36/P$12)</f>
        <v>0.58082433090024344</v>
      </c>
      <c r="S36" s="14"/>
      <c r="T36" s="34">
        <f>+T32-T34</f>
        <v>2246</v>
      </c>
      <c r="U36" s="14"/>
      <c r="V36" s="32">
        <f>IF(T$12=0,0,T36/T$12)</f>
        <v>0.29100803316921481</v>
      </c>
      <c r="W36" s="16"/>
      <c r="X36" s="34">
        <f>P36-T36</f>
        <v>3721.9700000000012</v>
      </c>
      <c r="Y36" s="16"/>
      <c r="Z36" s="32">
        <f>IF(T36=0,0,X36/T36)</f>
        <v>1.6571549421193237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9" t="s">
        <v>5</v>
      </c>
      <c r="C39" s="29"/>
      <c r="D39" s="31">
        <f>SUM(D36:D38)</f>
        <v>-459.61000000000007</v>
      </c>
      <c r="E39" s="14"/>
      <c r="F39" s="30">
        <f>IF(D$12=0,0,D39/D$12)</f>
        <v>-0.64281118881118893</v>
      </c>
      <c r="G39" s="14"/>
      <c r="H39" s="31">
        <f>SUM(H36:H38)</f>
        <v>158</v>
      </c>
      <c r="I39" s="14"/>
      <c r="J39" s="30">
        <f>IF(H$12=0,0,H39/H$12)</f>
        <v>0.39500000000000002</v>
      </c>
      <c r="K39" s="16"/>
      <c r="L39" s="31">
        <f>+D39-H39</f>
        <v>-617.61000000000013</v>
      </c>
      <c r="M39" s="16"/>
      <c r="N39" s="30">
        <f>IF(H39=0,0,L39/H39)</f>
        <v>-3.9089240506329124</v>
      </c>
      <c r="O39" s="28"/>
      <c r="P39" s="31">
        <f>SUM(P36:P38)</f>
        <v>5967.9700000000012</v>
      </c>
      <c r="Q39" s="14"/>
      <c r="R39" s="30">
        <f>IF(P$12=0,0,P39/P$12)</f>
        <v>0.58082433090024344</v>
      </c>
      <c r="S39" s="14"/>
      <c r="T39" s="31">
        <f>SUM(T36:T38)</f>
        <v>2246</v>
      </c>
      <c r="U39" s="14"/>
      <c r="V39" s="30">
        <f>IF(T$12=0,0,T39/T$12)</f>
        <v>0.29100803316921481</v>
      </c>
      <c r="W39" s="16"/>
      <c r="X39" s="31">
        <f>+P39-T39</f>
        <v>3721.9700000000012</v>
      </c>
      <c r="Y39" s="16"/>
      <c r="Z39" s="30">
        <f>IF(T39=0,0,X39/T39)</f>
        <v>1.6571549421193237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63">
        <v>43879.546411921299</v>
      </c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57" t="s">
        <v>314</v>
      </c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A43" s="9"/>
      <c r="B43" s="60"/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5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310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1059277.6599999999</v>
      </c>
      <c r="E12" s="4"/>
      <c r="F12" s="12"/>
      <c r="G12" s="4"/>
      <c r="H12" s="4">
        <f>SUM(OSRRefH13x_0)</f>
        <v>1040703</v>
      </c>
      <c r="I12" s="4"/>
      <c r="J12" s="12"/>
      <c r="K12" s="4"/>
      <c r="L12" s="4">
        <f t="shared" ref="L12:L24" si="0">+D12-H12</f>
        <v>18574.659999999916</v>
      </c>
      <c r="M12" s="4"/>
      <c r="N12" s="12">
        <f t="shared" ref="N12:N24" si="1">IF(H12=0,0,L12/H12)</f>
        <v>1.7848185313196863E-2</v>
      </c>
      <c r="O12" s="10"/>
      <c r="P12" s="4">
        <f>SUM(OSRRefP13x_0)</f>
        <v>10244948.84</v>
      </c>
      <c r="Q12" s="4"/>
      <c r="R12" s="12"/>
      <c r="S12" s="4"/>
      <c r="T12" s="4">
        <f>SUM(OSRRefT13x_0)</f>
        <v>10747413</v>
      </c>
      <c r="U12" s="4"/>
      <c r="V12" s="12"/>
      <c r="W12" s="4"/>
      <c r="X12" s="4">
        <f t="shared" ref="X12:X24" si="2">+P12-T12</f>
        <v>-502464.16000000015</v>
      </c>
      <c r="Y12" s="4"/>
      <c r="Z12" s="12">
        <f t="shared" ref="Z12:Z24" si="3">IF(T12=0,0,X12/T12)</f>
        <v>-4.6752103040982991E-2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182600</v>
      </c>
      <c r="I13" s="2"/>
      <c r="J13" s="19"/>
      <c r="K13" s="2"/>
      <c r="L13" s="2">
        <f t="shared" si="0"/>
        <v>-182600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2016749.0000000002</v>
      </c>
      <c r="U13" s="2"/>
      <c r="V13" s="19"/>
      <c r="W13" s="2"/>
      <c r="X13" s="2">
        <f t="shared" si="2"/>
        <v>-2016749.0000000002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--34536.57</f>
        <v>34536.57</v>
      </c>
      <c r="E14" s="2"/>
      <c r="F14" s="19"/>
      <c r="G14" s="2"/>
      <c r="H14" s="2"/>
      <c r="I14" s="2"/>
      <c r="J14" s="19"/>
      <c r="K14" s="2"/>
      <c r="L14" s="2">
        <f t="shared" si="0"/>
        <v>34536.57</v>
      </c>
      <c r="M14" s="2"/>
      <c r="N14" s="19">
        <f t="shared" si="1"/>
        <v>0</v>
      </c>
      <c r="O14" s="11"/>
      <c r="P14" s="2">
        <f>--358262.16</f>
        <v>358262.16</v>
      </c>
      <c r="Q14" s="2"/>
      <c r="R14" s="19"/>
      <c r="S14" s="2"/>
      <c r="T14" s="2"/>
      <c r="U14" s="2"/>
      <c r="V14" s="19"/>
      <c r="W14" s="2"/>
      <c r="X14" s="2">
        <f t="shared" si="2"/>
        <v>358262.16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--120705.79</f>
        <v>120705.79</v>
      </c>
      <c r="E15" s="2"/>
      <c r="F15" s="19"/>
      <c r="G15" s="2"/>
      <c r="H15" s="2"/>
      <c r="I15" s="2"/>
      <c r="J15" s="19"/>
      <c r="K15" s="2"/>
      <c r="L15" s="2">
        <f t="shared" si="0"/>
        <v>120705.79</v>
      </c>
      <c r="M15" s="2"/>
      <c r="N15" s="19">
        <f t="shared" si="1"/>
        <v>0</v>
      </c>
      <c r="O15" s="11"/>
      <c r="P15" s="2">
        <f>--657002.44</f>
        <v>657002.43999999994</v>
      </c>
      <c r="Q15" s="2"/>
      <c r="R15" s="19"/>
      <c r="S15" s="2"/>
      <c r="T15" s="2"/>
      <c r="U15" s="2"/>
      <c r="V15" s="19"/>
      <c r="W15" s="2"/>
      <c r="X15" s="2">
        <f t="shared" si="2"/>
        <v>657002.43999999994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--9828.09</f>
        <v>9828.09</v>
      </c>
      <c r="E16" s="2"/>
      <c r="F16" s="19"/>
      <c r="G16" s="2"/>
      <c r="H16" s="2"/>
      <c r="I16" s="2"/>
      <c r="J16" s="19"/>
      <c r="K16" s="2"/>
      <c r="L16" s="2">
        <f t="shared" si="0"/>
        <v>9828.09</v>
      </c>
      <c r="M16" s="2"/>
      <c r="N16" s="19">
        <f t="shared" si="1"/>
        <v>0</v>
      </c>
      <c r="O16" s="11"/>
      <c r="P16" s="2">
        <f>--116598.92</f>
        <v>116598.92</v>
      </c>
      <c r="Q16" s="2"/>
      <c r="R16" s="19"/>
      <c r="S16" s="2"/>
      <c r="T16" s="2"/>
      <c r="U16" s="2"/>
      <c r="V16" s="19"/>
      <c r="W16" s="2"/>
      <c r="X16" s="2">
        <f t="shared" si="2"/>
        <v>116598.92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>--31360</f>
        <v>31360</v>
      </c>
      <c r="E17" s="2"/>
      <c r="F17" s="19"/>
      <c r="G17" s="2"/>
      <c r="H17" s="2"/>
      <c r="I17" s="2"/>
      <c r="J17" s="19"/>
      <c r="K17" s="2"/>
      <c r="L17" s="2">
        <f t="shared" si="0"/>
        <v>31360</v>
      </c>
      <c r="M17" s="2"/>
      <c r="N17" s="19">
        <f t="shared" si="1"/>
        <v>0</v>
      </c>
      <c r="O17" s="11"/>
      <c r="P17" s="2">
        <f>--304187.44</f>
        <v>304187.44</v>
      </c>
      <c r="Q17" s="2"/>
      <c r="R17" s="19"/>
      <c r="S17" s="2"/>
      <c r="T17" s="2"/>
      <c r="U17" s="2"/>
      <c r="V17" s="19"/>
      <c r="W17" s="2"/>
      <c r="X17" s="2">
        <f t="shared" si="2"/>
        <v>304187.44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--7736.89</f>
        <v>7736.89</v>
      </c>
      <c r="E18" s="2"/>
      <c r="F18" s="19"/>
      <c r="G18" s="2"/>
      <c r="H18" s="2"/>
      <c r="I18" s="2"/>
      <c r="J18" s="19"/>
      <c r="K18" s="2"/>
      <c r="L18" s="2">
        <f t="shared" si="0"/>
        <v>7736.89</v>
      </c>
      <c r="M18" s="2"/>
      <c r="N18" s="19">
        <f t="shared" si="1"/>
        <v>0</v>
      </c>
      <c r="O18" s="11"/>
      <c r="P18" s="2">
        <f>--95636.1</f>
        <v>95636.1</v>
      </c>
      <c r="Q18" s="2"/>
      <c r="R18" s="19"/>
      <c r="S18" s="2"/>
      <c r="T18" s="2"/>
      <c r="U18" s="2"/>
      <c r="V18" s="19"/>
      <c r="W18" s="2"/>
      <c r="X18" s="2">
        <f t="shared" si="2"/>
        <v>95636.1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858103</v>
      </c>
      <c r="I19" s="2"/>
      <c r="J19" s="19"/>
      <c r="K19" s="2"/>
      <c r="L19" s="2">
        <f t="shared" si="0"/>
        <v>-858103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8730664</v>
      </c>
      <c r="U19" s="2"/>
      <c r="V19" s="19"/>
      <c r="W19" s="2"/>
      <c r="X19" s="2">
        <f t="shared" si="2"/>
        <v>-8730664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--703446.55</f>
        <v>703446.55</v>
      </c>
      <c r="E20" s="2"/>
      <c r="F20" s="19"/>
      <c r="G20" s="2"/>
      <c r="H20" s="2"/>
      <c r="I20" s="2"/>
      <c r="J20" s="19"/>
      <c r="K20" s="2"/>
      <c r="L20" s="2">
        <f t="shared" si="0"/>
        <v>703446.55</v>
      </c>
      <c r="M20" s="2"/>
      <c r="N20" s="19">
        <f t="shared" si="1"/>
        <v>0</v>
      </c>
      <c r="O20" s="11"/>
      <c r="P20" s="2">
        <f>--7497136.38</f>
        <v>7497136.3799999999</v>
      </c>
      <c r="Q20" s="2"/>
      <c r="R20" s="19"/>
      <c r="S20" s="2"/>
      <c r="T20" s="2"/>
      <c r="U20" s="2"/>
      <c r="V20" s="19"/>
      <c r="W20" s="2"/>
      <c r="X20" s="2">
        <f t="shared" si="2"/>
        <v>7497136.3799999999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>--4794.1</f>
        <v>4794.1000000000004</v>
      </c>
      <c r="E21" s="2"/>
      <c r="F21" s="19"/>
      <c r="G21" s="2"/>
      <c r="H21" s="2"/>
      <c r="I21" s="2"/>
      <c r="J21" s="19"/>
      <c r="K21" s="2"/>
      <c r="L21" s="2">
        <f t="shared" si="0"/>
        <v>4794.1000000000004</v>
      </c>
      <c r="M21" s="2"/>
      <c r="N21" s="19">
        <f t="shared" si="1"/>
        <v>0</v>
      </c>
      <c r="O21" s="11"/>
      <c r="P21" s="2">
        <f>--39428.9</f>
        <v>39428.9</v>
      </c>
      <c r="Q21" s="2"/>
      <c r="R21" s="19"/>
      <c r="S21" s="2"/>
      <c r="T21" s="2"/>
      <c r="U21" s="2"/>
      <c r="V21" s="19"/>
      <c r="W21" s="2"/>
      <c r="X21" s="2">
        <f t="shared" si="2"/>
        <v>39428.9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>--43908.25</f>
        <v>43908.25</v>
      </c>
      <c r="E22" s="2"/>
      <c r="F22" s="19"/>
      <c r="G22" s="2"/>
      <c r="H22" s="2"/>
      <c r="I22" s="2"/>
      <c r="J22" s="19"/>
      <c r="K22" s="2"/>
      <c r="L22" s="2">
        <f t="shared" si="0"/>
        <v>43908.25</v>
      </c>
      <c r="M22" s="2"/>
      <c r="N22" s="19">
        <f t="shared" si="1"/>
        <v>0</v>
      </c>
      <c r="O22" s="11"/>
      <c r="P22" s="2">
        <f>--266664.79</f>
        <v>266664.78999999998</v>
      </c>
      <c r="Q22" s="2"/>
      <c r="R22" s="19"/>
      <c r="S22" s="2"/>
      <c r="T22" s="2"/>
      <c r="U22" s="2"/>
      <c r="V22" s="19"/>
      <c r="W22" s="2"/>
      <c r="X22" s="2">
        <f t="shared" si="2"/>
        <v>266664.78999999998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"4155", " - ", "NON-TAXABLE SALES-FOOD")</f>
        <v xml:space="preserve">          4155 - NON-TAXABLE SALES-FOOD</v>
      </c>
      <c r="C23" s="11"/>
      <c r="D23" s="2">
        <f>--58440.71</f>
        <v>58440.71</v>
      </c>
      <c r="E23" s="2"/>
      <c r="F23" s="19"/>
      <c r="G23" s="2"/>
      <c r="H23" s="2"/>
      <c r="I23" s="2"/>
      <c r="J23" s="19"/>
      <c r="K23" s="2"/>
      <c r="L23" s="2">
        <f t="shared" si="0"/>
        <v>58440.71</v>
      </c>
      <c r="M23" s="2"/>
      <c r="N23" s="19">
        <f t="shared" si="1"/>
        <v>0</v>
      </c>
      <c r="O23" s="11"/>
      <c r="P23" s="2">
        <f>--546895.06</f>
        <v>546895.06000000006</v>
      </c>
      <c r="Q23" s="2"/>
      <c r="R23" s="19"/>
      <c r="S23" s="2"/>
      <c r="T23" s="2"/>
      <c r="U23" s="2"/>
      <c r="V23" s="19"/>
      <c r="W23" s="2"/>
      <c r="X23" s="2">
        <f t="shared" si="2"/>
        <v>546895.06000000006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>--44520.71</f>
        <v>44520.71</v>
      </c>
      <c r="E24" s="2"/>
      <c r="F24" s="19"/>
      <c r="G24" s="2"/>
      <c r="H24" s="2"/>
      <c r="I24" s="2"/>
      <c r="J24" s="19"/>
      <c r="K24" s="2"/>
      <c r="L24" s="2">
        <f t="shared" si="0"/>
        <v>44520.71</v>
      </c>
      <c r="M24" s="2"/>
      <c r="N24" s="19">
        <f t="shared" si="1"/>
        <v>0</v>
      </c>
      <c r="O24" s="11"/>
      <c r="P24" s="2">
        <f>--363136.65</f>
        <v>363136.65</v>
      </c>
      <c r="Q24" s="2"/>
      <c r="R24" s="19"/>
      <c r="S24" s="2"/>
      <c r="T24" s="2"/>
      <c r="U24" s="2"/>
      <c r="V24" s="19"/>
      <c r="W24" s="2"/>
      <c r="X24" s="2">
        <f t="shared" si="2"/>
        <v>363136.65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8" t="s">
        <v>8</v>
      </c>
      <c r="C26" s="10"/>
      <c r="D26" s="4">
        <f>SUM(OSRRefD16x_0)</f>
        <v>314791.57</v>
      </c>
      <c r="E26" s="4"/>
      <c r="F26" s="12">
        <f t="shared" ref="F26:F29" si="4">IF(D$12=0,0,D26/D$12)</f>
        <v>0.29717569046061071</v>
      </c>
      <c r="G26" s="4"/>
      <c r="H26" s="4">
        <f>SUM(OSRRefH16x_0)</f>
        <v>294098.45999999996</v>
      </c>
      <c r="I26" s="4"/>
      <c r="J26" s="12">
        <f t="shared" ref="J26:J29" si="5">IF(H$12=0,0,H26/H$12)</f>
        <v>0.28259595677152843</v>
      </c>
      <c r="K26" s="4"/>
      <c r="L26" s="4">
        <f t="shared" ref="L26:L29" si="6">+D26-H26</f>
        <v>20693.110000000044</v>
      </c>
      <c r="M26" s="4"/>
      <c r="N26" s="12">
        <f t="shared" ref="N26:N29" si="7">IF(H26=0,0,L26/H26)</f>
        <v>7.0361164080900138E-2</v>
      </c>
      <c r="O26" s="10"/>
      <c r="P26" s="4">
        <f>SUM(OSRRefP16x_0)</f>
        <v>2794861.21</v>
      </c>
      <c r="Q26" s="4"/>
      <c r="R26" s="12">
        <f t="shared" ref="R26:R29" si="8">IF(P$12=0,0,P26/P$12)</f>
        <v>0.27280382300083794</v>
      </c>
      <c r="S26" s="4"/>
      <c r="T26" s="4">
        <f>SUM(OSRRefT16x_0)</f>
        <v>3036924.9499999997</v>
      </c>
      <c r="U26" s="4"/>
      <c r="V26" s="12">
        <f t="shared" ref="V26:V29" si="9">IF(T$12=0,0,T26/T$12)</f>
        <v>0.28257264794792941</v>
      </c>
      <c r="W26" s="4"/>
      <c r="X26" s="4">
        <f t="shared" ref="X26:X29" si="10">+P26-T26</f>
        <v>-242063.73999999976</v>
      </c>
      <c r="Y26" s="4"/>
      <c r="Z26" s="12">
        <f t="shared" ref="Z26:Z29" si="11">IF(T26=0,0,X26/T26)</f>
        <v>-7.9706856107853372E-2</v>
      </c>
    </row>
    <row r="27" spans="1:26" s="24" customFormat="1" hidden="1" outlineLevel="1" x14ac:dyDescent="0.25">
      <c r="A27" s="44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19">
        <f t="shared" si="4"/>
        <v>0</v>
      </c>
      <c r="G27" s="2"/>
      <c r="H27" s="2">
        <v>294098.45999999996</v>
      </c>
      <c r="I27" s="2"/>
      <c r="J27" s="19">
        <f t="shared" si="5"/>
        <v>0.28259595677152843</v>
      </c>
      <c r="K27" s="2"/>
      <c r="L27" s="2">
        <f t="shared" si="6"/>
        <v>-294098.45999999996</v>
      </c>
      <c r="M27" s="2"/>
      <c r="N27" s="19">
        <f t="shared" si="7"/>
        <v>-1</v>
      </c>
      <c r="O27" s="11"/>
      <c r="P27" s="2"/>
      <c r="Q27" s="2"/>
      <c r="R27" s="19">
        <f t="shared" si="8"/>
        <v>0</v>
      </c>
      <c r="S27" s="2"/>
      <c r="T27" s="2">
        <v>3036924.9499999997</v>
      </c>
      <c r="U27" s="2"/>
      <c r="V27" s="19">
        <f t="shared" si="9"/>
        <v>0.28257264794792941</v>
      </c>
      <c r="W27" s="2"/>
      <c r="X27" s="2">
        <f t="shared" si="10"/>
        <v>-3036924.9499999997</v>
      </c>
      <c r="Y27" s="2"/>
      <c r="Z27" s="19">
        <f t="shared" si="11"/>
        <v>-1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359241.99</v>
      </c>
      <c r="E28" s="2"/>
      <c r="F28" s="19">
        <f t="shared" si="4"/>
        <v>0.33913864472512334</v>
      </c>
      <c r="G28" s="2"/>
      <c r="H28" s="2"/>
      <c r="I28" s="2"/>
      <c r="J28" s="19">
        <f t="shared" si="5"/>
        <v>0</v>
      </c>
      <c r="K28" s="2"/>
      <c r="L28" s="2">
        <f t="shared" si="6"/>
        <v>359241.99</v>
      </c>
      <c r="M28" s="2"/>
      <c r="N28" s="19">
        <f t="shared" si="7"/>
        <v>0</v>
      </c>
      <c r="O28" s="11"/>
      <c r="P28" s="2">
        <v>2865842.46</v>
      </c>
      <c r="Q28" s="2"/>
      <c r="R28" s="19">
        <f t="shared" si="8"/>
        <v>0.27973223729636504</v>
      </c>
      <c r="S28" s="2"/>
      <c r="T28" s="2"/>
      <c r="U28" s="2"/>
      <c r="V28" s="19">
        <f t="shared" si="9"/>
        <v>0</v>
      </c>
      <c r="W28" s="2"/>
      <c r="X28" s="2">
        <f t="shared" si="10"/>
        <v>2865842.46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-44450.42</v>
      </c>
      <c r="E29" s="2"/>
      <c r="F29" s="19">
        <f t="shared" si="4"/>
        <v>-4.1962954264512672E-2</v>
      </c>
      <c r="G29" s="2"/>
      <c r="H29" s="2"/>
      <c r="I29" s="2"/>
      <c r="J29" s="19">
        <f t="shared" si="5"/>
        <v>0</v>
      </c>
      <c r="K29" s="2"/>
      <c r="L29" s="2">
        <f t="shared" si="6"/>
        <v>-44450.42</v>
      </c>
      <c r="M29" s="2"/>
      <c r="N29" s="19">
        <f t="shared" si="7"/>
        <v>0</v>
      </c>
      <c r="O29" s="11"/>
      <c r="P29" s="2">
        <v>-70981.25</v>
      </c>
      <c r="Q29" s="2"/>
      <c r="R29" s="19">
        <f t="shared" si="8"/>
        <v>-6.9284142955271218E-3</v>
      </c>
      <c r="S29" s="2"/>
      <c r="T29" s="2"/>
      <c r="U29" s="2"/>
      <c r="V29" s="19">
        <f t="shared" si="9"/>
        <v>0</v>
      </c>
      <c r="W29" s="2"/>
      <c r="X29" s="2">
        <f t="shared" si="10"/>
        <v>-70981.25</v>
      </c>
      <c r="Y29" s="2"/>
      <c r="Z29" s="19">
        <f t="shared" si="11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9" t="s">
        <v>6</v>
      </c>
      <c r="C31" s="29"/>
      <c r="D31" s="21">
        <f>D12-D26</f>
        <v>744486.08999999985</v>
      </c>
      <c r="E31" s="14"/>
      <c r="F31" s="20">
        <f>IF(D$12=0,0,D31/D$12)</f>
        <v>0.70282430953938924</v>
      </c>
      <c r="G31" s="14"/>
      <c r="H31" s="21">
        <f>H12-H26</f>
        <v>746604.54</v>
      </c>
      <c r="I31" s="14"/>
      <c r="J31" s="20">
        <f>IF(H$12=0,0,H31/H$12)</f>
        <v>0.71740404322847151</v>
      </c>
      <c r="K31" s="16"/>
      <c r="L31" s="21">
        <f>+D31-H31</f>
        <v>-2118.4500000001863</v>
      </c>
      <c r="M31" s="16"/>
      <c r="N31" s="20">
        <f>IF(H31=0,0,L31/H31)</f>
        <v>-2.8374459121293131E-3</v>
      </c>
      <c r="O31" s="28"/>
      <c r="P31" s="21">
        <f>P12-P26</f>
        <v>7450087.6299999999</v>
      </c>
      <c r="Q31" s="14"/>
      <c r="R31" s="20">
        <f>IF(P$12=0,0,P31/P$12)</f>
        <v>0.72719617699916206</v>
      </c>
      <c r="S31" s="14"/>
      <c r="T31" s="21">
        <f>T12-T26</f>
        <v>7710488.0500000007</v>
      </c>
      <c r="U31" s="14"/>
      <c r="V31" s="20">
        <f>IF(T$12=0,0,T31/T$12)</f>
        <v>0.71742735205207064</v>
      </c>
      <c r="W31" s="16"/>
      <c r="X31" s="21">
        <f>+P31-T31</f>
        <v>-260400.42000000086</v>
      </c>
      <c r="Y31" s="16"/>
      <c r="Z31" s="20">
        <f>IF(T31=0,0,X31/T31)</f>
        <v>-3.3772235727672364E-2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8" t="s">
        <v>9</v>
      </c>
      <c r="C33" s="10"/>
      <c r="D33" s="22">
        <f>SUM(OSRRefD22x_0)</f>
        <v>911522.66000000015</v>
      </c>
      <c r="E33" s="22"/>
      <c r="F33" s="35">
        <f t="shared" ref="F33:F44" si="12">IF(D$12=0,0,D33/D$12)</f>
        <v>0.86051343705294436</v>
      </c>
      <c r="G33" s="22"/>
      <c r="H33" s="22">
        <f>SUM(OSRRefH22x_0)</f>
        <v>871626.84580161585</v>
      </c>
      <c r="I33" s="22"/>
      <c r="J33" s="35">
        <f t="shared" ref="J33:J44" si="13">IF(H$12=0,0,H33/H$12)</f>
        <v>0.83753659382322898</v>
      </c>
      <c r="K33" s="4"/>
      <c r="L33" s="22">
        <f t="shared" ref="L33:L44" si="14">+D33-H33</f>
        <v>39895.814198384294</v>
      </c>
      <c r="M33" s="4"/>
      <c r="N33" s="35">
        <f t="shared" ref="N33:N44" si="15">IF(H33=0,0,L33/H33)</f>
        <v>4.577166753244389E-2</v>
      </c>
      <c r="O33" s="10"/>
      <c r="P33" s="22">
        <f>SUM(OSRRefP22x_0)</f>
        <v>6726180.4599999981</v>
      </c>
      <c r="Q33" s="22"/>
      <c r="R33" s="35">
        <f t="shared" ref="R33:R44" si="16">IF(P$12=0,0,P33/P$12)</f>
        <v>0.65653626631482509</v>
      </c>
      <c r="S33" s="22"/>
      <c r="T33" s="22">
        <f>SUM(OSRRefT22x_0)</f>
        <v>6541789.2482140092</v>
      </c>
      <c r="U33" s="22"/>
      <c r="V33" s="35">
        <f t="shared" ref="V33:V44" si="17">IF(T$12=0,0,T33/T$12)</f>
        <v>0.60868501547432941</v>
      </c>
      <c r="W33" s="4"/>
      <c r="X33" s="22">
        <f t="shared" ref="X33:X44" si="18">+P33-T33</f>
        <v>184391.21178598888</v>
      </c>
      <c r="Y33" s="4"/>
      <c r="Z33" s="35">
        <f t="shared" ref="Z33:Z44" si="19">IF(T33=0,0,X33/T33)</f>
        <v>2.8186663432535678E-2</v>
      </c>
    </row>
    <row r="34" spans="1:26" s="27" customFormat="1" outlineLevel="1" collapsed="1" x14ac:dyDescent="0.25">
      <c r="A34" s="26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163712.13</v>
      </c>
      <c r="E34" s="1"/>
      <c r="F34" s="5">
        <f t="shared" si="12"/>
        <v>0.15455072468912448</v>
      </c>
      <c r="G34" s="1"/>
      <c r="H34" s="1">
        <f>SUM(OSRRefH22_0x_0)</f>
        <v>153142.4376553082</v>
      </c>
      <c r="I34" s="1"/>
      <c r="J34" s="5">
        <f t="shared" si="13"/>
        <v>0.14715287421609066</v>
      </c>
      <c r="K34" s="1"/>
      <c r="L34" s="1">
        <f t="shared" si="14"/>
        <v>10569.692344691808</v>
      </c>
      <c r="M34" s="1"/>
      <c r="N34" s="5">
        <f t="shared" si="15"/>
        <v>6.9018702500230469E-2</v>
      </c>
      <c r="O34" s="13"/>
      <c r="P34" s="1">
        <f>SUM(OSRRefP22_0x_0)</f>
        <v>1140080.1399999999</v>
      </c>
      <c r="Q34" s="1"/>
      <c r="R34" s="5">
        <f t="shared" si="16"/>
        <v>0.11128217015088578</v>
      </c>
      <c r="S34" s="1"/>
      <c r="T34" s="1">
        <f>SUM(OSRRefT22_0x_0)</f>
        <v>1075848.7048277021</v>
      </c>
      <c r="U34" s="1"/>
      <c r="V34" s="5">
        <f t="shared" si="17"/>
        <v>0.10010303919908002</v>
      </c>
      <c r="W34" s="1"/>
      <c r="X34" s="1">
        <f t="shared" si="18"/>
        <v>64231.435172297759</v>
      </c>
      <c r="Y34" s="1"/>
      <c r="Z34" s="5">
        <f t="shared" si="19"/>
        <v>5.97030371315867E-2</v>
      </c>
    </row>
    <row r="35" spans="1:26" s="24" customFormat="1" hidden="1" outlineLevel="2" x14ac:dyDescent="0.25">
      <c r="A35" s="25"/>
      <c r="B35" s="11" t="str">
        <f>CONCATENATE("          ", "6111", " - ", "F.I.C.A.")</f>
        <v xml:space="preserve">          6111 - F.I.C.A.</v>
      </c>
      <c r="C35" s="11"/>
      <c r="D35" s="7">
        <v>20743.14</v>
      </c>
      <c r="E35" s="2"/>
      <c r="F35" s="6">
        <f t="shared" si="12"/>
        <v>1.9582344444043123E-2</v>
      </c>
      <c r="G35" s="2"/>
      <c r="H35" s="7">
        <v>22766.994953831309</v>
      </c>
      <c r="I35" s="2"/>
      <c r="J35" s="6">
        <f t="shared" si="13"/>
        <v>2.1876553592937956E-2</v>
      </c>
      <c r="K35" s="2"/>
      <c r="L35" s="7">
        <f t="shared" si="14"/>
        <v>-2023.8549538313091</v>
      </c>
      <c r="M35" s="2"/>
      <c r="N35" s="6">
        <f t="shared" si="15"/>
        <v>-8.8894250555922746E-2</v>
      </c>
      <c r="O35" s="11"/>
      <c r="P35" s="7">
        <v>186956.21</v>
      </c>
      <c r="Q35" s="2"/>
      <c r="R35" s="6">
        <f t="shared" si="16"/>
        <v>1.8248623094149097E-2</v>
      </c>
      <c r="S35" s="2"/>
      <c r="T35" s="7">
        <v>169681.69945842534</v>
      </c>
      <c r="U35" s="2"/>
      <c r="V35" s="6">
        <f t="shared" si="17"/>
        <v>1.5788143570776087E-2</v>
      </c>
      <c r="W35" s="2"/>
      <c r="X35" s="7">
        <f t="shared" si="18"/>
        <v>17274.510541574651</v>
      </c>
      <c r="Y35" s="2"/>
      <c r="Z35" s="6">
        <f t="shared" si="19"/>
        <v>0.10180538382577418</v>
      </c>
    </row>
    <row r="36" spans="1:26" s="24" customFormat="1" hidden="1" outlineLevel="2" x14ac:dyDescent="0.25">
      <c r="A36" s="25"/>
      <c r="B36" s="11" t="str">
        <f>CONCATENATE("          ", "6112", " - ", "COMPENSATION INSURANCE")</f>
        <v xml:space="preserve">          6112 - COMPENSATION INSURANCE</v>
      </c>
      <c r="C36" s="11"/>
      <c r="D36" s="7">
        <v>12928.81</v>
      </c>
      <c r="E36" s="2"/>
      <c r="F36" s="6">
        <f t="shared" si="12"/>
        <v>1.2205307907654731E-2</v>
      </c>
      <c r="G36" s="2"/>
      <c r="H36" s="7">
        <v>16606.138498069231</v>
      </c>
      <c r="I36" s="2"/>
      <c r="J36" s="6">
        <f t="shared" si="13"/>
        <v>1.5956654778615253E-2</v>
      </c>
      <c r="K36" s="2"/>
      <c r="L36" s="7">
        <f t="shared" si="14"/>
        <v>-3677.3284980692315</v>
      </c>
      <c r="M36" s="2"/>
      <c r="N36" s="6">
        <f t="shared" si="15"/>
        <v>-0.22144392559996948</v>
      </c>
      <c r="O36" s="11"/>
      <c r="P36" s="7">
        <v>99165.28</v>
      </c>
      <c r="Q36" s="2"/>
      <c r="R36" s="6">
        <f t="shared" si="16"/>
        <v>9.6794314494595361E-3</v>
      </c>
      <c r="S36" s="2"/>
      <c r="T36" s="7">
        <v>126947.55940586924</v>
      </c>
      <c r="U36" s="2"/>
      <c r="V36" s="6">
        <f t="shared" si="17"/>
        <v>1.1811917845333499E-2</v>
      </c>
      <c r="W36" s="2"/>
      <c r="X36" s="7">
        <f t="shared" si="18"/>
        <v>-27782.279405869238</v>
      </c>
      <c r="Y36" s="2"/>
      <c r="Z36" s="6">
        <f t="shared" si="19"/>
        <v>-0.2188484720454166</v>
      </c>
    </row>
    <row r="37" spans="1:26" s="24" customFormat="1" hidden="1" outlineLevel="2" x14ac:dyDescent="0.25">
      <c r="A37" s="25"/>
      <c r="B37" s="11" t="str">
        <f>CONCATENATE("          ", "6113", " - ", "GROUP INSURANCE")</f>
        <v xml:space="preserve">          6113 - GROUP INSURANCE</v>
      </c>
      <c r="C37" s="11"/>
      <c r="D37" s="7">
        <v>77055.58</v>
      </c>
      <c r="E37" s="2"/>
      <c r="F37" s="6">
        <f t="shared" si="12"/>
        <v>7.2743514670176285E-2</v>
      </c>
      <c r="G37" s="2"/>
      <c r="H37" s="7">
        <v>72363.494230769225</v>
      </c>
      <c r="I37" s="2"/>
      <c r="J37" s="6">
        <f t="shared" si="13"/>
        <v>6.9533281090540938E-2</v>
      </c>
      <c r="K37" s="2"/>
      <c r="L37" s="7">
        <f t="shared" si="14"/>
        <v>4692.0857692307764</v>
      </c>
      <c r="M37" s="2"/>
      <c r="N37" s="6">
        <f t="shared" si="15"/>
        <v>6.4840508589421933E-2</v>
      </c>
      <c r="O37" s="11"/>
      <c r="P37" s="7">
        <v>484005.18</v>
      </c>
      <c r="Q37" s="2"/>
      <c r="R37" s="6">
        <f t="shared" si="16"/>
        <v>4.724329887429677E-2</v>
      </c>
      <c r="S37" s="2"/>
      <c r="T37" s="7">
        <v>483512.44423076918</v>
      </c>
      <c r="U37" s="2"/>
      <c r="V37" s="6">
        <f t="shared" si="17"/>
        <v>4.4988728378705573E-2</v>
      </c>
      <c r="W37" s="2"/>
      <c r="X37" s="7">
        <f t="shared" si="18"/>
        <v>492.73576923081418</v>
      </c>
      <c r="Y37" s="2"/>
      <c r="Z37" s="6">
        <f t="shared" si="19"/>
        <v>1.0190756724260089E-3</v>
      </c>
    </row>
    <row r="38" spans="1:26" s="24" customFormat="1" hidden="1" outlineLevel="2" x14ac:dyDescent="0.25">
      <c r="A38" s="25"/>
      <c r="B38" s="11" t="str">
        <f>CONCATENATE("          ", "6114", " - ", "STATE UNEMPLOYMENT INSURANCE")</f>
        <v xml:space="preserve">          6114 - STATE UNEMPLOYMENT INSURANCE</v>
      </c>
      <c r="C38" s="11"/>
      <c r="D38" s="7">
        <v>909.65</v>
      </c>
      <c r="E38" s="2"/>
      <c r="F38" s="6">
        <f t="shared" si="12"/>
        <v>8.5874557195891399E-4</v>
      </c>
      <c r="G38" s="2"/>
      <c r="H38" s="7">
        <v>1166.2443940999999</v>
      </c>
      <c r="I38" s="2"/>
      <c r="J38" s="6">
        <f t="shared" si="13"/>
        <v>1.1206313367982989E-3</v>
      </c>
      <c r="K38" s="2"/>
      <c r="L38" s="7">
        <f t="shared" si="14"/>
        <v>-256.59439409999993</v>
      </c>
      <c r="M38" s="2"/>
      <c r="N38" s="6">
        <f t="shared" si="15"/>
        <v>-0.22001768702864022</v>
      </c>
      <c r="O38" s="11"/>
      <c r="P38" s="7">
        <v>8813.17</v>
      </c>
      <c r="Q38" s="2"/>
      <c r="R38" s="6">
        <f t="shared" si="16"/>
        <v>8.602453889852709E-4</v>
      </c>
      <c r="S38" s="2"/>
      <c r="T38" s="7">
        <v>8810.6922076999999</v>
      </c>
      <c r="U38" s="2"/>
      <c r="V38" s="6">
        <f t="shared" si="17"/>
        <v>8.1979656013033092E-4</v>
      </c>
      <c r="W38" s="2"/>
      <c r="X38" s="7">
        <f t="shared" si="18"/>
        <v>2.4777923000001465</v>
      </c>
      <c r="Y38" s="2"/>
      <c r="Z38" s="6">
        <f t="shared" si="19"/>
        <v>2.8122561106319312E-4</v>
      </c>
    </row>
    <row r="39" spans="1:26" s="24" customFormat="1" hidden="1" outlineLevel="2" x14ac:dyDescent="0.25">
      <c r="A39" s="25"/>
      <c r="B39" s="11" t="str">
        <f>CONCATENATE("          ", "6115", " - ", "P.E.R.S.")</f>
        <v xml:space="preserve">          6115 - P.E.R.S.</v>
      </c>
      <c r="C39" s="11"/>
      <c r="D39" s="7">
        <v>16322.64</v>
      </c>
      <c r="E39" s="2"/>
      <c r="F39" s="6">
        <f t="shared" si="12"/>
        <v>1.540921763610119E-2</v>
      </c>
      <c r="G39" s="2"/>
      <c r="H39" s="7">
        <v>13040.824758538467</v>
      </c>
      <c r="I39" s="2"/>
      <c r="J39" s="6">
        <f t="shared" si="13"/>
        <v>1.2530784247319808E-2</v>
      </c>
      <c r="K39" s="2"/>
      <c r="L39" s="7">
        <f t="shared" si="14"/>
        <v>3281.8152414615324</v>
      </c>
      <c r="M39" s="2"/>
      <c r="N39" s="6">
        <f t="shared" si="15"/>
        <v>0.25165703107180909</v>
      </c>
      <c r="O39" s="11"/>
      <c r="P39" s="7">
        <v>84538.06</v>
      </c>
      <c r="Q39" s="2"/>
      <c r="R39" s="6">
        <f t="shared" si="16"/>
        <v>8.251682006447188E-3</v>
      </c>
      <c r="S39" s="2"/>
      <c r="T39" s="7">
        <v>80853.113502938519</v>
      </c>
      <c r="U39" s="2"/>
      <c r="V39" s="6">
        <f t="shared" si="17"/>
        <v>7.523030286724677E-3</v>
      </c>
      <c r="W39" s="2"/>
      <c r="X39" s="7">
        <f t="shared" si="18"/>
        <v>3684.946497061479</v>
      </c>
      <c r="Y39" s="2"/>
      <c r="Z39" s="6">
        <f t="shared" si="19"/>
        <v>4.5575814429552594E-2</v>
      </c>
    </row>
    <row r="40" spans="1:26" s="24" customFormat="1" hidden="1" outlineLevel="2" x14ac:dyDescent="0.25">
      <c r="A40" s="25"/>
      <c r="B40" s="11" t="str">
        <f>CONCATENATE("          ", "6116", " - ", "EDUCATIONAL BENEFITS")</f>
        <v xml:space="preserve">          6116 - EDUCATIONAL BENEFITS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16000</v>
      </c>
      <c r="U40" s="2"/>
      <c r="V40" s="6">
        <f t="shared" si="17"/>
        <v>1.4887303577149217E-3</v>
      </c>
      <c r="W40" s="2"/>
      <c r="X40" s="7">
        <f t="shared" si="18"/>
        <v>-16000</v>
      </c>
      <c r="Y40" s="2"/>
      <c r="Z40" s="6">
        <f t="shared" si="19"/>
        <v>-1</v>
      </c>
    </row>
    <row r="41" spans="1:26" s="24" customFormat="1" hidden="1" outlineLevel="2" x14ac:dyDescent="0.25">
      <c r="A41" s="25"/>
      <c r="B41" s="11" t="str">
        <f>CONCATENATE("          ", "6117", " - ", "RETIREMENT STAFF HOURLY")</f>
        <v xml:space="preserve">          6117 - RETIREMENT STAFF HOURLY</v>
      </c>
      <c r="C41" s="11"/>
      <c r="D41" s="7">
        <v>2458.2800000000002</v>
      </c>
      <c r="E41" s="2"/>
      <c r="F41" s="6">
        <f t="shared" si="12"/>
        <v>2.3207135322763253E-3</v>
      </c>
      <c r="G41" s="2"/>
      <c r="H41" s="7"/>
      <c r="I41" s="2"/>
      <c r="J41" s="6">
        <f t="shared" si="13"/>
        <v>0</v>
      </c>
      <c r="K41" s="2"/>
      <c r="L41" s="7">
        <f t="shared" si="14"/>
        <v>2458.2800000000002</v>
      </c>
      <c r="M41" s="2"/>
      <c r="N41" s="6">
        <f t="shared" si="15"/>
        <v>0</v>
      </c>
      <c r="O41" s="11"/>
      <c r="P41" s="7">
        <v>13290.29</v>
      </c>
      <c r="Q41" s="2"/>
      <c r="R41" s="6">
        <f t="shared" si="16"/>
        <v>1.2972529397228304E-3</v>
      </c>
      <c r="S41" s="2"/>
      <c r="T41" s="7"/>
      <c r="U41" s="2"/>
      <c r="V41" s="6">
        <f t="shared" si="17"/>
        <v>0</v>
      </c>
      <c r="W41" s="2"/>
      <c r="X41" s="7">
        <f t="shared" si="18"/>
        <v>13290.29</v>
      </c>
      <c r="Y41" s="2"/>
      <c r="Z41" s="6">
        <f t="shared" si="19"/>
        <v>0</v>
      </c>
    </row>
    <row r="42" spans="1:26" s="24" customFormat="1" hidden="1" outlineLevel="2" x14ac:dyDescent="0.25">
      <c r="A42" s="25"/>
      <c r="B42" s="11" t="str">
        <f>CONCATENATE("          ", "6118", " - ", "VACATION")</f>
        <v xml:space="preserve">          6118 - VACATION</v>
      </c>
      <c r="C42" s="11"/>
      <c r="D42" s="7">
        <v>14434.08</v>
      </c>
      <c r="E42" s="2"/>
      <c r="F42" s="6">
        <f t="shared" si="12"/>
        <v>1.362634231330811E-2</v>
      </c>
      <c r="G42" s="2"/>
      <c r="H42" s="7">
        <v>10857.594138076915</v>
      </c>
      <c r="I42" s="2"/>
      <c r="J42" s="6">
        <f t="shared" si="13"/>
        <v>1.0432942095945639E-2</v>
      </c>
      <c r="K42" s="2"/>
      <c r="L42" s="7">
        <f t="shared" si="14"/>
        <v>3576.4858619230854</v>
      </c>
      <c r="M42" s="2"/>
      <c r="N42" s="6">
        <f t="shared" si="15"/>
        <v>0.32939947988851137</v>
      </c>
      <c r="O42" s="11"/>
      <c r="P42" s="7">
        <v>113161.73000000001</v>
      </c>
      <c r="Q42" s="2"/>
      <c r="R42" s="6">
        <f t="shared" si="16"/>
        <v>1.1045612014983964E-2</v>
      </c>
      <c r="S42" s="2"/>
      <c r="T42" s="7">
        <v>68069.051080076897</v>
      </c>
      <c r="U42" s="2"/>
      <c r="V42" s="6">
        <f t="shared" si="17"/>
        <v>6.3335289227348848E-3</v>
      </c>
      <c r="W42" s="2"/>
      <c r="X42" s="7">
        <f t="shared" si="18"/>
        <v>45092.678919923113</v>
      </c>
      <c r="Y42" s="2"/>
      <c r="Z42" s="6">
        <f t="shared" si="19"/>
        <v>0.66245493663303423</v>
      </c>
    </row>
    <row r="43" spans="1:26" s="24" customFormat="1" hidden="1" outlineLevel="2" x14ac:dyDescent="0.25">
      <c r="A43" s="25"/>
      <c r="B43" s="11" t="str">
        <f>CONCATENATE("          ", "6119", " - ", "SICK LEAVE")</f>
        <v xml:space="preserve">          6119 - SICK LEAVE</v>
      </c>
      <c r="C43" s="11"/>
      <c r="D43" s="7">
        <v>10352.26</v>
      </c>
      <c r="E43" s="2"/>
      <c r="F43" s="6">
        <f t="shared" si="12"/>
        <v>9.7729428184108041E-3</v>
      </c>
      <c r="G43" s="2"/>
      <c r="H43" s="7">
        <v>13116.146681923074</v>
      </c>
      <c r="I43" s="2"/>
      <c r="J43" s="6">
        <f t="shared" si="13"/>
        <v>1.2603160250256868E-2</v>
      </c>
      <c r="K43" s="2"/>
      <c r="L43" s="7">
        <f t="shared" si="14"/>
        <v>-2763.8866819230734</v>
      </c>
      <c r="M43" s="2"/>
      <c r="N43" s="6">
        <f t="shared" si="15"/>
        <v>-0.21072398387647764</v>
      </c>
      <c r="O43" s="11"/>
      <c r="P43" s="7">
        <v>104442.58</v>
      </c>
      <c r="Q43" s="2"/>
      <c r="R43" s="6">
        <f t="shared" si="16"/>
        <v>1.0194543831416537E-2</v>
      </c>
      <c r="S43" s="2"/>
      <c r="T43" s="7">
        <v>99399.144941923063</v>
      </c>
      <c r="U43" s="2"/>
      <c r="V43" s="6">
        <f t="shared" si="17"/>
        <v>9.2486577878716537E-3</v>
      </c>
      <c r="W43" s="2"/>
      <c r="X43" s="7">
        <f t="shared" si="18"/>
        <v>5043.4350580769387</v>
      </c>
      <c r="Y43" s="2"/>
      <c r="Z43" s="6">
        <f t="shared" si="19"/>
        <v>5.0739219749060392E-2</v>
      </c>
    </row>
    <row r="44" spans="1:26" s="24" customFormat="1" hidden="1" outlineLevel="2" x14ac:dyDescent="0.25">
      <c r="A44" s="25"/>
      <c r="B44" s="11" t="str">
        <f>CONCATENATE("          ", "6156", " - ", "EMPLOYEE MEALS")</f>
        <v xml:space="preserve">          6156 - EMPLOYEE MEALS</v>
      </c>
      <c r="C44" s="11"/>
      <c r="D44" s="7">
        <v>8507.69</v>
      </c>
      <c r="E44" s="2"/>
      <c r="F44" s="6">
        <f t="shared" si="12"/>
        <v>8.0315957951950026E-3</v>
      </c>
      <c r="G44" s="2"/>
      <c r="H44" s="7">
        <v>3225</v>
      </c>
      <c r="I44" s="2"/>
      <c r="J44" s="6">
        <f t="shared" si="13"/>
        <v>3.0988668236759192E-3</v>
      </c>
      <c r="K44" s="2"/>
      <c r="L44" s="7">
        <f t="shared" si="14"/>
        <v>5282.6900000000005</v>
      </c>
      <c r="M44" s="2"/>
      <c r="N44" s="6">
        <f t="shared" si="15"/>
        <v>1.6380434108527133</v>
      </c>
      <c r="O44" s="11"/>
      <c r="P44" s="7">
        <v>45707.64</v>
      </c>
      <c r="Q44" s="2"/>
      <c r="R44" s="6">
        <f t="shared" si="16"/>
        <v>4.4614805514245981E-3</v>
      </c>
      <c r="S44" s="2"/>
      <c r="T44" s="7">
        <v>22575</v>
      </c>
      <c r="U44" s="2"/>
      <c r="V44" s="6">
        <f t="shared" si="17"/>
        <v>2.1005054890883973E-3</v>
      </c>
      <c r="W44" s="2"/>
      <c r="X44" s="7">
        <f t="shared" si="18"/>
        <v>23132.639999999999</v>
      </c>
      <c r="Y44" s="2"/>
      <c r="Z44" s="6">
        <f t="shared" si="19"/>
        <v>1.0247016611295681</v>
      </c>
    </row>
    <row r="45" spans="1:26" s="27" customFormat="1" outlineLevel="1" collapsed="1" x14ac:dyDescent="0.25">
      <c r="A45" s="26"/>
      <c r="B45" s="13" t="str">
        <f>CONCATENATE("     ","*Payroll                                          ")</f>
        <v xml:space="preserve">     *Payroll                                          </v>
      </c>
      <c r="C45" s="13"/>
      <c r="D45" s="1">
        <f>SUM(OSRRefD22_1x_0)</f>
        <v>449160.99</v>
      </c>
      <c r="E45" s="1"/>
      <c r="F45" s="5">
        <f t="shared" ref="F45:F55" si="20">IF(D$12=0,0,D45/D$12)</f>
        <v>0.42402573655711762</v>
      </c>
      <c r="G45" s="1"/>
      <c r="H45" s="1">
        <f>SUM(OSRRefH22_1x_0)</f>
        <v>423440.40814630763</v>
      </c>
      <c r="I45" s="1"/>
      <c r="J45" s="5">
        <f t="shared" ref="J45:J55" si="21">IF(H$12=0,0,H45/H$12)</f>
        <v>0.40687920390957616</v>
      </c>
      <c r="K45" s="1"/>
      <c r="L45" s="1">
        <f t="shared" ref="L45:L55" si="22">+D45-H45</f>
        <v>25720.581853692362</v>
      </c>
      <c r="M45" s="1"/>
      <c r="N45" s="5">
        <f t="shared" ref="N45:N55" si="23">IF(H45=0,0,L45/H45)</f>
        <v>6.0741916356752981E-2</v>
      </c>
      <c r="O45" s="13"/>
      <c r="P45" s="1">
        <f>SUM(OSRRefP22_1x_0)</f>
        <v>3262893.81</v>
      </c>
      <c r="Q45" s="1"/>
      <c r="R45" s="5">
        <f t="shared" ref="R45:R55" si="24">IF(P$12=0,0,P45/P$12)</f>
        <v>0.31848805308431388</v>
      </c>
      <c r="S45" s="1"/>
      <c r="T45" s="1">
        <f>SUM(OSRRefT22_1x_0)</f>
        <v>3210349.0433863075</v>
      </c>
      <c r="U45" s="1"/>
      <c r="V45" s="5">
        <f t="shared" ref="V45:V55" si="25">IF(T$12=0,0,T45/T$12)</f>
        <v>0.2987090049843909</v>
      </c>
      <c r="W45" s="1"/>
      <c r="X45" s="1">
        <f t="shared" ref="X45:X55" si="26">+P45-T45</f>
        <v>52544.766613692511</v>
      </c>
      <c r="Y45" s="1"/>
      <c r="Z45" s="5">
        <f t="shared" ref="Z45:Z55" si="27">IF(T45=0,0,X45/T45)</f>
        <v>1.6367306452842206E-2</v>
      </c>
    </row>
    <row r="46" spans="1:26" s="24" customFormat="1" hidden="1" outlineLevel="2" x14ac:dyDescent="0.25">
      <c r="A46" s="25"/>
      <c r="B46" s="11" t="str">
        <f>CONCATENATE("          ", "6001", " - ", "ADMINISTRATIVE SALARIES")</f>
        <v xml:space="preserve">          6001 - ADMINISTRATIVE SALARIES</v>
      </c>
      <c r="C46" s="11"/>
      <c r="D46" s="7">
        <v>29316.37</v>
      </c>
      <c r="E46" s="2"/>
      <c r="F46" s="6">
        <f t="shared" si="20"/>
        <v>2.7675812591006592E-2</v>
      </c>
      <c r="G46" s="2"/>
      <c r="H46" s="7">
        <v>25266.276346153853</v>
      </c>
      <c r="I46" s="2"/>
      <c r="J46" s="6">
        <f t="shared" si="21"/>
        <v>2.4278085434705051E-2</v>
      </c>
      <c r="K46" s="2"/>
      <c r="L46" s="7">
        <f t="shared" si="22"/>
        <v>4050.0936538461465</v>
      </c>
      <c r="M46" s="2"/>
      <c r="N46" s="6">
        <f t="shared" si="23"/>
        <v>0.16029642034935909</v>
      </c>
      <c r="O46" s="11"/>
      <c r="P46" s="7">
        <v>179163.02</v>
      </c>
      <c r="Q46" s="2"/>
      <c r="R46" s="6">
        <f t="shared" si="24"/>
        <v>1.7487937011503904E-2</v>
      </c>
      <c r="S46" s="2"/>
      <c r="T46" s="7">
        <v>156650.91334615383</v>
      </c>
      <c r="U46" s="2"/>
      <c r="V46" s="6">
        <f t="shared" si="25"/>
        <v>1.4575685641386799E-2</v>
      </c>
      <c r="W46" s="2"/>
      <c r="X46" s="7">
        <f t="shared" si="26"/>
        <v>22512.10665384616</v>
      </c>
      <c r="Y46" s="2"/>
      <c r="Z46" s="6">
        <f t="shared" si="27"/>
        <v>0.14370874815201892</v>
      </c>
    </row>
    <row r="47" spans="1:26" s="24" customFormat="1" hidden="1" outlineLevel="2" x14ac:dyDescent="0.25">
      <c r="A47" s="25"/>
      <c r="B47" s="11" t="str">
        <f>CONCATENATE("          ", "6002", " - ", "STAFF SALARIES")</f>
        <v xml:space="preserve">          6002 - STAFF SALARIES</v>
      </c>
      <c r="C47" s="11"/>
      <c r="D47" s="7">
        <v>122853.01999999999</v>
      </c>
      <c r="E47" s="2"/>
      <c r="F47" s="6">
        <f t="shared" si="20"/>
        <v>0.11597810908237223</v>
      </c>
      <c r="G47" s="2"/>
      <c r="H47" s="7">
        <v>113808.42577615376</v>
      </c>
      <c r="I47" s="2"/>
      <c r="J47" s="6">
        <f t="shared" si="21"/>
        <v>0.10935725733100968</v>
      </c>
      <c r="K47" s="2"/>
      <c r="L47" s="7">
        <f t="shared" si="22"/>
        <v>9044.5942238462303</v>
      </c>
      <c r="M47" s="2"/>
      <c r="N47" s="6">
        <f t="shared" si="23"/>
        <v>7.9472096746472543E-2</v>
      </c>
      <c r="O47" s="11"/>
      <c r="P47" s="7">
        <v>719259</v>
      </c>
      <c r="Q47" s="2"/>
      <c r="R47" s="6">
        <f t="shared" si="24"/>
        <v>7.020620710098148E-2</v>
      </c>
      <c r="S47" s="2"/>
      <c r="T47" s="7">
        <v>705612.23981215362</v>
      </c>
      <c r="U47" s="2"/>
      <c r="V47" s="6">
        <f t="shared" si="25"/>
        <v>6.5654147636473412E-2</v>
      </c>
      <c r="W47" s="2"/>
      <c r="X47" s="7">
        <f t="shared" si="26"/>
        <v>13646.760187846376</v>
      </c>
      <c r="Y47" s="2"/>
      <c r="Z47" s="6">
        <f t="shared" si="27"/>
        <v>1.9340311034682992E-2</v>
      </c>
    </row>
    <row r="48" spans="1:26" s="24" customFormat="1" hidden="1" outlineLevel="2" x14ac:dyDescent="0.25">
      <c r="A48" s="25"/>
      <c r="B48" s="11" t="str">
        <f>CONCATENATE("          ", "6003", " - ", "STAFF HOURLY-9 MONTH")</f>
        <v xml:space="preserve">          6003 - STAFF HOURLY-9 MONTH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25">
      <c r="A49" s="25"/>
      <c r="B49" s="11" t="str">
        <f>CONCATENATE("          ", "6004", " - ", "STAFF HOURLY")</f>
        <v xml:space="preserve">          6004 - STAFF HOURLY</v>
      </c>
      <c r="C49" s="11"/>
      <c r="D49" s="7">
        <v>72554.41</v>
      </c>
      <c r="E49" s="2"/>
      <c r="F49" s="6">
        <f t="shared" si="20"/>
        <v>6.8494232192152532E-2</v>
      </c>
      <c r="G49" s="2"/>
      <c r="H49" s="7">
        <v>120969.50924000001</v>
      </c>
      <c r="I49" s="2"/>
      <c r="J49" s="6">
        <f t="shared" si="21"/>
        <v>0.11623826321246312</v>
      </c>
      <c r="K49" s="2"/>
      <c r="L49" s="7">
        <f t="shared" si="22"/>
        <v>-48415.09924000001</v>
      </c>
      <c r="M49" s="2"/>
      <c r="N49" s="6">
        <f t="shared" si="23"/>
        <v>-0.40022563986719867</v>
      </c>
      <c r="O49" s="11"/>
      <c r="P49" s="7">
        <v>557919.66</v>
      </c>
      <c r="Q49" s="2"/>
      <c r="R49" s="6">
        <f t="shared" si="24"/>
        <v>5.4458023042699748E-2</v>
      </c>
      <c r="S49" s="2"/>
      <c r="T49" s="7">
        <v>901985.95692999999</v>
      </c>
      <c r="U49" s="2"/>
      <c r="V49" s="6">
        <f t="shared" si="25"/>
        <v>8.3925867269639673E-2</v>
      </c>
      <c r="W49" s="2"/>
      <c r="X49" s="7">
        <f t="shared" si="26"/>
        <v>-344066.29692999995</v>
      </c>
      <c r="Y49" s="2"/>
      <c r="Z49" s="6">
        <f t="shared" si="27"/>
        <v>-0.38145416154932638</v>
      </c>
    </row>
    <row r="50" spans="1:26" s="24" customFormat="1" hidden="1" outlineLevel="2" x14ac:dyDescent="0.25">
      <c r="A50" s="25"/>
      <c r="B50" s="11" t="str">
        <f>CONCATENATE("          ", "6005", " - ", "TEMPORARY WAGES-HOURLY")</f>
        <v xml:space="preserve">          6005 - TEMPORARY WAGES-HOURLY</v>
      </c>
      <c r="C50" s="11"/>
      <c r="D50" s="7">
        <v>47246.8</v>
      </c>
      <c r="E50" s="2"/>
      <c r="F50" s="6">
        <f t="shared" si="20"/>
        <v>4.460284756689762E-2</v>
      </c>
      <c r="G50" s="2"/>
      <c r="H50" s="7">
        <v>42325.522683999996</v>
      </c>
      <c r="I50" s="2"/>
      <c r="J50" s="6">
        <f t="shared" si="21"/>
        <v>4.067012652408996E-2</v>
      </c>
      <c r="K50" s="2"/>
      <c r="L50" s="7">
        <f t="shared" si="22"/>
        <v>4921.277316000007</v>
      </c>
      <c r="M50" s="2"/>
      <c r="N50" s="6">
        <f t="shared" si="23"/>
        <v>0.11627209787205678</v>
      </c>
      <c r="O50" s="11"/>
      <c r="P50" s="7">
        <v>598295.11</v>
      </c>
      <c r="Q50" s="2"/>
      <c r="R50" s="6">
        <f t="shared" si="24"/>
        <v>5.8399033449931803E-2</v>
      </c>
      <c r="S50" s="2"/>
      <c r="T50" s="7">
        <v>356874.45669799997</v>
      </c>
      <c r="U50" s="2"/>
      <c r="V50" s="6">
        <f t="shared" si="25"/>
        <v>3.3205614848708237E-2</v>
      </c>
      <c r="W50" s="2"/>
      <c r="X50" s="7">
        <f t="shared" si="26"/>
        <v>241420.65330200002</v>
      </c>
      <c r="Y50" s="2"/>
      <c r="Z50" s="6">
        <f t="shared" si="27"/>
        <v>0.6764862230145513</v>
      </c>
    </row>
    <row r="51" spans="1:26" s="24" customFormat="1" hidden="1" outlineLevel="2" x14ac:dyDescent="0.25">
      <c r="A51" s="25"/>
      <c r="B51" s="11" t="str">
        <f>CONCATENATE("          ", "6006", " - ", "TEMPORARY PART TIME")</f>
        <v xml:space="preserve">          6006 - TEMPORARY PART TIME</v>
      </c>
      <c r="C51" s="11"/>
      <c r="D51" s="7">
        <v>393.25</v>
      </c>
      <c r="E51" s="2"/>
      <c r="F51" s="6">
        <f t="shared" si="20"/>
        <v>3.7124355100625841E-4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393.25</v>
      </c>
      <c r="M51" s="2"/>
      <c r="N51" s="6">
        <f t="shared" si="23"/>
        <v>0</v>
      </c>
      <c r="O51" s="11"/>
      <c r="P51" s="7">
        <v>40581.5</v>
      </c>
      <c r="Q51" s="2"/>
      <c r="R51" s="6">
        <f t="shared" si="24"/>
        <v>3.961122757544195E-3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40581.5</v>
      </c>
      <c r="Y51" s="2"/>
      <c r="Z51" s="6">
        <f t="shared" si="27"/>
        <v>0</v>
      </c>
    </row>
    <row r="52" spans="1:26" s="24" customFormat="1" hidden="1" outlineLevel="2" x14ac:dyDescent="0.25">
      <c r="A52" s="25"/>
      <c r="B52" s="11" t="str">
        <f>CONCATENATE("          ", "6007", " - ", "STUDENT HOURLY")</f>
        <v xml:space="preserve">          6007 - STUDENT HOURLY</v>
      </c>
      <c r="C52" s="11"/>
      <c r="D52" s="7">
        <v>171242.89</v>
      </c>
      <c r="E52" s="2"/>
      <c r="F52" s="6">
        <f t="shared" si="20"/>
        <v>0.16166005993178412</v>
      </c>
      <c r="G52" s="2"/>
      <c r="H52" s="7">
        <v>19410.637500000001</v>
      </c>
      <c r="I52" s="2"/>
      <c r="J52" s="6">
        <f t="shared" si="21"/>
        <v>1.8651466845007653E-2</v>
      </c>
      <c r="K52" s="2"/>
      <c r="L52" s="7">
        <f t="shared" si="22"/>
        <v>151832.2525</v>
      </c>
      <c r="M52" s="2"/>
      <c r="N52" s="6">
        <f t="shared" si="23"/>
        <v>7.8221157084614044</v>
      </c>
      <c r="O52" s="11"/>
      <c r="P52" s="7">
        <v>1025427.1000000001</v>
      </c>
      <c r="Q52" s="2"/>
      <c r="R52" s="6">
        <f t="shared" si="24"/>
        <v>0.10009099274330785</v>
      </c>
      <c r="S52" s="2"/>
      <c r="T52" s="7">
        <v>326843.93000000005</v>
      </c>
      <c r="U52" s="2"/>
      <c r="V52" s="6">
        <f t="shared" si="25"/>
        <v>3.0411405051615683E-2</v>
      </c>
      <c r="W52" s="2"/>
      <c r="X52" s="7">
        <f t="shared" si="26"/>
        <v>698583.17</v>
      </c>
      <c r="Y52" s="2"/>
      <c r="Z52" s="6">
        <f t="shared" si="27"/>
        <v>2.1373600849800085</v>
      </c>
    </row>
    <row r="53" spans="1:26" s="24" customFormat="1" hidden="1" outlineLevel="2" x14ac:dyDescent="0.25">
      <c r="A53" s="25"/>
      <c r="B53" s="11" t="str">
        <f>CONCATENATE("          ", "6008", " - ", "STUDENT HOURLY-FICA EXEMPT")</f>
        <v xml:space="preserve">          6008 - STUDENT HOURLY-FICA EXEMPT</v>
      </c>
      <c r="C53" s="11"/>
      <c r="D53" s="7">
        <v>5554.25</v>
      </c>
      <c r="E53" s="2"/>
      <c r="F53" s="6">
        <f t="shared" si="20"/>
        <v>5.2434316418983103E-3</v>
      </c>
      <c r="G53" s="2"/>
      <c r="H53" s="7">
        <v>101660.03659999999</v>
      </c>
      <c r="I53" s="2"/>
      <c r="J53" s="6">
        <f t="shared" si="21"/>
        <v>9.7684004562300669E-2</v>
      </c>
      <c r="K53" s="2"/>
      <c r="L53" s="7">
        <f t="shared" si="22"/>
        <v>-96105.786599999992</v>
      </c>
      <c r="M53" s="2"/>
      <c r="N53" s="6">
        <f t="shared" si="23"/>
        <v>-0.94536446979795796</v>
      </c>
      <c r="O53" s="11"/>
      <c r="P53" s="7">
        <v>142248.42000000001</v>
      </c>
      <c r="Q53" s="2"/>
      <c r="R53" s="6">
        <f t="shared" si="24"/>
        <v>1.3884736978344931E-2</v>
      </c>
      <c r="S53" s="2"/>
      <c r="T53" s="7">
        <v>762381.5466</v>
      </c>
      <c r="U53" s="2"/>
      <c r="V53" s="6">
        <f t="shared" si="25"/>
        <v>7.0936284536567085E-2</v>
      </c>
      <c r="W53" s="2"/>
      <c r="X53" s="7">
        <f t="shared" si="26"/>
        <v>-620133.12659999996</v>
      </c>
      <c r="Y53" s="2"/>
      <c r="Z53" s="6">
        <f t="shared" si="27"/>
        <v>-0.8134157094510136</v>
      </c>
    </row>
    <row r="54" spans="1:26" s="24" customFormat="1" hidden="1" outlineLevel="2" x14ac:dyDescent="0.25">
      <c r="A54" s="25"/>
      <c r="B54" s="11" t="str">
        <f>CONCATENATE("          ", "6009", " - ", "TEMPORARY-SEASONAL")</f>
        <v xml:space="preserve">          6009 - TEMPORARY-SEASONAL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25">
      <c r="A55" s="25"/>
      <c r="B55" s="11" t="str">
        <f>CONCATENATE("          ", "6010", " - ", "GRATUITY")</f>
        <v xml:space="preserve">          6010 - GRATUITY</v>
      </c>
      <c r="C55" s="11"/>
      <c r="D55" s="7"/>
      <c r="E55" s="2"/>
      <c r="F55" s="6">
        <f t="shared" si="20"/>
        <v>0</v>
      </c>
      <c r="G55" s="2"/>
      <c r="H55" s="7">
        <v>0</v>
      </c>
      <c r="I55" s="2"/>
      <c r="J55" s="6">
        <f t="shared" si="21"/>
        <v>0</v>
      </c>
      <c r="K55" s="2"/>
      <c r="L55" s="7">
        <f t="shared" si="22"/>
        <v>0</v>
      </c>
      <c r="M55" s="2"/>
      <c r="N55" s="6">
        <f t="shared" si="23"/>
        <v>0</v>
      </c>
      <c r="O55" s="11"/>
      <c r="P55" s="7"/>
      <c r="Q55" s="2"/>
      <c r="R55" s="6">
        <f t="shared" si="24"/>
        <v>0</v>
      </c>
      <c r="S55" s="2"/>
      <c r="T55" s="7">
        <v>0</v>
      </c>
      <c r="U55" s="2"/>
      <c r="V55" s="6">
        <f t="shared" si="25"/>
        <v>0</v>
      </c>
      <c r="W55" s="2"/>
      <c r="X55" s="7">
        <f t="shared" si="26"/>
        <v>0</v>
      </c>
      <c r="Y55" s="2"/>
      <c r="Z55" s="6">
        <f t="shared" si="27"/>
        <v>0</v>
      </c>
    </row>
    <row r="56" spans="1:26" s="27" customFormat="1" outlineLevel="1" collapsed="1" x14ac:dyDescent="0.25">
      <c r="A56" s="26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4459.08</v>
      </c>
      <c r="E56" s="1"/>
      <c r="F56" s="5">
        <f t="shared" ref="F56:F60" si="28">IF(D$12=0,0,D56/D$12)</f>
        <v>4.2095478535816569E-3</v>
      </c>
      <c r="G56" s="1"/>
      <c r="H56" s="1">
        <f>SUM(OSRRefH22_2x_0)</f>
        <v>2915</v>
      </c>
      <c r="I56" s="1"/>
      <c r="J56" s="5">
        <f t="shared" ref="J56:J60" si="29">IF(H$12=0,0,H56/H$12)</f>
        <v>2.8009912530280014E-3</v>
      </c>
      <c r="K56" s="1"/>
      <c r="L56" s="1">
        <f t="shared" ref="L56:L60" si="30">+D56-H56</f>
        <v>1544.08</v>
      </c>
      <c r="M56" s="1"/>
      <c r="N56" s="5">
        <f t="shared" ref="N56:N60" si="31">IF(H56=0,0,L56/H56)</f>
        <v>0.52970154373927958</v>
      </c>
      <c r="O56" s="13"/>
      <c r="P56" s="1">
        <f>SUM(OSRRefP22_2x_0)</f>
        <v>32029.31</v>
      </c>
      <c r="Q56" s="1"/>
      <c r="R56" s="5">
        <f t="shared" ref="R56:R60" si="32">IF(P$12=0,0,P56/P$12)</f>
        <v>3.1263513854696812E-3</v>
      </c>
      <c r="S56" s="1"/>
      <c r="T56" s="1">
        <f>SUM(OSRRefT22_2x_0)</f>
        <v>27930</v>
      </c>
      <c r="U56" s="1"/>
      <c r="V56" s="5">
        <f t="shared" ref="V56:V60" si="33">IF(T$12=0,0,T56/T$12)</f>
        <v>2.5987649306861101E-3</v>
      </c>
      <c r="W56" s="1"/>
      <c r="X56" s="1">
        <f t="shared" ref="X56:X60" si="34">+P56-T56</f>
        <v>4099.3100000000013</v>
      </c>
      <c r="Y56" s="1"/>
      <c r="Z56" s="5">
        <f t="shared" ref="Z56:Z60" si="35">IF(T56=0,0,X56/T56)</f>
        <v>0.14677085571070539</v>
      </c>
    </row>
    <row r="57" spans="1:26" s="24" customFormat="1" hidden="1" outlineLevel="2" x14ac:dyDescent="0.25">
      <c r="A57" s="25"/>
      <c r="B57" s="11" t="str">
        <f>CONCATENATE("          ", "6362", " - ", "ADVERTISING EXPENSE")</f>
        <v xml:space="preserve">          6362 - ADVERTISING EXPENSE</v>
      </c>
      <c r="C57" s="11"/>
      <c r="D57" s="7">
        <v>4459.08</v>
      </c>
      <c r="E57" s="2"/>
      <c r="F57" s="6">
        <f t="shared" si="28"/>
        <v>4.2095478535816569E-3</v>
      </c>
      <c r="G57" s="2"/>
      <c r="H57" s="7">
        <v>2915</v>
      </c>
      <c r="I57" s="2"/>
      <c r="J57" s="6">
        <f t="shared" si="29"/>
        <v>2.8009912530280014E-3</v>
      </c>
      <c r="K57" s="2"/>
      <c r="L57" s="7">
        <f t="shared" si="30"/>
        <v>1544.08</v>
      </c>
      <c r="M57" s="2"/>
      <c r="N57" s="6">
        <f t="shared" si="31"/>
        <v>0.52970154373927958</v>
      </c>
      <c r="O57" s="11"/>
      <c r="P57" s="7">
        <v>32029.31</v>
      </c>
      <c r="Q57" s="2"/>
      <c r="R57" s="6">
        <f t="shared" si="32"/>
        <v>3.1263513854696812E-3</v>
      </c>
      <c r="S57" s="2"/>
      <c r="T57" s="7">
        <v>27930</v>
      </c>
      <c r="U57" s="2"/>
      <c r="V57" s="6">
        <f t="shared" si="33"/>
        <v>2.5987649306861101E-3</v>
      </c>
      <c r="W57" s="2"/>
      <c r="X57" s="7">
        <f t="shared" si="34"/>
        <v>4099.3100000000013</v>
      </c>
      <c r="Y57" s="2"/>
      <c r="Z57" s="6">
        <f t="shared" si="35"/>
        <v>0.14677085571070539</v>
      </c>
    </row>
    <row r="58" spans="1:26" s="27" customFormat="1" outlineLevel="1" collapsed="1" x14ac:dyDescent="0.25">
      <c r="A58" s="26"/>
      <c r="B58" s="13" t="str">
        <f>CONCATENATE("     ","Bad Debts/Over/Short                              ")</f>
        <v xml:space="preserve">     Bad Debts/Over/Short                              </v>
      </c>
      <c r="C58" s="13"/>
      <c r="D58" s="1">
        <f>SUM(OSRRefD22_3x_0)</f>
        <v>-412.43</v>
      </c>
      <c r="E58" s="1"/>
      <c r="F58" s="5">
        <f t="shared" si="28"/>
        <v>-3.8935022947618854E-4</v>
      </c>
      <c r="G58" s="1"/>
      <c r="H58" s="1">
        <f>SUM(OSRRefH22_3x_0)</f>
        <v>257</v>
      </c>
      <c r="I58" s="1"/>
      <c r="J58" s="5">
        <f t="shared" si="29"/>
        <v>2.4694845695649958E-4</v>
      </c>
      <c r="K58" s="1"/>
      <c r="L58" s="1">
        <f t="shared" si="30"/>
        <v>-669.43000000000006</v>
      </c>
      <c r="M58" s="1"/>
      <c r="N58" s="5">
        <f t="shared" si="31"/>
        <v>-2.6047859922178991</v>
      </c>
      <c r="O58" s="13"/>
      <c r="P58" s="1">
        <f>SUM(OSRRefP22_3x_0)</f>
        <v>-475.42</v>
      </c>
      <c r="Q58" s="1"/>
      <c r="R58" s="5">
        <f t="shared" si="32"/>
        <v>-4.6405307378772622E-5</v>
      </c>
      <c r="S58" s="1"/>
      <c r="T58" s="1">
        <f>SUM(OSRRefT22_3x_0)</f>
        <v>1711</v>
      </c>
      <c r="U58" s="1"/>
      <c r="V58" s="5">
        <f t="shared" si="33"/>
        <v>1.5920110262813945E-4</v>
      </c>
      <c r="W58" s="1"/>
      <c r="X58" s="1">
        <f t="shared" si="34"/>
        <v>-2186.42</v>
      </c>
      <c r="Y58" s="1"/>
      <c r="Z58" s="5">
        <f t="shared" si="35"/>
        <v>-1.2778609000584453</v>
      </c>
    </row>
    <row r="59" spans="1:26" s="24" customFormat="1" hidden="1" outlineLevel="2" x14ac:dyDescent="0.25">
      <c r="A59" s="25"/>
      <c r="B59" s="11" t="str">
        <f>CONCATENATE("          ", "6272", " - ", "CASH (OVER/SHORT)")</f>
        <v xml:space="preserve">          6272 - CASH (OVER/SHORT)</v>
      </c>
      <c r="C59" s="11"/>
      <c r="D59" s="7">
        <v>-412.43</v>
      </c>
      <c r="E59" s="2"/>
      <c r="F59" s="6">
        <f t="shared" si="28"/>
        <v>-3.8935022947618854E-4</v>
      </c>
      <c r="G59" s="2"/>
      <c r="H59" s="7">
        <v>207</v>
      </c>
      <c r="I59" s="2"/>
      <c r="J59" s="6">
        <f t="shared" si="29"/>
        <v>1.9890401007780317E-4</v>
      </c>
      <c r="K59" s="2"/>
      <c r="L59" s="7">
        <f t="shared" si="30"/>
        <v>-619.43000000000006</v>
      </c>
      <c r="M59" s="2"/>
      <c r="N59" s="6">
        <f t="shared" si="31"/>
        <v>-2.9924154589371983</v>
      </c>
      <c r="O59" s="11"/>
      <c r="P59" s="7">
        <v>-475.42</v>
      </c>
      <c r="Q59" s="2"/>
      <c r="R59" s="6">
        <f t="shared" si="32"/>
        <v>-4.6405307378772622E-5</v>
      </c>
      <c r="S59" s="2"/>
      <c r="T59" s="7">
        <v>1411</v>
      </c>
      <c r="U59" s="2"/>
      <c r="V59" s="6">
        <f t="shared" si="33"/>
        <v>1.3128740842098465E-4</v>
      </c>
      <c r="W59" s="2"/>
      <c r="X59" s="7">
        <f t="shared" si="34"/>
        <v>-1886.42</v>
      </c>
      <c r="Y59" s="2"/>
      <c r="Z59" s="6">
        <f t="shared" si="35"/>
        <v>-1.3369383416017009</v>
      </c>
    </row>
    <row r="60" spans="1:26" s="24" customFormat="1" hidden="1" outlineLevel="2" x14ac:dyDescent="0.25">
      <c r="A60" s="25"/>
      <c r="B60" s="11" t="str">
        <f>CONCATENATE("          ", "6342", " - ", "BAD DEBT")</f>
        <v xml:space="preserve">          6342 - BAD DEBT</v>
      </c>
      <c r="C60" s="11"/>
      <c r="D60" s="7"/>
      <c r="E60" s="2"/>
      <c r="F60" s="6">
        <f t="shared" si="28"/>
        <v>0</v>
      </c>
      <c r="G60" s="2"/>
      <c r="H60" s="7">
        <v>50</v>
      </c>
      <c r="I60" s="2"/>
      <c r="J60" s="6">
        <f t="shared" si="29"/>
        <v>4.8044446878696417E-5</v>
      </c>
      <c r="K60" s="2"/>
      <c r="L60" s="7">
        <f t="shared" si="30"/>
        <v>-50</v>
      </c>
      <c r="M60" s="2"/>
      <c r="N60" s="6">
        <f t="shared" si="31"/>
        <v>-1</v>
      </c>
      <c r="O60" s="11"/>
      <c r="P60" s="7"/>
      <c r="Q60" s="2"/>
      <c r="R60" s="6">
        <f t="shared" si="32"/>
        <v>0</v>
      </c>
      <c r="S60" s="2"/>
      <c r="T60" s="7">
        <v>300</v>
      </c>
      <c r="U60" s="2"/>
      <c r="V60" s="6">
        <f t="shared" si="33"/>
        <v>2.7913694207154782E-5</v>
      </c>
      <c r="W60" s="2"/>
      <c r="X60" s="7">
        <f t="shared" si="34"/>
        <v>-300</v>
      </c>
      <c r="Y60" s="2"/>
      <c r="Z60" s="6">
        <f t="shared" si="35"/>
        <v>-1</v>
      </c>
    </row>
    <row r="61" spans="1:26" s="27" customFormat="1" outlineLevel="1" collapsed="1" x14ac:dyDescent="0.25">
      <c r="A61" s="26"/>
      <c r="B61" s="13" t="str">
        <f>CONCATENATE("     ","Bank/card Fees                                    ")</f>
        <v xml:space="preserve">     Bank/card Fees                                    </v>
      </c>
      <c r="C61" s="13"/>
      <c r="D61" s="1">
        <f>SUM(OSRRefD22_4x_0)</f>
        <v>11063.48</v>
      </c>
      <c r="E61" s="1"/>
      <c r="F61" s="5">
        <f t="shared" ref="F61:F67" si="36">IF(D$12=0,0,D61/D$12)</f>
        <v>1.0444362623488161E-2</v>
      </c>
      <c r="G61" s="1"/>
      <c r="H61" s="1">
        <f>SUM(OSRRefH22_4x_0)</f>
        <v>8098</v>
      </c>
      <c r="I61" s="1"/>
      <c r="J61" s="5">
        <f t="shared" ref="J61:J67" si="37">IF(H$12=0,0,H61/H$12)</f>
        <v>7.7812786164736724E-3</v>
      </c>
      <c r="K61" s="1"/>
      <c r="L61" s="1">
        <f t="shared" ref="L61:L67" si="38">+D61-H61</f>
        <v>2965.4799999999996</v>
      </c>
      <c r="M61" s="1"/>
      <c r="N61" s="5">
        <f t="shared" ref="N61:N67" si="39">IF(H61=0,0,L61/H61)</f>
        <v>0.36619906149666581</v>
      </c>
      <c r="O61" s="13"/>
      <c r="P61" s="1">
        <f>SUM(OSRRefP22_4x_0)</f>
        <v>117102.29000000001</v>
      </c>
      <c r="Q61" s="1"/>
      <c r="R61" s="5">
        <f t="shared" ref="R61:R67" si="40">IF(P$12=0,0,P61/P$12)</f>
        <v>1.1430246439376072E-2</v>
      </c>
      <c r="S61" s="1"/>
      <c r="T61" s="1">
        <f>SUM(OSRRefT22_4x_0)</f>
        <v>70981</v>
      </c>
      <c r="U61" s="1"/>
      <c r="V61" s="5">
        <f t="shared" ref="V61:V67" si="41">IF(T$12=0,0,T61/T$12)</f>
        <v>6.6044730950601789E-3</v>
      </c>
      <c r="W61" s="1"/>
      <c r="X61" s="1">
        <f t="shared" ref="X61:X67" si="42">+P61-T61</f>
        <v>46121.290000000008</v>
      </c>
      <c r="Y61" s="1"/>
      <c r="Z61" s="5">
        <f t="shared" ref="Z61:Z67" si="43">IF(T61=0,0,X61/T61)</f>
        <v>0.64976951578591469</v>
      </c>
    </row>
    <row r="62" spans="1:26" s="24" customFormat="1" hidden="1" outlineLevel="2" x14ac:dyDescent="0.25">
      <c r="A62" s="25"/>
      <c r="B62" s="11" t="str">
        <f>CONCATENATE("          ", "6381", " - ", "BANK/CREDIT CARD FEES")</f>
        <v xml:space="preserve">          6381 - BANK/CREDIT CARD FEES</v>
      </c>
      <c r="C62" s="11"/>
      <c r="D62" s="7">
        <v>11063.48</v>
      </c>
      <c r="E62" s="2"/>
      <c r="F62" s="6">
        <f t="shared" si="36"/>
        <v>1.0444362623488161E-2</v>
      </c>
      <c r="G62" s="2"/>
      <c r="H62" s="7">
        <v>8098</v>
      </c>
      <c r="I62" s="2"/>
      <c r="J62" s="6">
        <f t="shared" si="37"/>
        <v>7.7812786164736724E-3</v>
      </c>
      <c r="K62" s="2"/>
      <c r="L62" s="7">
        <f t="shared" si="38"/>
        <v>2965.4799999999996</v>
      </c>
      <c r="M62" s="2"/>
      <c r="N62" s="6">
        <f t="shared" si="39"/>
        <v>0.36619906149666581</v>
      </c>
      <c r="O62" s="11"/>
      <c r="P62" s="7">
        <v>117102.29000000001</v>
      </c>
      <c r="Q62" s="2"/>
      <c r="R62" s="6">
        <f t="shared" si="40"/>
        <v>1.1430246439376072E-2</v>
      </c>
      <c r="S62" s="2"/>
      <c r="T62" s="7">
        <v>70981</v>
      </c>
      <c r="U62" s="2"/>
      <c r="V62" s="6">
        <f t="shared" si="41"/>
        <v>6.6044730950601789E-3</v>
      </c>
      <c r="W62" s="2"/>
      <c r="X62" s="7">
        <f t="shared" si="42"/>
        <v>46121.290000000008</v>
      </c>
      <c r="Y62" s="2"/>
      <c r="Z62" s="6">
        <f t="shared" si="43"/>
        <v>0.64976951578591469</v>
      </c>
    </row>
    <row r="63" spans="1:26" s="27" customFormat="1" outlineLevel="1" collapsed="1" x14ac:dyDescent="0.25">
      <c r="A63" s="26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SUM(OSRRefD22_5x_0)</f>
        <v>40745.619999999995</v>
      </c>
      <c r="E63" s="1"/>
      <c r="F63" s="5">
        <f t="shared" si="36"/>
        <v>3.8465476558808949E-2</v>
      </c>
      <c r="G63" s="1"/>
      <c r="H63" s="1">
        <f>SUM(OSRRefH22_5x_0)</f>
        <v>44988</v>
      </c>
      <c r="I63" s="1"/>
      <c r="J63" s="5">
        <f t="shared" si="37"/>
        <v>4.3228471523575888E-2</v>
      </c>
      <c r="K63" s="1"/>
      <c r="L63" s="1">
        <f t="shared" si="38"/>
        <v>-4242.3800000000047</v>
      </c>
      <c r="M63" s="1"/>
      <c r="N63" s="5">
        <f t="shared" si="39"/>
        <v>-9.4300257846536964E-2</v>
      </c>
      <c r="O63" s="13"/>
      <c r="P63" s="1">
        <f>SUM(OSRRefP22_5x_0)</f>
        <v>279346.49</v>
      </c>
      <c r="Q63" s="1"/>
      <c r="R63" s="5">
        <f t="shared" si="40"/>
        <v>2.7266753047055722E-2</v>
      </c>
      <c r="S63" s="1"/>
      <c r="T63" s="1">
        <f>SUM(OSRRefT22_5x_0)</f>
        <v>296714</v>
      </c>
      <c r="U63" s="1"/>
      <c r="V63" s="5">
        <f t="shared" si="41"/>
        <v>2.7607946209939081E-2</v>
      </c>
      <c r="W63" s="1"/>
      <c r="X63" s="1">
        <f t="shared" si="42"/>
        <v>-17367.510000000009</v>
      </c>
      <c r="Y63" s="1"/>
      <c r="Z63" s="5">
        <f t="shared" si="43"/>
        <v>-5.853282959348062E-2</v>
      </c>
    </row>
    <row r="64" spans="1:26" s="24" customFormat="1" hidden="1" outlineLevel="2" x14ac:dyDescent="0.25">
      <c r="A64" s="25"/>
      <c r="B64" s="11" t="str">
        <f>CONCATENATE("          ", "6321", " - ", "BUILDING DEPRECIATION")</f>
        <v xml:space="preserve">          6321 - BUILDING DEPRECIATION</v>
      </c>
      <c r="C64" s="11"/>
      <c r="D64" s="7">
        <v>24042.959999999999</v>
      </c>
      <c r="E64" s="2"/>
      <c r="F64" s="6">
        <f t="shared" si="36"/>
        <v>2.269750501487967E-2</v>
      </c>
      <c r="G64" s="2"/>
      <c r="H64" s="7">
        <v>23037</v>
      </c>
      <c r="I64" s="2"/>
      <c r="J64" s="6">
        <f t="shared" si="37"/>
        <v>2.2135998454890587E-2</v>
      </c>
      <c r="K64" s="2"/>
      <c r="L64" s="7">
        <f t="shared" si="38"/>
        <v>1005.9599999999991</v>
      </c>
      <c r="M64" s="2"/>
      <c r="N64" s="6">
        <f t="shared" si="39"/>
        <v>4.3667144159395717E-2</v>
      </c>
      <c r="O64" s="11"/>
      <c r="P64" s="7">
        <v>168300.72</v>
      </c>
      <c r="Q64" s="2"/>
      <c r="R64" s="6">
        <f t="shared" si="40"/>
        <v>1.642767793460255E-2</v>
      </c>
      <c r="S64" s="2"/>
      <c r="T64" s="7">
        <v>161505</v>
      </c>
      <c r="U64" s="2"/>
      <c r="V64" s="6">
        <f t="shared" si="41"/>
        <v>1.5027337276421778E-2</v>
      </c>
      <c r="W64" s="2"/>
      <c r="X64" s="7">
        <f t="shared" si="42"/>
        <v>6795.7200000000012</v>
      </c>
      <c r="Y64" s="2"/>
      <c r="Z64" s="6">
        <f t="shared" si="43"/>
        <v>4.207745890220118E-2</v>
      </c>
    </row>
    <row r="65" spans="1:26" s="24" customFormat="1" hidden="1" outlineLevel="2" x14ac:dyDescent="0.25">
      <c r="A65" s="25"/>
      <c r="B65" s="11" t="str">
        <f>CONCATENATE("          ", "6322", " - ", "EQUIPMENT DEPRECIATION EXPENSE")</f>
        <v xml:space="preserve">          6322 - EQUIPMENT DEPRECIATION EXPENSE</v>
      </c>
      <c r="C65" s="11"/>
      <c r="D65" s="7">
        <v>16278.409999999998</v>
      </c>
      <c r="E65" s="2"/>
      <c r="F65" s="6">
        <f t="shared" si="36"/>
        <v>1.5367462767033149E-2</v>
      </c>
      <c r="G65" s="2"/>
      <c r="H65" s="7">
        <v>15301</v>
      </c>
      <c r="I65" s="2"/>
      <c r="J65" s="6">
        <f t="shared" si="37"/>
        <v>1.4702561633818678E-2</v>
      </c>
      <c r="K65" s="2"/>
      <c r="L65" s="7">
        <f t="shared" si="38"/>
        <v>977.40999999999804</v>
      </c>
      <c r="M65" s="2"/>
      <c r="N65" s="6">
        <f t="shared" si="39"/>
        <v>6.3878831448924783E-2</v>
      </c>
      <c r="O65" s="11"/>
      <c r="P65" s="7">
        <v>108076.01999999999</v>
      </c>
      <c r="Q65" s="2"/>
      <c r="R65" s="6">
        <f t="shared" si="40"/>
        <v>1.0549200556085939E-2</v>
      </c>
      <c r="S65" s="2"/>
      <c r="T65" s="7">
        <v>107107</v>
      </c>
      <c r="U65" s="2"/>
      <c r="V65" s="6">
        <f t="shared" si="41"/>
        <v>9.9658401514857581E-3</v>
      </c>
      <c r="W65" s="2"/>
      <c r="X65" s="7">
        <f t="shared" si="42"/>
        <v>969.01999999998952</v>
      </c>
      <c r="Y65" s="2"/>
      <c r="Z65" s="6">
        <f t="shared" si="43"/>
        <v>9.0472144677751169E-3</v>
      </c>
    </row>
    <row r="66" spans="1:26" s="24" customFormat="1" hidden="1" outlineLevel="2" x14ac:dyDescent="0.25">
      <c r="A66" s="25"/>
      <c r="B66" s="11" t="str">
        <f>CONCATENATE("          ", "6324", " - ", "FURNITURE + FIXT DEPRECIATION")</f>
        <v xml:space="preserve">          6324 - FURNITURE + FIXT DEPRECIATION</v>
      </c>
      <c r="C66" s="11"/>
      <c r="D66" s="7"/>
      <c r="E66" s="2"/>
      <c r="F66" s="6">
        <f t="shared" si="36"/>
        <v>0</v>
      </c>
      <c r="G66" s="2"/>
      <c r="H66" s="7">
        <v>4476</v>
      </c>
      <c r="I66" s="2"/>
      <c r="J66" s="6">
        <f t="shared" si="37"/>
        <v>4.3009388845809031E-3</v>
      </c>
      <c r="K66" s="2"/>
      <c r="L66" s="7">
        <f t="shared" si="38"/>
        <v>-4476</v>
      </c>
      <c r="M66" s="2"/>
      <c r="N66" s="6">
        <f t="shared" si="39"/>
        <v>-1</v>
      </c>
      <c r="O66" s="11"/>
      <c r="P66" s="7"/>
      <c r="Q66" s="2"/>
      <c r="R66" s="6">
        <f t="shared" si="40"/>
        <v>0</v>
      </c>
      <c r="S66" s="2"/>
      <c r="T66" s="7">
        <v>18134</v>
      </c>
      <c r="U66" s="2"/>
      <c r="V66" s="6">
        <f t="shared" si="41"/>
        <v>1.6872897691751494E-3</v>
      </c>
      <c r="W66" s="2"/>
      <c r="X66" s="7">
        <f t="shared" si="42"/>
        <v>-18134</v>
      </c>
      <c r="Y66" s="2"/>
      <c r="Z66" s="6">
        <f t="shared" si="43"/>
        <v>-1</v>
      </c>
    </row>
    <row r="67" spans="1:26" s="24" customFormat="1" hidden="1" outlineLevel="2" x14ac:dyDescent="0.25">
      <c r="A67" s="25"/>
      <c r="B67" s="11" t="str">
        <f>CONCATENATE("          ", "6326", " - ", "VEHICLES DEPRECIATION EXPENSE")</f>
        <v xml:space="preserve">          6326 - VEHICLES DEPRECIATION EXPENSE</v>
      </c>
      <c r="C67" s="11"/>
      <c r="D67" s="7">
        <v>424.25</v>
      </c>
      <c r="E67" s="2"/>
      <c r="F67" s="6">
        <f t="shared" si="36"/>
        <v>4.0050877689613509E-4</v>
      </c>
      <c r="G67" s="2"/>
      <c r="H67" s="7">
        <v>2174</v>
      </c>
      <c r="I67" s="2"/>
      <c r="J67" s="6">
        <f t="shared" si="37"/>
        <v>2.0889725502857203E-3</v>
      </c>
      <c r="K67" s="2"/>
      <c r="L67" s="7">
        <f t="shared" si="38"/>
        <v>-1749.75</v>
      </c>
      <c r="M67" s="2"/>
      <c r="N67" s="6">
        <f t="shared" si="39"/>
        <v>-0.80485280588776453</v>
      </c>
      <c r="O67" s="11"/>
      <c r="P67" s="7">
        <v>2969.75</v>
      </c>
      <c r="Q67" s="2"/>
      <c r="R67" s="6">
        <f t="shared" si="40"/>
        <v>2.8987455636723318E-4</v>
      </c>
      <c r="S67" s="2"/>
      <c r="T67" s="7">
        <v>9968</v>
      </c>
      <c r="U67" s="2"/>
      <c r="V67" s="6">
        <f t="shared" si="41"/>
        <v>9.2747901285639622E-4</v>
      </c>
      <c r="W67" s="2"/>
      <c r="X67" s="7">
        <f t="shared" si="42"/>
        <v>-6998.25</v>
      </c>
      <c r="Y67" s="2"/>
      <c r="Z67" s="6">
        <f t="shared" si="43"/>
        <v>-0.70207162921348309</v>
      </c>
    </row>
    <row r="68" spans="1:26" s="27" customFormat="1" outlineLevel="1" collapsed="1" x14ac:dyDescent="0.25">
      <c r="A68" s="26"/>
      <c r="B68" s="13" t="str">
        <f>CONCATENATE("     ","Discounts and Markdowns                           ")</f>
        <v xml:space="preserve">     Discounts and Markdowns                           </v>
      </c>
      <c r="C68" s="13"/>
      <c r="D68" s="1">
        <f>SUM(OSRRefD22_6x_0)</f>
        <v>0.09</v>
      </c>
      <c r="E68" s="1"/>
      <c r="F68" s="5">
        <f t="shared" ref="F68:F72" si="44">IF(D$12=0,0,D68/D$12)</f>
        <v>8.4963559035125881E-8</v>
      </c>
      <c r="G68" s="1"/>
      <c r="H68" s="1">
        <f>SUM(OSRRefH22_6x_0)</f>
        <v>0</v>
      </c>
      <c r="I68" s="1"/>
      <c r="J68" s="5">
        <f t="shared" ref="J68:J72" si="45">IF(H$12=0,0,H68/H$12)</f>
        <v>0</v>
      </c>
      <c r="K68" s="1"/>
      <c r="L68" s="1">
        <f t="shared" ref="L68:L72" si="46">+D68-H68</f>
        <v>0.09</v>
      </c>
      <c r="M68" s="1"/>
      <c r="N68" s="5">
        <f t="shared" ref="N68:N72" si="47">IF(H68=0,0,L68/H68)</f>
        <v>0</v>
      </c>
      <c r="O68" s="13"/>
      <c r="P68" s="1">
        <f>SUM(OSRRefP22_6x_0)</f>
        <v>0.09</v>
      </c>
      <c r="Q68" s="1"/>
      <c r="R68" s="5">
        <f t="shared" ref="R68:R72" si="48">IF(P$12=0,0,P68/P$12)</f>
        <v>8.7848169283781416E-9</v>
      </c>
      <c r="S68" s="1"/>
      <c r="T68" s="1">
        <f>SUM(OSRRefT22_6x_0)</f>
        <v>0</v>
      </c>
      <c r="U68" s="1"/>
      <c r="V68" s="5">
        <f t="shared" ref="V68:V72" si="49">IF(T$12=0,0,T68/T$12)</f>
        <v>0</v>
      </c>
      <c r="W68" s="1"/>
      <c r="X68" s="1">
        <f t="shared" ref="X68:X72" si="50">+P68-T68</f>
        <v>0.09</v>
      </c>
      <c r="Y68" s="1"/>
      <c r="Z68" s="5">
        <f t="shared" ref="Z68:Z72" si="51">IF(T68=0,0,X68/T68)</f>
        <v>0</v>
      </c>
    </row>
    <row r="69" spans="1:26" s="24" customFormat="1" hidden="1" outlineLevel="2" x14ac:dyDescent="0.25">
      <c r="A69" s="25"/>
      <c r="B69" s="11" t="str">
        <f>CONCATENATE("          ", "6382", " - ", "DISCOUNTS/MARK DOWNS")</f>
        <v xml:space="preserve">          6382 - DISCOUNTS/MARK DOWNS</v>
      </c>
      <c r="C69" s="11"/>
      <c r="D69" s="7">
        <v>0.09</v>
      </c>
      <c r="E69" s="2"/>
      <c r="F69" s="6">
        <f t="shared" si="44"/>
        <v>8.4963559035125881E-8</v>
      </c>
      <c r="G69" s="2"/>
      <c r="H69" s="7"/>
      <c r="I69" s="2"/>
      <c r="J69" s="6">
        <f t="shared" si="45"/>
        <v>0</v>
      </c>
      <c r="K69" s="2"/>
      <c r="L69" s="7">
        <f t="shared" si="46"/>
        <v>0.09</v>
      </c>
      <c r="M69" s="2"/>
      <c r="N69" s="6">
        <f t="shared" si="47"/>
        <v>0</v>
      </c>
      <c r="O69" s="11"/>
      <c r="P69" s="7">
        <v>0.09</v>
      </c>
      <c r="Q69" s="2"/>
      <c r="R69" s="6">
        <f t="shared" si="48"/>
        <v>8.7848169283781416E-9</v>
      </c>
      <c r="S69" s="2"/>
      <c r="T69" s="7"/>
      <c r="U69" s="2"/>
      <c r="V69" s="6">
        <f t="shared" si="49"/>
        <v>0</v>
      </c>
      <c r="W69" s="2"/>
      <c r="X69" s="7">
        <f t="shared" si="50"/>
        <v>0.09</v>
      </c>
      <c r="Y69" s="2"/>
      <c r="Z69" s="6">
        <f t="shared" si="51"/>
        <v>0</v>
      </c>
    </row>
    <row r="70" spans="1:26" s="27" customFormat="1" outlineLevel="1" collapsed="1" x14ac:dyDescent="0.25">
      <c r="A70" s="26"/>
      <c r="B70" s="13" t="str">
        <f>CONCATENATE("     ","Donations                                         ")</f>
        <v xml:space="preserve">     Donations                                         </v>
      </c>
      <c r="C70" s="13"/>
      <c r="D70" s="1">
        <f>SUM(OSRRefD22_7x_0)</f>
        <v>9545.3799999999992</v>
      </c>
      <c r="E70" s="1"/>
      <c r="F70" s="5">
        <f t="shared" si="44"/>
        <v>9.0112161904745535E-3</v>
      </c>
      <c r="G70" s="1"/>
      <c r="H70" s="1">
        <f>SUM(OSRRefH22_7x_0)</f>
        <v>10014</v>
      </c>
      <c r="I70" s="1"/>
      <c r="J70" s="5">
        <f t="shared" si="45"/>
        <v>9.6223418208653197E-3</v>
      </c>
      <c r="K70" s="1"/>
      <c r="L70" s="1">
        <f t="shared" si="46"/>
        <v>-468.6200000000008</v>
      </c>
      <c r="M70" s="1"/>
      <c r="N70" s="5">
        <f t="shared" si="47"/>
        <v>-4.6796484921110527E-2</v>
      </c>
      <c r="O70" s="13"/>
      <c r="P70" s="1">
        <f>SUM(OSRRefP22_7x_0)</f>
        <v>87155.89</v>
      </c>
      <c r="Q70" s="1"/>
      <c r="R70" s="5">
        <f t="shared" si="48"/>
        <v>8.5072059764429234E-3</v>
      </c>
      <c r="S70" s="1"/>
      <c r="T70" s="1">
        <f>SUM(OSRRefT22_7x_0)</f>
        <v>83604</v>
      </c>
      <c r="U70" s="1"/>
      <c r="V70" s="5">
        <f t="shared" si="49"/>
        <v>7.7789883016498949E-3</v>
      </c>
      <c r="W70" s="1"/>
      <c r="X70" s="1">
        <f t="shared" si="50"/>
        <v>3551.8899999999994</v>
      </c>
      <c r="Y70" s="1"/>
      <c r="Z70" s="5">
        <f t="shared" si="51"/>
        <v>4.2484689727764216E-2</v>
      </c>
    </row>
    <row r="71" spans="1:26" s="24" customFormat="1" hidden="1" outlineLevel="2" x14ac:dyDescent="0.25">
      <c r="A71" s="25"/>
      <c r="B71" s="11" t="str">
        <f>CONCATENATE("          ", "6396", " - ", "COUPONS-CHARTROOM")</f>
        <v xml:space="preserve">          6396 - COUPONS-CHARTROOM</v>
      </c>
      <c r="C71" s="11"/>
      <c r="D71" s="7"/>
      <c r="E71" s="2"/>
      <c r="F71" s="6">
        <f t="shared" si="44"/>
        <v>0</v>
      </c>
      <c r="G71" s="2"/>
      <c r="H71" s="7">
        <v>100</v>
      </c>
      <c r="I71" s="2"/>
      <c r="J71" s="6">
        <f t="shared" si="45"/>
        <v>9.6088893757392835E-5</v>
      </c>
      <c r="K71" s="2"/>
      <c r="L71" s="7">
        <f t="shared" si="46"/>
        <v>-100</v>
      </c>
      <c r="M71" s="2"/>
      <c r="N71" s="6">
        <f t="shared" si="47"/>
        <v>-1</v>
      </c>
      <c r="O71" s="11"/>
      <c r="P71" s="7"/>
      <c r="Q71" s="2"/>
      <c r="R71" s="6">
        <f t="shared" si="48"/>
        <v>0</v>
      </c>
      <c r="S71" s="2"/>
      <c r="T71" s="7">
        <v>700</v>
      </c>
      <c r="U71" s="2"/>
      <c r="V71" s="6">
        <f t="shared" si="49"/>
        <v>6.5131953150027828E-5</v>
      </c>
      <c r="W71" s="2"/>
      <c r="X71" s="7">
        <f t="shared" si="50"/>
        <v>-700</v>
      </c>
      <c r="Y71" s="2"/>
      <c r="Z71" s="6">
        <f t="shared" si="51"/>
        <v>-1</v>
      </c>
    </row>
    <row r="72" spans="1:26" s="24" customFormat="1" hidden="1" outlineLevel="2" x14ac:dyDescent="0.25">
      <c r="A72" s="25"/>
      <c r="B72" s="11" t="str">
        <f>CONCATENATE("          ", "6399", " - ", "DONATION-ON CAMPUS")</f>
        <v xml:space="preserve">          6399 - DONATION-ON CAMPUS</v>
      </c>
      <c r="C72" s="11"/>
      <c r="D72" s="7">
        <v>9545.3799999999992</v>
      </c>
      <c r="E72" s="2"/>
      <c r="F72" s="6">
        <f t="shared" si="44"/>
        <v>9.0112161904745535E-3</v>
      </c>
      <c r="G72" s="2"/>
      <c r="H72" s="7">
        <v>9914</v>
      </c>
      <c r="I72" s="2"/>
      <c r="J72" s="6">
        <f t="shared" si="45"/>
        <v>9.5262529271079258E-3</v>
      </c>
      <c r="K72" s="2"/>
      <c r="L72" s="7">
        <f t="shared" si="46"/>
        <v>-368.6200000000008</v>
      </c>
      <c r="M72" s="2"/>
      <c r="N72" s="6">
        <f t="shared" si="47"/>
        <v>-3.7181763163203631E-2</v>
      </c>
      <c r="O72" s="11"/>
      <c r="P72" s="7">
        <v>87155.89</v>
      </c>
      <c r="Q72" s="2"/>
      <c r="R72" s="6">
        <f t="shared" si="48"/>
        <v>8.5072059764429234E-3</v>
      </c>
      <c r="S72" s="2"/>
      <c r="T72" s="7">
        <v>82904</v>
      </c>
      <c r="U72" s="2"/>
      <c r="V72" s="6">
        <f t="shared" si="49"/>
        <v>7.7138563484998668E-3</v>
      </c>
      <c r="W72" s="2"/>
      <c r="X72" s="7">
        <f t="shared" si="50"/>
        <v>4251.8899999999994</v>
      </c>
      <c r="Y72" s="2"/>
      <c r="Z72" s="6">
        <f t="shared" si="51"/>
        <v>5.1286910161150237E-2</v>
      </c>
    </row>
    <row r="73" spans="1:26" s="27" customFormat="1" outlineLevel="1" collapsed="1" x14ac:dyDescent="0.25">
      <c r="A73" s="26"/>
      <c r="B73" s="13" t="str">
        <f>CONCATENATE("     ","Employees' Appreciation                           ")</f>
        <v xml:space="preserve">     Employees' Appreciation                           </v>
      </c>
      <c r="C73" s="13"/>
      <c r="D73" s="1">
        <f>SUM(OSRRefD22_8x_0)</f>
        <v>777.53</v>
      </c>
      <c r="E73" s="1"/>
      <c r="F73" s="5">
        <f t="shared" ref="F73:F81" si="52">IF(D$12=0,0,D73/D$12)</f>
        <v>7.3401906729534923E-4</v>
      </c>
      <c r="G73" s="1"/>
      <c r="H73" s="1">
        <f>SUM(OSRRefH22_8x_0)</f>
        <v>995</v>
      </c>
      <c r="I73" s="1"/>
      <c r="J73" s="5">
        <f t="shared" ref="J73:J81" si="53">IF(H$12=0,0,H73/H$12)</f>
        <v>9.5608449288605874E-4</v>
      </c>
      <c r="K73" s="1"/>
      <c r="L73" s="1">
        <f t="shared" ref="L73:L81" si="54">+D73-H73</f>
        <v>-217.47000000000003</v>
      </c>
      <c r="M73" s="1"/>
      <c r="N73" s="5">
        <f t="shared" ref="N73:N81" si="55">IF(H73=0,0,L73/H73)</f>
        <v>-0.21856281407035177</v>
      </c>
      <c r="O73" s="13"/>
      <c r="P73" s="1">
        <f>SUM(OSRRefP22_8x_0)</f>
        <v>3171.08</v>
      </c>
      <c r="Q73" s="1"/>
      <c r="R73" s="5">
        <f t="shared" ref="R73:R81" si="56">IF(P$12=0,0,P73/P$12)</f>
        <v>3.0952619183601508E-4</v>
      </c>
      <c r="S73" s="1"/>
      <c r="T73" s="1">
        <f>SUM(OSRRefT22_8x_0)</f>
        <v>8660</v>
      </c>
      <c r="U73" s="1"/>
      <c r="V73" s="5">
        <f t="shared" ref="V73:V81" si="57">IF(T$12=0,0,T73/T$12)</f>
        <v>8.0577530611320141E-4</v>
      </c>
      <c r="W73" s="1"/>
      <c r="X73" s="1">
        <f t="shared" ref="X73:X81" si="58">+P73-T73</f>
        <v>-5488.92</v>
      </c>
      <c r="Y73" s="1"/>
      <c r="Z73" s="5">
        <f t="shared" ref="Z73:Z81" si="59">IF(T73=0,0,X73/T73)</f>
        <v>-0.633824480369515</v>
      </c>
    </row>
    <row r="74" spans="1:26" s="24" customFormat="1" hidden="1" outlineLevel="2" x14ac:dyDescent="0.25">
      <c r="A74" s="25"/>
      <c r="B74" s="11" t="str">
        <f>CONCATENATE("          ", "6277", " - ", "EMPLOYEE APPRECIATION")</f>
        <v xml:space="preserve">          6277 - EMPLOYEE APPRECIATION</v>
      </c>
      <c r="C74" s="11"/>
      <c r="D74" s="7">
        <v>777.53</v>
      </c>
      <c r="E74" s="2"/>
      <c r="F74" s="6">
        <f t="shared" si="52"/>
        <v>7.3401906729534923E-4</v>
      </c>
      <c r="G74" s="2"/>
      <c r="H74" s="7">
        <v>995</v>
      </c>
      <c r="I74" s="2"/>
      <c r="J74" s="6">
        <f t="shared" si="53"/>
        <v>9.5608449288605874E-4</v>
      </c>
      <c r="K74" s="2"/>
      <c r="L74" s="7">
        <f t="shared" si="54"/>
        <v>-217.47000000000003</v>
      </c>
      <c r="M74" s="2"/>
      <c r="N74" s="6">
        <f t="shared" si="55"/>
        <v>-0.21856281407035177</v>
      </c>
      <c r="O74" s="11"/>
      <c r="P74" s="7">
        <v>3171.08</v>
      </c>
      <c r="Q74" s="2"/>
      <c r="R74" s="6">
        <f t="shared" si="56"/>
        <v>3.0952619183601508E-4</v>
      </c>
      <c r="S74" s="2"/>
      <c r="T74" s="7">
        <v>8660</v>
      </c>
      <c r="U74" s="2"/>
      <c r="V74" s="6">
        <f t="shared" si="57"/>
        <v>8.0577530611320141E-4</v>
      </c>
      <c r="W74" s="2"/>
      <c r="X74" s="7">
        <f t="shared" si="58"/>
        <v>-5488.92</v>
      </c>
      <c r="Y74" s="2"/>
      <c r="Z74" s="6">
        <f t="shared" si="59"/>
        <v>-0.633824480369515</v>
      </c>
    </row>
    <row r="75" spans="1:26" s="27" customFormat="1" outlineLevel="1" collapsed="1" x14ac:dyDescent="0.25">
      <c r="A75" s="26"/>
      <c r="B75" s="13" t="str">
        <f>CONCATENATE("     ","Equipment Rental                                  ")</f>
        <v xml:space="preserve">     Equipment Rental                                  </v>
      </c>
      <c r="C75" s="13"/>
      <c r="D75" s="1">
        <f>SUM(OSRRefD22_9x_0)</f>
        <v>5791.56</v>
      </c>
      <c r="E75" s="1"/>
      <c r="F75" s="5">
        <f t="shared" si="52"/>
        <v>5.4674616662830416E-3</v>
      </c>
      <c r="G75" s="1"/>
      <c r="H75" s="1">
        <f>SUM(OSRRefH22_9x_0)</f>
        <v>2065</v>
      </c>
      <c r="I75" s="1"/>
      <c r="J75" s="5">
        <f t="shared" si="53"/>
        <v>1.9842356560901622E-3</v>
      </c>
      <c r="K75" s="1"/>
      <c r="L75" s="1">
        <f t="shared" si="54"/>
        <v>3726.5600000000004</v>
      </c>
      <c r="M75" s="1"/>
      <c r="N75" s="5">
        <f t="shared" si="55"/>
        <v>1.8046295399515739</v>
      </c>
      <c r="O75" s="13"/>
      <c r="P75" s="1">
        <f>SUM(OSRRefP22_9x_0)</f>
        <v>23457.190000000002</v>
      </c>
      <c r="Q75" s="1"/>
      <c r="R75" s="5">
        <f t="shared" si="56"/>
        <v>2.2896346644909163E-3</v>
      </c>
      <c r="S75" s="1"/>
      <c r="T75" s="1">
        <f>SUM(OSRRefT22_9x_0)</f>
        <v>15331</v>
      </c>
      <c r="U75" s="1"/>
      <c r="V75" s="5">
        <f t="shared" si="57"/>
        <v>1.4264828196329665E-3</v>
      </c>
      <c r="W75" s="1"/>
      <c r="X75" s="1">
        <f t="shared" si="58"/>
        <v>8126.1900000000023</v>
      </c>
      <c r="Y75" s="1"/>
      <c r="Z75" s="5">
        <f t="shared" si="59"/>
        <v>0.53004957276107245</v>
      </c>
    </row>
    <row r="76" spans="1:26" s="24" customFormat="1" hidden="1" outlineLevel="2" x14ac:dyDescent="0.25">
      <c r="A76" s="25"/>
      <c r="B76" s="11" t="str">
        <f>CONCATENATE("          ", "6351", " - ", "EQUIPMENT RENTAL")</f>
        <v xml:space="preserve">          6351 - EQUIPMENT RENTAL</v>
      </c>
      <c r="C76" s="11"/>
      <c r="D76" s="7">
        <v>5791.56</v>
      </c>
      <c r="E76" s="2"/>
      <c r="F76" s="6">
        <f t="shared" si="52"/>
        <v>5.4674616662830416E-3</v>
      </c>
      <c r="G76" s="2"/>
      <c r="H76" s="7">
        <v>2065</v>
      </c>
      <c r="I76" s="2"/>
      <c r="J76" s="6">
        <f t="shared" si="53"/>
        <v>1.9842356560901622E-3</v>
      </c>
      <c r="K76" s="2"/>
      <c r="L76" s="7">
        <f t="shared" si="54"/>
        <v>3726.5600000000004</v>
      </c>
      <c r="M76" s="2"/>
      <c r="N76" s="6">
        <f t="shared" si="55"/>
        <v>1.8046295399515739</v>
      </c>
      <c r="O76" s="11"/>
      <c r="P76" s="7">
        <v>23457.190000000002</v>
      </c>
      <c r="Q76" s="2"/>
      <c r="R76" s="6">
        <f t="shared" si="56"/>
        <v>2.2896346644909163E-3</v>
      </c>
      <c r="S76" s="2"/>
      <c r="T76" s="7">
        <v>15331</v>
      </c>
      <c r="U76" s="2"/>
      <c r="V76" s="6">
        <f t="shared" si="57"/>
        <v>1.4264828196329665E-3</v>
      </c>
      <c r="W76" s="2"/>
      <c r="X76" s="7">
        <f t="shared" si="58"/>
        <v>8126.1900000000023</v>
      </c>
      <c r="Y76" s="2"/>
      <c r="Z76" s="6">
        <f t="shared" si="59"/>
        <v>0.53004957276107245</v>
      </c>
    </row>
    <row r="77" spans="1:26" s="27" customFormat="1" outlineLevel="1" collapsed="1" x14ac:dyDescent="0.25">
      <c r="A77" s="26"/>
      <c r="B77" s="13" t="str">
        <f>CONCATENATE("     ","Freight out/Postage                               ")</f>
        <v xml:space="preserve">     Freight out/Postage                               </v>
      </c>
      <c r="C77" s="13"/>
      <c r="D77" s="1">
        <f>SUM(OSRRefD22_10x_0)</f>
        <v>0</v>
      </c>
      <c r="E77" s="1"/>
      <c r="F77" s="5">
        <f t="shared" si="52"/>
        <v>0</v>
      </c>
      <c r="G77" s="1"/>
      <c r="H77" s="1">
        <f>SUM(OSRRefH22_10x_0)</f>
        <v>1</v>
      </c>
      <c r="I77" s="1"/>
      <c r="J77" s="5">
        <f t="shared" si="53"/>
        <v>9.6088893757392833E-7</v>
      </c>
      <c r="K77" s="1"/>
      <c r="L77" s="1">
        <f t="shared" si="54"/>
        <v>-1</v>
      </c>
      <c r="M77" s="1"/>
      <c r="N77" s="5">
        <f t="shared" si="55"/>
        <v>-1</v>
      </c>
      <c r="O77" s="13"/>
      <c r="P77" s="1">
        <f>SUM(OSRRefP22_10x_0)</f>
        <v>0</v>
      </c>
      <c r="Q77" s="1"/>
      <c r="R77" s="5">
        <f t="shared" si="56"/>
        <v>0</v>
      </c>
      <c r="S77" s="1"/>
      <c r="T77" s="1">
        <f>SUM(OSRRefT22_10x_0)</f>
        <v>7</v>
      </c>
      <c r="U77" s="1"/>
      <c r="V77" s="5">
        <f t="shared" si="57"/>
        <v>6.5131953150027823E-7</v>
      </c>
      <c r="W77" s="1"/>
      <c r="X77" s="1">
        <f t="shared" si="58"/>
        <v>-7</v>
      </c>
      <c r="Y77" s="1"/>
      <c r="Z77" s="5">
        <f t="shared" si="59"/>
        <v>-1</v>
      </c>
    </row>
    <row r="78" spans="1:26" s="24" customFormat="1" hidden="1" outlineLevel="2" x14ac:dyDescent="0.25">
      <c r="A78" s="25"/>
      <c r="B78" s="11" t="str">
        <f>CONCATENATE("          ", "6307", " - ", "POSTAGE")</f>
        <v xml:space="preserve">          6307 - POSTAGE</v>
      </c>
      <c r="C78" s="11"/>
      <c r="D78" s="7"/>
      <c r="E78" s="2"/>
      <c r="F78" s="6">
        <f t="shared" si="52"/>
        <v>0</v>
      </c>
      <c r="G78" s="2"/>
      <c r="H78" s="7">
        <v>1</v>
      </c>
      <c r="I78" s="2"/>
      <c r="J78" s="6">
        <f t="shared" si="53"/>
        <v>9.6088893757392833E-7</v>
      </c>
      <c r="K78" s="2"/>
      <c r="L78" s="7">
        <f t="shared" si="54"/>
        <v>-1</v>
      </c>
      <c r="M78" s="2"/>
      <c r="N78" s="6">
        <f t="shared" si="55"/>
        <v>-1</v>
      </c>
      <c r="O78" s="11"/>
      <c r="P78" s="7"/>
      <c r="Q78" s="2"/>
      <c r="R78" s="6">
        <f t="shared" si="56"/>
        <v>0</v>
      </c>
      <c r="S78" s="2"/>
      <c r="T78" s="7">
        <v>7</v>
      </c>
      <c r="U78" s="2"/>
      <c r="V78" s="6">
        <f t="shared" si="57"/>
        <v>6.5131953150027823E-7</v>
      </c>
      <c r="W78" s="2"/>
      <c r="X78" s="7">
        <f t="shared" si="58"/>
        <v>-7</v>
      </c>
      <c r="Y78" s="2"/>
      <c r="Z78" s="6">
        <f t="shared" si="59"/>
        <v>-1</v>
      </c>
    </row>
    <row r="79" spans="1:26" s="27" customFormat="1" outlineLevel="1" collapsed="1" x14ac:dyDescent="0.25">
      <c r="A79" s="26"/>
      <c r="B79" s="13" t="str">
        <f>CONCATENATE("     ","General                                           ")</f>
        <v xml:space="preserve">     General                                           </v>
      </c>
      <c r="C79" s="13"/>
      <c r="D79" s="1">
        <f>SUM(OSRRefD22_11x_0)</f>
        <v>10376.799999999999</v>
      </c>
      <c r="E79" s="1"/>
      <c r="F79" s="5">
        <f t="shared" si="52"/>
        <v>9.7961095488410463E-3</v>
      </c>
      <c r="G79" s="1"/>
      <c r="H79" s="1">
        <f>SUM(OSRRefH22_11x_0)</f>
        <v>3263</v>
      </c>
      <c r="I79" s="1"/>
      <c r="J79" s="5">
        <f t="shared" si="53"/>
        <v>3.1353806033037283E-3</v>
      </c>
      <c r="K79" s="1"/>
      <c r="L79" s="1">
        <f t="shared" si="54"/>
        <v>7113.7999999999993</v>
      </c>
      <c r="M79" s="1"/>
      <c r="N79" s="5">
        <f t="shared" si="55"/>
        <v>2.1801409745632849</v>
      </c>
      <c r="O79" s="13"/>
      <c r="P79" s="1">
        <f>SUM(OSRRefP22_11x_0)</f>
        <v>83358.12000000001</v>
      </c>
      <c r="Q79" s="1"/>
      <c r="R79" s="5">
        <f t="shared" si="56"/>
        <v>8.1365091521530732E-3</v>
      </c>
      <c r="S79" s="1"/>
      <c r="T79" s="1">
        <f>SUM(OSRRefT22_11x_0)</f>
        <v>43023</v>
      </c>
      <c r="U79" s="1"/>
      <c r="V79" s="5">
        <f t="shared" si="57"/>
        <v>4.0031028862480677E-3</v>
      </c>
      <c r="W79" s="1"/>
      <c r="X79" s="1">
        <f t="shared" si="58"/>
        <v>40335.12000000001</v>
      </c>
      <c r="Y79" s="1"/>
      <c r="Z79" s="5">
        <f t="shared" si="59"/>
        <v>0.93752457987588056</v>
      </c>
    </row>
    <row r="80" spans="1:26" s="24" customFormat="1" hidden="1" outlineLevel="2" x14ac:dyDescent="0.25">
      <c r="A80" s="25"/>
      <c r="B80" s="11" t="str">
        <f>CONCATENATE("          ", "6269", " - ", "ENTERTAINMENT")</f>
        <v xml:space="preserve">          6269 - ENTERTAINMENT</v>
      </c>
      <c r="C80" s="11"/>
      <c r="D80" s="7"/>
      <c r="E80" s="2"/>
      <c r="F80" s="6">
        <f t="shared" si="52"/>
        <v>0</v>
      </c>
      <c r="G80" s="2"/>
      <c r="H80" s="7">
        <v>350</v>
      </c>
      <c r="I80" s="2"/>
      <c r="J80" s="6">
        <f t="shared" si="53"/>
        <v>3.3631112815087495E-4</v>
      </c>
      <c r="K80" s="2"/>
      <c r="L80" s="7">
        <f t="shared" si="54"/>
        <v>-350</v>
      </c>
      <c r="M80" s="2"/>
      <c r="N80" s="6">
        <f t="shared" si="55"/>
        <v>-1</v>
      </c>
      <c r="O80" s="11"/>
      <c r="P80" s="7">
        <v>7350</v>
      </c>
      <c r="Q80" s="2"/>
      <c r="R80" s="6">
        <f t="shared" si="56"/>
        <v>7.1742671581754821E-4</v>
      </c>
      <c r="S80" s="2"/>
      <c r="T80" s="7">
        <v>4700</v>
      </c>
      <c r="U80" s="2"/>
      <c r="V80" s="6">
        <f t="shared" si="57"/>
        <v>4.3731454257875824E-4</v>
      </c>
      <c r="W80" s="2"/>
      <c r="X80" s="7">
        <f t="shared" si="58"/>
        <v>2650</v>
      </c>
      <c r="Y80" s="2"/>
      <c r="Z80" s="6">
        <f t="shared" si="59"/>
        <v>0.56382978723404253</v>
      </c>
    </row>
    <row r="81" spans="1:26" s="24" customFormat="1" hidden="1" outlineLevel="2" x14ac:dyDescent="0.25">
      <c r="A81" s="25"/>
      <c r="B81" s="11" t="str">
        <f>CONCATENATE("          ", "6279", " - ", "GENERAL EXPENSE")</f>
        <v xml:space="preserve">          6279 - GENERAL EXPENSE</v>
      </c>
      <c r="C81" s="11"/>
      <c r="D81" s="7">
        <v>10376.799999999999</v>
      </c>
      <c r="E81" s="2"/>
      <c r="F81" s="6">
        <f t="shared" si="52"/>
        <v>9.7961095488410463E-3</v>
      </c>
      <c r="G81" s="2"/>
      <c r="H81" s="7">
        <v>2913</v>
      </c>
      <c r="I81" s="2"/>
      <c r="J81" s="6">
        <f t="shared" si="53"/>
        <v>2.7990694751528532E-3</v>
      </c>
      <c r="K81" s="2"/>
      <c r="L81" s="7">
        <f t="shared" si="54"/>
        <v>7463.7999999999993</v>
      </c>
      <c r="M81" s="2"/>
      <c r="N81" s="6">
        <f t="shared" si="55"/>
        <v>2.562238242361826</v>
      </c>
      <c r="O81" s="11"/>
      <c r="P81" s="7">
        <v>76008.12000000001</v>
      </c>
      <c r="Q81" s="2"/>
      <c r="R81" s="6">
        <f t="shared" si="56"/>
        <v>7.4190824363355255E-3</v>
      </c>
      <c r="S81" s="2"/>
      <c r="T81" s="7">
        <v>38323</v>
      </c>
      <c r="U81" s="2"/>
      <c r="V81" s="6">
        <f t="shared" si="57"/>
        <v>3.565788343669309E-3</v>
      </c>
      <c r="W81" s="2"/>
      <c r="X81" s="7">
        <f t="shared" si="58"/>
        <v>37685.12000000001</v>
      </c>
      <c r="Y81" s="2"/>
      <c r="Z81" s="6">
        <f t="shared" si="59"/>
        <v>0.98335516530543043</v>
      </c>
    </row>
    <row r="82" spans="1:26" s="27" customFormat="1" outlineLevel="1" collapsed="1" x14ac:dyDescent="0.25">
      <c r="A82" s="26"/>
      <c r="B82" s="13" t="str">
        <f>CONCATENATE("     ","Insurance                                         ")</f>
        <v xml:space="preserve">     Insurance                                         </v>
      </c>
      <c r="C82" s="13"/>
      <c r="D82" s="1">
        <f>SUM(OSRRefD22_12x_0)</f>
        <v>4246.03</v>
      </c>
      <c r="E82" s="1"/>
      <c r="F82" s="5">
        <f t="shared" ref="F82:F96" si="60">IF(D$12=0,0,D82/D$12)</f>
        <v>4.0084202285546175E-3</v>
      </c>
      <c r="G82" s="1"/>
      <c r="H82" s="1">
        <f>SUM(OSRRefH22_12x_0)</f>
        <v>4009</v>
      </c>
      <c r="I82" s="1"/>
      <c r="J82" s="5">
        <f t="shared" ref="J82:J96" si="61">IF(H$12=0,0,H82/H$12)</f>
        <v>3.8522037507338789E-3</v>
      </c>
      <c r="K82" s="1"/>
      <c r="L82" s="1">
        <f t="shared" ref="L82:L96" si="62">+D82-H82</f>
        <v>237.02999999999975</v>
      </c>
      <c r="M82" s="1"/>
      <c r="N82" s="5">
        <f t="shared" ref="N82:N96" si="63">IF(H82=0,0,L82/H82)</f>
        <v>5.9124469942629022E-2</v>
      </c>
      <c r="O82" s="13"/>
      <c r="P82" s="1">
        <f>SUM(OSRRefP22_12x_0)</f>
        <v>29722.21</v>
      </c>
      <c r="Q82" s="1"/>
      <c r="R82" s="5">
        <f t="shared" ref="R82:R96" si="64">IF(P$12=0,0,P82/P$12)</f>
        <v>2.9011574839645565E-3</v>
      </c>
      <c r="S82" s="1"/>
      <c r="T82" s="1">
        <f>SUM(OSRRefT22_12x_0)</f>
        <v>28063</v>
      </c>
      <c r="U82" s="1"/>
      <c r="V82" s="5">
        <f t="shared" ref="V82:V96" si="65">IF(T$12=0,0,T82/T$12)</f>
        <v>2.6111400017846155E-3</v>
      </c>
      <c r="W82" s="1"/>
      <c r="X82" s="1">
        <f t="shared" ref="X82:X96" si="66">+P82-T82</f>
        <v>1659.2099999999991</v>
      </c>
      <c r="Y82" s="1"/>
      <c r="Z82" s="5">
        <f t="shared" ref="Z82:Z96" si="67">IF(T82=0,0,X82/T82)</f>
        <v>5.912446994262905E-2</v>
      </c>
    </row>
    <row r="83" spans="1:26" s="24" customFormat="1" hidden="1" outlineLevel="2" x14ac:dyDescent="0.25">
      <c r="A83" s="25"/>
      <c r="B83" s="11" t="str">
        <f>CONCATENATE("          ", "6314", " - ", "LIABILITY INSURANCE")</f>
        <v xml:space="preserve">          6314 - LIABILITY INSURANCE</v>
      </c>
      <c r="C83" s="11"/>
      <c r="D83" s="7">
        <v>4246.03</v>
      </c>
      <c r="E83" s="2"/>
      <c r="F83" s="6">
        <f t="shared" si="60"/>
        <v>4.0084202285546175E-3</v>
      </c>
      <c r="G83" s="2"/>
      <c r="H83" s="7">
        <v>4009</v>
      </c>
      <c r="I83" s="2"/>
      <c r="J83" s="6">
        <f t="shared" si="61"/>
        <v>3.8522037507338789E-3</v>
      </c>
      <c r="K83" s="2"/>
      <c r="L83" s="7">
        <f t="shared" si="62"/>
        <v>237.02999999999975</v>
      </c>
      <c r="M83" s="2"/>
      <c r="N83" s="6">
        <f t="shared" si="63"/>
        <v>5.9124469942629022E-2</v>
      </c>
      <c r="O83" s="11"/>
      <c r="P83" s="7">
        <v>29722.21</v>
      </c>
      <c r="Q83" s="2"/>
      <c r="R83" s="6">
        <f t="shared" si="64"/>
        <v>2.9011574839645565E-3</v>
      </c>
      <c r="S83" s="2"/>
      <c r="T83" s="7">
        <v>28063</v>
      </c>
      <c r="U83" s="2"/>
      <c r="V83" s="6">
        <f t="shared" si="65"/>
        <v>2.6111400017846155E-3</v>
      </c>
      <c r="W83" s="2"/>
      <c r="X83" s="7">
        <f t="shared" si="66"/>
        <v>1659.2099999999991</v>
      </c>
      <c r="Y83" s="2"/>
      <c r="Z83" s="6">
        <f t="shared" si="67"/>
        <v>5.912446994262905E-2</v>
      </c>
    </row>
    <row r="84" spans="1:26" s="27" customFormat="1" outlineLevel="1" collapsed="1" x14ac:dyDescent="0.25">
      <c r="A84" s="26"/>
      <c r="B84" s="13" t="str">
        <f>CONCATENATE("     ","Interest                                          ")</f>
        <v xml:space="preserve">     Interest                                          </v>
      </c>
      <c r="C84" s="13"/>
      <c r="D84" s="1">
        <f>SUM(OSRRefD22_13x_0)</f>
        <v>7754</v>
      </c>
      <c r="E84" s="1"/>
      <c r="F84" s="5">
        <f t="shared" si="60"/>
        <v>7.3200826306485129E-3</v>
      </c>
      <c r="G84" s="1"/>
      <c r="H84" s="1">
        <f>SUM(OSRRefH22_13x_0)</f>
        <v>7754</v>
      </c>
      <c r="I84" s="1"/>
      <c r="J84" s="5">
        <f t="shared" si="61"/>
        <v>7.4507328219482411E-3</v>
      </c>
      <c r="K84" s="1"/>
      <c r="L84" s="1">
        <f t="shared" si="62"/>
        <v>0</v>
      </c>
      <c r="M84" s="1"/>
      <c r="N84" s="5">
        <f t="shared" si="63"/>
        <v>0</v>
      </c>
      <c r="O84" s="13"/>
      <c r="P84" s="1">
        <f>SUM(OSRRefP22_13x_0)</f>
        <v>53885.049999999996</v>
      </c>
      <c r="Q84" s="1"/>
      <c r="R84" s="5">
        <f t="shared" si="64"/>
        <v>5.2596699936278057E-3</v>
      </c>
      <c r="S84" s="1"/>
      <c r="T84" s="1">
        <f>SUM(OSRRefT22_13x_0)</f>
        <v>54278</v>
      </c>
      <c r="U84" s="1"/>
      <c r="V84" s="5">
        <f t="shared" si="65"/>
        <v>5.0503316472531572E-3</v>
      </c>
      <c r="W84" s="1"/>
      <c r="X84" s="1">
        <f t="shared" si="66"/>
        <v>-392.95000000000437</v>
      </c>
      <c r="Y84" s="1"/>
      <c r="Z84" s="5">
        <f t="shared" si="67"/>
        <v>-7.239581414201046E-3</v>
      </c>
    </row>
    <row r="85" spans="1:26" s="24" customFormat="1" hidden="1" outlineLevel="2" x14ac:dyDescent="0.25">
      <c r="A85" s="25"/>
      <c r="B85" s="11" t="str">
        <f>CONCATENATE("          ", "6401", " - ", "INTEREST EXPENSE")</f>
        <v xml:space="preserve">          6401 - INTEREST EXPENSE</v>
      </c>
      <c r="C85" s="11"/>
      <c r="D85" s="7">
        <v>7754</v>
      </c>
      <c r="E85" s="2"/>
      <c r="F85" s="6">
        <f t="shared" si="60"/>
        <v>7.3200826306485129E-3</v>
      </c>
      <c r="G85" s="2"/>
      <c r="H85" s="7">
        <v>7754</v>
      </c>
      <c r="I85" s="2"/>
      <c r="J85" s="6">
        <f t="shared" si="61"/>
        <v>7.4507328219482411E-3</v>
      </c>
      <c r="K85" s="2"/>
      <c r="L85" s="7">
        <f t="shared" si="62"/>
        <v>0</v>
      </c>
      <c r="M85" s="2"/>
      <c r="N85" s="6">
        <f t="shared" si="63"/>
        <v>0</v>
      </c>
      <c r="O85" s="11"/>
      <c r="P85" s="7">
        <v>53885.049999999996</v>
      </c>
      <c r="Q85" s="2"/>
      <c r="R85" s="6">
        <f t="shared" si="64"/>
        <v>5.2596699936278057E-3</v>
      </c>
      <c r="S85" s="2"/>
      <c r="T85" s="7">
        <v>54278</v>
      </c>
      <c r="U85" s="2"/>
      <c r="V85" s="6">
        <f t="shared" si="65"/>
        <v>5.0503316472531572E-3</v>
      </c>
      <c r="W85" s="2"/>
      <c r="X85" s="7">
        <f t="shared" si="66"/>
        <v>-392.95000000000437</v>
      </c>
      <c r="Y85" s="2"/>
      <c r="Z85" s="6">
        <f t="shared" si="67"/>
        <v>-7.239581414201046E-3</v>
      </c>
    </row>
    <row r="86" spans="1:26" s="27" customFormat="1" outlineLevel="1" collapsed="1" x14ac:dyDescent="0.25">
      <c r="A86" s="26"/>
      <c r="B86" s="13" t="str">
        <f>CONCATENATE("     ","Professional Services                             ")</f>
        <v xml:space="preserve">     Professional Services                             </v>
      </c>
      <c r="C86" s="13"/>
      <c r="D86" s="1">
        <f>SUM(OSRRefD22_14x_0)</f>
        <v>0</v>
      </c>
      <c r="E86" s="1"/>
      <c r="F86" s="5">
        <f t="shared" si="60"/>
        <v>0</v>
      </c>
      <c r="G86" s="1"/>
      <c r="H86" s="1">
        <f>SUM(OSRRefH22_14x_0)</f>
        <v>0</v>
      </c>
      <c r="I86" s="1"/>
      <c r="J86" s="5">
        <f t="shared" si="61"/>
        <v>0</v>
      </c>
      <c r="K86" s="1"/>
      <c r="L86" s="1">
        <f t="shared" si="62"/>
        <v>0</v>
      </c>
      <c r="M86" s="1"/>
      <c r="N86" s="5">
        <f t="shared" si="63"/>
        <v>0</v>
      </c>
      <c r="O86" s="13"/>
      <c r="P86" s="1">
        <f>SUM(OSRRefP22_14x_0)</f>
        <v>125</v>
      </c>
      <c r="Q86" s="1"/>
      <c r="R86" s="5">
        <f t="shared" si="64"/>
        <v>1.2201134622747419E-5</v>
      </c>
      <c r="S86" s="1"/>
      <c r="T86" s="1">
        <f>SUM(OSRRefT22_14x_0)</f>
        <v>0</v>
      </c>
      <c r="U86" s="1"/>
      <c r="V86" s="5">
        <f t="shared" si="65"/>
        <v>0</v>
      </c>
      <c r="W86" s="1"/>
      <c r="X86" s="1">
        <f t="shared" si="66"/>
        <v>125</v>
      </c>
      <c r="Y86" s="1"/>
      <c r="Z86" s="5">
        <f t="shared" si="67"/>
        <v>0</v>
      </c>
    </row>
    <row r="87" spans="1:26" s="24" customFormat="1" hidden="1" outlineLevel="2" x14ac:dyDescent="0.25">
      <c r="A87" s="25"/>
      <c r="B87" s="11" t="str">
        <f>CONCATENATE("          ", "6336", " - ", "PROFESSIONAL SERVICES")</f>
        <v xml:space="preserve">          6336 - PROFESSIONAL SERVICES</v>
      </c>
      <c r="C87" s="11"/>
      <c r="D87" s="7"/>
      <c r="E87" s="2"/>
      <c r="F87" s="6">
        <f t="shared" si="60"/>
        <v>0</v>
      </c>
      <c r="G87" s="2"/>
      <c r="H87" s="7"/>
      <c r="I87" s="2"/>
      <c r="J87" s="6">
        <f t="shared" si="61"/>
        <v>0</v>
      </c>
      <c r="K87" s="2"/>
      <c r="L87" s="7">
        <f t="shared" si="62"/>
        <v>0</v>
      </c>
      <c r="M87" s="2"/>
      <c r="N87" s="6">
        <f t="shared" si="63"/>
        <v>0</v>
      </c>
      <c r="O87" s="11"/>
      <c r="P87" s="7">
        <v>125</v>
      </c>
      <c r="Q87" s="2"/>
      <c r="R87" s="6">
        <f t="shared" si="64"/>
        <v>1.2201134622747419E-5</v>
      </c>
      <c r="S87" s="2"/>
      <c r="T87" s="7"/>
      <c r="U87" s="2"/>
      <c r="V87" s="6">
        <f t="shared" si="65"/>
        <v>0</v>
      </c>
      <c r="W87" s="2"/>
      <c r="X87" s="7">
        <f t="shared" si="66"/>
        <v>125</v>
      </c>
      <c r="Y87" s="2"/>
      <c r="Z87" s="6">
        <f t="shared" si="67"/>
        <v>0</v>
      </c>
    </row>
    <row r="88" spans="1:26" s="27" customFormat="1" outlineLevel="1" collapsed="1" x14ac:dyDescent="0.25">
      <c r="A88" s="26"/>
      <c r="B88" s="13" t="str">
        <f>CONCATENATE("     ","R/H Commissions                                   ")</f>
        <v xml:space="preserve">     R/H Commissions                                   </v>
      </c>
      <c r="C88" s="13"/>
      <c r="D88" s="1">
        <f>SUM(OSRRefD22_15x_0)</f>
        <v>52199.14</v>
      </c>
      <c r="E88" s="1"/>
      <c r="F88" s="5">
        <f t="shared" si="60"/>
        <v>4.9278052366364455E-2</v>
      </c>
      <c r="G88" s="1"/>
      <c r="H88" s="1">
        <f>SUM(OSRRefH22_15x_0)</f>
        <v>48062</v>
      </c>
      <c r="I88" s="1"/>
      <c r="J88" s="5">
        <f t="shared" si="61"/>
        <v>4.6182244117678149E-2</v>
      </c>
      <c r="K88" s="1"/>
      <c r="L88" s="1">
        <f t="shared" si="62"/>
        <v>4137.1399999999994</v>
      </c>
      <c r="M88" s="1"/>
      <c r="N88" s="5">
        <f t="shared" si="63"/>
        <v>8.607923099330031E-2</v>
      </c>
      <c r="O88" s="13"/>
      <c r="P88" s="1">
        <f>SUM(OSRRefP22_15x_0)</f>
        <v>523790.01000000007</v>
      </c>
      <c r="Q88" s="1"/>
      <c r="R88" s="5">
        <f t="shared" si="64"/>
        <v>5.1126659408481739E-2</v>
      </c>
      <c r="S88" s="1"/>
      <c r="T88" s="1">
        <f>SUM(OSRRefT22_15x_0)</f>
        <v>531964</v>
      </c>
      <c r="U88" s="1"/>
      <c r="V88" s="5">
        <f t="shared" si="65"/>
        <v>4.9496934750716287E-2</v>
      </c>
      <c r="W88" s="1"/>
      <c r="X88" s="1">
        <f t="shared" si="66"/>
        <v>-8173.9899999999325</v>
      </c>
      <c r="Y88" s="1"/>
      <c r="Z88" s="5">
        <f t="shared" si="67"/>
        <v>-1.5365682640178532E-2</v>
      </c>
    </row>
    <row r="89" spans="1:26" s="24" customFormat="1" hidden="1" outlineLevel="2" x14ac:dyDescent="0.25">
      <c r="A89" s="25"/>
      <c r="B89" s="11" t="str">
        <f>CONCATENATE("          ", "6387", " - ", "COMMISSION DUE HOUSING")</f>
        <v xml:space="preserve">          6387 - COMMISSION DUE HOUSING</v>
      </c>
      <c r="C89" s="11"/>
      <c r="D89" s="7">
        <v>52199.14</v>
      </c>
      <c r="E89" s="2"/>
      <c r="F89" s="6">
        <f t="shared" si="60"/>
        <v>4.9278052366364455E-2</v>
      </c>
      <c r="G89" s="2"/>
      <c r="H89" s="7">
        <v>48062</v>
      </c>
      <c r="I89" s="2"/>
      <c r="J89" s="6">
        <f t="shared" si="61"/>
        <v>4.6182244117678149E-2</v>
      </c>
      <c r="K89" s="2"/>
      <c r="L89" s="7">
        <f t="shared" si="62"/>
        <v>4137.1399999999994</v>
      </c>
      <c r="M89" s="2"/>
      <c r="N89" s="6">
        <f t="shared" si="63"/>
        <v>8.607923099330031E-2</v>
      </c>
      <c r="O89" s="11"/>
      <c r="P89" s="7">
        <v>523790.01000000007</v>
      </c>
      <c r="Q89" s="2"/>
      <c r="R89" s="6">
        <f t="shared" si="64"/>
        <v>5.1126659408481739E-2</v>
      </c>
      <c r="S89" s="2"/>
      <c r="T89" s="7">
        <v>531964</v>
      </c>
      <c r="U89" s="2"/>
      <c r="V89" s="6">
        <f t="shared" si="65"/>
        <v>4.9496934750716287E-2</v>
      </c>
      <c r="W89" s="2"/>
      <c r="X89" s="7">
        <f t="shared" si="66"/>
        <v>-8173.9899999999325</v>
      </c>
      <c r="Y89" s="2"/>
      <c r="Z89" s="6">
        <f t="shared" si="67"/>
        <v>-1.5365682640178532E-2</v>
      </c>
    </row>
    <row r="90" spans="1:26" s="27" customFormat="1" outlineLevel="1" collapsed="1" x14ac:dyDescent="0.25">
      <c r="A90" s="26"/>
      <c r="B90" s="13" t="str">
        <f>CONCATENATE("     ","Rent                                              ")</f>
        <v xml:space="preserve">     Rent                                              </v>
      </c>
      <c r="C90" s="13"/>
      <c r="D90" s="1">
        <f>SUM(OSRRefD22_16x_0)</f>
        <v>1850</v>
      </c>
      <c r="E90" s="1"/>
      <c r="F90" s="5">
        <f t="shared" si="60"/>
        <v>1.7464731579442544E-3</v>
      </c>
      <c r="G90" s="1"/>
      <c r="H90" s="1">
        <f>SUM(OSRRefH22_16x_0)</f>
        <v>1850</v>
      </c>
      <c r="I90" s="1"/>
      <c r="J90" s="5">
        <f t="shared" si="61"/>
        <v>1.7776445345117676E-3</v>
      </c>
      <c r="K90" s="1"/>
      <c r="L90" s="1">
        <f t="shared" si="62"/>
        <v>0</v>
      </c>
      <c r="M90" s="1"/>
      <c r="N90" s="5">
        <f t="shared" si="63"/>
        <v>0</v>
      </c>
      <c r="O90" s="13"/>
      <c r="P90" s="1">
        <f>SUM(OSRRefP22_16x_0)</f>
        <v>12950</v>
      </c>
      <c r="Q90" s="1"/>
      <c r="R90" s="5">
        <f t="shared" si="64"/>
        <v>1.2640375469166326E-3</v>
      </c>
      <c r="S90" s="1"/>
      <c r="T90" s="1">
        <f>SUM(OSRRefT22_16x_0)</f>
        <v>12950</v>
      </c>
      <c r="U90" s="1"/>
      <c r="V90" s="5">
        <f t="shared" si="65"/>
        <v>1.2049411332755147E-3</v>
      </c>
      <c r="W90" s="1"/>
      <c r="X90" s="1">
        <f t="shared" si="66"/>
        <v>0</v>
      </c>
      <c r="Y90" s="1"/>
      <c r="Z90" s="5">
        <f t="shared" si="67"/>
        <v>0</v>
      </c>
    </row>
    <row r="91" spans="1:26" s="24" customFormat="1" hidden="1" outlineLevel="2" x14ac:dyDescent="0.25">
      <c r="A91" s="25"/>
      <c r="B91" s="11" t="str">
        <f>CONCATENATE("          ", "6273", " - ", "RENT")</f>
        <v xml:space="preserve">          6273 - RENT</v>
      </c>
      <c r="C91" s="11"/>
      <c r="D91" s="7">
        <v>1850</v>
      </c>
      <c r="E91" s="2"/>
      <c r="F91" s="6">
        <f t="shared" si="60"/>
        <v>1.7464731579442544E-3</v>
      </c>
      <c r="G91" s="2"/>
      <c r="H91" s="7">
        <v>1850</v>
      </c>
      <c r="I91" s="2"/>
      <c r="J91" s="6">
        <f t="shared" si="61"/>
        <v>1.7776445345117676E-3</v>
      </c>
      <c r="K91" s="2"/>
      <c r="L91" s="7">
        <f t="shared" si="62"/>
        <v>0</v>
      </c>
      <c r="M91" s="2"/>
      <c r="N91" s="6">
        <f t="shared" si="63"/>
        <v>0</v>
      </c>
      <c r="O91" s="11"/>
      <c r="P91" s="7">
        <v>12950</v>
      </c>
      <c r="Q91" s="2"/>
      <c r="R91" s="6">
        <f t="shared" si="64"/>
        <v>1.2640375469166326E-3</v>
      </c>
      <c r="S91" s="2"/>
      <c r="T91" s="7">
        <v>12950</v>
      </c>
      <c r="U91" s="2"/>
      <c r="V91" s="6">
        <f t="shared" si="65"/>
        <v>1.2049411332755147E-3</v>
      </c>
      <c r="W91" s="2"/>
      <c r="X91" s="7">
        <f t="shared" si="66"/>
        <v>0</v>
      </c>
      <c r="Y91" s="2"/>
      <c r="Z91" s="6">
        <f t="shared" si="67"/>
        <v>0</v>
      </c>
    </row>
    <row r="92" spans="1:26" s="27" customFormat="1" outlineLevel="1" collapsed="1" x14ac:dyDescent="0.25">
      <c r="A92" s="26"/>
      <c r="B92" s="13" t="str">
        <f>CONCATENATE("     ","Repair and Maintenance                            ")</f>
        <v xml:space="preserve">     Repair and Maintenance                            </v>
      </c>
      <c r="C92" s="13"/>
      <c r="D92" s="1">
        <f>SUM(OSRRefD22_17x_0)</f>
        <v>32479.58</v>
      </c>
      <c r="E92" s="1"/>
      <c r="F92" s="5">
        <f t="shared" si="60"/>
        <v>3.0662007919623268E-2</v>
      </c>
      <c r="G92" s="1"/>
      <c r="H92" s="1">
        <f>SUM(OSRRefH22_17x_0)</f>
        <v>17987</v>
      </c>
      <c r="I92" s="1"/>
      <c r="J92" s="5">
        <f t="shared" si="61"/>
        <v>1.7283509320142248E-2</v>
      </c>
      <c r="K92" s="1"/>
      <c r="L92" s="1">
        <f t="shared" si="62"/>
        <v>14492.580000000002</v>
      </c>
      <c r="M92" s="1"/>
      <c r="N92" s="5">
        <f t="shared" si="63"/>
        <v>0.80572524601100803</v>
      </c>
      <c r="O92" s="13"/>
      <c r="P92" s="1">
        <f>SUM(OSRRefP22_17x_0)</f>
        <v>200739.24</v>
      </c>
      <c r="Q92" s="1"/>
      <c r="R92" s="5">
        <f t="shared" si="64"/>
        <v>1.9593971930464027E-2</v>
      </c>
      <c r="S92" s="1"/>
      <c r="T92" s="1">
        <f>SUM(OSRRefT22_17x_0)</f>
        <v>169920</v>
      </c>
      <c r="U92" s="1"/>
      <c r="V92" s="5">
        <f t="shared" si="65"/>
        <v>1.5810316398932468E-2</v>
      </c>
      <c r="W92" s="1"/>
      <c r="X92" s="1">
        <f t="shared" si="66"/>
        <v>30819.239999999991</v>
      </c>
      <c r="Y92" s="1"/>
      <c r="Z92" s="5">
        <f t="shared" si="67"/>
        <v>0.18137499999999995</v>
      </c>
    </row>
    <row r="93" spans="1:26" s="24" customFormat="1" hidden="1" outlineLevel="2" x14ac:dyDescent="0.25">
      <c r="A93" s="25"/>
      <c r="B93" s="11" t="str">
        <f>CONCATENATE("          ", "6371", " - ", "COMPUTER SOFTWARE MAINTENANCE")</f>
        <v xml:space="preserve">          6371 - COMPUTER SOFTWARE MAINTENANCE</v>
      </c>
      <c r="C93" s="11"/>
      <c r="D93" s="7"/>
      <c r="E93" s="2"/>
      <c r="F93" s="6">
        <f t="shared" si="60"/>
        <v>0</v>
      </c>
      <c r="G93" s="2"/>
      <c r="H93" s="7">
        <v>1997</v>
      </c>
      <c r="I93" s="2"/>
      <c r="J93" s="6">
        <f t="shared" si="61"/>
        <v>1.9188952083351351E-3</v>
      </c>
      <c r="K93" s="2"/>
      <c r="L93" s="7">
        <f t="shared" si="62"/>
        <v>-1997</v>
      </c>
      <c r="M93" s="2"/>
      <c r="N93" s="6">
        <f t="shared" si="63"/>
        <v>-1</v>
      </c>
      <c r="O93" s="11"/>
      <c r="P93" s="7">
        <v>33750.620000000003</v>
      </c>
      <c r="Q93" s="2"/>
      <c r="R93" s="6">
        <f t="shared" si="64"/>
        <v>3.294366865769532E-3</v>
      </c>
      <c r="S93" s="2"/>
      <c r="T93" s="7">
        <v>12279</v>
      </c>
      <c r="U93" s="2"/>
      <c r="V93" s="6">
        <f t="shared" si="65"/>
        <v>1.1425075038988452E-3</v>
      </c>
      <c r="W93" s="2"/>
      <c r="X93" s="7">
        <f t="shared" si="66"/>
        <v>21471.620000000003</v>
      </c>
      <c r="Y93" s="2"/>
      <c r="Z93" s="6">
        <f t="shared" si="67"/>
        <v>1.7486456551836471</v>
      </c>
    </row>
    <row r="94" spans="1:26" s="24" customFormat="1" hidden="1" outlineLevel="2" x14ac:dyDescent="0.25">
      <c r="A94" s="25"/>
      <c r="B94" s="11" t="str">
        <f>CONCATENATE("          ", "6372", " - ", "COMPUTER HARDWARE MAINTENANCE")</f>
        <v xml:space="preserve">          6372 - COMPUTER HARDWARE MAINTENANCE</v>
      </c>
      <c r="C94" s="11"/>
      <c r="D94" s="7">
        <v>-0.01</v>
      </c>
      <c r="E94" s="2"/>
      <c r="F94" s="6">
        <f t="shared" si="60"/>
        <v>-9.4403954483473212E-9</v>
      </c>
      <c r="G94" s="2"/>
      <c r="H94" s="7"/>
      <c r="I94" s="2"/>
      <c r="J94" s="6">
        <f t="shared" si="61"/>
        <v>0</v>
      </c>
      <c r="K94" s="2"/>
      <c r="L94" s="7">
        <f t="shared" si="62"/>
        <v>-0.01</v>
      </c>
      <c r="M94" s="2"/>
      <c r="N94" s="6">
        <f t="shared" si="63"/>
        <v>0</v>
      </c>
      <c r="O94" s="11"/>
      <c r="P94" s="7">
        <v>-0.01</v>
      </c>
      <c r="Q94" s="2"/>
      <c r="R94" s="6">
        <f t="shared" si="64"/>
        <v>-9.7609076981979354E-10</v>
      </c>
      <c r="S94" s="2"/>
      <c r="T94" s="7">
        <v>340</v>
      </c>
      <c r="U94" s="2"/>
      <c r="V94" s="6">
        <f t="shared" si="65"/>
        <v>3.1635520101442089E-5</v>
      </c>
      <c r="W94" s="2"/>
      <c r="X94" s="7">
        <f t="shared" si="66"/>
        <v>-340.01</v>
      </c>
      <c r="Y94" s="2"/>
      <c r="Z94" s="6">
        <f t="shared" si="67"/>
        <v>-1.0000294117647059</v>
      </c>
    </row>
    <row r="95" spans="1:26" s="24" customFormat="1" hidden="1" outlineLevel="2" x14ac:dyDescent="0.25">
      <c r="A95" s="25"/>
      <c r="B95" s="11" t="str">
        <f>CONCATENATE("          ", "6373", " - ", "MAINTENANCE CONTRACTS")</f>
        <v xml:space="preserve">          6373 - MAINTENANCE CONTRACTS</v>
      </c>
      <c r="C95" s="11"/>
      <c r="D95" s="7">
        <v>6799</v>
      </c>
      <c r="E95" s="2"/>
      <c r="F95" s="6">
        <f t="shared" si="60"/>
        <v>6.4185248653313431E-3</v>
      </c>
      <c r="G95" s="2"/>
      <c r="H95" s="7">
        <v>2230</v>
      </c>
      <c r="I95" s="2"/>
      <c r="J95" s="6">
        <f t="shared" si="61"/>
        <v>2.1427823307898601E-3</v>
      </c>
      <c r="K95" s="2"/>
      <c r="L95" s="7">
        <f t="shared" si="62"/>
        <v>4569</v>
      </c>
      <c r="M95" s="2"/>
      <c r="N95" s="6">
        <f t="shared" si="63"/>
        <v>2.0488789237668161</v>
      </c>
      <c r="O95" s="11"/>
      <c r="P95" s="7">
        <v>65602.439999999988</v>
      </c>
      <c r="Q95" s="2"/>
      <c r="R95" s="6">
        <f t="shared" si="64"/>
        <v>6.4033936161656804E-3</v>
      </c>
      <c r="S95" s="2"/>
      <c r="T95" s="7">
        <v>19856</v>
      </c>
      <c r="U95" s="2"/>
      <c r="V95" s="6">
        <f t="shared" si="65"/>
        <v>1.8475143739242179E-3</v>
      </c>
      <c r="W95" s="2"/>
      <c r="X95" s="7">
        <f t="shared" si="66"/>
        <v>45746.439999999988</v>
      </c>
      <c r="Y95" s="2"/>
      <c r="Z95" s="6">
        <f t="shared" si="67"/>
        <v>2.3039101531023363</v>
      </c>
    </row>
    <row r="96" spans="1:26" s="24" customFormat="1" hidden="1" outlineLevel="2" x14ac:dyDescent="0.25">
      <c r="A96" s="25"/>
      <c r="B96" s="11" t="str">
        <f>CONCATENATE("          ", "6375", " - ", "OUTSIDE REPAIRS &amp; MAINTENANCE")</f>
        <v xml:space="preserve">          6375 - OUTSIDE REPAIRS &amp; MAINTENANCE</v>
      </c>
      <c r="C96" s="11"/>
      <c r="D96" s="7">
        <v>25680.59</v>
      </c>
      <c r="E96" s="2"/>
      <c r="F96" s="6">
        <f t="shared" si="60"/>
        <v>2.4243492494687373E-2</v>
      </c>
      <c r="G96" s="2"/>
      <c r="H96" s="7">
        <v>13760</v>
      </c>
      <c r="I96" s="2"/>
      <c r="J96" s="6">
        <f t="shared" si="61"/>
        <v>1.3221831781017254E-2</v>
      </c>
      <c r="K96" s="2"/>
      <c r="L96" s="7">
        <f t="shared" si="62"/>
        <v>11920.59</v>
      </c>
      <c r="M96" s="2"/>
      <c r="N96" s="6">
        <f t="shared" si="63"/>
        <v>0.86632194767441861</v>
      </c>
      <c r="O96" s="11"/>
      <c r="P96" s="7">
        <v>101386.19</v>
      </c>
      <c r="Q96" s="2"/>
      <c r="R96" s="6">
        <f t="shared" si="64"/>
        <v>9.8962124246195857E-3</v>
      </c>
      <c r="S96" s="2"/>
      <c r="T96" s="7">
        <v>137445</v>
      </c>
      <c r="U96" s="2"/>
      <c r="V96" s="6">
        <f t="shared" si="65"/>
        <v>1.2788659001007964E-2</v>
      </c>
      <c r="W96" s="2"/>
      <c r="X96" s="7">
        <f t="shared" si="66"/>
        <v>-36058.81</v>
      </c>
      <c r="Y96" s="2"/>
      <c r="Z96" s="6">
        <f t="shared" si="67"/>
        <v>-0.26235083124158753</v>
      </c>
    </row>
    <row r="97" spans="1:26" s="27" customFormat="1" outlineLevel="1" collapsed="1" x14ac:dyDescent="0.25">
      <c r="A97" s="26"/>
      <c r="B97" s="13" t="str">
        <f>CONCATENATE("     ","Royalty &amp; Commissions                             ")</f>
        <v xml:space="preserve">     Royalty &amp; Commissions                             </v>
      </c>
      <c r="C97" s="13"/>
      <c r="D97" s="1">
        <f>SUM(OSRRefD22_18x_0)</f>
        <v>25849.93</v>
      </c>
      <c r="E97" s="1"/>
      <c r="F97" s="5">
        <f t="shared" ref="F97:F100" si="68">IF(D$12=0,0,D97/D$12)</f>
        <v>2.4403356151209685E-2</v>
      </c>
      <c r="G97" s="1"/>
      <c r="H97" s="1">
        <f>SUM(OSRRefH22_18x_0)</f>
        <v>23440</v>
      </c>
      <c r="I97" s="1"/>
      <c r="J97" s="5">
        <f t="shared" ref="J97:J100" si="69">IF(H$12=0,0,H97/H$12)</f>
        <v>2.2523236696732882E-2</v>
      </c>
      <c r="K97" s="1"/>
      <c r="L97" s="1">
        <f t="shared" ref="L97:L100" si="70">+D97-H97</f>
        <v>2409.9300000000003</v>
      </c>
      <c r="M97" s="1"/>
      <c r="N97" s="5">
        <f t="shared" ref="N97:N100" si="71">IF(H97=0,0,L97/H97)</f>
        <v>0.10281271331058021</v>
      </c>
      <c r="O97" s="13"/>
      <c r="P97" s="1">
        <f>SUM(OSRRefP22_18x_0)</f>
        <v>159522.10999999999</v>
      </c>
      <c r="Q97" s="1"/>
      <c r="R97" s="5">
        <f t="shared" ref="R97:R100" si="72">IF(P$12=0,0,P97/P$12)</f>
        <v>1.5570805915317776E-2</v>
      </c>
      <c r="S97" s="1"/>
      <c r="T97" s="1">
        <f>SUM(OSRRefT22_18x_0)</f>
        <v>151901</v>
      </c>
      <c r="U97" s="1"/>
      <c r="V97" s="5">
        <f t="shared" ref="V97:V100" si="73">IF(T$12=0,0,T97/T$12)</f>
        <v>1.4133726879203395E-2</v>
      </c>
      <c r="W97" s="1"/>
      <c r="X97" s="1">
        <f t="shared" ref="X97:X100" si="74">+P97-T97</f>
        <v>7621.109999999986</v>
      </c>
      <c r="Y97" s="1"/>
      <c r="Z97" s="5">
        <f t="shared" ref="Z97:Z100" si="75">IF(T97=0,0,X97/T97)</f>
        <v>5.0171559107576556E-2</v>
      </c>
    </row>
    <row r="98" spans="1:26" s="24" customFormat="1" hidden="1" outlineLevel="2" x14ac:dyDescent="0.25">
      <c r="A98" s="25"/>
      <c r="B98" s="11" t="str">
        <f>CONCATENATE("          ", "6253", " - ", "ROYALTY DUE ATHLETICS-LRG")</f>
        <v xml:space="preserve">          6253 - ROYALTY DUE ATHLETICS-LRG</v>
      </c>
      <c r="C98" s="11"/>
      <c r="D98" s="7"/>
      <c r="E98" s="2"/>
      <c r="F98" s="6">
        <f t="shared" si="68"/>
        <v>0</v>
      </c>
      <c r="G98" s="2"/>
      <c r="H98" s="7">
        <v>16000</v>
      </c>
      <c r="I98" s="2"/>
      <c r="J98" s="6">
        <f t="shared" si="69"/>
        <v>1.5374223001182854E-2</v>
      </c>
      <c r="K98" s="2"/>
      <c r="L98" s="7">
        <f t="shared" si="70"/>
        <v>-16000</v>
      </c>
      <c r="M98" s="2"/>
      <c r="N98" s="6">
        <f t="shared" si="71"/>
        <v>-1</v>
      </c>
      <c r="O98" s="11"/>
      <c r="P98" s="7"/>
      <c r="Q98" s="2"/>
      <c r="R98" s="6">
        <f t="shared" si="72"/>
        <v>0</v>
      </c>
      <c r="S98" s="2"/>
      <c r="T98" s="7">
        <v>51000</v>
      </c>
      <c r="U98" s="2"/>
      <c r="V98" s="6">
        <f t="shared" si="73"/>
        <v>4.7453280152163126E-3</v>
      </c>
      <c r="W98" s="2"/>
      <c r="X98" s="7">
        <f t="shared" si="74"/>
        <v>-51000</v>
      </c>
      <c r="Y98" s="2"/>
      <c r="Z98" s="6">
        <f t="shared" si="75"/>
        <v>-1</v>
      </c>
    </row>
    <row r="99" spans="1:26" s="24" customFormat="1" hidden="1" outlineLevel="2" x14ac:dyDescent="0.25">
      <c r="A99" s="25"/>
      <c r="B99" s="11" t="str">
        <f>CONCATENATE("          ", "6254", " - ", "ROYALTY &amp; COMMISSIONS")</f>
        <v xml:space="preserve">          6254 - ROYALTY &amp; COMMISSIONS</v>
      </c>
      <c r="C99" s="11"/>
      <c r="D99" s="7">
        <v>17641.37</v>
      </c>
      <c r="E99" s="2"/>
      <c r="F99" s="6">
        <f t="shared" si="68"/>
        <v>1.6654150905061095E-2</v>
      </c>
      <c r="G99" s="2"/>
      <c r="H99" s="7"/>
      <c r="I99" s="2"/>
      <c r="J99" s="6">
        <f t="shared" si="69"/>
        <v>0</v>
      </c>
      <c r="K99" s="2"/>
      <c r="L99" s="7">
        <f t="shared" si="70"/>
        <v>17641.37</v>
      </c>
      <c r="M99" s="2"/>
      <c r="N99" s="6">
        <f t="shared" si="71"/>
        <v>0</v>
      </c>
      <c r="O99" s="11"/>
      <c r="P99" s="7">
        <v>78668.429999999993</v>
      </c>
      <c r="Q99" s="2"/>
      <c r="R99" s="6">
        <f t="shared" si="72"/>
        <v>7.6787528399214532E-3</v>
      </c>
      <c r="S99" s="2"/>
      <c r="T99" s="7">
        <v>5117</v>
      </c>
      <c r="U99" s="2"/>
      <c r="V99" s="6">
        <f t="shared" si="73"/>
        <v>4.7611457752670341E-4</v>
      </c>
      <c r="W99" s="2"/>
      <c r="X99" s="7">
        <f t="shared" si="74"/>
        <v>73551.429999999993</v>
      </c>
      <c r="Y99" s="2"/>
      <c r="Z99" s="6">
        <f t="shared" si="75"/>
        <v>14.373935899941371</v>
      </c>
    </row>
    <row r="100" spans="1:26" s="24" customFormat="1" hidden="1" outlineLevel="2" x14ac:dyDescent="0.25">
      <c r="A100" s="25"/>
      <c r="B100" s="11" t="str">
        <f>CONCATENATE("          ", "6259", " - ", "ROYALTY &amp; COMMISSIONS")</f>
        <v xml:space="preserve">          6259 - ROYALTY &amp; COMMISSIONS</v>
      </c>
      <c r="C100" s="11"/>
      <c r="D100" s="7">
        <v>8208.56</v>
      </c>
      <c r="E100" s="2"/>
      <c r="F100" s="6">
        <f t="shared" si="68"/>
        <v>7.749205246148588E-3</v>
      </c>
      <c r="G100" s="2"/>
      <c r="H100" s="7">
        <v>7440</v>
      </c>
      <c r="I100" s="2"/>
      <c r="J100" s="6">
        <f t="shared" si="69"/>
        <v>7.1490136955500274E-3</v>
      </c>
      <c r="K100" s="2"/>
      <c r="L100" s="7">
        <f t="shared" si="70"/>
        <v>768.55999999999949</v>
      </c>
      <c r="M100" s="2"/>
      <c r="N100" s="6">
        <f t="shared" si="71"/>
        <v>0.10330107526881714</v>
      </c>
      <c r="O100" s="11"/>
      <c r="P100" s="7">
        <v>80853.679999999993</v>
      </c>
      <c r="Q100" s="2"/>
      <c r="R100" s="6">
        <f t="shared" si="72"/>
        <v>7.8920530753963224E-3</v>
      </c>
      <c r="S100" s="2"/>
      <c r="T100" s="7">
        <v>95784</v>
      </c>
      <c r="U100" s="2"/>
      <c r="V100" s="6">
        <f t="shared" si="73"/>
        <v>8.9122842864603792E-3</v>
      </c>
      <c r="W100" s="2"/>
      <c r="X100" s="7">
        <f t="shared" si="74"/>
        <v>-14930.320000000007</v>
      </c>
      <c r="Y100" s="2"/>
      <c r="Z100" s="6">
        <f t="shared" si="75"/>
        <v>-0.15587488515827286</v>
      </c>
    </row>
    <row r="101" spans="1:26" s="27" customFormat="1" outlineLevel="1" collapsed="1" x14ac:dyDescent="0.25">
      <c r="A101" s="26"/>
      <c r="B101" s="13" t="str">
        <f>CONCATENATE("     ","Services                                          ")</f>
        <v xml:space="preserve">     Services                                          </v>
      </c>
      <c r="C101" s="13"/>
      <c r="D101" s="1">
        <f>SUM(OSRRefD22_19x_0)</f>
        <v>41158.04</v>
      </c>
      <c r="E101" s="1"/>
      <c r="F101" s="5">
        <f t="shared" ref="F101:F106" si="76">IF(D$12=0,0,D101/D$12)</f>
        <v>3.8854817347889696E-2</v>
      </c>
      <c r="G101" s="1"/>
      <c r="H101" s="1">
        <f>SUM(OSRRefH22_19x_0)</f>
        <v>43936</v>
      </c>
      <c r="I101" s="1"/>
      <c r="J101" s="5">
        <f t="shared" ref="J101:J106" si="77">IF(H$12=0,0,H101/H$12)</f>
        <v>4.2217616361248121E-2</v>
      </c>
      <c r="K101" s="1"/>
      <c r="L101" s="1">
        <f t="shared" ref="L101:L106" si="78">+D101-H101</f>
        <v>-2777.9599999999991</v>
      </c>
      <c r="M101" s="1"/>
      <c r="N101" s="5">
        <f t="shared" ref="N101:N106" si="79">IF(H101=0,0,L101/H101)</f>
        <v>-6.322742170429714E-2</v>
      </c>
      <c r="O101" s="13"/>
      <c r="P101" s="1">
        <f>SUM(OSRRefP22_19x_0)</f>
        <v>285952.71999999997</v>
      </c>
      <c r="Q101" s="1"/>
      <c r="R101" s="5">
        <f t="shared" ref="R101:R106" si="80">IF(P$12=0,0,P101/P$12)</f>
        <v>2.7911581059686382E-2</v>
      </c>
      <c r="S101" s="1"/>
      <c r="T101" s="1">
        <f>SUM(OSRRefT22_19x_0)</f>
        <v>289238</v>
      </c>
      <c r="U101" s="1"/>
      <c r="V101" s="5">
        <f t="shared" ref="V101:V106" si="81">IF(T$12=0,0,T101/T$12)</f>
        <v>2.6912336950296784E-2</v>
      </c>
      <c r="W101" s="1"/>
      <c r="X101" s="1">
        <f t="shared" ref="X101:X106" si="82">+P101-T101</f>
        <v>-3285.2800000000279</v>
      </c>
      <c r="Y101" s="1"/>
      <c r="Z101" s="5">
        <f t="shared" ref="Z101:Z106" si="83">IF(T101=0,0,X101/T101)</f>
        <v>-1.1358396891141648E-2</v>
      </c>
    </row>
    <row r="102" spans="1:26" s="24" customFormat="1" hidden="1" outlineLevel="2" x14ac:dyDescent="0.25">
      <c r="A102" s="25"/>
      <c r="B102" s="11" t="str">
        <f>CONCATENATE("          ", "6282", " - ", "JANITORIAL/EXTERMINATOR EXPENS")</f>
        <v xml:space="preserve">          6282 - JANITORIAL/EXTERMINATOR EXPENS</v>
      </c>
      <c r="C102" s="11"/>
      <c r="D102" s="7">
        <v>949.03</v>
      </c>
      <c r="E102" s="2"/>
      <c r="F102" s="6">
        <f t="shared" si="76"/>
        <v>8.9592184923450579E-4</v>
      </c>
      <c r="G102" s="2"/>
      <c r="H102" s="7">
        <v>2985</v>
      </c>
      <c r="I102" s="2"/>
      <c r="J102" s="6">
        <f t="shared" si="77"/>
        <v>2.8682534786581763E-3</v>
      </c>
      <c r="K102" s="2"/>
      <c r="L102" s="7">
        <f t="shared" si="78"/>
        <v>-2035.97</v>
      </c>
      <c r="M102" s="2"/>
      <c r="N102" s="6">
        <f t="shared" si="79"/>
        <v>-0.68206700167504186</v>
      </c>
      <c r="O102" s="11"/>
      <c r="P102" s="7">
        <v>20720.12</v>
      </c>
      <c r="Q102" s="2"/>
      <c r="R102" s="6">
        <f t="shared" si="80"/>
        <v>2.0224717881558497E-3</v>
      </c>
      <c r="S102" s="2"/>
      <c r="T102" s="7">
        <v>20680</v>
      </c>
      <c r="U102" s="2"/>
      <c r="V102" s="6">
        <f t="shared" si="81"/>
        <v>1.9241839873465362E-3</v>
      </c>
      <c r="W102" s="2"/>
      <c r="X102" s="7">
        <f t="shared" si="82"/>
        <v>40.119999999998981</v>
      </c>
      <c r="Y102" s="2"/>
      <c r="Z102" s="6">
        <f t="shared" si="83"/>
        <v>1.9400386847194865E-3</v>
      </c>
    </row>
    <row r="103" spans="1:26" s="24" customFormat="1" hidden="1" outlineLevel="2" x14ac:dyDescent="0.25">
      <c r="A103" s="25"/>
      <c r="B103" s="11" t="str">
        <f>CONCATENATE("          ", "6283", " - ", "PLANT SERVICE")</f>
        <v xml:space="preserve">          6283 - PLANT SERVICE</v>
      </c>
      <c r="C103" s="11"/>
      <c r="D103" s="7"/>
      <c r="E103" s="2"/>
      <c r="F103" s="6">
        <f t="shared" si="76"/>
        <v>0</v>
      </c>
      <c r="G103" s="2"/>
      <c r="H103" s="7">
        <v>185</v>
      </c>
      <c r="I103" s="2"/>
      <c r="J103" s="6">
        <f t="shared" si="77"/>
        <v>1.7776445345117674E-4</v>
      </c>
      <c r="K103" s="2"/>
      <c r="L103" s="7">
        <f t="shared" si="78"/>
        <v>-185</v>
      </c>
      <c r="M103" s="2"/>
      <c r="N103" s="6">
        <f t="shared" si="79"/>
        <v>-1</v>
      </c>
      <c r="O103" s="11"/>
      <c r="P103" s="7">
        <v>799.12</v>
      </c>
      <c r="Q103" s="2"/>
      <c r="R103" s="6">
        <f t="shared" si="80"/>
        <v>7.8001365597839343E-5</v>
      </c>
      <c r="S103" s="2"/>
      <c r="T103" s="7">
        <v>1260</v>
      </c>
      <c r="U103" s="2"/>
      <c r="V103" s="6">
        <f t="shared" si="81"/>
        <v>1.1723751567005008E-4</v>
      </c>
      <c r="W103" s="2"/>
      <c r="X103" s="7">
        <f t="shared" si="82"/>
        <v>-460.88</v>
      </c>
      <c r="Y103" s="2"/>
      <c r="Z103" s="6">
        <f t="shared" si="83"/>
        <v>-0.36577777777777776</v>
      </c>
    </row>
    <row r="104" spans="1:26" s="24" customFormat="1" hidden="1" outlineLevel="2" x14ac:dyDescent="0.25">
      <c r="A104" s="25"/>
      <c r="B104" s="11" t="str">
        <f>CONCATENATE("          ", "6284", " - ", "TRASH REMOVAL EXPENSE")</f>
        <v xml:space="preserve">          6284 - TRASH REMOVAL EXPENSE</v>
      </c>
      <c r="C104" s="11"/>
      <c r="D104" s="7">
        <v>5130</v>
      </c>
      <c r="E104" s="2"/>
      <c r="F104" s="6">
        <f t="shared" si="76"/>
        <v>4.8429228650021753E-3</v>
      </c>
      <c r="G104" s="2"/>
      <c r="H104" s="7">
        <v>4065</v>
      </c>
      <c r="I104" s="2"/>
      <c r="J104" s="6">
        <f t="shared" si="77"/>
        <v>3.9060135312380191E-3</v>
      </c>
      <c r="K104" s="2"/>
      <c r="L104" s="7">
        <f t="shared" si="78"/>
        <v>1065</v>
      </c>
      <c r="M104" s="2"/>
      <c r="N104" s="6">
        <f t="shared" si="79"/>
        <v>0.26199261992619927</v>
      </c>
      <c r="O104" s="11"/>
      <c r="P104" s="7">
        <v>28023</v>
      </c>
      <c r="Q104" s="2"/>
      <c r="R104" s="6">
        <f t="shared" si="80"/>
        <v>2.7352991642660071E-3</v>
      </c>
      <c r="S104" s="2"/>
      <c r="T104" s="7">
        <v>28405</v>
      </c>
      <c r="U104" s="2"/>
      <c r="V104" s="6">
        <f t="shared" si="81"/>
        <v>2.6429616131807719E-3</v>
      </c>
      <c r="W104" s="2"/>
      <c r="X104" s="7">
        <f t="shared" si="82"/>
        <v>-382</v>
      </c>
      <c r="Y104" s="2"/>
      <c r="Z104" s="6">
        <f t="shared" si="83"/>
        <v>-1.3448336560464708E-2</v>
      </c>
    </row>
    <row r="105" spans="1:26" s="24" customFormat="1" hidden="1" outlineLevel="2" x14ac:dyDescent="0.25">
      <c r="A105" s="25"/>
      <c r="B105" s="11" t="str">
        <f>CONCATENATE("          ", "6285", " - ", "JANITORIAL SERVICES")</f>
        <v xml:space="preserve">          6285 - JANITORIAL SERVICES</v>
      </c>
      <c r="C105" s="11"/>
      <c r="D105" s="7">
        <v>28418.02</v>
      </c>
      <c r="E105" s="2"/>
      <c r="F105" s="6">
        <f t="shared" si="76"/>
        <v>2.6827734665904313E-2</v>
      </c>
      <c r="G105" s="2"/>
      <c r="H105" s="7">
        <v>28461</v>
      </c>
      <c r="I105" s="2"/>
      <c r="J105" s="6">
        <f t="shared" si="77"/>
        <v>2.7347860052291575E-2</v>
      </c>
      <c r="K105" s="2"/>
      <c r="L105" s="7">
        <f t="shared" si="78"/>
        <v>-42.979999999999563</v>
      </c>
      <c r="M105" s="2"/>
      <c r="N105" s="6">
        <f t="shared" si="79"/>
        <v>-1.5101366782614653E-3</v>
      </c>
      <c r="O105" s="11"/>
      <c r="P105" s="7">
        <v>182149.8</v>
      </c>
      <c r="Q105" s="2"/>
      <c r="R105" s="6">
        <f t="shared" si="80"/>
        <v>1.777947385045214E-2</v>
      </c>
      <c r="S105" s="2"/>
      <c r="T105" s="7">
        <v>179081</v>
      </c>
      <c r="U105" s="2"/>
      <c r="V105" s="6">
        <f t="shared" si="81"/>
        <v>1.6662707574371619E-2</v>
      </c>
      <c r="W105" s="2"/>
      <c r="X105" s="7">
        <f t="shared" si="82"/>
        <v>3068.7999999999884</v>
      </c>
      <c r="Y105" s="2"/>
      <c r="Z105" s="6">
        <f t="shared" si="83"/>
        <v>1.7136379627096052E-2</v>
      </c>
    </row>
    <row r="106" spans="1:26" s="24" customFormat="1" hidden="1" outlineLevel="2" x14ac:dyDescent="0.25">
      <c r="A106" s="25"/>
      <c r="B106" s="11" t="str">
        <f>CONCATENATE("          ", "6286", " - ", "LAUNDRY EXPENSE")</f>
        <v xml:space="preserve">          6286 - LAUNDRY EXPENSE</v>
      </c>
      <c r="C106" s="11"/>
      <c r="D106" s="7">
        <v>6660.99</v>
      </c>
      <c r="E106" s="2"/>
      <c r="F106" s="6">
        <f t="shared" si="76"/>
        <v>6.2882379677487018E-3</v>
      </c>
      <c r="G106" s="2"/>
      <c r="H106" s="7">
        <v>8240</v>
      </c>
      <c r="I106" s="2"/>
      <c r="J106" s="6">
        <f t="shared" si="77"/>
        <v>7.9177248456091705E-3</v>
      </c>
      <c r="K106" s="2"/>
      <c r="L106" s="7">
        <f t="shared" si="78"/>
        <v>-1579.0100000000002</v>
      </c>
      <c r="M106" s="2"/>
      <c r="N106" s="6">
        <f t="shared" si="79"/>
        <v>-0.19162742718446604</v>
      </c>
      <c r="O106" s="11"/>
      <c r="P106" s="7">
        <v>54260.68</v>
      </c>
      <c r="Q106" s="2"/>
      <c r="R106" s="6">
        <f t="shared" si="80"/>
        <v>5.2963348912145472E-3</v>
      </c>
      <c r="S106" s="2"/>
      <c r="T106" s="7">
        <v>59812</v>
      </c>
      <c r="U106" s="2"/>
      <c r="V106" s="6">
        <f t="shared" si="81"/>
        <v>5.5652462597278064E-3</v>
      </c>
      <c r="W106" s="2"/>
      <c r="X106" s="7">
        <f t="shared" si="82"/>
        <v>-5551.32</v>
      </c>
      <c r="Y106" s="2"/>
      <c r="Z106" s="6">
        <f t="shared" si="83"/>
        <v>-9.2812813482244363E-2</v>
      </c>
    </row>
    <row r="107" spans="1:26" s="27" customFormat="1" outlineLevel="1" collapsed="1" x14ac:dyDescent="0.25">
      <c r="A107" s="26"/>
      <c r="B107" s="13" t="str">
        <f>CONCATENATE("     ","Subscriptions &amp; Dues                              ")</f>
        <v xml:space="preserve">     Subscriptions &amp; Dues                              </v>
      </c>
      <c r="C107" s="13"/>
      <c r="D107" s="1">
        <f>SUM(OSRRefD22_20x_0)</f>
        <v>585.98</v>
      </c>
      <c r="E107" s="1"/>
      <c r="F107" s="5">
        <f t="shared" ref="F107:F109" si="84">IF(D$12=0,0,D107/D$12)</f>
        <v>5.5318829248225633E-4</v>
      </c>
      <c r="G107" s="1"/>
      <c r="H107" s="1">
        <f>SUM(OSRRefH22_20x_0)</f>
        <v>394</v>
      </c>
      <c r="I107" s="1"/>
      <c r="J107" s="5">
        <f t="shared" ref="J107:J109" si="85">IF(H$12=0,0,H107/H$12)</f>
        <v>3.785902414041278E-4</v>
      </c>
      <c r="K107" s="1"/>
      <c r="L107" s="1">
        <f t="shared" ref="L107:L109" si="86">+D107-H107</f>
        <v>191.98000000000002</v>
      </c>
      <c r="M107" s="1"/>
      <c r="N107" s="5">
        <f t="shared" ref="N107:N109" si="87">IF(H107=0,0,L107/H107)</f>
        <v>0.48725888324873101</v>
      </c>
      <c r="O107" s="13"/>
      <c r="P107" s="1">
        <f>SUM(OSRRefP22_20x_0)</f>
        <v>6860.58</v>
      </c>
      <c r="Q107" s="1"/>
      <c r="R107" s="5">
        <f t="shared" ref="R107:R109" si="88">IF(P$12=0,0,P107/P$12)</f>
        <v>6.6965488136102788E-4</v>
      </c>
      <c r="S107" s="1"/>
      <c r="T107" s="1">
        <f>SUM(OSRRefT22_20x_0)</f>
        <v>2583</v>
      </c>
      <c r="U107" s="1"/>
      <c r="V107" s="5">
        <f t="shared" ref="V107:V109" si="89">IF(T$12=0,0,T107/T$12)</f>
        <v>2.4033690712360267E-4</v>
      </c>
      <c r="W107" s="1"/>
      <c r="X107" s="1">
        <f t="shared" ref="X107:X109" si="90">+P107-T107</f>
        <v>4277.58</v>
      </c>
      <c r="Y107" s="1"/>
      <c r="Z107" s="5">
        <f t="shared" ref="Z107:Z109" si="91">IF(T107=0,0,X107/T107)</f>
        <v>1.6560511033681764</v>
      </c>
    </row>
    <row r="108" spans="1:26" s="24" customFormat="1" hidden="1" outlineLevel="2" x14ac:dyDescent="0.25">
      <c r="A108" s="25"/>
      <c r="B108" s="11" t="str">
        <f>CONCATENATE("          ", "6258", " - ", "MEMBERSHIP DUES")</f>
        <v xml:space="preserve">          6258 - MEMBERSHIP DUES</v>
      </c>
      <c r="C108" s="11"/>
      <c r="D108" s="7">
        <v>131.19999999999999</v>
      </c>
      <c r="E108" s="2"/>
      <c r="F108" s="6">
        <f t="shared" si="84"/>
        <v>1.2385798828231683E-4</v>
      </c>
      <c r="G108" s="2"/>
      <c r="H108" s="7"/>
      <c r="I108" s="2"/>
      <c r="J108" s="6">
        <f t="shared" si="85"/>
        <v>0</v>
      </c>
      <c r="K108" s="2"/>
      <c r="L108" s="7">
        <f t="shared" si="86"/>
        <v>131.19999999999999</v>
      </c>
      <c r="M108" s="2"/>
      <c r="N108" s="6">
        <f t="shared" si="87"/>
        <v>0</v>
      </c>
      <c r="O108" s="11"/>
      <c r="P108" s="7">
        <v>3861.2</v>
      </c>
      <c r="Q108" s="2"/>
      <c r="R108" s="6">
        <f t="shared" si="88"/>
        <v>3.7688816804281862E-4</v>
      </c>
      <c r="S108" s="2"/>
      <c r="T108" s="7"/>
      <c r="U108" s="2"/>
      <c r="V108" s="6">
        <f t="shared" si="89"/>
        <v>0</v>
      </c>
      <c r="W108" s="2"/>
      <c r="X108" s="7">
        <f t="shared" si="90"/>
        <v>3861.2</v>
      </c>
      <c r="Y108" s="2"/>
      <c r="Z108" s="6">
        <f t="shared" si="91"/>
        <v>0</v>
      </c>
    </row>
    <row r="109" spans="1:26" s="24" customFormat="1" hidden="1" outlineLevel="2" x14ac:dyDescent="0.25">
      <c r="A109" s="25"/>
      <c r="B109" s="11" t="str">
        <f>CONCATENATE("          ", "6275", " - ", "SUBSCRIPTIONS")</f>
        <v xml:space="preserve">          6275 - SUBSCRIPTIONS</v>
      </c>
      <c r="C109" s="11"/>
      <c r="D109" s="7">
        <v>454.78</v>
      </c>
      <c r="E109" s="2"/>
      <c r="F109" s="6">
        <f t="shared" si="84"/>
        <v>4.2933030419993945E-4</v>
      </c>
      <c r="G109" s="2"/>
      <c r="H109" s="7">
        <v>394</v>
      </c>
      <c r="I109" s="2"/>
      <c r="J109" s="6">
        <f t="shared" si="85"/>
        <v>3.785902414041278E-4</v>
      </c>
      <c r="K109" s="2"/>
      <c r="L109" s="7">
        <f t="shared" si="86"/>
        <v>60.779999999999973</v>
      </c>
      <c r="M109" s="2"/>
      <c r="N109" s="6">
        <f t="shared" si="87"/>
        <v>0.15426395939086288</v>
      </c>
      <c r="O109" s="11"/>
      <c r="P109" s="7">
        <v>2999.38</v>
      </c>
      <c r="Q109" s="2"/>
      <c r="R109" s="6">
        <f t="shared" si="88"/>
        <v>2.9276671331820921E-4</v>
      </c>
      <c r="S109" s="2"/>
      <c r="T109" s="7">
        <v>2583</v>
      </c>
      <c r="U109" s="2"/>
      <c r="V109" s="6">
        <f t="shared" si="89"/>
        <v>2.4033690712360267E-4</v>
      </c>
      <c r="W109" s="2"/>
      <c r="X109" s="7">
        <f t="shared" si="90"/>
        <v>416.38000000000011</v>
      </c>
      <c r="Y109" s="2"/>
      <c r="Z109" s="6">
        <f t="shared" si="91"/>
        <v>0.16120015485869149</v>
      </c>
    </row>
    <row r="110" spans="1:26" s="27" customFormat="1" outlineLevel="1" collapsed="1" x14ac:dyDescent="0.25">
      <c r="A110" s="26"/>
      <c r="B110" s="13" t="str">
        <f>CONCATENATE("     ","Supplies                                          ")</f>
        <v xml:space="preserve">     Supplies                                          </v>
      </c>
      <c r="C110" s="13"/>
      <c r="D110" s="1">
        <f>SUM(OSRRefD22_21x_0)</f>
        <v>30438.14</v>
      </c>
      <c r="E110" s="1"/>
      <c r="F110" s="5">
        <f t="shared" ref="F110:F120" si="92">IF(D$12=0,0,D110/D$12)</f>
        <v>2.8734807831215851E-2</v>
      </c>
      <c r="G110" s="1"/>
      <c r="H110" s="1">
        <f>SUM(OSRRefH22_21x_0)</f>
        <v>42883</v>
      </c>
      <c r="I110" s="1"/>
      <c r="J110" s="5">
        <f t="shared" ref="J110:J120" si="93">IF(H$12=0,0,H110/H$12)</f>
        <v>4.1205800309982769E-2</v>
      </c>
      <c r="K110" s="1"/>
      <c r="L110" s="1">
        <f t="shared" ref="L110:L120" si="94">+D110-H110</f>
        <v>-12444.86</v>
      </c>
      <c r="M110" s="1"/>
      <c r="N110" s="5">
        <f t="shared" ref="N110:N120" si="95">IF(H110=0,0,L110/H110)</f>
        <v>-0.290204976330947</v>
      </c>
      <c r="O110" s="13"/>
      <c r="P110" s="1">
        <f>SUM(OSRRefP22_21x_0)</f>
        <v>281440.42</v>
      </c>
      <c r="Q110" s="1"/>
      <c r="R110" s="5">
        <f t="shared" ref="R110:R120" si="96">IF(P$12=0,0,P110/P$12)</f>
        <v>2.7471139621620597E-2</v>
      </c>
      <c r="S110" s="1"/>
      <c r="T110" s="1">
        <f>SUM(OSRRefT22_21x_0)</f>
        <v>279437.5</v>
      </c>
      <c r="U110" s="1"/>
      <c r="V110" s="5">
        <f t="shared" ref="V110:V120" si="97">IF(T$12=0,0,T110/T$12)</f>
        <v>2.6000443083372717E-2</v>
      </c>
      <c r="W110" s="1"/>
      <c r="X110" s="1">
        <f t="shared" ref="X110:X120" si="98">+P110-T110</f>
        <v>2002.9199999999837</v>
      </c>
      <c r="Y110" s="1"/>
      <c r="Z110" s="5">
        <f t="shared" ref="Z110:Z120" si="99">IF(T110=0,0,X110/T110)</f>
        <v>7.1676850816371589E-3</v>
      </c>
    </row>
    <row r="111" spans="1:26" s="24" customFormat="1" hidden="1" outlineLevel="2" x14ac:dyDescent="0.25">
      <c r="A111" s="25"/>
      <c r="B111" s="11" t="str">
        <f>CONCATENATE("          ", "6234", " - ", "EXPENDABLE SUPPLIES &amp; EQUIPMEN")</f>
        <v xml:space="preserve">          6234 - EXPENDABLE SUPPLIES &amp; EQUIPMEN</v>
      </c>
      <c r="C111" s="11"/>
      <c r="D111" s="7">
        <v>1008.79</v>
      </c>
      <c r="E111" s="2"/>
      <c r="F111" s="6">
        <f t="shared" si="92"/>
        <v>9.5233765243382933E-4</v>
      </c>
      <c r="G111" s="2"/>
      <c r="H111" s="7">
        <v>550</v>
      </c>
      <c r="I111" s="2"/>
      <c r="J111" s="6">
        <f t="shared" si="93"/>
        <v>5.2848891566566062E-4</v>
      </c>
      <c r="K111" s="2"/>
      <c r="L111" s="7">
        <f t="shared" si="94"/>
        <v>458.78999999999996</v>
      </c>
      <c r="M111" s="2"/>
      <c r="N111" s="6">
        <f t="shared" si="95"/>
        <v>0.83416363636363633</v>
      </c>
      <c r="O111" s="11"/>
      <c r="P111" s="7">
        <v>13311.51</v>
      </c>
      <c r="Q111" s="2"/>
      <c r="R111" s="6">
        <f t="shared" si="96"/>
        <v>1.299324204336388E-3</v>
      </c>
      <c r="S111" s="2"/>
      <c r="T111" s="7">
        <v>4950</v>
      </c>
      <c r="U111" s="2"/>
      <c r="V111" s="6">
        <f t="shared" si="97"/>
        <v>4.6057595441805388E-4</v>
      </c>
      <c r="W111" s="2"/>
      <c r="X111" s="7">
        <f t="shared" si="98"/>
        <v>8361.51</v>
      </c>
      <c r="Y111" s="2"/>
      <c r="Z111" s="6">
        <f t="shared" si="99"/>
        <v>1.6891939393939395</v>
      </c>
    </row>
    <row r="112" spans="1:26" s="24" customFormat="1" hidden="1" outlineLevel="2" x14ac:dyDescent="0.25">
      <c r="A112" s="25"/>
      <c r="B112" s="11" t="str">
        <f>CONCATENATE("          ", "6237", " - ", "JANITORIAL SUPPLIES")</f>
        <v xml:space="preserve">          6237 - JANITORIAL SUPPLIES</v>
      </c>
      <c r="C112" s="11"/>
      <c r="D112" s="7">
        <v>12137.63</v>
      </c>
      <c r="E112" s="2"/>
      <c r="F112" s="6">
        <f t="shared" si="92"/>
        <v>1.1458402700572388E-2</v>
      </c>
      <c r="G112" s="2"/>
      <c r="H112" s="7">
        <v>14406</v>
      </c>
      <c r="I112" s="2"/>
      <c r="J112" s="6">
        <f t="shared" si="93"/>
        <v>1.3842566034690012E-2</v>
      </c>
      <c r="K112" s="2"/>
      <c r="L112" s="7">
        <f t="shared" si="94"/>
        <v>-2268.3700000000008</v>
      </c>
      <c r="M112" s="2"/>
      <c r="N112" s="6">
        <f t="shared" si="95"/>
        <v>-0.15746008607524647</v>
      </c>
      <c r="O112" s="11"/>
      <c r="P112" s="7">
        <v>92326.3</v>
      </c>
      <c r="Q112" s="2"/>
      <c r="R112" s="6">
        <f t="shared" si="96"/>
        <v>9.0118849241613199E-3</v>
      </c>
      <c r="S112" s="2"/>
      <c r="T112" s="7">
        <v>98637</v>
      </c>
      <c r="U112" s="2"/>
      <c r="V112" s="6">
        <f t="shared" si="97"/>
        <v>9.1777435183704216E-3</v>
      </c>
      <c r="W112" s="2"/>
      <c r="X112" s="7">
        <f t="shared" si="98"/>
        <v>-6310.6999999999971</v>
      </c>
      <c r="Y112" s="2"/>
      <c r="Z112" s="6">
        <f t="shared" si="99"/>
        <v>-6.3979034236645443E-2</v>
      </c>
    </row>
    <row r="113" spans="1:26" s="24" customFormat="1" hidden="1" outlineLevel="2" x14ac:dyDescent="0.25">
      <c r="A113" s="25"/>
      <c r="B113" s="11" t="str">
        <f>CONCATENATE("          ", "6239", " - ", "KITCHEN SUPPLIES")</f>
        <v xml:space="preserve">          6239 - KITCHEN SUPPLIES</v>
      </c>
      <c r="C113" s="11"/>
      <c r="D113" s="7">
        <v>5717.52</v>
      </c>
      <c r="E113" s="2"/>
      <c r="F113" s="6">
        <f t="shared" si="92"/>
        <v>5.3975649783834781E-3</v>
      </c>
      <c r="G113" s="2"/>
      <c r="H113" s="7">
        <v>6737</v>
      </c>
      <c r="I113" s="2"/>
      <c r="J113" s="6">
        <f t="shared" si="93"/>
        <v>6.4735087724355558E-3</v>
      </c>
      <c r="K113" s="2"/>
      <c r="L113" s="7">
        <f t="shared" si="94"/>
        <v>-1019.4799999999996</v>
      </c>
      <c r="M113" s="2"/>
      <c r="N113" s="6">
        <f t="shared" si="95"/>
        <v>-0.15132551580822318</v>
      </c>
      <c r="O113" s="11"/>
      <c r="P113" s="7">
        <v>60779.549999999996</v>
      </c>
      <c r="Q113" s="2"/>
      <c r="R113" s="6">
        <f t="shared" si="96"/>
        <v>5.9326357748800624E-3</v>
      </c>
      <c r="S113" s="2"/>
      <c r="T113" s="7">
        <v>52514.71</v>
      </c>
      <c r="U113" s="2"/>
      <c r="V113" s="6">
        <f t="shared" si="97"/>
        <v>4.8862651877247107E-3</v>
      </c>
      <c r="W113" s="2"/>
      <c r="X113" s="7">
        <f t="shared" si="98"/>
        <v>8264.8399999999965</v>
      </c>
      <c r="Y113" s="2"/>
      <c r="Z113" s="6">
        <f t="shared" si="99"/>
        <v>0.15738142703253996</v>
      </c>
    </row>
    <row r="114" spans="1:26" s="24" customFormat="1" hidden="1" outlineLevel="2" x14ac:dyDescent="0.25">
      <c r="A114" s="25"/>
      <c r="B114" s="11" t="str">
        <f>CONCATENATE("          ", "6241", " - ", "OFFICE EXPENSE")</f>
        <v xml:space="preserve">          6241 - OFFICE EXPENSE</v>
      </c>
      <c r="C114" s="11"/>
      <c r="D114" s="7">
        <v>416.34</v>
      </c>
      <c r="E114" s="2"/>
      <c r="F114" s="6">
        <f t="shared" si="92"/>
        <v>3.9304142409649231E-4</v>
      </c>
      <c r="G114" s="2"/>
      <c r="H114" s="7">
        <v>2229</v>
      </c>
      <c r="I114" s="2"/>
      <c r="J114" s="6">
        <f t="shared" si="93"/>
        <v>2.1418214418522864E-3</v>
      </c>
      <c r="K114" s="2"/>
      <c r="L114" s="7">
        <f t="shared" si="94"/>
        <v>-1812.66</v>
      </c>
      <c r="M114" s="2"/>
      <c r="N114" s="6">
        <f t="shared" si="95"/>
        <v>-0.8132166890982504</v>
      </c>
      <c r="O114" s="11"/>
      <c r="P114" s="7">
        <v>41654.89</v>
      </c>
      <c r="Q114" s="2"/>
      <c r="R114" s="6">
        <f t="shared" si="96"/>
        <v>4.0658953646858812E-3</v>
      </c>
      <c r="S114" s="2"/>
      <c r="T114" s="7">
        <v>15520.249999999998</v>
      </c>
      <c r="U114" s="2"/>
      <c r="V114" s="6">
        <f t="shared" si="97"/>
        <v>1.4440917083953131E-3</v>
      </c>
      <c r="W114" s="2"/>
      <c r="X114" s="7">
        <f t="shared" si="98"/>
        <v>26134.639999999999</v>
      </c>
      <c r="Y114" s="2"/>
      <c r="Z114" s="6">
        <f t="shared" si="99"/>
        <v>1.6839058649184131</v>
      </c>
    </row>
    <row r="115" spans="1:26" s="24" customFormat="1" hidden="1" outlineLevel="2" x14ac:dyDescent="0.25">
      <c r="A115" s="25"/>
      <c r="B115" s="11" t="str">
        <f>CONCATENATE("          ", "6243", " - ", "PAPER SUPPLIES")</f>
        <v xml:space="preserve">          6243 - PAPER SUPPLIES</v>
      </c>
      <c r="C115" s="11"/>
      <c r="D115" s="7">
        <v>9175.48</v>
      </c>
      <c r="E115" s="2"/>
      <c r="F115" s="6">
        <f t="shared" si="92"/>
        <v>8.6620159628401864E-3</v>
      </c>
      <c r="G115" s="2"/>
      <c r="H115" s="7">
        <v>10454</v>
      </c>
      <c r="I115" s="2"/>
      <c r="J115" s="6">
        <f t="shared" si="93"/>
        <v>1.0045132953397847E-2</v>
      </c>
      <c r="K115" s="2"/>
      <c r="L115" s="7">
        <f t="shared" si="94"/>
        <v>-1278.5200000000004</v>
      </c>
      <c r="M115" s="2"/>
      <c r="N115" s="6">
        <f t="shared" si="95"/>
        <v>-0.12229959823990821</v>
      </c>
      <c r="O115" s="11"/>
      <c r="P115" s="7">
        <v>65854.7</v>
      </c>
      <c r="Q115" s="2"/>
      <c r="R115" s="6">
        <f t="shared" si="96"/>
        <v>6.4280164819251551E-3</v>
      </c>
      <c r="S115" s="2"/>
      <c r="T115" s="7">
        <v>72638.52</v>
      </c>
      <c r="U115" s="2"/>
      <c r="V115" s="6">
        <f t="shared" si="97"/>
        <v>6.7586981164676563E-3</v>
      </c>
      <c r="W115" s="2"/>
      <c r="X115" s="7">
        <f t="shared" si="98"/>
        <v>-6783.820000000007</v>
      </c>
      <c r="Y115" s="2"/>
      <c r="Z115" s="6">
        <f t="shared" si="99"/>
        <v>-9.3391495311303238E-2</v>
      </c>
    </row>
    <row r="116" spans="1:26" s="24" customFormat="1" hidden="1" outlineLevel="2" x14ac:dyDescent="0.25">
      <c r="A116" s="25"/>
      <c r="B116" s="11" t="str">
        <f>CONCATENATE("          ", "6244", " - ", "SAFETY SUPPLY EXPENSE")</f>
        <v xml:space="preserve">          6244 - SAFETY SUPPLY EXPENSE</v>
      </c>
      <c r="C116" s="11"/>
      <c r="D116" s="7"/>
      <c r="E116" s="2"/>
      <c r="F116" s="6">
        <f t="shared" si="92"/>
        <v>0</v>
      </c>
      <c r="G116" s="2"/>
      <c r="H116" s="7">
        <v>235</v>
      </c>
      <c r="I116" s="2"/>
      <c r="J116" s="6">
        <f t="shared" si="93"/>
        <v>2.2580890032987319E-4</v>
      </c>
      <c r="K116" s="2"/>
      <c r="L116" s="7">
        <f t="shared" si="94"/>
        <v>-235</v>
      </c>
      <c r="M116" s="2"/>
      <c r="N116" s="6">
        <f t="shared" si="95"/>
        <v>-1</v>
      </c>
      <c r="O116" s="11"/>
      <c r="P116" s="7"/>
      <c r="Q116" s="2"/>
      <c r="R116" s="6">
        <f t="shared" si="96"/>
        <v>0</v>
      </c>
      <c r="S116" s="2"/>
      <c r="T116" s="7">
        <v>1645</v>
      </c>
      <c r="U116" s="2"/>
      <c r="V116" s="6">
        <f t="shared" si="97"/>
        <v>1.530600899025654E-4</v>
      </c>
      <c r="W116" s="2"/>
      <c r="X116" s="7">
        <f t="shared" si="98"/>
        <v>-1645</v>
      </c>
      <c r="Y116" s="2"/>
      <c r="Z116" s="6">
        <f t="shared" si="99"/>
        <v>-1</v>
      </c>
    </row>
    <row r="117" spans="1:26" s="24" customFormat="1" hidden="1" outlineLevel="2" x14ac:dyDescent="0.25">
      <c r="A117" s="25"/>
      <c r="B117" s="11" t="str">
        <f>CONCATENATE("          ", "6245", " - ", "PRINTING")</f>
        <v xml:space="preserve">          6245 - PRINTING</v>
      </c>
      <c r="C117" s="11"/>
      <c r="D117" s="7">
        <v>260.38</v>
      </c>
      <c r="E117" s="2"/>
      <c r="F117" s="6">
        <f t="shared" si="92"/>
        <v>2.4580901668406753E-4</v>
      </c>
      <c r="G117" s="2"/>
      <c r="H117" s="7">
        <v>760</v>
      </c>
      <c r="I117" s="2"/>
      <c r="J117" s="6">
        <f t="shared" si="93"/>
        <v>7.3027559255618561E-4</v>
      </c>
      <c r="K117" s="2"/>
      <c r="L117" s="7">
        <f t="shared" si="94"/>
        <v>-499.62</v>
      </c>
      <c r="M117" s="2"/>
      <c r="N117" s="6">
        <f t="shared" si="95"/>
        <v>-0.65739473684210525</v>
      </c>
      <c r="O117" s="11"/>
      <c r="P117" s="7">
        <v>1882.72</v>
      </c>
      <c r="Q117" s="2"/>
      <c r="R117" s="6">
        <f t="shared" si="96"/>
        <v>1.8377056141551215E-4</v>
      </c>
      <c r="S117" s="2"/>
      <c r="T117" s="7">
        <v>3060</v>
      </c>
      <c r="U117" s="2"/>
      <c r="V117" s="6">
        <f t="shared" si="97"/>
        <v>2.8471968091297879E-4</v>
      </c>
      <c r="W117" s="2"/>
      <c r="X117" s="7">
        <f t="shared" si="98"/>
        <v>-1177.28</v>
      </c>
      <c r="Y117" s="2"/>
      <c r="Z117" s="6">
        <f t="shared" si="99"/>
        <v>-0.38473202614379082</v>
      </c>
    </row>
    <row r="118" spans="1:26" s="24" customFormat="1" hidden="1" outlineLevel="2" x14ac:dyDescent="0.25">
      <c r="A118" s="25"/>
      <c r="B118" s="11" t="str">
        <f>CONCATENATE("          ", "6246", " - ", "REPLACEMENTS")</f>
        <v xml:space="preserve">          6246 - REPLACEMENTS</v>
      </c>
      <c r="C118" s="11"/>
      <c r="D118" s="7"/>
      <c r="E118" s="2"/>
      <c r="F118" s="6">
        <f t="shared" si="92"/>
        <v>0</v>
      </c>
      <c r="G118" s="2"/>
      <c r="H118" s="7"/>
      <c r="I118" s="2"/>
      <c r="J118" s="6">
        <f t="shared" si="93"/>
        <v>0</v>
      </c>
      <c r="K118" s="2"/>
      <c r="L118" s="7">
        <f t="shared" si="94"/>
        <v>0</v>
      </c>
      <c r="M118" s="2"/>
      <c r="N118" s="6">
        <f t="shared" si="95"/>
        <v>0</v>
      </c>
      <c r="O118" s="11"/>
      <c r="P118" s="7"/>
      <c r="Q118" s="2"/>
      <c r="R118" s="6">
        <f t="shared" si="96"/>
        <v>0</v>
      </c>
      <c r="S118" s="2"/>
      <c r="T118" s="7">
        <v>2400</v>
      </c>
      <c r="U118" s="2"/>
      <c r="V118" s="6">
        <f t="shared" si="97"/>
        <v>2.2330955365723826E-4</v>
      </c>
      <c r="W118" s="2"/>
      <c r="X118" s="7">
        <f t="shared" si="98"/>
        <v>-2400</v>
      </c>
      <c r="Y118" s="2"/>
      <c r="Z118" s="6">
        <f t="shared" si="99"/>
        <v>-1</v>
      </c>
    </row>
    <row r="119" spans="1:26" s="24" customFormat="1" hidden="1" outlineLevel="2" x14ac:dyDescent="0.25">
      <c r="A119" s="25"/>
      <c r="B119" s="11" t="str">
        <f>CONCATENATE("          ", "6247", " - ", "STORE SUPPLIES")</f>
        <v xml:space="preserve">          6247 - STORE SUPPLIES</v>
      </c>
      <c r="C119" s="11"/>
      <c r="D119" s="7">
        <v>-615.96</v>
      </c>
      <c r="E119" s="2"/>
      <c r="F119" s="6">
        <f t="shared" si="92"/>
        <v>-5.8149059803640159E-4</v>
      </c>
      <c r="G119" s="2"/>
      <c r="H119" s="7">
        <v>237</v>
      </c>
      <c r="I119" s="2"/>
      <c r="J119" s="6">
        <f t="shared" si="93"/>
        <v>2.2773067820502102E-4</v>
      </c>
      <c r="K119" s="2"/>
      <c r="L119" s="7">
        <f t="shared" si="94"/>
        <v>-852.96</v>
      </c>
      <c r="M119" s="2"/>
      <c r="N119" s="6">
        <f t="shared" si="95"/>
        <v>-3.5989873417721521</v>
      </c>
      <c r="O119" s="11"/>
      <c r="P119" s="7">
        <v>3444.39</v>
      </c>
      <c r="Q119" s="2"/>
      <c r="R119" s="6">
        <f t="shared" si="96"/>
        <v>3.3620372866595985E-4</v>
      </c>
      <c r="S119" s="2"/>
      <c r="T119" s="7">
        <v>3897.02</v>
      </c>
      <c r="U119" s="2"/>
      <c r="V119" s="6">
        <f t="shared" si="97"/>
        <v>3.6260074866388775E-4</v>
      </c>
      <c r="W119" s="2"/>
      <c r="X119" s="7">
        <f t="shared" si="98"/>
        <v>-452.63000000000011</v>
      </c>
      <c r="Y119" s="2"/>
      <c r="Z119" s="6">
        <f t="shared" si="99"/>
        <v>-0.11614772313203425</v>
      </c>
    </row>
    <row r="120" spans="1:26" s="24" customFormat="1" hidden="1" outlineLevel="2" x14ac:dyDescent="0.25">
      <c r="A120" s="25"/>
      <c r="B120" s="11" t="str">
        <f>CONCATENATE("          ", "6248", " - ", "UNIFORMS")</f>
        <v xml:space="preserve">          6248 - UNIFORMS</v>
      </c>
      <c r="C120" s="11"/>
      <c r="D120" s="7">
        <v>2337.96</v>
      </c>
      <c r="E120" s="2"/>
      <c r="F120" s="6">
        <f t="shared" si="92"/>
        <v>2.2071266942418101E-3</v>
      </c>
      <c r="G120" s="2"/>
      <c r="H120" s="7">
        <v>7275</v>
      </c>
      <c r="I120" s="2"/>
      <c r="J120" s="6">
        <f t="shared" si="93"/>
        <v>6.9904670208503295E-3</v>
      </c>
      <c r="K120" s="2"/>
      <c r="L120" s="7">
        <f t="shared" si="94"/>
        <v>-4937.04</v>
      </c>
      <c r="M120" s="2"/>
      <c r="N120" s="6">
        <f t="shared" si="95"/>
        <v>-0.67863092783505152</v>
      </c>
      <c r="O120" s="11"/>
      <c r="P120" s="7">
        <v>2186.36</v>
      </c>
      <c r="Q120" s="2"/>
      <c r="R120" s="6">
        <f t="shared" si="96"/>
        <v>2.1340858155032038E-4</v>
      </c>
      <c r="S120" s="2"/>
      <c r="T120" s="7">
        <v>24175</v>
      </c>
      <c r="U120" s="2"/>
      <c r="V120" s="6">
        <f t="shared" si="97"/>
        <v>2.2493785248598897E-3</v>
      </c>
      <c r="W120" s="2"/>
      <c r="X120" s="7">
        <f t="shared" si="98"/>
        <v>-21988.639999999999</v>
      </c>
      <c r="Y120" s="2"/>
      <c r="Z120" s="6">
        <f t="shared" si="99"/>
        <v>-0.9095611168562564</v>
      </c>
    </row>
    <row r="121" spans="1:26" s="27" customFormat="1" outlineLevel="1" collapsed="1" x14ac:dyDescent="0.25">
      <c r="A121" s="26"/>
      <c r="B121" s="13" t="str">
        <f>CONCATENATE("     ","Telephone/Data Lines                              ")</f>
        <v xml:space="preserve">     Telephone/Data Lines                              </v>
      </c>
      <c r="C121" s="13"/>
      <c r="D121" s="1">
        <f>SUM(OSRRefD22_22x_0)</f>
        <v>3604.76</v>
      </c>
      <c r="E121" s="1"/>
      <c r="F121" s="5">
        <f t="shared" ref="F121:F123" si="100">IF(D$12=0,0,D121/D$12)</f>
        <v>3.4030359896384489E-3</v>
      </c>
      <c r="G121" s="1"/>
      <c r="H121" s="1">
        <f>SUM(OSRRefH22_22x_0)</f>
        <v>2954</v>
      </c>
      <c r="I121" s="1"/>
      <c r="J121" s="5">
        <f t="shared" ref="J121:J123" si="101">IF(H$12=0,0,H121/H$12)</f>
        <v>2.8384659215933846E-3</v>
      </c>
      <c r="K121" s="1"/>
      <c r="L121" s="1">
        <f t="shared" ref="L121:L123" si="102">+D121-H121</f>
        <v>650.76000000000022</v>
      </c>
      <c r="M121" s="1"/>
      <c r="N121" s="5">
        <f t="shared" ref="N121:N123" si="103">IF(H121=0,0,L121/H121)</f>
        <v>0.2202979011509818</v>
      </c>
      <c r="O121" s="13"/>
      <c r="P121" s="1">
        <f>SUM(OSRRefP22_22x_0)</f>
        <v>17794.329999999998</v>
      </c>
      <c r="Q121" s="1"/>
      <c r="R121" s="5">
        <f t="shared" ref="R121:R123" si="104">IF(P$12=0,0,P121/P$12)</f>
        <v>1.7368881268127444E-3</v>
      </c>
      <c r="S121" s="1"/>
      <c r="T121" s="1">
        <f>SUM(OSRRefT22_22x_0)</f>
        <v>18759</v>
      </c>
      <c r="U121" s="1"/>
      <c r="V121" s="5">
        <f t="shared" ref="V121:V123" si="105">IF(T$12=0,0,T121/T$12)</f>
        <v>1.7454432987733886E-3</v>
      </c>
      <c r="W121" s="1"/>
      <c r="X121" s="1">
        <f t="shared" ref="X121:X123" si="106">+P121-T121</f>
        <v>-964.67000000000189</v>
      </c>
      <c r="Y121" s="1"/>
      <c r="Z121" s="5">
        <f t="shared" ref="Z121:Z123" si="107">IF(T121=0,0,X121/T121)</f>
        <v>-5.14243829628446E-2</v>
      </c>
    </row>
    <row r="122" spans="1:26" s="24" customFormat="1" hidden="1" outlineLevel="2" x14ac:dyDescent="0.25">
      <c r="A122" s="25"/>
      <c r="B122" s="11" t="str">
        <f>CONCATENATE("          ", "6303", " - ", "DATA PHONE LINES")</f>
        <v xml:space="preserve">          6303 - DATA PHONE LINES</v>
      </c>
      <c r="C122" s="11"/>
      <c r="D122" s="7"/>
      <c r="E122" s="2"/>
      <c r="F122" s="6">
        <f t="shared" si="100"/>
        <v>0</v>
      </c>
      <c r="G122" s="2"/>
      <c r="H122" s="7">
        <v>696</v>
      </c>
      <c r="I122" s="2"/>
      <c r="J122" s="6">
        <f t="shared" si="101"/>
        <v>6.6877870055145417E-4</v>
      </c>
      <c r="K122" s="2"/>
      <c r="L122" s="7">
        <f t="shared" si="102"/>
        <v>-696</v>
      </c>
      <c r="M122" s="2"/>
      <c r="N122" s="6">
        <f t="shared" si="103"/>
        <v>-1</v>
      </c>
      <c r="O122" s="11"/>
      <c r="P122" s="7"/>
      <c r="Q122" s="2"/>
      <c r="R122" s="6">
        <f t="shared" si="104"/>
        <v>0</v>
      </c>
      <c r="S122" s="2"/>
      <c r="T122" s="7">
        <v>4078</v>
      </c>
      <c r="U122" s="2"/>
      <c r="V122" s="6">
        <f t="shared" si="105"/>
        <v>3.7944014992259066E-4</v>
      </c>
      <c r="W122" s="2"/>
      <c r="X122" s="7">
        <f t="shared" si="106"/>
        <v>-4078</v>
      </c>
      <c r="Y122" s="2"/>
      <c r="Z122" s="6">
        <f t="shared" si="107"/>
        <v>-1</v>
      </c>
    </row>
    <row r="123" spans="1:26" s="24" customFormat="1" hidden="1" outlineLevel="2" x14ac:dyDescent="0.25">
      <c r="A123" s="25"/>
      <c r="B123" s="11" t="str">
        <f>CONCATENATE("          ", "6309", " - ", "TELEPHONE")</f>
        <v xml:space="preserve">          6309 - TELEPHONE</v>
      </c>
      <c r="C123" s="11"/>
      <c r="D123" s="7">
        <v>3604.76</v>
      </c>
      <c r="E123" s="2"/>
      <c r="F123" s="6">
        <f t="shared" si="100"/>
        <v>3.4030359896384489E-3</v>
      </c>
      <c r="G123" s="2"/>
      <c r="H123" s="7">
        <v>2258</v>
      </c>
      <c r="I123" s="2"/>
      <c r="J123" s="6">
        <f t="shared" si="101"/>
        <v>2.1696872210419304E-3</v>
      </c>
      <c r="K123" s="2"/>
      <c r="L123" s="7">
        <f t="shared" si="102"/>
        <v>1346.7600000000002</v>
      </c>
      <c r="M123" s="2"/>
      <c r="N123" s="6">
        <f t="shared" si="103"/>
        <v>0.59643932683790979</v>
      </c>
      <c r="O123" s="11"/>
      <c r="P123" s="7">
        <v>17794.329999999998</v>
      </c>
      <c r="Q123" s="2"/>
      <c r="R123" s="6">
        <f t="shared" si="104"/>
        <v>1.7368881268127444E-3</v>
      </c>
      <c r="S123" s="2"/>
      <c r="T123" s="7">
        <v>14681</v>
      </c>
      <c r="U123" s="2"/>
      <c r="V123" s="6">
        <f t="shared" si="105"/>
        <v>1.3660031488507978E-3</v>
      </c>
      <c r="W123" s="2"/>
      <c r="X123" s="7">
        <f t="shared" si="106"/>
        <v>3113.3299999999981</v>
      </c>
      <c r="Y123" s="2"/>
      <c r="Z123" s="6">
        <f t="shared" si="107"/>
        <v>0.21206525441046237</v>
      </c>
    </row>
    <row r="124" spans="1:26" s="27" customFormat="1" outlineLevel="1" collapsed="1" x14ac:dyDescent="0.25">
      <c r="A124" s="26"/>
      <c r="B124" s="13" t="str">
        <f>CONCATENATE("     ","Training                                          ")</f>
        <v xml:space="preserve">     Training                                          </v>
      </c>
      <c r="C124" s="13"/>
      <c r="D124" s="1">
        <f>SUM(OSRRefD22_23x_0)</f>
        <v>273.32</v>
      </c>
      <c r="E124" s="1"/>
      <c r="F124" s="5">
        <f t="shared" ref="F124:F129" si="108">IF(D$12=0,0,D124/D$12)</f>
        <v>2.5802488839422899E-4</v>
      </c>
      <c r="G124" s="1"/>
      <c r="H124" s="1">
        <f>SUM(OSRRefH22_23x_0)</f>
        <v>5319</v>
      </c>
      <c r="I124" s="1"/>
      <c r="J124" s="5">
        <f t="shared" ref="J124:J129" si="109">IF(H$12=0,0,H124/H$12)</f>
        <v>5.1109682589557254E-3</v>
      </c>
      <c r="K124" s="1"/>
      <c r="L124" s="1">
        <f t="shared" ref="L124:L129" si="110">+D124-H124</f>
        <v>-5045.68</v>
      </c>
      <c r="M124" s="1"/>
      <c r="N124" s="5">
        <f t="shared" ref="N124:N129" si="111">IF(H124=0,0,L124/H124)</f>
        <v>-0.9486144012032337</v>
      </c>
      <c r="O124" s="13"/>
      <c r="P124" s="1">
        <f>SUM(OSRRefP22_23x_0)</f>
        <v>7846.19</v>
      </c>
      <c r="Q124" s="1"/>
      <c r="R124" s="5">
        <f t="shared" ref="R124:R129" si="112">IF(P$12=0,0,P124/P$12)</f>
        <v>7.6585936372523648E-4</v>
      </c>
      <c r="S124" s="1"/>
      <c r="T124" s="1">
        <f>SUM(OSRRefT22_23x_0)</f>
        <v>19817</v>
      </c>
      <c r="U124" s="1"/>
      <c r="V124" s="5">
        <f t="shared" ref="V124:V129" si="113">IF(T$12=0,0,T124/T$12)</f>
        <v>1.8438855936772876E-3</v>
      </c>
      <c r="W124" s="1"/>
      <c r="X124" s="1">
        <f t="shared" ref="X124:X129" si="114">+P124-T124</f>
        <v>-11970.810000000001</v>
      </c>
      <c r="Y124" s="1"/>
      <c r="Z124" s="5">
        <f t="shared" ref="Z124:Z129" si="115">IF(T124=0,0,X124/T124)</f>
        <v>-0.60406771963465722</v>
      </c>
    </row>
    <row r="125" spans="1:26" s="24" customFormat="1" hidden="1" outlineLevel="2" x14ac:dyDescent="0.25">
      <c r="A125" s="25"/>
      <c r="B125" s="11" t="str">
        <f>CONCATENATE("          ", "6376", " - ", "TRAINING")</f>
        <v xml:space="preserve">          6376 - TRAINING</v>
      </c>
      <c r="C125" s="11"/>
      <c r="D125" s="7">
        <v>273.32</v>
      </c>
      <c r="E125" s="2"/>
      <c r="F125" s="6">
        <f t="shared" si="108"/>
        <v>2.5802488839422899E-4</v>
      </c>
      <c r="G125" s="2"/>
      <c r="H125" s="7">
        <v>5319</v>
      </c>
      <c r="I125" s="2"/>
      <c r="J125" s="6">
        <f t="shared" si="109"/>
        <v>5.1109682589557254E-3</v>
      </c>
      <c r="K125" s="2"/>
      <c r="L125" s="7">
        <f t="shared" si="110"/>
        <v>-5045.68</v>
      </c>
      <c r="M125" s="2"/>
      <c r="N125" s="6">
        <f t="shared" si="111"/>
        <v>-0.9486144012032337</v>
      </c>
      <c r="O125" s="11"/>
      <c r="P125" s="7">
        <v>7846.19</v>
      </c>
      <c r="Q125" s="2"/>
      <c r="R125" s="6">
        <f t="shared" si="112"/>
        <v>7.6585936372523648E-4</v>
      </c>
      <c r="S125" s="2"/>
      <c r="T125" s="7">
        <v>19817</v>
      </c>
      <c r="U125" s="2"/>
      <c r="V125" s="6">
        <f t="shared" si="113"/>
        <v>1.8438855936772876E-3</v>
      </c>
      <c r="W125" s="2"/>
      <c r="X125" s="7">
        <f t="shared" si="114"/>
        <v>-11970.810000000001</v>
      </c>
      <c r="Y125" s="2"/>
      <c r="Z125" s="6">
        <f t="shared" si="115"/>
        <v>-0.60406771963465722</v>
      </c>
    </row>
    <row r="126" spans="1:26" s="27" customFormat="1" outlineLevel="1" collapsed="1" x14ac:dyDescent="0.25">
      <c r="A126" s="26"/>
      <c r="B126" s="13" t="str">
        <f>CONCATENATE("     ","Travel                                            ")</f>
        <v xml:space="preserve">     Travel                                            </v>
      </c>
      <c r="C126" s="13"/>
      <c r="D126" s="1">
        <f>SUM(OSRRefD22_24x_0)</f>
        <v>280.51</v>
      </c>
      <c r="E126" s="1"/>
      <c r="F126" s="5">
        <f t="shared" si="108"/>
        <v>2.648125327215907E-4</v>
      </c>
      <c r="G126" s="1"/>
      <c r="H126" s="1">
        <f>SUM(OSRRefH22_24x_0)</f>
        <v>1410</v>
      </c>
      <c r="I126" s="1"/>
      <c r="J126" s="5">
        <f t="shared" si="109"/>
        <v>1.354853401979239E-3</v>
      </c>
      <c r="K126" s="1"/>
      <c r="L126" s="1">
        <f t="shared" si="110"/>
        <v>-1129.49</v>
      </c>
      <c r="M126" s="1"/>
      <c r="N126" s="5">
        <f t="shared" si="111"/>
        <v>-0.80105673758865248</v>
      </c>
      <c r="O126" s="13"/>
      <c r="P126" s="1">
        <f>SUM(OSRRefP22_24x_0)</f>
        <v>4963.6099999999997</v>
      </c>
      <c r="Q126" s="1"/>
      <c r="R126" s="5">
        <f t="shared" si="112"/>
        <v>4.8449339059852245E-4</v>
      </c>
      <c r="S126" s="1"/>
      <c r="T126" s="1">
        <f>SUM(OSRRefT22_24x_0)</f>
        <v>11570</v>
      </c>
      <c r="U126" s="1"/>
      <c r="V126" s="5">
        <f t="shared" si="113"/>
        <v>1.0765381399226027E-3</v>
      </c>
      <c r="W126" s="1"/>
      <c r="X126" s="1">
        <f t="shared" si="114"/>
        <v>-6606.39</v>
      </c>
      <c r="Y126" s="1"/>
      <c r="Z126" s="5">
        <f t="shared" si="115"/>
        <v>-0.57099308556611927</v>
      </c>
    </row>
    <row r="127" spans="1:26" s="24" customFormat="1" hidden="1" outlineLevel="2" x14ac:dyDescent="0.25">
      <c r="A127" s="25"/>
      <c r="B127" s="11" t="str">
        <f>CONCATENATE("          ", "6292", " - ", "TRAVEL/CONFERENCE")</f>
        <v xml:space="preserve">          6292 - TRAVEL/CONFERENCE</v>
      </c>
      <c r="C127" s="11"/>
      <c r="D127" s="7">
        <v>176.42</v>
      </c>
      <c r="E127" s="2"/>
      <c r="F127" s="6">
        <f t="shared" si="108"/>
        <v>1.6654745649974343E-4</v>
      </c>
      <c r="G127" s="2"/>
      <c r="H127" s="7">
        <v>1300</v>
      </c>
      <c r="I127" s="2"/>
      <c r="J127" s="6">
        <f t="shared" si="109"/>
        <v>1.249155618846107E-3</v>
      </c>
      <c r="K127" s="2"/>
      <c r="L127" s="7">
        <f t="shared" si="110"/>
        <v>-1123.58</v>
      </c>
      <c r="M127" s="2"/>
      <c r="N127" s="6">
        <f t="shared" si="111"/>
        <v>-0.86429230769230758</v>
      </c>
      <c r="O127" s="11"/>
      <c r="P127" s="7">
        <v>4041.3</v>
      </c>
      <c r="Q127" s="2"/>
      <c r="R127" s="6">
        <f t="shared" si="112"/>
        <v>3.9446756280727313E-4</v>
      </c>
      <c r="S127" s="2"/>
      <c r="T127" s="7">
        <v>10800</v>
      </c>
      <c r="U127" s="2"/>
      <c r="V127" s="6">
        <f t="shared" si="113"/>
        <v>1.0048929914575721E-3</v>
      </c>
      <c r="W127" s="2"/>
      <c r="X127" s="7">
        <f t="shared" si="114"/>
        <v>-6758.7</v>
      </c>
      <c r="Y127" s="2"/>
      <c r="Z127" s="6">
        <f t="shared" si="115"/>
        <v>-0.6258055555555555</v>
      </c>
    </row>
    <row r="128" spans="1:26" s="24" customFormat="1" hidden="1" outlineLevel="2" x14ac:dyDescent="0.25">
      <c r="A128" s="25"/>
      <c r="B128" s="11" t="str">
        <f>CONCATENATE("          ", "6294", " - ", "TRAVEL OPERATIONAL")</f>
        <v xml:space="preserve">          6294 - TRAVEL OPERATIONAL</v>
      </c>
      <c r="C128" s="11"/>
      <c r="D128" s="7"/>
      <c r="E128" s="2"/>
      <c r="F128" s="6">
        <f t="shared" si="108"/>
        <v>0</v>
      </c>
      <c r="G128" s="2"/>
      <c r="H128" s="7"/>
      <c r="I128" s="2"/>
      <c r="J128" s="6">
        <f t="shared" si="109"/>
        <v>0</v>
      </c>
      <c r="K128" s="2"/>
      <c r="L128" s="7">
        <f t="shared" si="110"/>
        <v>0</v>
      </c>
      <c r="M128" s="2"/>
      <c r="N128" s="6">
        <f t="shared" si="111"/>
        <v>0</v>
      </c>
      <c r="O128" s="11"/>
      <c r="P128" s="7">
        <v>45.49</v>
      </c>
      <c r="Q128" s="2"/>
      <c r="R128" s="6">
        <f t="shared" si="112"/>
        <v>4.4402369119102411E-6</v>
      </c>
      <c r="S128" s="2"/>
      <c r="T128" s="7"/>
      <c r="U128" s="2"/>
      <c r="V128" s="6">
        <f t="shared" si="113"/>
        <v>0</v>
      </c>
      <c r="W128" s="2"/>
      <c r="X128" s="7">
        <f t="shared" si="114"/>
        <v>45.49</v>
      </c>
      <c r="Y128" s="2"/>
      <c r="Z128" s="6">
        <f t="shared" si="115"/>
        <v>0</v>
      </c>
    </row>
    <row r="129" spans="1:26" s="24" customFormat="1" hidden="1" outlineLevel="2" x14ac:dyDescent="0.25">
      <c r="A129" s="25"/>
      <c r="B129" s="11" t="str">
        <f>CONCATENATE("          ", "6298", " - ", "VEHICLE MILEAGE")</f>
        <v xml:space="preserve">          6298 - VEHICLE MILEAGE</v>
      </c>
      <c r="C129" s="11"/>
      <c r="D129" s="7">
        <v>104.09</v>
      </c>
      <c r="E129" s="2"/>
      <c r="F129" s="6">
        <f t="shared" si="108"/>
        <v>9.826507622184727E-5</v>
      </c>
      <c r="G129" s="2"/>
      <c r="H129" s="7">
        <v>110</v>
      </c>
      <c r="I129" s="2"/>
      <c r="J129" s="6">
        <f t="shared" si="109"/>
        <v>1.0569778313313213E-4</v>
      </c>
      <c r="K129" s="2"/>
      <c r="L129" s="7">
        <f t="shared" si="110"/>
        <v>-5.9099999999999966</v>
      </c>
      <c r="M129" s="2"/>
      <c r="N129" s="6">
        <f t="shared" si="111"/>
        <v>-5.3727272727272693E-2</v>
      </c>
      <c r="O129" s="11"/>
      <c r="P129" s="7">
        <v>876.82</v>
      </c>
      <c r="Q129" s="2"/>
      <c r="R129" s="6">
        <f t="shared" si="112"/>
        <v>8.5585590879339138E-5</v>
      </c>
      <c r="S129" s="2"/>
      <c r="T129" s="7">
        <v>770</v>
      </c>
      <c r="U129" s="2"/>
      <c r="V129" s="6">
        <f t="shared" si="113"/>
        <v>7.1645148465030603E-5</v>
      </c>
      <c r="W129" s="2"/>
      <c r="X129" s="7">
        <f t="shared" si="114"/>
        <v>106.82000000000005</v>
      </c>
      <c r="Y129" s="2"/>
      <c r="Z129" s="6">
        <f t="shared" si="115"/>
        <v>0.13872727272727278</v>
      </c>
    </row>
    <row r="130" spans="1:26" s="27" customFormat="1" outlineLevel="1" collapsed="1" x14ac:dyDescent="0.25">
      <c r="A130" s="26"/>
      <c r="B130" s="13" t="str">
        <f>CONCATENATE("     ","Utilities                                         ")</f>
        <v xml:space="preserve">     Utilities                                         </v>
      </c>
      <c r="C130" s="13"/>
      <c r="D130" s="1">
        <f>SUM(OSRRefD22_25x_0)</f>
        <v>15583</v>
      </c>
      <c r="E130" s="1"/>
      <c r="F130" s="5">
        <f t="shared" ref="F130:F131" si="116">IF(D$12=0,0,D130/D$12)</f>
        <v>1.4710968227159629E-2</v>
      </c>
      <c r="G130" s="1"/>
      <c r="H130" s="1">
        <f>SUM(OSRRefH22_25x_0)</f>
        <v>22450</v>
      </c>
      <c r="I130" s="1"/>
      <c r="J130" s="5">
        <f t="shared" ref="J130:J131" si="117">IF(H$12=0,0,H130/H$12)</f>
        <v>2.1571956648534691E-2</v>
      </c>
      <c r="K130" s="1"/>
      <c r="L130" s="1">
        <f t="shared" ref="L130:L131" si="118">+D130-H130</f>
        <v>-6867</v>
      </c>
      <c r="M130" s="1"/>
      <c r="N130" s="5">
        <f t="shared" ref="N130:N131" si="119">IF(H130=0,0,L130/H130)</f>
        <v>-0.30587973273942093</v>
      </c>
      <c r="O130" s="13"/>
      <c r="P130" s="1">
        <f>SUM(OSRRefP22_25x_0)</f>
        <v>112470</v>
      </c>
      <c r="Q130" s="1"/>
      <c r="R130" s="5">
        <f t="shared" ref="R130:R131" si="120">IF(P$12=0,0,P130/P$12)</f>
        <v>1.0978092888163217E-2</v>
      </c>
      <c r="S130" s="1"/>
      <c r="T130" s="1">
        <f>SUM(OSRRefT22_25x_0)</f>
        <v>137150</v>
      </c>
      <c r="U130" s="1"/>
      <c r="V130" s="5">
        <f t="shared" ref="V130:V131" si="121">IF(T$12=0,0,T130/T$12)</f>
        <v>1.2761210535037594E-2</v>
      </c>
      <c r="W130" s="1"/>
      <c r="X130" s="1">
        <f t="shared" ref="X130:X131" si="122">+P130-T130</f>
        <v>-24680</v>
      </c>
      <c r="Y130" s="1"/>
      <c r="Z130" s="5">
        <f t="shared" ref="Z130:Z131" si="123">IF(T130=0,0,X130/T130)</f>
        <v>-0.17994896099161503</v>
      </c>
    </row>
    <row r="131" spans="1:26" s="24" customFormat="1" hidden="1" outlineLevel="2" x14ac:dyDescent="0.25">
      <c r="A131" s="25"/>
      <c r="B131" s="11" t="str">
        <f>CONCATENATE("          ", "6274", " - ", "UTILITIES")</f>
        <v xml:space="preserve">          6274 - UTILITIES</v>
      </c>
      <c r="C131" s="11"/>
      <c r="D131" s="7">
        <v>15583</v>
      </c>
      <c r="E131" s="2"/>
      <c r="F131" s="6">
        <f t="shared" si="116"/>
        <v>1.4710968227159629E-2</v>
      </c>
      <c r="G131" s="2"/>
      <c r="H131" s="7">
        <v>22450</v>
      </c>
      <c r="I131" s="2"/>
      <c r="J131" s="6">
        <f t="shared" si="117"/>
        <v>2.1571956648534691E-2</v>
      </c>
      <c r="K131" s="2"/>
      <c r="L131" s="7">
        <f t="shared" si="118"/>
        <v>-6867</v>
      </c>
      <c r="M131" s="2"/>
      <c r="N131" s="6">
        <f t="shared" si="119"/>
        <v>-0.30587973273942093</v>
      </c>
      <c r="O131" s="11"/>
      <c r="P131" s="7">
        <v>112470</v>
      </c>
      <c r="Q131" s="2"/>
      <c r="R131" s="6">
        <f t="shared" si="120"/>
        <v>1.0978092888163217E-2</v>
      </c>
      <c r="S131" s="2"/>
      <c r="T131" s="7">
        <v>137150</v>
      </c>
      <c r="U131" s="2"/>
      <c r="V131" s="6">
        <f t="shared" si="121"/>
        <v>1.2761210535037594E-2</v>
      </c>
      <c r="W131" s="2"/>
      <c r="X131" s="7">
        <f t="shared" si="122"/>
        <v>-24680</v>
      </c>
      <c r="Y131" s="2"/>
      <c r="Z131" s="6">
        <f t="shared" si="123"/>
        <v>-0.17994896099161503</v>
      </c>
    </row>
    <row r="132" spans="1:26" s="53" customFormat="1" x14ac:dyDescent="0.25">
      <c r="A132" s="36"/>
      <c r="B132" s="36"/>
      <c r="C132" s="36"/>
      <c r="D132" s="1"/>
      <c r="E132" s="1"/>
      <c r="F132" s="5"/>
      <c r="G132" s="1"/>
      <c r="H132" s="1"/>
      <c r="I132" s="1"/>
      <c r="J132" s="5"/>
      <c r="K132" s="1"/>
      <c r="L132" s="1"/>
      <c r="M132" s="1"/>
      <c r="N132" s="5"/>
      <c r="O132" s="36"/>
      <c r="P132" s="1"/>
      <c r="Q132" s="1"/>
      <c r="R132" s="5"/>
      <c r="S132" s="1"/>
      <c r="T132" s="1"/>
      <c r="U132" s="1"/>
      <c r="V132" s="5"/>
      <c r="W132" s="1"/>
      <c r="X132" s="1"/>
      <c r="Y132" s="1"/>
      <c r="Z132" s="5"/>
    </row>
    <row r="133" spans="1:26" s="23" customFormat="1" collapsed="1" x14ac:dyDescent="0.25">
      <c r="A133" s="10"/>
      <c r="B133" s="28" t="s">
        <v>0</v>
      </c>
      <c r="C133" s="10"/>
      <c r="D133" s="4">
        <f>SUM(OSRRefD25x_0)</f>
        <v>65507.39</v>
      </c>
      <c r="E133" s="4"/>
      <c r="F133" s="12">
        <f t="shared" ref="F133:F137" si="124">IF(D$12=0,0,D133/D$12)</f>
        <v>6.1841566638911279E-2</v>
      </c>
      <c r="G133" s="4"/>
      <c r="H133" s="4">
        <f>SUM(OSRRefH25x_0)</f>
        <v>47329</v>
      </c>
      <c r="I133" s="4"/>
      <c r="J133" s="12">
        <f t="shared" ref="J133:J137" si="125">IF(H$12=0,0,H133/H$12)</f>
        <v>4.5477912526436459E-2</v>
      </c>
      <c r="K133" s="4"/>
      <c r="L133" s="4">
        <f t="shared" ref="L133:L137" si="126">+D133-H133</f>
        <v>18178.39</v>
      </c>
      <c r="M133" s="4"/>
      <c r="N133" s="12">
        <f t="shared" ref="N133:N137" si="127">IF(H133=0,0,L133/H133)</f>
        <v>0.38408565572904563</v>
      </c>
      <c r="O133" s="10"/>
      <c r="P133" s="4">
        <f>SUM(OSRRefP25x_0)</f>
        <v>579944.91999999993</v>
      </c>
      <c r="Q133" s="4"/>
      <c r="R133" s="12">
        <f t="shared" ref="R133:R137" si="128">IF(P$12=0,0,P133/P$12)</f>
        <v>5.6607888341587843E-2</v>
      </c>
      <c r="S133" s="4"/>
      <c r="T133" s="4">
        <f>SUM(OSRRefT25x_0)</f>
        <v>491724</v>
      </c>
      <c r="U133" s="4"/>
      <c r="V133" s="12">
        <f t="shared" ref="V133:V137" si="129">IF(T$12=0,0,T133/T$12)</f>
        <v>4.575277790106326E-2</v>
      </c>
      <c r="W133" s="4"/>
      <c r="X133" s="4">
        <f t="shared" ref="X133:X137" si="130">+P133-T133</f>
        <v>88220.919999999925</v>
      </c>
      <c r="Y133" s="4"/>
      <c r="Z133" s="12">
        <f t="shared" ref="Z133:Z137" si="131">IF(T133=0,0,X133/T133)</f>
        <v>0.17941145846043702</v>
      </c>
    </row>
    <row r="134" spans="1:26" s="24" customFormat="1" hidden="1" outlineLevel="1" x14ac:dyDescent="0.25">
      <c r="A134" s="44"/>
      <c r="B134" s="11" t="str">
        <f>CONCATENATE("          ", "9150", " - ", "MISC. INCOME")</f>
        <v xml:space="preserve">          9150 - MISC. INCOME</v>
      </c>
      <c r="C134" s="11"/>
      <c r="D134" s="2">
        <f>--47160.59</f>
        <v>47160.59</v>
      </c>
      <c r="E134" s="2"/>
      <c r="F134" s="19">
        <f t="shared" si="124"/>
        <v>4.4521461917737412E-2</v>
      </c>
      <c r="G134" s="2"/>
      <c r="H134" s="2">
        <v>28403</v>
      </c>
      <c r="I134" s="2"/>
      <c r="J134" s="19">
        <f t="shared" si="125"/>
        <v>2.7292128493912288E-2</v>
      </c>
      <c r="K134" s="2"/>
      <c r="L134" s="2">
        <f t="shared" si="126"/>
        <v>18757.589999999997</v>
      </c>
      <c r="M134" s="2"/>
      <c r="N134" s="19">
        <f t="shared" si="127"/>
        <v>0.66040875963806633</v>
      </c>
      <c r="O134" s="11"/>
      <c r="P134" s="2">
        <f>--230131.86</f>
        <v>230131.86</v>
      </c>
      <c r="Q134" s="2"/>
      <c r="R134" s="19">
        <f t="shared" si="128"/>
        <v>2.2462958438746093E-2</v>
      </c>
      <c r="S134" s="2"/>
      <c r="T134" s="2">
        <v>214981</v>
      </c>
      <c r="U134" s="2"/>
      <c r="V134" s="19">
        <f t="shared" si="129"/>
        <v>2.0003046314494476E-2</v>
      </c>
      <c r="W134" s="2"/>
      <c r="X134" s="2">
        <f t="shared" si="130"/>
        <v>15150.859999999986</v>
      </c>
      <c r="Y134" s="2"/>
      <c r="Z134" s="19">
        <f t="shared" si="131"/>
        <v>7.0475344332754916E-2</v>
      </c>
    </row>
    <row r="135" spans="1:26" s="24" customFormat="1" hidden="1" outlineLevel="1" x14ac:dyDescent="0.25">
      <c r="A135" s="44"/>
      <c r="B135" s="11" t="str">
        <f>CONCATENATE("          ", "9151", " - ", "MISC. INCOME")</f>
        <v xml:space="preserve">          9151 - MISC. INCOME</v>
      </c>
      <c r="C135" s="11"/>
      <c r="D135" s="2">
        <f>0</f>
        <v>0</v>
      </c>
      <c r="E135" s="2"/>
      <c r="F135" s="19">
        <f t="shared" si="124"/>
        <v>0</v>
      </c>
      <c r="G135" s="2"/>
      <c r="H135" s="2">
        <v>18926</v>
      </c>
      <c r="I135" s="2"/>
      <c r="J135" s="19">
        <f t="shared" si="125"/>
        <v>1.8185784032524167E-2</v>
      </c>
      <c r="K135" s="2"/>
      <c r="L135" s="2">
        <f t="shared" si="126"/>
        <v>-18926</v>
      </c>
      <c r="M135" s="2"/>
      <c r="N135" s="19">
        <f t="shared" si="127"/>
        <v>-1</v>
      </c>
      <c r="O135" s="11"/>
      <c r="P135" s="2">
        <f>0</f>
        <v>0</v>
      </c>
      <c r="Q135" s="2"/>
      <c r="R135" s="19">
        <f t="shared" si="128"/>
        <v>0</v>
      </c>
      <c r="S135" s="2"/>
      <c r="T135" s="2">
        <v>276743</v>
      </c>
      <c r="U135" s="2"/>
      <c r="V135" s="19">
        <f t="shared" si="129"/>
        <v>2.5749731586568788E-2</v>
      </c>
      <c r="W135" s="2"/>
      <c r="X135" s="2">
        <f t="shared" si="130"/>
        <v>-276743</v>
      </c>
      <c r="Y135" s="2"/>
      <c r="Z135" s="19">
        <f t="shared" si="131"/>
        <v>-1</v>
      </c>
    </row>
    <row r="136" spans="1:26" s="24" customFormat="1" hidden="1" outlineLevel="1" x14ac:dyDescent="0.25">
      <c r="A136" s="44"/>
      <c r="B136" s="11" t="str">
        <f>CONCATENATE("          ", "9160", " - ", "MISC. INCOME")</f>
        <v xml:space="preserve">          9160 - MISC. INCOME</v>
      </c>
      <c r="C136" s="11"/>
      <c r="D136" s="2">
        <f>--18346.8</f>
        <v>18346.8</v>
      </c>
      <c r="E136" s="2"/>
      <c r="F136" s="19">
        <f t="shared" si="124"/>
        <v>1.7320104721173863E-2</v>
      </c>
      <c r="G136" s="2"/>
      <c r="H136" s="2"/>
      <c r="I136" s="2"/>
      <c r="J136" s="19">
        <f t="shared" si="125"/>
        <v>0</v>
      </c>
      <c r="K136" s="2"/>
      <c r="L136" s="2">
        <f t="shared" si="126"/>
        <v>18346.8</v>
      </c>
      <c r="M136" s="2"/>
      <c r="N136" s="19">
        <f t="shared" si="127"/>
        <v>0</v>
      </c>
      <c r="O136" s="11"/>
      <c r="P136" s="2">
        <f>--122397</f>
        <v>122397</v>
      </c>
      <c r="Q136" s="2"/>
      <c r="R136" s="19">
        <f t="shared" si="128"/>
        <v>1.1947058195363326E-2</v>
      </c>
      <c r="S136" s="2"/>
      <c r="T136" s="2"/>
      <c r="U136" s="2"/>
      <c r="V136" s="19">
        <f t="shared" si="129"/>
        <v>0</v>
      </c>
      <c r="W136" s="2"/>
      <c r="X136" s="2">
        <f t="shared" si="130"/>
        <v>122397</v>
      </c>
      <c r="Y136" s="2"/>
      <c r="Z136" s="19">
        <f t="shared" si="131"/>
        <v>0</v>
      </c>
    </row>
    <row r="137" spans="1:26" s="24" customFormat="1" hidden="1" outlineLevel="1" x14ac:dyDescent="0.25">
      <c r="A137" s="44"/>
      <c r="B137" s="11" t="str">
        <f>CONCATENATE("          ", "9165", " - ", "OTHER INCOME")</f>
        <v xml:space="preserve">          9165 - OTHER INCOME</v>
      </c>
      <c r="C137" s="11"/>
      <c r="D137" s="2">
        <f>0</f>
        <v>0</v>
      </c>
      <c r="E137" s="2"/>
      <c r="F137" s="19">
        <f t="shared" si="124"/>
        <v>0</v>
      </c>
      <c r="G137" s="2"/>
      <c r="H137" s="2"/>
      <c r="I137" s="2"/>
      <c r="J137" s="19">
        <f t="shared" si="125"/>
        <v>0</v>
      </c>
      <c r="K137" s="2"/>
      <c r="L137" s="2">
        <f t="shared" si="126"/>
        <v>0</v>
      </c>
      <c r="M137" s="2"/>
      <c r="N137" s="19">
        <f t="shared" si="127"/>
        <v>0</v>
      </c>
      <c r="O137" s="11"/>
      <c r="P137" s="2">
        <f>--227416.06</f>
        <v>227416.06</v>
      </c>
      <c r="Q137" s="2"/>
      <c r="R137" s="19">
        <f t="shared" si="128"/>
        <v>2.2197871707478434E-2</v>
      </c>
      <c r="S137" s="2"/>
      <c r="T137" s="2"/>
      <c r="U137" s="2"/>
      <c r="V137" s="19">
        <f t="shared" si="129"/>
        <v>0</v>
      </c>
      <c r="W137" s="2"/>
      <c r="X137" s="2">
        <f t="shared" si="130"/>
        <v>227416.06</v>
      </c>
      <c r="Y137" s="2"/>
      <c r="Z137" s="19">
        <f t="shared" si="131"/>
        <v>0</v>
      </c>
    </row>
    <row r="138" spans="1:26" x14ac:dyDescent="0.25">
      <c r="A138" s="9"/>
      <c r="B138" s="10"/>
      <c r="C138" s="10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O138" s="10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x14ac:dyDescent="0.25">
      <c r="A139" s="10"/>
      <c r="B139" s="29" t="s">
        <v>3</v>
      </c>
      <c r="C139" s="29"/>
      <c r="D139" s="21">
        <f>+D31-D33+D133</f>
        <v>-101529.1800000003</v>
      </c>
      <c r="E139" s="14"/>
      <c r="F139" s="20">
        <f>IF(D$12=0,0,D139/D$12)</f>
        <v>-9.584756087464387E-2</v>
      </c>
      <c r="G139" s="14"/>
      <c r="H139" s="21">
        <f>+H31-H33+H133</f>
        <v>-77693.305801615817</v>
      </c>
      <c r="I139" s="14"/>
      <c r="J139" s="20">
        <f>IF(H$12=0,0,H139/H$12)</f>
        <v>-7.4654638068320955E-2</v>
      </c>
      <c r="K139" s="16"/>
      <c r="L139" s="21">
        <f>+D139-H139</f>
        <v>-23835.874198384481</v>
      </c>
      <c r="M139" s="16"/>
      <c r="N139" s="20">
        <f>IF(H139=0,0,L139/H139)</f>
        <v>0.30679443939800483</v>
      </c>
      <c r="O139" s="28"/>
      <c r="P139" s="21">
        <f>+P31-P33+P133</f>
        <v>1303852.0900000017</v>
      </c>
      <c r="Q139" s="14"/>
      <c r="R139" s="20">
        <f>IF(P$12=0,0,P139/P$12)</f>
        <v>0.12726779902592483</v>
      </c>
      <c r="S139" s="14"/>
      <c r="T139" s="21">
        <f>+T31-T33+T133</f>
        <v>1660422.8017859915</v>
      </c>
      <c r="U139" s="14"/>
      <c r="V139" s="20">
        <f>IF(T$12=0,0,T139/T$12)</f>
        <v>0.15449511447880449</v>
      </c>
      <c r="W139" s="16"/>
      <c r="X139" s="21">
        <f>+P139-T139</f>
        <v>-356570.71178598981</v>
      </c>
      <c r="Y139" s="16"/>
      <c r="Z139" s="20">
        <f>IF(T139=0,0,X139/T139)</f>
        <v>-0.21474693758869945</v>
      </c>
    </row>
    <row r="140" spans="1:26" x14ac:dyDescent="0.25">
      <c r="A140" s="9"/>
      <c r="B140" s="10"/>
      <c r="C140" s="9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x14ac:dyDescent="0.25">
      <c r="A141" s="52"/>
      <c r="B141" s="10" t="s">
        <v>14</v>
      </c>
      <c r="C141" s="10"/>
      <c r="D141" s="4">
        <v>76279.83</v>
      </c>
      <c r="E141" s="4"/>
      <c r="F141" s="12">
        <f>IF(D$12=0,0,D141/D$12)</f>
        <v>7.201117599327074E-2</v>
      </c>
      <c r="G141" s="4"/>
      <c r="H141" s="4">
        <v>72897</v>
      </c>
      <c r="I141" s="4"/>
      <c r="J141" s="12">
        <f>IF(H$12=0,0,H141/H$12)</f>
        <v>7.0045920882326654E-2</v>
      </c>
      <c r="K141" s="4"/>
      <c r="L141" s="4">
        <f>+D141-H141</f>
        <v>3382.8300000000017</v>
      </c>
      <c r="M141" s="4"/>
      <c r="N141" s="12">
        <f>IF(H141=0,0,L141/H141)</f>
        <v>4.6405613399728408E-2</v>
      </c>
      <c r="O141" s="10"/>
      <c r="P141" s="4">
        <v>1068403.06</v>
      </c>
      <c r="Q141" s="4"/>
      <c r="R141" s="12">
        <f>IF(P$12=0,0,P141/P$12)</f>
        <v>0.1042858365313223</v>
      </c>
      <c r="S141" s="4"/>
      <c r="T141" s="4">
        <v>1323267</v>
      </c>
      <c r="U141" s="4"/>
      <c r="V141" s="12">
        <f>IF(T$12=0,0,T141/T$12)</f>
        <v>0.12312423464139696</v>
      </c>
      <c r="W141" s="4"/>
      <c r="X141" s="4">
        <f>+P141-T141</f>
        <v>-254863.93999999994</v>
      </c>
      <c r="Y141" s="4"/>
      <c r="Z141" s="12">
        <f>IF(T141=0,0,X141/T141)</f>
        <v>-0.19260205234468927</v>
      </c>
    </row>
    <row r="142" spans="1:26" x14ac:dyDescent="0.25">
      <c r="A142" s="9"/>
      <c r="B142" s="10"/>
      <c r="C142" s="10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O142" s="10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ht="15.75" thickBot="1" x14ac:dyDescent="0.3">
      <c r="A143" s="10"/>
      <c r="B143" s="29" t="s">
        <v>4</v>
      </c>
      <c r="C143" s="29"/>
      <c r="D143" s="34">
        <f>+D139-D141</f>
        <v>-177809.0100000003</v>
      </c>
      <c r="E143" s="14"/>
      <c r="F143" s="32">
        <f>IF(D$12=0,0,D143/D$12)</f>
        <v>-0.16785873686791461</v>
      </c>
      <c r="G143" s="14"/>
      <c r="H143" s="34">
        <f>+H139-H141</f>
        <v>-150590.30580161582</v>
      </c>
      <c r="I143" s="14"/>
      <c r="J143" s="32">
        <f>IF(H$12=0,0,H143/H$12)</f>
        <v>-0.1447005589506476</v>
      </c>
      <c r="K143" s="16"/>
      <c r="L143" s="34">
        <f>D143-H143</f>
        <v>-27218.704198384483</v>
      </c>
      <c r="M143" s="16"/>
      <c r="N143" s="32">
        <f>IF(H143=0,0,L143/H143)</f>
        <v>0.18074672239687045</v>
      </c>
      <c r="O143" s="28"/>
      <c r="P143" s="34">
        <f>+P139-P141</f>
        <v>235449.03000000166</v>
      </c>
      <c r="Q143" s="14"/>
      <c r="R143" s="32">
        <f>IF(P$12=0,0,P143/P$12)</f>
        <v>2.2981962494602527E-2</v>
      </c>
      <c r="S143" s="14"/>
      <c r="T143" s="34">
        <f>+T139-T141</f>
        <v>337155.80178599153</v>
      </c>
      <c r="U143" s="14"/>
      <c r="V143" s="32">
        <f>IF(T$12=0,0,T143/T$12)</f>
        <v>3.1370879837407523E-2</v>
      </c>
      <c r="W143" s="16"/>
      <c r="X143" s="34">
        <f>P143-T143</f>
        <v>-101706.77178598987</v>
      </c>
      <c r="Y143" s="16"/>
      <c r="Z143" s="32">
        <f>IF(T143=0,0,X143/T143)</f>
        <v>-0.30166104586433273</v>
      </c>
    </row>
    <row r="144" spans="1:26" ht="15.75" thickTop="1" x14ac:dyDescent="0.25">
      <c r="A144" s="9"/>
      <c r="B144" s="9"/>
      <c r="C144" s="9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x14ac:dyDescent="0.25">
      <c r="A145" s="9"/>
      <c r="B145" s="9"/>
      <c r="C145" s="9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ht="15.75" thickBot="1" x14ac:dyDescent="0.3">
      <c r="A146" s="10"/>
      <c r="B146" s="29" t="s">
        <v>5</v>
      </c>
      <c r="C146" s="29"/>
      <c r="D146" s="31">
        <f>SUM(D143:D145)</f>
        <v>-177809.0100000003</v>
      </c>
      <c r="E146" s="14"/>
      <c r="F146" s="30">
        <f>IF(D$12=0,0,D146/D$12)</f>
        <v>-0.16785873686791461</v>
      </c>
      <c r="G146" s="14"/>
      <c r="H146" s="31">
        <f>SUM(H143:H145)</f>
        <v>-150590.30580161582</v>
      </c>
      <c r="I146" s="14"/>
      <c r="J146" s="30">
        <f>IF(H$12=0,0,H146/H$12)</f>
        <v>-0.1447005589506476</v>
      </c>
      <c r="K146" s="16"/>
      <c r="L146" s="31">
        <f>+D146-H146</f>
        <v>-27218.704198384483</v>
      </c>
      <c r="M146" s="16"/>
      <c r="N146" s="30">
        <f>IF(H146=0,0,L146/H146)</f>
        <v>0.18074672239687045</v>
      </c>
      <c r="O146" s="28"/>
      <c r="P146" s="31">
        <f>SUM(P143:P145)</f>
        <v>235449.03000000166</v>
      </c>
      <c r="Q146" s="14"/>
      <c r="R146" s="30">
        <f>IF(P$12=0,0,P146/P$12)</f>
        <v>2.2981962494602527E-2</v>
      </c>
      <c r="S146" s="14"/>
      <c r="T146" s="31">
        <f>SUM(T143:T145)</f>
        <v>337155.80178599153</v>
      </c>
      <c r="U146" s="14"/>
      <c r="V146" s="30">
        <f>IF(T$12=0,0,T146/T$12)</f>
        <v>3.1370879837407523E-2</v>
      </c>
      <c r="W146" s="16"/>
      <c r="X146" s="31">
        <f>+P146-T146</f>
        <v>-101706.77178598987</v>
      </c>
      <c r="Y146" s="16"/>
      <c r="Z146" s="30">
        <f>IF(T146=0,0,X146/T146)</f>
        <v>-0.30166104586433273</v>
      </c>
    </row>
    <row r="147" spans="1:26" ht="15.75" thickTop="1" x14ac:dyDescent="0.25">
      <c r="A147" s="9"/>
      <c r="C147" s="9"/>
      <c r="D147" s="18"/>
      <c r="E147" s="18"/>
      <c r="G147" s="18"/>
      <c r="H147" s="18"/>
      <c r="I147" s="18"/>
      <c r="J147" s="43"/>
      <c r="K147" s="18"/>
      <c r="L147" s="18"/>
      <c r="M147" s="18"/>
      <c r="P147" s="18"/>
      <c r="Q147" s="18"/>
      <c r="R147" s="43"/>
      <c r="S147" s="18"/>
      <c r="T147" s="18"/>
      <c r="U147" s="18"/>
      <c r="V147" s="43"/>
      <c r="W147" s="18"/>
      <c r="X147" s="18"/>
    </row>
    <row r="148" spans="1:26" x14ac:dyDescent="0.25">
      <c r="A148" s="9"/>
      <c r="B148" s="63">
        <v>43879.54581959491</v>
      </c>
      <c r="D148" s="18"/>
      <c r="E148" s="18"/>
      <c r="G148" s="18"/>
      <c r="H148" s="18"/>
      <c r="I148" s="18"/>
      <c r="J148" s="43"/>
      <c r="K148" s="18"/>
      <c r="L148" s="18"/>
      <c r="M148" s="18"/>
      <c r="P148" s="18"/>
      <c r="Q148" s="18"/>
      <c r="R148" s="43"/>
      <c r="S148" s="18"/>
      <c r="T148" s="18"/>
      <c r="U148" s="18"/>
      <c r="V148" s="43"/>
      <c r="W148" s="18"/>
      <c r="X148" s="18"/>
    </row>
    <row r="149" spans="1:26" x14ac:dyDescent="0.25">
      <c r="A149" s="9"/>
      <c r="B149" s="57" t="s">
        <v>314</v>
      </c>
      <c r="D149" s="18"/>
      <c r="E149" s="18"/>
      <c r="G149" s="18"/>
      <c r="H149" s="18"/>
      <c r="I149" s="18"/>
      <c r="J149" s="43"/>
      <c r="K149" s="18"/>
      <c r="L149" s="18"/>
      <c r="M149" s="18"/>
      <c r="P149" s="18"/>
      <c r="Q149" s="18"/>
      <c r="R149" s="43"/>
      <c r="S149" s="18"/>
      <c r="T149" s="18"/>
      <c r="U149" s="18"/>
      <c r="V149" s="43"/>
      <c r="W149" s="18"/>
      <c r="X149" s="18"/>
    </row>
    <row r="150" spans="1:26" x14ac:dyDescent="0.25">
      <c r="A150" s="9"/>
      <c r="B150" s="60"/>
      <c r="D150" s="18"/>
      <c r="E150" s="18"/>
      <c r="G150" s="18"/>
      <c r="H150" s="18"/>
      <c r="I150" s="18"/>
      <c r="J150" s="43"/>
      <c r="K150" s="18"/>
      <c r="L150" s="18"/>
      <c r="M150" s="18"/>
      <c r="P150" s="18"/>
      <c r="Q150" s="18"/>
      <c r="R150" s="43"/>
      <c r="S150" s="18"/>
      <c r="T150" s="18"/>
      <c r="U150" s="18"/>
      <c r="V150" s="43"/>
      <c r="W150" s="18"/>
      <c r="X150" s="18"/>
    </row>
    <row r="151" spans="1:26" x14ac:dyDescent="0.25">
      <c r="D151" s="18"/>
      <c r="E151" s="18"/>
      <c r="G151" s="18"/>
      <c r="H151" s="18"/>
      <c r="I151" s="18"/>
      <c r="J151" s="43"/>
      <c r="K151" s="18"/>
      <c r="L151" s="18"/>
      <c r="M151" s="18"/>
      <c r="P151" s="18"/>
      <c r="Q151" s="18"/>
      <c r="R151" s="43"/>
      <c r="S151" s="18"/>
      <c r="T151" s="18"/>
      <c r="U151" s="18"/>
      <c r="V151" s="43"/>
      <c r="W151" s="18"/>
      <c r="X151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5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313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591479.30000000005</v>
      </c>
      <c r="E12" s="4"/>
      <c r="F12" s="12"/>
      <c r="G12" s="4"/>
      <c r="H12" s="4">
        <f>SUM(OSRRefH13x_0)</f>
        <v>615170</v>
      </c>
      <c r="I12" s="4"/>
      <c r="J12" s="12"/>
      <c r="K12" s="4"/>
      <c r="L12" s="4">
        <f t="shared" ref="L12:L30" si="0">+D12-H12</f>
        <v>-23690.699999999953</v>
      </c>
      <c r="M12" s="4"/>
      <c r="N12" s="12">
        <f t="shared" ref="N12:N30" si="1">IF(H12=0,0,L12/H12)</f>
        <v>-3.851081814782898E-2</v>
      </c>
      <c r="O12" s="10"/>
      <c r="P12" s="4">
        <f>SUM(OSRRefP13x_0)</f>
        <v>5315629.1700000009</v>
      </c>
      <c r="Q12" s="4"/>
      <c r="R12" s="12"/>
      <c r="S12" s="4"/>
      <c r="T12" s="4">
        <f>SUM(OSRRefT13x_0)</f>
        <v>5904093.2000000002</v>
      </c>
      <c r="U12" s="4"/>
      <c r="V12" s="12"/>
      <c r="W12" s="4"/>
      <c r="X12" s="4">
        <f t="shared" ref="X12:X30" si="2">+P12-T12</f>
        <v>-588464.02999999933</v>
      </c>
      <c r="Y12" s="4"/>
      <c r="Z12" s="12">
        <f t="shared" ref="Z12:Z30" si="3">IF(T12=0,0,X12/T12)</f>
        <v>-9.9670518412547982E-2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227039</v>
      </c>
      <c r="I13" s="2"/>
      <c r="J13" s="19"/>
      <c r="K13" s="2"/>
      <c r="L13" s="2">
        <f t="shared" si="0"/>
        <v>-227039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2441647.2000000002</v>
      </c>
      <c r="U13" s="2"/>
      <c r="V13" s="19"/>
      <c r="W13" s="2"/>
      <c r="X13" s="2">
        <f t="shared" si="2"/>
        <v>-2441647.2000000002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--21457.4</f>
        <v>21457.4</v>
      </c>
      <c r="E14" s="2"/>
      <c r="F14" s="19"/>
      <c r="G14" s="2"/>
      <c r="H14" s="2"/>
      <c r="I14" s="2"/>
      <c r="J14" s="19"/>
      <c r="K14" s="2"/>
      <c r="L14" s="2">
        <f t="shared" si="0"/>
        <v>21457.4</v>
      </c>
      <c r="M14" s="2"/>
      <c r="N14" s="19">
        <f t="shared" si="1"/>
        <v>0</v>
      </c>
      <c r="O14" s="11"/>
      <c r="P14" s="2">
        <f>--211406.28</f>
        <v>211406.28</v>
      </c>
      <c r="Q14" s="2"/>
      <c r="R14" s="19"/>
      <c r="S14" s="2"/>
      <c r="T14" s="2"/>
      <c r="U14" s="2"/>
      <c r="V14" s="19"/>
      <c r="W14" s="2"/>
      <c r="X14" s="2">
        <f t="shared" si="2"/>
        <v>211406.28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--302.09</f>
        <v>302.08999999999997</v>
      </c>
      <c r="E15" s="2"/>
      <c r="F15" s="19"/>
      <c r="G15" s="2"/>
      <c r="H15" s="2"/>
      <c r="I15" s="2"/>
      <c r="J15" s="19"/>
      <c r="K15" s="2"/>
      <c r="L15" s="2">
        <f t="shared" si="0"/>
        <v>302.08999999999997</v>
      </c>
      <c r="M15" s="2"/>
      <c r="N15" s="19">
        <f t="shared" si="1"/>
        <v>0</v>
      </c>
      <c r="O15" s="11"/>
      <c r="P15" s="2">
        <f>--2504.01</f>
        <v>2504.0100000000002</v>
      </c>
      <c r="Q15" s="2"/>
      <c r="R15" s="19"/>
      <c r="S15" s="2"/>
      <c r="T15" s="2"/>
      <c r="U15" s="2"/>
      <c r="V15" s="19"/>
      <c r="W15" s="2"/>
      <c r="X15" s="2">
        <f t="shared" si="2"/>
        <v>2504.0100000000002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--43102.12</f>
        <v>43102.12</v>
      </c>
      <c r="E16" s="2"/>
      <c r="F16" s="19"/>
      <c r="G16" s="2"/>
      <c r="H16" s="2"/>
      <c r="I16" s="2"/>
      <c r="J16" s="19"/>
      <c r="K16" s="2"/>
      <c r="L16" s="2">
        <f t="shared" si="0"/>
        <v>43102.12</v>
      </c>
      <c r="M16" s="2"/>
      <c r="N16" s="19">
        <f t="shared" si="1"/>
        <v>0</v>
      </c>
      <c r="O16" s="11"/>
      <c r="P16" s="2">
        <f>--475198.87</f>
        <v>475198.87</v>
      </c>
      <c r="Q16" s="2"/>
      <c r="R16" s="19"/>
      <c r="S16" s="2"/>
      <c r="T16" s="2"/>
      <c r="U16" s="2"/>
      <c r="V16" s="19"/>
      <c r="W16" s="2"/>
      <c r="X16" s="2">
        <f t="shared" si="2"/>
        <v>475198.87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--120705.79</f>
        <v>120705.79</v>
      </c>
      <c r="E17" s="2"/>
      <c r="F17" s="19"/>
      <c r="G17" s="2"/>
      <c r="H17" s="2"/>
      <c r="I17" s="2"/>
      <c r="J17" s="19"/>
      <c r="K17" s="2"/>
      <c r="L17" s="2">
        <f t="shared" si="0"/>
        <v>120705.79</v>
      </c>
      <c r="M17" s="2"/>
      <c r="N17" s="19">
        <f t="shared" si="1"/>
        <v>0</v>
      </c>
      <c r="O17" s="11"/>
      <c r="P17" s="2">
        <f>--657002.44</f>
        <v>657002.43999999994</v>
      </c>
      <c r="Q17" s="2"/>
      <c r="R17" s="19"/>
      <c r="S17" s="2"/>
      <c r="T17" s="2"/>
      <c r="U17" s="2"/>
      <c r="V17" s="19"/>
      <c r="W17" s="2"/>
      <c r="X17" s="2">
        <f t="shared" si="2"/>
        <v>657002.43999999994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>--9441.36</f>
        <v>9441.36</v>
      </c>
      <c r="E18" s="2"/>
      <c r="F18" s="19"/>
      <c r="G18" s="2"/>
      <c r="H18" s="2"/>
      <c r="I18" s="2"/>
      <c r="J18" s="19"/>
      <c r="K18" s="2"/>
      <c r="L18" s="2">
        <f t="shared" si="0"/>
        <v>9441.36</v>
      </c>
      <c r="M18" s="2"/>
      <c r="N18" s="19">
        <f t="shared" si="1"/>
        <v>0</v>
      </c>
      <c r="O18" s="11"/>
      <c r="P18" s="2">
        <f>--95873.23</f>
        <v>95873.23</v>
      </c>
      <c r="Q18" s="2"/>
      <c r="R18" s="19"/>
      <c r="S18" s="2"/>
      <c r="T18" s="2"/>
      <c r="U18" s="2"/>
      <c r="V18" s="19"/>
      <c r="W18" s="2"/>
      <c r="X18" s="2">
        <f t="shared" si="2"/>
        <v>95873.23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>--31360</f>
        <v>31360</v>
      </c>
      <c r="E19" s="2"/>
      <c r="F19" s="19"/>
      <c r="G19" s="2"/>
      <c r="H19" s="2"/>
      <c r="I19" s="2"/>
      <c r="J19" s="19"/>
      <c r="K19" s="2"/>
      <c r="L19" s="2">
        <f t="shared" si="0"/>
        <v>31360</v>
      </c>
      <c r="M19" s="2"/>
      <c r="N19" s="19">
        <f t="shared" si="1"/>
        <v>0</v>
      </c>
      <c r="O19" s="11"/>
      <c r="P19" s="2">
        <f>--303213.95</f>
        <v>303213.95</v>
      </c>
      <c r="Q19" s="2"/>
      <c r="R19" s="19"/>
      <c r="S19" s="2"/>
      <c r="T19" s="2"/>
      <c r="U19" s="2"/>
      <c r="V19" s="19"/>
      <c r="W19" s="2"/>
      <c r="X19" s="2">
        <f t="shared" si="2"/>
        <v>303213.95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"4058", " - ", "TAXABLE SALES-FOOD")</f>
        <v xml:space="preserve">          4058 - TAXABLE SALES-FOOD</v>
      </c>
      <c r="C20" s="11"/>
      <c r="D20" s="2">
        <f>--7736.89</f>
        <v>7736.89</v>
      </c>
      <c r="E20" s="2"/>
      <c r="F20" s="19"/>
      <c r="G20" s="2"/>
      <c r="H20" s="2"/>
      <c r="I20" s="2"/>
      <c r="J20" s="19"/>
      <c r="K20" s="2"/>
      <c r="L20" s="2">
        <f t="shared" si="0"/>
        <v>7736.89</v>
      </c>
      <c r="M20" s="2"/>
      <c r="N20" s="19">
        <f t="shared" si="1"/>
        <v>0</v>
      </c>
      <c r="O20" s="11"/>
      <c r="P20" s="2">
        <f>--95636.1</f>
        <v>95636.1</v>
      </c>
      <c r="Q20" s="2"/>
      <c r="R20" s="19"/>
      <c r="S20" s="2"/>
      <c r="T20" s="2"/>
      <c r="U20" s="2"/>
      <c r="V20" s="19"/>
      <c r="W20" s="2"/>
      <c r="X20" s="2">
        <f t="shared" si="2"/>
        <v>95636.1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388131</v>
      </c>
      <c r="I21" s="2"/>
      <c r="J21" s="19"/>
      <c r="K21" s="2"/>
      <c r="L21" s="2">
        <f t="shared" si="0"/>
        <v>-388131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3462446</v>
      </c>
      <c r="U21" s="2"/>
      <c r="V21" s="19"/>
      <c r="W21" s="2"/>
      <c r="X21" s="2">
        <f t="shared" si="2"/>
        <v>-3462446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"4132", " - ", "NON-TAXABLE SALES-JUICE")</f>
        <v xml:space="preserve">          4132 - NON-TAXABLE SALES-JUICE</v>
      </c>
      <c r="C22" s="11"/>
      <c r="D22" s="2">
        <f>--91062.58</f>
        <v>91062.58</v>
      </c>
      <c r="E22" s="2"/>
      <c r="F22" s="19"/>
      <c r="G22" s="2"/>
      <c r="H22" s="2"/>
      <c r="I22" s="2"/>
      <c r="J22" s="19"/>
      <c r="K22" s="2"/>
      <c r="L22" s="2">
        <f t="shared" si="0"/>
        <v>91062.58</v>
      </c>
      <c r="M22" s="2"/>
      <c r="N22" s="19">
        <f t="shared" si="1"/>
        <v>0</v>
      </c>
      <c r="O22" s="11"/>
      <c r="P22" s="2">
        <f>--830184.3</f>
        <v>830184.3</v>
      </c>
      <c r="Q22" s="2"/>
      <c r="R22" s="19"/>
      <c r="S22" s="2"/>
      <c r="T22" s="2"/>
      <c r="U22" s="2"/>
      <c r="V22" s="19"/>
      <c r="W22" s="2"/>
      <c r="X22" s="2">
        <f t="shared" si="2"/>
        <v>830184.3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"4133", " - ", "NON-TAXABLE SALES-CANDY")</f>
        <v xml:space="preserve">          4133 - NON-TAXABLE SALES-CANDY</v>
      </c>
      <c r="C23" s="11"/>
      <c r="D23" s="2">
        <f>--1.59</f>
        <v>1.59</v>
      </c>
      <c r="E23" s="2"/>
      <c r="F23" s="19"/>
      <c r="G23" s="2"/>
      <c r="H23" s="2"/>
      <c r="I23" s="2"/>
      <c r="J23" s="19"/>
      <c r="K23" s="2"/>
      <c r="L23" s="2">
        <f t="shared" si="0"/>
        <v>1.59</v>
      </c>
      <c r="M23" s="2"/>
      <c r="N23" s="19">
        <f t="shared" si="1"/>
        <v>0</v>
      </c>
      <c r="O23" s="11"/>
      <c r="P23" s="2">
        <f>--1.59</f>
        <v>1.59</v>
      </c>
      <c r="Q23" s="2"/>
      <c r="R23" s="19"/>
      <c r="S23" s="2"/>
      <c r="T23" s="2"/>
      <c r="U23" s="2"/>
      <c r="V23" s="19"/>
      <c r="W23" s="2"/>
      <c r="X23" s="2">
        <f t="shared" si="2"/>
        <v>1.59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"4134", " - ", "NON-TAXABLE SALES-SODA")</f>
        <v xml:space="preserve">          4134 - NON-TAXABLE SALES-SODA</v>
      </c>
      <c r="C24" s="11"/>
      <c r="D24" s="2">
        <f>--8.02</f>
        <v>8.02</v>
      </c>
      <c r="E24" s="2"/>
      <c r="F24" s="19"/>
      <c r="G24" s="2"/>
      <c r="H24" s="2"/>
      <c r="I24" s="2"/>
      <c r="J24" s="19"/>
      <c r="K24" s="2"/>
      <c r="L24" s="2">
        <f t="shared" si="0"/>
        <v>8.02</v>
      </c>
      <c r="M24" s="2"/>
      <c r="N24" s="19">
        <f t="shared" si="1"/>
        <v>0</v>
      </c>
      <c r="O24" s="11"/>
      <c r="P24" s="2">
        <f>--8.41</f>
        <v>8.41</v>
      </c>
      <c r="Q24" s="2"/>
      <c r="R24" s="19"/>
      <c r="S24" s="2"/>
      <c r="T24" s="2"/>
      <c r="U24" s="2"/>
      <c r="V24" s="19"/>
      <c r="W24" s="2"/>
      <c r="X24" s="2">
        <f t="shared" si="2"/>
        <v>8.41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--132.68</f>
        <v>132.68</v>
      </c>
      <c r="E25" s="2"/>
      <c r="F25" s="19"/>
      <c r="G25" s="2"/>
      <c r="H25" s="2"/>
      <c r="I25" s="2"/>
      <c r="J25" s="19"/>
      <c r="K25" s="2"/>
      <c r="L25" s="2">
        <f t="shared" si="0"/>
        <v>132.68</v>
      </c>
      <c r="M25" s="2"/>
      <c r="N25" s="19">
        <f t="shared" si="1"/>
        <v>0</v>
      </c>
      <c r="O25" s="11"/>
      <c r="P25" s="2">
        <f>--1282.78</f>
        <v>1282.78</v>
      </c>
      <c r="Q25" s="2"/>
      <c r="R25" s="19"/>
      <c r="S25" s="2"/>
      <c r="T25" s="2"/>
      <c r="U25" s="2"/>
      <c r="V25" s="19"/>
      <c r="W25" s="2"/>
      <c r="X25" s="2">
        <f t="shared" si="2"/>
        <v>1282.78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"4151", " - ", "NON-TAXABLE SALES-FOOD")</f>
        <v xml:space="preserve">          4151 - NON-TAXABLE SALES-FOOD</v>
      </c>
      <c r="C26" s="11"/>
      <c r="D26" s="2">
        <f>--157698.26</f>
        <v>157698.26</v>
      </c>
      <c r="E26" s="2"/>
      <c r="F26" s="19"/>
      <c r="G26" s="2"/>
      <c r="H26" s="2"/>
      <c r="I26" s="2"/>
      <c r="J26" s="19"/>
      <c r="K26" s="2"/>
      <c r="L26" s="2">
        <f t="shared" si="0"/>
        <v>157698.26</v>
      </c>
      <c r="M26" s="2"/>
      <c r="N26" s="19">
        <f t="shared" si="1"/>
        <v>0</v>
      </c>
      <c r="O26" s="11"/>
      <c r="P26" s="2">
        <f>--1687315.5</f>
        <v>1687315.5</v>
      </c>
      <c r="Q26" s="2"/>
      <c r="R26" s="19"/>
      <c r="S26" s="2"/>
      <c r="T26" s="2"/>
      <c r="U26" s="2"/>
      <c r="V26" s="19"/>
      <c r="W26" s="2"/>
      <c r="X26" s="2">
        <f t="shared" si="2"/>
        <v>1687315.5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"4152", " - ", "NON-TAXABLE SALES-FOOD")</f>
        <v xml:space="preserve">          4152 - NON-TAXABLE SALES-FOOD</v>
      </c>
      <c r="C27" s="11"/>
      <c r="D27" s="2">
        <f>--4794.1</f>
        <v>4794.1000000000004</v>
      </c>
      <c r="E27" s="2"/>
      <c r="F27" s="19"/>
      <c r="G27" s="2"/>
      <c r="H27" s="2"/>
      <c r="I27" s="2"/>
      <c r="J27" s="19"/>
      <c r="K27" s="2"/>
      <c r="L27" s="2">
        <f t="shared" si="0"/>
        <v>4794.1000000000004</v>
      </c>
      <c r="M27" s="2"/>
      <c r="N27" s="19">
        <f t="shared" si="1"/>
        <v>0</v>
      </c>
      <c r="O27" s="11"/>
      <c r="P27" s="2">
        <f>--39428.9</f>
        <v>39428.9</v>
      </c>
      <c r="Q27" s="2"/>
      <c r="R27" s="19"/>
      <c r="S27" s="2"/>
      <c r="T27" s="2"/>
      <c r="U27" s="2"/>
      <c r="V27" s="19"/>
      <c r="W27" s="2"/>
      <c r="X27" s="2">
        <f t="shared" si="2"/>
        <v>39428.9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"4153", " - ", "NON-TAXABLE SALES-FOOD")</f>
        <v xml:space="preserve">          4153 - NON-TAXABLE SALES-FOOD</v>
      </c>
      <c r="C28" s="11"/>
      <c r="D28" s="2">
        <f>--715</f>
        <v>715</v>
      </c>
      <c r="E28" s="2"/>
      <c r="F28" s="19"/>
      <c r="G28" s="2"/>
      <c r="H28" s="2"/>
      <c r="I28" s="2"/>
      <c r="J28" s="19"/>
      <c r="K28" s="2"/>
      <c r="L28" s="2">
        <f t="shared" si="0"/>
        <v>715</v>
      </c>
      <c r="M28" s="2"/>
      <c r="N28" s="19">
        <f t="shared" si="1"/>
        <v>0</v>
      </c>
      <c r="O28" s="11"/>
      <c r="P28" s="2">
        <f>--10275</f>
        <v>10275</v>
      </c>
      <c r="Q28" s="2"/>
      <c r="R28" s="19"/>
      <c r="S28" s="2"/>
      <c r="T28" s="2"/>
      <c r="U28" s="2"/>
      <c r="V28" s="19"/>
      <c r="W28" s="2"/>
      <c r="X28" s="2">
        <f t="shared" si="2"/>
        <v>10275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"4155", " - ", "NON-TAXABLE SALES-FOOD")</f>
        <v xml:space="preserve">          4155 - NON-TAXABLE SALES-FOOD</v>
      </c>
      <c r="C29" s="11"/>
      <c r="D29" s="2">
        <f>--58440.71</f>
        <v>58440.71</v>
      </c>
      <c r="E29" s="2"/>
      <c r="F29" s="19"/>
      <c r="G29" s="2"/>
      <c r="H29" s="2"/>
      <c r="I29" s="2"/>
      <c r="J29" s="19"/>
      <c r="K29" s="2"/>
      <c r="L29" s="2">
        <f t="shared" si="0"/>
        <v>58440.71</v>
      </c>
      <c r="M29" s="2"/>
      <c r="N29" s="19">
        <f t="shared" si="1"/>
        <v>0</v>
      </c>
      <c r="O29" s="11"/>
      <c r="P29" s="2">
        <f>--543161.16</f>
        <v>543161.16</v>
      </c>
      <c r="Q29" s="2"/>
      <c r="R29" s="19"/>
      <c r="S29" s="2"/>
      <c r="T29" s="2"/>
      <c r="U29" s="2"/>
      <c r="V29" s="19"/>
      <c r="W29" s="2"/>
      <c r="X29" s="2">
        <f t="shared" si="2"/>
        <v>543161.16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"4158", " - ", "NON-TAXABLE SALES-FOOD")</f>
        <v xml:space="preserve">          4158 - NON-TAXABLE SALES-FOOD</v>
      </c>
      <c r="C30" s="11"/>
      <c r="D30" s="2">
        <f>--44520.71</f>
        <v>44520.71</v>
      </c>
      <c r="E30" s="2"/>
      <c r="F30" s="19"/>
      <c r="G30" s="2"/>
      <c r="H30" s="2"/>
      <c r="I30" s="2"/>
      <c r="J30" s="19"/>
      <c r="K30" s="2"/>
      <c r="L30" s="2">
        <f t="shared" si="0"/>
        <v>44520.71</v>
      </c>
      <c r="M30" s="2"/>
      <c r="N30" s="19">
        <f t="shared" si="1"/>
        <v>0</v>
      </c>
      <c r="O30" s="11"/>
      <c r="P30" s="2">
        <f>--363136.65</f>
        <v>363136.65</v>
      </c>
      <c r="Q30" s="2"/>
      <c r="R30" s="19"/>
      <c r="S30" s="2"/>
      <c r="T30" s="2"/>
      <c r="U30" s="2"/>
      <c r="V30" s="19"/>
      <c r="W30" s="2"/>
      <c r="X30" s="2">
        <f t="shared" si="2"/>
        <v>363136.65</v>
      </c>
      <c r="Y30" s="2"/>
      <c r="Z30" s="19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8" t="s">
        <v>8</v>
      </c>
      <c r="C32" s="10"/>
      <c r="D32" s="4">
        <f>SUM(OSRRefD16x_0)</f>
        <v>247914.73999999996</v>
      </c>
      <c r="E32" s="4"/>
      <c r="F32" s="12">
        <f t="shared" ref="F32:F35" si="4">IF(D$12=0,0,D32/D$12)</f>
        <v>0.41914356089891891</v>
      </c>
      <c r="G32" s="4"/>
      <c r="H32" s="4">
        <f>SUM(OSRRefH16x_0)</f>
        <v>215728</v>
      </c>
      <c r="I32" s="4"/>
      <c r="J32" s="12">
        <f t="shared" ref="J32:J35" si="5">IF(H$12=0,0,H32/H$12)</f>
        <v>0.3506802997545394</v>
      </c>
      <c r="K32" s="4"/>
      <c r="L32" s="4">
        <f t="shared" ref="L32:L35" si="6">+D32-H32</f>
        <v>32186.739999999962</v>
      </c>
      <c r="M32" s="4"/>
      <c r="N32" s="12">
        <f t="shared" ref="N32:N35" si="7">IF(H32=0,0,L32/H32)</f>
        <v>0.14920056738114645</v>
      </c>
      <c r="O32" s="10"/>
      <c r="P32" s="4">
        <f>SUM(OSRRefP16x_0)</f>
        <v>2038251.14</v>
      </c>
      <c r="Q32" s="4"/>
      <c r="R32" s="12">
        <f t="shared" ref="R32:R35" si="8">IF(P$12=0,0,P32/P$12)</f>
        <v>0.38344494599121925</v>
      </c>
      <c r="S32" s="4"/>
      <c r="T32" s="4">
        <f>SUM(OSRRefT16x_0)</f>
        <v>2138407</v>
      </c>
      <c r="U32" s="4"/>
      <c r="V32" s="12">
        <f t="shared" ref="V32:V35" si="9">IF(T$12=0,0,T32/T$12)</f>
        <v>0.36219059008079341</v>
      </c>
      <c r="W32" s="4"/>
      <c r="X32" s="4">
        <f t="shared" ref="X32:X35" si="10">+P32-T32</f>
        <v>-100155.8600000001</v>
      </c>
      <c r="Y32" s="4"/>
      <c r="Z32" s="12">
        <f t="shared" ref="Z32:Z35" si="11">IF(T32=0,0,X32/T32)</f>
        <v>-4.6836668604246103E-2</v>
      </c>
    </row>
    <row r="33" spans="1:26" s="24" customFormat="1" hidden="1" outlineLevel="1" x14ac:dyDescent="0.25">
      <c r="A33" s="44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19">
        <f t="shared" si="4"/>
        <v>0</v>
      </c>
      <c r="G33" s="2"/>
      <c r="H33" s="2">
        <v>215728</v>
      </c>
      <c r="I33" s="2"/>
      <c r="J33" s="19">
        <f t="shared" si="5"/>
        <v>0.3506802997545394</v>
      </c>
      <c r="K33" s="2"/>
      <c r="L33" s="2">
        <f t="shared" si="6"/>
        <v>-215728</v>
      </c>
      <c r="M33" s="2"/>
      <c r="N33" s="19">
        <f t="shared" si="7"/>
        <v>-1</v>
      </c>
      <c r="O33" s="11"/>
      <c r="P33" s="2"/>
      <c r="Q33" s="2"/>
      <c r="R33" s="19">
        <f t="shared" si="8"/>
        <v>0</v>
      </c>
      <c r="S33" s="2"/>
      <c r="T33" s="2">
        <v>2138407</v>
      </c>
      <c r="U33" s="2"/>
      <c r="V33" s="19">
        <f t="shared" si="9"/>
        <v>0.36219059008079341</v>
      </c>
      <c r="W33" s="2"/>
      <c r="X33" s="2">
        <f t="shared" si="10"/>
        <v>-2138407</v>
      </c>
      <c r="Y33" s="2"/>
      <c r="Z33" s="19">
        <f t="shared" si="11"/>
        <v>-1</v>
      </c>
    </row>
    <row r="34" spans="1:26" s="24" customFormat="1" hidden="1" outlineLevel="1" x14ac:dyDescent="0.25">
      <c r="A34" s="44"/>
      <c r="B34" s="11" t="str">
        <f>CONCATENATE("          ", "5053", " - ", "PURCHASES @ COST-FOOD")</f>
        <v xml:space="preserve">          5053 - PURCHASES @ COST-FOOD</v>
      </c>
      <c r="C34" s="11"/>
      <c r="D34" s="2">
        <v>275453.83999999997</v>
      </c>
      <c r="E34" s="2"/>
      <c r="F34" s="19">
        <f t="shared" si="4"/>
        <v>0.46570326298823972</v>
      </c>
      <c r="G34" s="2"/>
      <c r="H34" s="2"/>
      <c r="I34" s="2"/>
      <c r="J34" s="19">
        <f t="shared" si="5"/>
        <v>0</v>
      </c>
      <c r="K34" s="2"/>
      <c r="L34" s="2">
        <f t="shared" si="6"/>
        <v>275453.83999999997</v>
      </c>
      <c r="M34" s="2"/>
      <c r="N34" s="19">
        <f t="shared" si="7"/>
        <v>0</v>
      </c>
      <c r="O34" s="11"/>
      <c r="P34" s="2">
        <v>2108115.65</v>
      </c>
      <c r="Q34" s="2"/>
      <c r="R34" s="19">
        <f t="shared" si="8"/>
        <v>0.39658817095399446</v>
      </c>
      <c r="S34" s="2"/>
      <c r="T34" s="2"/>
      <c r="U34" s="2"/>
      <c r="V34" s="19">
        <f t="shared" si="9"/>
        <v>0</v>
      </c>
      <c r="W34" s="2"/>
      <c r="X34" s="2">
        <f t="shared" si="10"/>
        <v>2108115.65</v>
      </c>
      <c r="Y34" s="2"/>
      <c r="Z34" s="19">
        <f t="shared" si="11"/>
        <v>0</v>
      </c>
    </row>
    <row r="35" spans="1:26" s="24" customFormat="1" hidden="1" outlineLevel="1" x14ac:dyDescent="0.25">
      <c r="A35" s="44"/>
      <c r="B35" s="11" t="str">
        <f>CONCATENATE("          ", "5059", " - ", "PURCHASES @ COST-FOOD")</f>
        <v xml:space="preserve">          5059 - PURCHASES @ COST-FOOD</v>
      </c>
      <c r="C35" s="11"/>
      <c r="D35" s="2">
        <v>-27539.1</v>
      </c>
      <c r="E35" s="2"/>
      <c r="F35" s="19">
        <f t="shared" si="4"/>
        <v>-4.6559702089320788E-2</v>
      </c>
      <c r="G35" s="2"/>
      <c r="H35" s="2"/>
      <c r="I35" s="2"/>
      <c r="J35" s="19">
        <f t="shared" si="5"/>
        <v>0</v>
      </c>
      <c r="K35" s="2"/>
      <c r="L35" s="2">
        <f t="shared" si="6"/>
        <v>-27539.1</v>
      </c>
      <c r="M35" s="2"/>
      <c r="N35" s="19">
        <f t="shared" si="7"/>
        <v>0</v>
      </c>
      <c r="O35" s="11"/>
      <c r="P35" s="2">
        <v>-69864.509999999995</v>
      </c>
      <c r="Q35" s="2"/>
      <c r="R35" s="19">
        <f t="shared" si="8"/>
        <v>-1.3143224962775193E-2</v>
      </c>
      <c r="S35" s="2"/>
      <c r="T35" s="2"/>
      <c r="U35" s="2"/>
      <c r="V35" s="19">
        <f t="shared" si="9"/>
        <v>0</v>
      </c>
      <c r="W35" s="2"/>
      <c r="X35" s="2">
        <f t="shared" si="10"/>
        <v>-69864.509999999995</v>
      </c>
      <c r="Y35" s="2"/>
      <c r="Z35" s="19">
        <f t="shared" si="11"/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9" t="s">
        <v>6</v>
      </c>
      <c r="C37" s="29"/>
      <c r="D37" s="21">
        <f>D12-D32</f>
        <v>343564.56000000006</v>
      </c>
      <c r="E37" s="14"/>
      <c r="F37" s="20">
        <f>IF(D$12=0,0,D37/D$12)</f>
        <v>0.58085643910108098</v>
      </c>
      <c r="G37" s="14"/>
      <c r="H37" s="21">
        <f>H12-H32</f>
        <v>399442</v>
      </c>
      <c r="I37" s="14"/>
      <c r="J37" s="20">
        <f>IF(H$12=0,0,H37/H$12)</f>
        <v>0.6493197002454606</v>
      </c>
      <c r="K37" s="16"/>
      <c r="L37" s="21">
        <f>+D37-H37</f>
        <v>-55877.439999999944</v>
      </c>
      <c r="M37" s="16"/>
      <c r="N37" s="20">
        <f>IF(H37=0,0,L37/H37)</f>
        <v>-0.13988874479899446</v>
      </c>
      <c r="O37" s="28"/>
      <c r="P37" s="21">
        <f>P12-P32</f>
        <v>3277378.0300000012</v>
      </c>
      <c r="Q37" s="14"/>
      <c r="R37" s="20">
        <f>IF(P$12=0,0,P37/P$12)</f>
        <v>0.61655505400878086</v>
      </c>
      <c r="S37" s="14"/>
      <c r="T37" s="21">
        <f>T12-T32</f>
        <v>3765686.2</v>
      </c>
      <c r="U37" s="14"/>
      <c r="V37" s="20">
        <f>IF(T$12=0,0,T37/T$12)</f>
        <v>0.63780940991920654</v>
      </c>
      <c r="W37" s="16"/>
      <c r="X37" s="21">
        <f>+P37-T37</f>
        <v>-488308.16999999899</v>
      </c>
      <c r="Y37" s="16"/>
      <c r="Z37" s="20">
        <f>IF(T37=0,0,X37/T37)</f>
        <v>-0.12967309118853265</v>
      </c>
    </row>
    <row r="38" spans="1:26" x14ac:dyDescent="0.25">
      <c r="A38" s="9"/>
      <c r="B38" s="10"/>
      <c r="C38" s="9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6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8" t="s">
        <v>9</v>
      </c>
      <c r="C39" s="10"/>
      <c r="D39" s="22">
        <f>SUM(OSRRefD22x_0)</f>
        <v>599498.27999999991</v>
      </c>
      <c r="E39" s="22"/>
      <c r="F39" s="35">
        <f t="shared" ref="F39:F50" si="12">IF(D$12=0,0,D39/D$12)</f>
        <v>1.0135574989691098</v>
      </c>
      <c r="G39" s="22"/>
      <c r="H39" s="22">
        <f>SUM(OSRRefH22x_0)</f>
        <v>555175.4326743132</v>
      </c>
      <c r="I39" s="22"/>
      <c r="J39" s="35">
        <f t="shared" ref="J39:J50" si="13">IF(H$12=0,0,H39/H$12)</f>
        <v>0.90247481618790448</v>
      </c>
      <c r="K39" s="4"/>
      <c r="L39" s="22">
        <f t="shared" ref="L39:L50" si="14">+D39-H39</f>
        <v>44322.847325686715</v>
      </c>
      <c r="M39" s="4"/>
      <c r="N39" s="35">
        <f t="shared" ref="N39:N50" si="15">IF(H39=0,0,L39/H39)</f>
        <v>7.9835750498145994E-2</v>
      </c>
      <c r="O39" s="10"/>
      <c r="P39" s="22">
        <f>SUM(OSRRefP22x_0)</f>
        <v>4108260.9600000004</v>
      </c>
      <c r="Q39" s="22"/>
      <c r="R39" s="35">
        <f t="shared" ref="R39:R50" si="16">IF(P$12=0,0,P39/P$12)</f>
        <v>0.77286447730137653</v>
      </c>
      <c r="S39" s="22"/>
      <c r="T39" s="22">
        <f>SUM(OSRRefT22x_0)</f>
        <v>3939954.9719476579</v>
      </c>
      <c r="U39" s="22"/>
      <c r="V39" s="35">
        <f t="shared" ref="V39:V50" si="17">IF(T$12=0,0,T39/T$12)</f>
        <v>0.66732601239215839</v>
      </c>
      <c r="W39" s="4"/>
      <c r="X39" s="22">
        <f t="shared" ref="X39:X50" si="18">+P39-T39</f>
        <v>168305.98805234255</v>
      </c>
      <c r="Y39" s="4"/>
      <c r="Z39" s="35">
        <f t="shared" ref="Z39:Z50" si="19">IF(T39=0,0,X39/T39)</f>
        <v>4.2717744048009515E-2</v>
      </c>
    </row>
    <row r="40" spans="1:26" s="27" customFormat="1" outlineLevel="1" collapsed="1" x14ac:dyDescent="0.25">
      <c r="A40" s="26"/>
      <c r="B40" s="13" t="str">
        <f>CONCATENATE("     ","*Benefits                                         ")</f>
        <v xml:space="preserve">     *Benefits                                         </v>
      </c>
      <c r="C40" s="13"/>
      <c r="D40" s="1">
        <f>SUM(OSRRefD22_0x_0)</f>
        <v>80491.280000000013</v>
      </c>
      <c r="E40" s="1"/>
      <c r="F40" s="5">
        <f t="shared" si="12"/>
        <v>0.136084694764466</v>
      </c>
      <c r="G40" s="1"/>
      <c r="H40" s="1">
        <f>SUM(OSRRefH22_0x_0)</f>
        <v>79622.893030082487</v>
      </c>
      <c r="I40" s="1"/>
      <c r="J40" s="5">
        <f t="shared" si="13"/>
        <v>0.1294323407027041</v>
      </c>
      <c r="K40" s="1"/>
      <c r="L40" s="1">
        <f t="shared" si="14"/>
        <v>868.38696991752659</v>
      </c>
      <c r="M40" s="1"/>
      <c r="N40" s="5">
        <f t="shared" si="15"/>
        <v>1.0906247397836192E-2</v>
      </c>
      <c r="O40" s="13"/>
      <c r="P40" s="1">
        <f>SUM(OSRRefP22_0x_0)</f>
        <v>571485.01</v>
      </c>
      <c r="Q40" s="1"/>
      <c r="R40" s="5">
        <f t="shared" si="16"/>
        <v>0.10751032318531729</v>
      </c>
      <c r="S40" s="1"/>
      <c r="T40" s="1">
        <f>SUM(OSRRefT22_0x_0)</f>
        <v>556614.97420342686</v>
      </c>
      <c r="U40" s="1"/>
      <c r="V40" s="5">
        <f t="shared" si="17"/>
        <v>9.4276115797668439E-2</v>
      </c>
      <c r="W40" s="1"/>
      <c r="X40" s="1">
        <f t="shared" si="18"/>
        <v>14870.035796573153</v>
      </c>
      <c r="Y40" s="1"/>
      <c r="Z40" s="5">
        <f t="shared" si="19"/>
        <v>2.6715119940590351E-2</v>
      </c>
    </row>
    <row r="41" spans="1:26" s="24" customFormat="1" hidden="1" outlineLevel="2" x14ac:dyDescent="0.25">
      <c r="A41" s="25"/>
      <c r="B41" s="11" t="str">
        <f>CONCATENATE("          ", "6111", " - ", "F.I.C.A.")</f>
        <v xml:space="preserve">          6111 - F.I.C.A.</v>
      </c>
      <c r="C41" s="11"/>
      <c r="D41" s="7">
        <v>12768.97</v>
      </c>
      <c r="E41" s="2"/>
      <c r="F41" s="6">
        <f t="shared" si="12"/>
        <v>2.1588194210684971E-2</v>
      </c>
      <c r="G41" s="2"/>
      <c r="H41" s="7">
        <v>12797.804192885544</v>
      </c>
      <c r="I41" s="2"/>
      <c r="J41" s="6">
        <f t="shared" si="13"/>
        <v>2.0803687099314894E-2</v>
      </c>
      <c r="K41" s="2"/>
      <c r="L41" s="7">
        <f t="shared" si="14"/>
        <v>-28.834192885544326</v>
      </c>
      <c r="M41" s="2"/>
      <c r="N41" s="6">
        <f t="shared" si="15"/>
        <v>-2.2530578254645909E-3</v>
      </c>
      <c r="O41" s="11"/>
      <c r="P41" s="7">
        <v>107252.23</v>
      </c>
      <c r="Q41" s="2"/>
      <c r="R41" s="6">
        <f t="shared" si="16"/>
        <v>2.017677053269688E-2</v>
      </c>
      <c r="S41" s="2"/>
      <c r="T41" s="7">
        <v>90252.924577577549</v>
      </c>
      <c r="U41" s="2"/>
      <c r="V41" s="6">
        <f t="shared" si="17"/>
        <v>1.5286500656456023E-2</v>
      </c>
      <c r="W41" s="2"/>
      <c r="X41" s="7">
        <f t="shared" si="18"/>
        <v>16999.305422422447</v>
      </c>
      <c r="Y41" s="2"/>
      <c r="Z41" s="6">
        <f t="shared" si="19"/>
        <v>0.18835185122240081</v>
      </c>
    </row>
    <row r="42" spans="1:26" s="24" customFormat="1" hidden="1" outlineLevel="2" x14ac:dyDescent="0.25">
      <c r="A42" s="25"/>
      <c r="B42" s="11" t="str">
        <f>CONCATENATE("          ", "6112", " - ", "COMPENSATION INSURANCE")</f>
        <v xml:space="preserve">          6112 - COMPENSATION INSURANCE</v>
      </c>
      <c r="C42" s="11"/>
      <c r="D42" s="7">
        <v>7172.42</v>
      </c>
      <c r="E42" s="2"/>
      <c r="F42" s="6">
        <f t="shared" si="12"/>
        <v>1.2126240089889873E-2</v>
      </c>
      <c r="G42" s="2"/>
      <c r="H42" s="7">
        <v>9264.9533940400052</v>
      </c>
      <c r="I42" s="2"/>
      <c r="J42" s="6">
        <f t="shared" si="13"/>
        <v>1.5060801719914828E-2</v>
      </c>
      <c r="K42" s="2"/>
      <c r="L42" s="7">
        <f t="shared" si="14"/>
        <v>-2092.5333940400051</v>
      </c>
      <c r="M42" s="2"/>
      <c r="N42" s="6">
        <f t="shared" si="15"/>
        <v>-0.2258547134609547</v>
      </c>
      <c r="O42" s="11"/>
      <c r="P42" s="7">
        <v>50538.21</v>
      </c>
      <c r="Q42" s="2"/>
      <c r="R42" s="6">
        <f t="shared" si="16"/>
        <v>9.5074747285277591E-3</v>
      </c>
      <c r="S42" s="2"/>
      <c r="T42" s="7">
        <v>65710.711498359989</v>
      </c>
      <c r="U42" s="2"/>
      <c r="V42" s="6">
        <f t="shared" si="17"/>
        <v>1.1129687366446043E-2</v>
      </c>
      <c r="W42" s="2"/>
      <c r="X42" s="7">
        <f t="shared" si="18"/>
        <v>-15172.50149835999</v>
      </c>
      <c r="Y42" s="2"/>
      <c r="Z42" s="6">
        <f t="shared" si="19"/>
        <v>-0.23089845098905476</v>
      </c>
    </row>
    <row r="43" spans="1:26" s="24" customFormat="1" hidden="1" outlineLevel="2" x14ac:dyDescent="0.25">
      <c r="A43" s="25"/>
      <c r="B43" s="11" t="str">
        <f>CONCATENATE("          ", "6113", " - ", "GROUP INSURANCE")</f>
        <v xml:space="preserve">          6113 - GROUP INSURANCE</v>
      </c>
      <c r="C43" s="11"/>
      <c r="D43" s="7">
        <v>30040.489999999998</v>
      </c>
      <c r="E43" s="2"/>
      <c r="F43" s="6">
        <f t="shared" si="12"/>
        <v>5.078874273368484E-2</v>
      </c>
      <c r="G43" s="2"/>
      <c r="H43" s="7">
        <v>28466.801923076931</v>
      </c>
      <c r="I43" s="2"/>
      <c r="J43" s="6">
        <f t="shared" si="13"/>
        <v>4.6274691423634003E-2</v>
      </c>
      <c r="K43" s="2"/>
      <c r="L43" s="7">
        <f t="shared" si="14"/>
        <v>1573.6880769230665</v>
      </c>
      <c r="M43" s="2"/>
      <c r="N43" s="6">
        <f t="shared" si="15"/>
        <v>5.5281519897299694E-2</v>
      </c>
      <c r="O43" s="11"/>
      <c r="P43" s="7">
        <v>195866.02000000002</v>
      </c>
      <c r="Q43" s="2"/>
      <c r="R43" s="6">
        <f t="shared" si="16"/>
        <v>3.6847194139391026E-2</v>
      </c>
      <c r="S43" s="2"/>
      <c r="T43" s="7">
        <v>195620.4442307693</v>
      </c>
      <c r="U43" s="2"/>
      <c r="V43" s="6">
        <f t="shared" si="17"/>
        <v>3.3133021042210054E-2</v>
      </c>
      <c r="W43" s="2"/>
      <c r="X43" s="7">
        <f t="shared" si="18"/>
        <v>245.57576923072338</v>
      </c>
      <c r="Y43" s="2"/>
      <c r="Z43" s="6">
        <f t="shared" si="19"/>
        <v>1.2553686308013024E-3</v>
      </c>
    </row>
    <row r="44" spans="1:26" s="24" customFormat="1" hidden="1" outlineLevel="2" x14ac:dyDescent="0.25">
      <c r="A44" s="25"/>
      <c r="B44" s="11" t="str">
        <f>CONCATENATE("          ", "6114", " - ", "STATE UNEMPLOYMENT INSURANCE")</f>
        <v xml:space="preserve">          6114 - STATE UNEMPLOYMENT INSURANCE</v>
      </c>
      <c r="C44" s="11"/>
      <c r="D44" s="7">
        <v>565.65</v>
      </c>
      <c r="E44" s="2"/>
      <c r="F44" s="6">
        <f t="shared" si="12"/>
        <v>9.563310161488321E-4</v>
      </c>
      <c r="G44" s="2"/>
      <c r="H44" s="7">
        <v>745.96796108000001</v>
      </c>
      <c r="I44" s="2"/>
      <c r="J44" s="6">
        <f t="shared" si="13"/>
        <v>1.2126208382723476E-3</v>
      </c>
      <c r="K44" s="2"/>
      <c r="L44" s="7">
        <f t="shared" si="14"/>
        <v>-180.31796108000003</v>
      </c>
      <c r="M44" s="2"/>
      <c r="N44" s="6">
        <f t="shared" si="15"/>
        <v>-0.2417234660037392</v>
      </c>
      <c r="O44" s="11"/>
      <c r="P44" s="7">
        <v>5114.25</v>
      </c>
      <c r="Q44" s="2"/>
      <c r="R44" s="6">
        <f t="shared" si="16"/>
        <v>9.6211564735619039E-4</v>
      </c>
      <c r="S44" s="2"/>
      <c r="T44" s="7">
        <v>5213.0294857199997</v>
      </c>
      <c r="U44" s="2"/>
      <c r="V44" s="6">
        <f t="shared" si="17"/>
        <v>8.8295176060567597E-4</v>
      </c>
      <c r="W44" s="2"/>
      <c r="X44" s="7">
        <f t="shared" si="18"/>
        <v>-98.779485719999684</v>
      </c>
      <c r="Y44" s="2"/>
      <c r="Z44" s="6">
        <f t="shared" si="19"/>
        <v>-1.8948576061306645E-2</v>
      </c>
    </row>
    <row r="45" spans="1:26" s="24" customFormat="1" hidden="1" outlineLevel="2" x14ac:dyDescent="0.25">
      <c r="A45" s="25"/>
      <c r="B45" s="11" t="str">
        <f>CONCATENATE("          ", "6115", " - ", "P.E.R.S.")</f>
        <v xml:space="preserve">          6115 - P.E.R.S.</v>
      </c>
      <c r="C45" s="11"/>
      <c r="D45" s="7">
        <v>12159.1</v>
      </c>
      <c r="E45" s="2"/>
      <c r="F45" s="6">
        <f t="shared" si="12"/>
        <v>2.0557101491125725E-2</v>
      </c>
      <c r="G45" s="2"/>
      <c r="H45" s="7">
        <v>10405.750467692311</v>
      </c>
      <c r="I45" s="2"/>
      <c r="J45" s="6">
        <f t="shared" si="13"/>
        <v>1.6915243701240812E-2</v>
      </c>
      <c r="K45" s="2"/>
      <c r="L45" s="7">
        <f t="shared" si="14"/>
        <v>1753.3495323076895</v>
      </c>
      <c r="M45" s="2"/>
      <c r="N45" s="6">
        <f t="shared" si="15"/>
        <v>0.16849813358022325</v>
      </c>
      <c r="O45" s="11"/>
      <c r="P45" s="7">
        <v>64119.65</v>
      </c>
      <c r="Q45" s="2"/>
      <c r="R45" s="6">
        <f t="shared" si="16"/>
        <v>1.2062476133939943E-2</v>
      </c>
      <c r="S45" s="2"/>
      <c r="T45" s="7">
        <v>64287.922577692349</v>
      </c>
      <c r="U45" s="2"/>
      <c r="V45" s="6">
        <f t="shared" si="17"/>
        <v>1.0888703887278126E-2</v>
      </c>
      <c r="W45" s="2"/>
      <c r="X45" s="7">
        <f t="shared" si="18"/>
        <v>-168.27257769234711</v>
      </c>
      <c r="Y45" s="2"/>
      <c r="Z45" s="6">
        <f t="shared" si="19"/>
        <v>-2.6174835170476797E-3</v>
      </c>
    </row>
    <row r="46" spans="1:26" s="24" customFormat="1" hidden="1" outlineLevel="2" x14ac:dyDescent="0.25">
      <c r="A46" s="25"/>
      <c r="B46" s="11" t="str">
        <f>CONCATENATE("          ", "6116", " - ", "EDUCATIONAL BENEFITS")</f>
        <v xml:space="preserve">          6116 - EDUCATIONAL BENEFITS</v>
      </c>
      <c r="C46" s="11"/>
      <c r="D46" s="7"/>
      <c r="E46" s="2"/>
      <c r="F46" s="6">
        <f t="shared" si="12"/>
        <v>0</v>
      </c>
      <c r="G46" s="2"/>
      <c r="H46" s="7">
        <v>0</v>
      </c>
      <c r="I46" s="2"/>
      <c r="J46" s="6">
        <f t="shared" si="13"/>
        <v>0</v>
      </c>
      <c r="K46" s="2"/>
      <c r="L46" s="7">
        <f t="shared" si="14"/>
        <v>0</v>
      </c>
      <c r="M46" s="2"/>
      <c r="N46" s="6">
        <f t="shared" si="15"/>
        <v>0</v>
      </c>
      <c r="O46" s="11"/>
      <c r="P46" s="7"/>
      <c r="Q46" s="2"/>
      <c r="R46" s="6">
        <f t="shared" si="16"/>
        <v>0</v>
      </c>
      <c r="S46" s="2"/>
      <c r="T46" s="7">
        <v>16000</v>
      </c>
      <c r="U46" s="2"/>
      <c r="V46" s="6">
        <f t="shared" si="17"/>
        <v>2.7099843207082164E-3</v>
      </c>
      <c r="W46" s="2"/>
      <c r="X46" s="7">
        <f t="shared" si="18"/>
        <v>-16000</v>
      </c>
      <c r="Y46" s="2"/>
      <c r="Z46" s="6">
        <f t="shared" si="19"/>
        <v>-1</v>
      </c>
    </row>
    <row r="47" spans="1:26" s="24" customFormat="1" hidden="1" outlineLevel="2" x14ac:dyDescent="0.25">
      <c r="A47" s="25"/>
      <c r="B47" s="11" t="str">
        <f>CONCATENATE("          ", "6117", " - ", "RETIREMENT STAFF HOURLY")</f>
        <v xml:space="preserve">          6117 - RETIREMENT STAFF HOURLY</v>
      </c>
      <c r="C47" s="11"/>
      <c r="D47" s="7">
        <v>193.98</v>
      </c>
      <c r="E47" s="2"/>
      <c r="F47" s="6">
        <f t="shared" si="12"/>
        <v>3.2795737737567479E-4</v>
      </c>
      <c r="G47" s="2"/>
      <c r="H47" s="7"/>
      <c r="I47" s="2"/>
      <c r="J47" s="6">
        <f t="shared" si="13"/>
        <v>0</v>
      </c>
      <c r="K47" s="2"/>
      <c r="L47" s="7">
        <f t="shared" si="14"/>
        <v>193.98</v>
      </c>
      <c r="M47" s="2"/>
      <c r="N47" s="6">
        <f t="shared" si="15"/>
        <v>0</v>
      </c>
      <c r="O47" s="11"/>
      <c r="P47" s="7">
        <v>557.98</v>
      </c>
      <c r="Q47" s="2"/>
      <c r="R47" s="6">
        <f t="shared" si="16"/>
        <v>1.0496970013429284E-4</v>
      </c>
      <c r="S47" s="2"/>
      <c r="T47" s="7"/>
      <c r="U47" s="2"/>
      <c r="V47" s="6">
        <f t="shared" si="17"/>
        <v>0</v>
      </c>
      <c r="W47" s="2"/>
      <c r="X47" s="7">
        <f t="shared" si="18"/>
        <v>557.98</v>
      </c>
      <c r="Y47" s="2"/>
      <c r="Z47" s="6">
        <f t="shared" si="19"/>
        <v>0</v>
      </c>
    </row>
    <row r="48" spans="1:26" s="24" customFormat="1" hidden="1" outlineLevel="2" x14ac:dyDescent="0.25">
      <c r="A48" s="25"/>
      <c r="B48" s="11" t="str">
        <f>CONCATENATE("          ", "6118", " - ", "VACATION")</f>
        <v xml:space="preserve">          6118 - VACATION</v>
      </c>
      <c r="C48" s="11"/>
      <c r="D48" s="7">
        <v>7630.85</v>
      </c>
      <c r="E48" s="2"/>
      <c r="F48" s="6">
        <f t="shared" si="12"/>
        <v>1.2901296799397713E-2</v>
      </c>
      <c r="G48" s="2"/>
      <c r="H48" s="7">
        <v>7267.2046942307652</v>
      </c>
      <c r="I48" s="2"/>
      <c r="J48" s="6">
        <f t="shared" si="13"/>
        <v>1.1813327526099721E-2</v>
      </c>
      <c r="K48" s="2"/>
      <c r="L48" s="7">
        <f t="shared" si="14"/>
        <v>363.64530576923516</v>
      </c>
      <c r="M48" s="2"/>
      <c r="N48" s="6">
        <f t="shared" si="15"/>
        <v>5.0039227057677792E-2</v>
      </c>
      <c r="O48" s="11"/>
      <c r="P48" s="7">
        <v>60600.08</v>
      </c>
      <c r="Q48" s="2"/>
      <c r="R48" s="6">
        <f t="shared" si="16"/>
        <v>1.1400358840306385E-2</v>
      </c>
      <c r="S48" s="2"/>
      <c r="T48" s="7">
        <v>45135.71924423075</v>
      </c>
      <c r="U48" s="2"/>
      <c r="V48" s="6">
        <f t="shared" si="17"/>
        <v>7.6448182159845899E-3</v>
      </c>
      <c r="W48" s="2"/>
      <c r="X48" s="7">
        <f t="shared" si="18"/>
        <v>15464.360755769252</v>
      </c>
      <c r="Y48" s="2"/>
      <c r="Z48" s="6">
        <f t="shared" si="19"/>
        <v>0.34261912770440472</v>
      </c>
    </row>
    <row r="49" spans="1:26" s="24" customFormat="1" hidden="1" outlineLevel="2" x14ac:dyDescent="0.25">
      <c r="A49" s="25"/>
      <c r="B49" s="11" t="str">
        <f>CONCATENATE("          ", "6119", " - ", "SICK LEAVE")</f>
        <v xml:space="preserve">          6119 - SICK LEAVE</v>
      </c>
      <c r="C49" s="11"/>
      <c r="D49" s="7">
        <v>5829.43</v>
      </c>
      <c r="E49" s="2"/>
      <c r="F49" s="6">
        <f t="shared" si="12"/>
        <v>9.8556788039750494E-3</v>
      </c>
      <c r="G49" s="2"/>
      <c r="H49" s="7">
        <v>8949.4103970769211</v>
      </c>
      <c r="I49" s="2"/>
      <c r="J49" s="6">
        <f t="shared" si="13"/>
        <v>1.4547865463330333E-2</v>
      </c>
      <c r="K49" s="2"/>
      <c r="L49" s="7">
        <f t="shared" si="14"/>
        <v>-3119.9803970769208</v>
      </c>
      <c r="M49" s="2"/>
      <c r="N49" s="6">
        <f t="shared" si="15"/>
        <v>-0.3486241281432324</v>
      </c>
      <c r="O49" s="11"/>
      <c r="P49" s="7">
        <v>63866.23</v>
      </c>
      <c r="Q49" s="2"/>
      <c r="R49" s="6">
        <f t="shared" si="16"/>
        <v>1.2014801626953972E-2</v>
      </c>
      <c r="S49" s="2"/>
      <c r="T49" s="7">
        <v>62194.222589076911</v>
      </c>
      <c r="U49" s="2"/>
      <c r="V49" s="6">
        <f t="shared" si="17"/>
        <v>1.05340855034397E-2</v>
      </c>
      <c r="W49" s="2"/>
      <c r="X49" s="7">
        <f t="shared" si="18"/>
        <v>1672.0074109230918</v>
      </c>
      <c r="Y49" s="2"/>
      <c r="Z49" s="6">
        <f t="shared" si="19"/>
        <v>2.6883645157367787E-2</v>
      </c>
    </row>
    <row r="50" spans="1:26" s="24" customFormat="1" hidden="1" outlineLevel="2" x14ac:dyDescent="0.25">
      <c r="A50" s="25"/>
      <c r="B50" s="11" t="str">
        <f>CONCATENATE("          ", "6156", " - ", "EMPLOYEE MEALS")</f>
        <v xml:space="preserve">          6156 - EMPLOYEE MEALS</v>
      </c>
      <c r="C50" s="11"/>
      <c r="D50" s="7">
        <v>4130.3900000000003</v>
      </c>
      <c r="E50" s="2"/>
      <c r="F50" s="6">
        <f t="shared" si="12"/>
        <v>6.983152242183285E-3</v>
      </c>
      <c r="G50" s="2"/>
      <c r="H50" s="7">
        <v>1725</v>
      </c>
      <c r="I50" s="2"/>
      <c r="J50" s="6">
        <f t="shared" si="13"/>
        <v>2.8041029308971503E-3</v>
      </c>
      <c r="K50" s="2"/>
      <c r="L50" s="7">
        <f t="shared" si="14"/>
        <v>2405.3900000000003</v>
      </c>
      <c r="M50" s="2"/>
      <c r="N50" s="6">
        <f t="shared" si="15"/>
        <v>1.3944289855072465</v>
      </c>
      <c r="O50" s="11"/>
      <c r="P50" s="7">
        <v>23570.36</v>
      </c>
      <c r="Q50" s="2"/>
      <c r="R50" s="6">
        <f t="shared" si="16"/>
        <v>4.4341618360108437E-3</v>
      </c>
      <c r="S50" s="2"/>
      <c r="T50" s="7">
        <v>12200</v>
      </c>
      <c r="U50" s="2"/>
      <c r="V50" s="6">
        <f t="shared" si="17"/>
        <v>2.0663630445400148E-3</v>
      </c>
      <c r="W50" s="2"/>
      <c r="X50" s="7">
        <f t="shared" si="18"/>
        <v>11370.36</v>
      </c>
      <c r="Y50" s="2"/>
      <c r="Z50" s="6">
        <f t="shared" si="19"/>
        <v>0.93199672131147548</v>
      </c>
    </row>
    <row r="51" spans="1:26" s="27" customFormat="1" outlineLevel="1" collapsed="1" x14ac:dyDescent="0.25">
      <c r="A51" s="26"/>
      <c r="B51" s="13" t="str">
        <f>CONCATENATE("     ","*Payroll                                          ")</f>
        <v xml:space="preserve">     *Payroll                                          </v>
      </c>
      <c r="C51" s="13"/>
      <c r="D51" s="1">
        <f>SUM(OSRRefD22_1x_0)</f>
        <v>284570.94999999995</v>
      </c>
      <c r="E51" s="1"/>
      <c r="F51" s="5">
        <f t="shared" ref="F51:F61" si="20">IF(D$12=0,0,D51/D$12)</f>
        <v>0.4811173442587085</v>
      </c>
      <c r="G51" s="1"/>
      <c r="H51" s="1">
        <f>SUM(OSRRefH22_1x_0)</f>
        <v>269353.5396442308</v>
      </c>
      <c r="I51" s="1"/>
      <c r="J51" s="5">
        <f t="shared" ref="J51:J61" si="21">IF(H$12=0,0,H51/H$12)</f>
        <v>0.4378522028776286</v>
      </c>
      <c r="K51" s="1"/>
      <c r="L51" s="1">
        <f t="shared" ref="L51:L61" si="22">+D51-H51</f>
        <v>15217.410355769156</v>
      </c>
      <c r="M51" s="1"/>
      <c r="N51" s="5">
        <f t="shared" ref="N51:N61" si="23">IF(H51=0,0,L51/H51)</f>
        <v>5.6496047447041946E-2</v>
      </c>
      <c r="O51" s="13"/>
      <c r="P51" s="1">
        <f>SUM(OSRRefP22_1x_0)</f>
        <v>1893711.9199999997</v>
      </c>
      <c r="Q51" s="1"/>
      <c r="R51" s="5">
        <f t="shared" ref="R51:R61" si="24">IF(P$12=0,0,P51/P$12)</f>
        <v>0.35625357966797361</v>
      </c>
      <c r="S51" s="1"/>
      <c r="T51" s="1">
        <f>SUM(OSRRefT22_1x_0)</f>
        <v>1881486.497744231</v>
      </c>
      <c r="U51" s="1"/>
      <c r="V51" s="5">
        <f t="shared" ref="V51:V61" si="25">IF(T$12=0,0,T51/T$12)</f>
        <v>0.31867493178194256</v>
      </c>
      <c r="W51" s="1"/>
      <c r="X51" s="1">
        <f t="shared" ref="X51:X61" si="26">+P51-T51</f>
        <v>12225.422255768673</v>
      </c>
      <c r="Y51" s="1"/>
      <c r="Z51" s="5">
        <f t="shared" ref="Z51:Z61" si="27">IF(T51=0,0,X51/T51)</f>
        <v>6.4977464735601811E-3</v>
      </c>
    </row>
    <row r="52" spans="1:26" s="24" customFormat="1" hidden="1" outlineLevel="2" x14ac:dyDescent="0.25">
      <c r="A52" s="25"/>
      <c r="B52" s="11" t="str">
        <f>CONCATENATE("          ", "6001", " - ", "ADMINISTRATIVE SALARIES")</f>
        <v xml:space="preserve">          6001 - ADMINISTRATIVE SALARIES</v>
      </c>
      <c r="C52" s="11"/>
      <c r="D52" s="7">
        <v>20764.329999999998</v>
      </c>
      <c r="E52" s="2"/>
      <c r="F52" s="6">
        <f t="shared" si="20"/>
        <v>3.5105759406964872E-2</v>
      </c>
      <c r="G52" s="2"/>
      <c r="H52" s="7">
        <v>41753.491086538466</v>
      </c>
      <c r="I52" s="2"/>
      <c r="J52" s="6">
        <f t="shared" si="21"/>
        <v>6.7873093757072789E-2</v>
      </c>
      <c r="K52" s="2"/>
      <c r="L52" s="7">
        <f t="shared" si="22"/>
        <v>-20989.161086538468</v>
      </c>
      <c r="M52" s="2"/>
      <c r="N52" s="6">
        <f t="shared" si="23"/>
        <v>-0.50269236273048978</v>
      </c>
      <c r="O52" s="11"/>
      <c r="P52" s="7">
        <v>124998.73999999999</v>
      </c>
      <c r="Q52" s="2"/>
      <c r="R52" s="6">
        <f t="shared" si="24"/>
        <v>2.3515323586803173E-2</v>
      </c>
      <c r="S52" s="2"/>
      <c r="T52" s="7">
        <v>256356.01908653846</v>
      </c>
      <c r="U52" s="2"/>
      <c r="V52" s="6">
        <f t="shared" si="25"/>
        <v>4.3420049515230971E-2</v>
      </c>
      <c r="W52" s="2"/>
      <c r="X52" s="7">
        <f t="shared" si="26"/>
        <v>-131357.27908653847</v>
      </c>
      <c r="Y52" s="2"/>
      <c r="Z52" s="6">
        <f t="shared" si="27"/>
        <v>-0.51240177451107949</v>
      </c>
    </row>
    <row r="53" spans="1:26" s="24" customFormat="1" hidden="1" outlineLevel="2" x14ac:dyDescent="0.25">
      <c r="A53" s="25"/>
      <c r="B53" s="11" t="str">
        <f>CONCATENATE("          ", "6002", " - ", "STAFF SALARIES")</f>
        <v xml:space="preserve">          6002 - STAFF SALARIES</v>
      </c>
      <c r="C53" s="11"/>
      <c r="D53" s="7">
        <v>94597.79</v>
      </c>
      <c r="E53" s="2"/>
      <c r="F53" s="6">
        <f t="shared" si="20"/>
        <v>0.15993423607554819</v>
      </c>
      <c r="G53" s="2"/>
      <c r="H53" s="7">
        <v>68659.352057692304</v>
      </c>
      <c r="I53" s="2"/>
      <c r="J53" s="6">
        <f t="shared" si="21"/>
        <v>0.11161037121070973</v>
      </c>
      <c r="K53" s="2"/>
      <c r="L53" s="7">
        <f t="shared" si="22"/>
        <v>25938.43794230769</v>
      </c>
      <c r="M53" s="2"/>
      <c r="N53" s="6">
        <f t="shared" si="23"/>
        <v>0.37778448477801585</v>
      </c>
      <c r="O53" s="11"/>
      <c r="P53" s="7">
        <v>553368.61</v>
      </c>
      <c r="Q53" s="2"/>
      <c r="R53" s="6">
        <f t="shared" si="24"/>
        <v>0.10410218476545832</v>
      </c>
      <c r="S53" s="2"/>
      <c r="T53" s="7">
        <v>425687.98275769234</v>
      </c>
      <c r="U53" s="2"/>
      <c r="V53" s="6">
        <f t="shared" si="25"/>
        <v>7.2100484924203484E-2</v>
      </c>
      <c r="W53" s="2"/>
      <c r="X53" s="7">
        <f t="shared" si="26"/>
        <v>127680.62724230764</v>
      </c>
      <c r="Y53" s="2"/>
      <c r="Z53" s="6">
        <f t="shared" si="27"/>
        <v>0.29993946837579694</v>
      </c>
    </row>
    <row r="54" spans="1:26" s="24" customFormat="1" hidden="1" outlineLevel="2" x14ac:dyDescent="0.25">
      <c r="A54" s="25"/>
      <c r="B54" s="11" t="str">
        <f>CONCATENATE("          ", "6003", " - ", "STAFF HOURLY-9 MONTH")</f>
        <v xml:space="preserve">          6003 - STAFF HOURLY-9 MONTH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25">
      <c r="A55" s="25"/>
      <c r="B55" s="11" t="str">
        <f>CONCATENATE("          ", "6004", " - ", "STAFF HOURLY")</f>
        <v xml:space="preserve">          6004 - STAFF HOURLY</v>
      </c>
      <c r="C55" s="11"/>
      <c r="D55" s="7">
        <v>23998.09</v>
      </c>
      <c r="E55" s="2"/>
      <c r="F55" s="6">
        <f t="shared" si="20"/>
        <v>4.0573000610503188E-2</v>
      </c>
      <c r="G55" s="2"/>
      <c r="H55" s="7">
        <v>42729.732799999998</v>
      </c>
      <c r="I55" s="2"/>
      <c r="J55" s="6">
        <f t="shared" si="21"/>
        <v>6.9460039988946148E-2</v>
      </c>
      <c r="K55" s="2"/>
      <c r="L55" s="7">
        <f t="shared" si="22"/>
        <v>-18731.642799999998</v>
      </c>
      <c r="M55" s="2"/>
      <c r="N55" s="6">
        <f t="shared" si="23"/>
        <v>-0.43837491068982298</v>
      </c>
      <c r="O55" s="11"/>
      <c r="P55" s="7">
        <v>146090.72</v>
      </c>
      <c r="Q55" s="2"/>
      <c r="R55" s="6">
        <f t="shared" si="24"/>
        <v>2.7483241461706401E-2</v>
      </c>
      <c r="S55" s="2"/>
      <c r="T55" s="7">
        <v>349666.05344999995</v>
      </c>
      <c r="U55" s="2"/>
      <c r="V55" s="6">
        <f t="shared" si="25"/>
        <v>5.9224345145838811E-2</v>
      </c>
      <c r="W55" s="2"/>
      <c r="X55" s="7">
        <f t="shared" si="26"/>
        <v>-203575.33344999995</v>
      </c>
      <c r="Y55" s="2"/>
      <c r="Z55" s="6">
        <f t="shared" si="27"/>
        <v>-0.5821993054270278</v>
      </c>
    </row>
    <row r="56" spans="1:26" s="24" customFormat="1" hidden="1" outlineLevel="2" x14ac:dyDescent="0.25">
      <c r="A56" s="25"/>
      <c r="B56" s="11" t="str">
        <f>CONCATENATE("          ", "6005", " - ", "TEMPORARY WAGES-HOURLY")</f>
        <v xml:space="preserve">          6005 - TEMPORARY WAGES-HOURLY</v>
      </c>
      <c r="C56" s="11"/>
      <c r="D56" s="7">
        <v>39748.18</v>
      </c>
      <c r="E56" s="2"/>
      <c r="F56" s="6">
        <f t="shared" si="20"/>
        <v>6.7201303579009442E-2</v>
      </c>
      <c r="G56" s="2"/>
      <c r="H56" s="7">
        <v>28778.253199999999</v>
      </c>
      <c r="I56" s="2"/>
      <c r="J56" s="6">
        <f t="shared" si="21"/>
        <v>4.6780976315490025E-2</v>
      </c>
      <c r="K56" s="2"/>
      <c r="L56" s="7">
        <f t="shared" si="22"/>
        <v>10969.926800000001</v>
      </c>
      <c r="M56" s="2"/>
      <c r="N56" s="6">
        <f t="shared" si="23"/>
        <v>0.38118807016403627</v>
      </c>
      <c r="O56" s="11"/>
      <c r="P56" s="7">
        <v>354891.02</v>
      </c>
      <c r="Q56" s="2"/>
      <c r="R56" s="6">
        <f t="shared" si="24"/>
        <v>6.6763690364803979E-2</v>
      </c>
      <c r="S56" s="2"/>
      <c r="T56" s="7">
        <v>209167.0632</v>
      </c>
      <c r="U56" s="2"/>
      <c r="V56" s="6">
        <f t="shared" si="25"/>
        <v>3.5427466355036533E-2</v>
      </c>
      <c r="W56" s="2"/>
      <c r="X56" s="7">
        <f t="shared" si="26"/>
        <v>145723.95680000001</v>
      </c>
      <c r="Y56" s="2"/>
      <c r="Z56" s="6">
        <f t="shared" si="27"/>
        <v>0.6966869189183128</v>
      </c>
    </row>
    <row r="57" spans="1:26" s="24" customFormat="1" hidden="1" outlineLevel="2" x14ac:dyDescent="0.25">
      <c r="A57" s="25"/>
      <c r="B57" s="11" t="str">
        <f>CONCATENATE("          ", "6006", " - ", "TEMPORARY PART TIME")</f>
        <v xml:space="preserve">          6006 - TEMPORARY PART TIME</v>
      </c>
      <c r="C57" s="11"/>
      <c r="D57" s="7">
        <v>670.81</v>
      </c>
      <c r="E57" s="2"/>
      <c r="F57" s="6">
        <f t="shared" si="20"/>
        <v>1.1341225297318096E-3</v>
      </c>
      <c r="G57" s="2"/>
      <c r="H57" s="7">
        <v>0</v>
      </c>
      <c r="I57" s="2"/>
      <c r="J57" s="6">
        <f t="shared" si="21"/>
        <v>0</v>
      </c>
      <c r="K57" s="2"/>
      <c r="L57" s="7">
        <f t="shared" si="22"/>
        <v>670.81</v>
      </c>
      <c r="M57" s="2"/>
      <c r="N57" s="6">
        <f t="shared" si="23"/>
        <v>0</v>
      </c>
      <c r="O57" s="11"/>
      <c r="P57" s="7">
        <v>21346.89</v>
      </c>
      <c r="Q57" s="2"/>
      <c r="R57" s="6">
        <f t="shared" si="24"/>
        <v>4.0158726873718315E-3</v>
      </c>
      <c r="S57" s="2"/>
      <c r="T57" s="7">
        <v>0</v>
      </c>
      <c r="U57" s="2"/>
      <c r="V57" s="6">
        <f t="shared" si="25"/>
        <v>0</v>
      </c>
      <c r="W57" s="2"/>
      <c r="X57" s="7">
        <f t="shared" si="26"/>
        <v>21346.89</v>
      </c>
      <c r="Y57" s="2"/>
      <c r="Z57" s="6">
        <f t="shared" si="27"/>
        <v>0</v>
      </c>
    </row>
    <row r="58" spans="1:26" s="24" customFormat="1" hidden="1" outlineLevel="2" x14ac:dyDescent="0.25">
      <c r="A58" s="25"/>
      <c r="B58" s="11" t="str">
        <f>CONCATENATE("          ", "6007", " - ", "STUDENT HOURLY")</f>
        <v xml:space="preserve">          6007 - STUDENT HOURLY</v>
      </c>
      <c r="C58" s="11"/>
      <c r="D58" s="7">
        <v>103404</v>
      </c>
      <c r="E58" s="2"/>
      <c r="F58" s="6">
        <f t="shared" si="20"/>
        <v>0.1748226861024553</v>
      </c>
      <c r="G58" s="2"/>
      <c r="H58" s="7">
        <v>2529</v>
      </c>
      <c r="I58" s="2"/>
      <c r="J58" s="6">
        <f t="shared" si="21"/>
        <v>4.1110587317326917E-3</v>
      </c>
      <c r="K58" s="2"/>
      <c r="L58" s="7">
        <f t="shared" si="22"/>
        <v>100875</v>
      </c>
      <c r="M58" s="2"/>
      <c r="N58" s="6">
        <f t="shared" si="23"/>
        <v>39.887307236061687</v>
      </c>
      <c r="O58" s="11"/>
      <c r="P58" s="7">
        <v>661286.73</v>
      </c>
      <c r="Q58" s="2"/>
      <c r="R58" s="6">
        <f t="shared" si="24"/>
        <v>0.12440422551146468</v>
      </c>
      <c r="S58" s="2"/>
      <c r="T58" s="7">
        <v>66607.943749999991</v>
      </c>
      <c r="U58" s="2"/>
      <c r="V58" s="6">
        <f t="shared" si="25"/>
        <v>1.1281655199819676E-2</v>
      </c>
      <c r="W58" s="2"/>
      <c r="X58" s="7">
        <f t="shared" si="26"/>
        <v>594678.78625</v>
      </c>
      <c r="Y58" s="2"/>
      <c r="Z58" s="6">
        <f t="shared" si="27"/>
        <v>8.9280460072752224</v>
      </c>
    </row>
    <row r="59" spans="1:26" s="24" customFormat="1" hidden="1" outlineLevel="2" x14ac:dyDescent="0.25">
      <c r="A59" s="25"/>
      <c r="B59" s="11" t="str">
        <f>CONCATENATE("          ", "6008", " - ", "STUDENT HOURLY-FICA EXEMPT")</f>
        <v xml:space="preserve">          6008 - STUDENT HOURLY-FICA EXEMPT</v>
      </c>
      <c r="C59" s="11"/>
      <c r="D59" s="7">
        <v>1387.75</v>
      </c>
      <c r="E59" s="2"/>
      <c r="F59" s="6">
        <f t="shared" si="20"/>
        <v>2.346235954495787E-3</v>
      </c>
      <c r="G59" s="2"/>
      <c r="H59" s="7">
        <v>84903.710500000001</v>
      </c>
      <c r="I59" s="2"/>
      <c r="J59" s="6">
        <f t="shared" si="21"/>
        <v>0.1380166628736772</v>
      </c>
      <c r="K59" s="2"/>
      <c r="L59" s="7">
        <f t="shared" si="22"/>
        <v>-83515.960500000001</v>
      </c>
      <c r="M59" s="2"/>
      <c r="N59" s="6">
        <f t="shared" si="23"/>
        <v>-0.98365501352264217</v>
      </c>
      <c r="O59" s="11"/>
      <c r="P59" s="7">
        <v>31729.21</v>
      </c>
      <c r="Q59" s="2"/>
      <c r="R59" s="6">
        <f t="shared" si="24"/>
        <v>5.9690412903652557E-3</v>
      </c>
      <c r="S59" s="2"/>
      <c r="T59" s="7">
        <v>574001.43550000002</v>
      </c>
      <c r="U59" s="2"/>
      <c r="V59" s="6">
        <f t="shared" si="25"/>
        <v>9.7220930641813044E-2</v>
      </c>
      <c r="W59" s="2"/>
      <c r="X59" s="7">
        <f t="shared" si="26"/>
        <v>-542272.22550000006</v>
      </c>
      <c r="Y59" s="2"/>
      <c r="Z59" s="6">
        <f t="shared" si="27"/>
        <v>-0.94472276890324958</v>
      </c>
    </row>
    <row r="60" spans="1:26" s="24" customFormat="1" hidden="1" outlineLevel="2" x14ac:dyDescent="0.25">
      <c r="A60" s="25"/>
      <c r="B60" s="11" t="str">
        <f>CONCATENATE("          ", "6009", " - ", "TEMPORARY-SEASONAL")</f>
        <v xml:space="preserve">          6009 - TEMPORARY-SEASONAL</v>
      </c>
      <c r="C60" s="11"/>
      <c r="D60" s="7"/>
      <c r="E60" s="2"/>
      <c r="F60" s="6">
        <f t="shared" si="20"/>
        <v>0</v>
      </c>
      <c r="G60" s="2"/>
      <c r="H60" s="7">
        <v>0</v>
      </c>
      <c r="I60" s="2"/>
      <c r="J60" s="6">
        <f t="shared" si="21"/>
        <v>0</v>
      </c>
      <c r="K60" s="2"/>
      <c r="L60" s="7">
        <f t="shared" si="22"/>
        <v>0</v>
      </c>
      <c r="M60" s="2"/>
      <c r="N60" s="6">
        <f t="shared" si="23"/>
        <v>0</v>
      </c>
      <c r="O60" s="11"/>
      <c r="P60" s="7"/>
      <c r="Q60" s="2"/>
      <c r="R60" s="6">
        <f t="shared" si="24"/>
        <v>0</v>
      </c>
      <c r="S60" s="2"/>
      <c r="T60" s="7">
        <v>0</v>
      </c>
      <c r="U60" s="2"/>
      <c r="V60" s="6">
        <f t="shared" si="25"/>
        <v>0</v>
      </c>
      <c r="W60" s="2"/>
      <c r="X60" s="7">
        <f t="shared" si="26"/>
        <v>0</v>
      </c>
      <c r="Y60" s="2"/>
      <c r="Z60" s="6">
        <f t="shared" si="27"/>
        <v>0</v>
      </c>
    </row>
    <row r="61" spans="1:26" s="24" customFormat="1" hidden="1" outlineLevel="2" x14ac:dyDescent="0.25">
      <c r="A61" s="25"/>
      <c r="B61" s="11" t="str">
        <f>CONCATENATE("          ", "6010", " - ", "GRATUITY")</f>
        <v xml:space="preserve">          6010 - GRATUITY</v>
      </c>
      <c r="C61" s="11"/>
      <c r="D61" s="7"/>
      <c r="E61" s="2"/>
      <c r="F61" s="6">
        <f t="shared" si="20"/>
        <v>0</v>
      </c>
      <c r="G61" s="2"/>
      <c r="H61" s="7">
        <v>0</v>
      </c>
      <c r="I61" s="2"/>
      <c r="J61" s="6">
        <f t="shared" si="21"/>
        <v>0</v>
      </c>
      <c r="K61" s="2"/>
      <c r="L61" s="7">
        <f t="shared" si="22"/>
        <v>0</v>
      </c>
      <c r="M61" s="2"/>
      <c r="N61" s="6">
        <f t="shared" si="23"/>
        <v>0</v>
      </c>
      <c r="O61" s="11"/>
      <c r="P61" s="7"/>
      <c r="Q61" s="2"/>
      <c r="R61" s="6">
        <f t="shared" si="24"/>
        <v>0</v>
      </c>
      <c r="S61" s="2"/>
      <c r="T61" s="7">
        <v>0</v>
      </c>
      <c r="U61" s="2"/>
      <c r="V61" s="6">
        <f t="shared" si="25"/>
        <v>0</v>
      </c>
      <c r="W61" s="2"/>
      <c r="X61" s="7">
        <f t="shared" si="26"/>
        <v>0</v>
      </c>
      <c r="Y61" s="2"/>
      <c r="Z61" s="6">
        <f t="shared" si="27"/>
        <v>0</v>
      </c>
    </row>
    <row r="62" spans="1:26" s="27" customFormat="1" outlineLevel="1" collapsed="1" x14ac:dyDescent="0.25">
      <c r="A62" s="26"/>
      <c r="B62" s="13" t="str">
        <f>CONCATENATE("     ","Advertising/Promo                                 ")</f>
        <v xml:space="preserve">     Advertising/Promo                                 </v>
      </c>
      <c r="C62" s="13"/>
      <c r="D62" s="1">
        <f>SUM(OSRRefD22_2x_0)</f>
        <v>4750.1499999999996</v>
      </c>
      <c r="E62" s="1"/>
      <c r="F62" s="5">
        <f t="shared" ref="F62:F72" si="28">IF(D$12=0,0,D62/D$12)</f>
        <v>8.0309657497734908E-3</v>
      </c>
      <c r="G62" s="1"/>
      <c r="H62" s="1">
        <f>SUM(OSRRefH22_2x_0)</f>
        <v>2440</v>
      </c>
      <c r="I62" s="1"/>
      <c r="J62" s="5">
        <f t="shared" ref="J62:J72" si="29">IF(H$12=0,0,H62/H$12)</f>
        <v>3.9663832761675632E-3</v>
      </c>
      <c r="K62" s="1"/>
      <c r="L62" s="1">
        <f t="shared" ref="L62:L72" si="30">+D62-H62</f>
        <v>2310.1499999999996</v>
      </c>
      <c r="M62" s="1"/>
      <c r="N62" s="5">
        <f t="shared" ref="N62:N72" si="31">IF(H62=0,0,L62/H62)</f>
        <v>0.94678278688524575</v>
      </c>
      <c r="O62" s="13"/>
      <c r="P62" s="1">
        <f>SUM(OSRRefP22_2x_0)</f>
        <v>26824.99</v>
      </c>
      <c r="Q62" s="1"/>
      <c r="R62" s="5">
        <f t="shared" ref="R62:R72" si="32">IF(P$12=0,0,P62/P$12)</f>
        <v>5.0464374285913551E-3</v>
      </c>
      <c r="S62" s="1"/>
      <c r="T62" s="1">
        <f>SUM(OSRRefT22_2x_0)</f>
        <v>17130</v>
      </c>
      <c r="U62" s="1"/>
      <c r="V62" s="5">
        <f t="shared" ref="V62:V72" si="33">IF(T$12=0,0,T62/T$12)</f>
        <v>2.9013769633582341E-3</v>
      </c>
      <c r="W62" s="1"/>
      <c r="X62" s="1">
        <f t="shared" ref="X62:X72" si="34">+P62-T62</f>
        <v>9694.9900000000016</v>
      </c>
      <c r="Y62" s="1"/>
      <c r="Z62" s="5">
        <f t="shared" ref="Z62:Z72" si="35">IF(T62=0,0,X62/T62)</f>
        <v>0.56596555750145949</v>
      </c>
    </row>
    <row r="63" spans="1:26" s="24" customFormat="1" hidden="1" outlineLevel="2" x14ac:dyDescent="0.25">
      <c r="A63" s="25"/>
      <c r="B63" s="11" t="str">
        <f>CONCATENATE("          ", "6362", " - ", "ADVERTISING EXPENSE")</f>
        <v xml:space="preserve">          6362 - ADVERTISING EXPENSE</v>
      </c>
      <c r="C63" s="11"/>
      <c r="D63" s="7">
        <v>4750.1499999999996</v>
      </c>
      <c r="E63" s="2"/>
      <c r="F63" s="6">
        <f t="shared" si="28"/>
        <v>8.0309657497734908E-3</v>
      </c>
      <c r="G63" s="2"/>
      <c r="H63" s="7">
        <v>2440</v>
      </c>
      <c r="I63" s="2"/>
      <c r="J63" s="6">
        <f t="shared" si="29"/>
        <v>3.9663832761675632E-3</v>
      </c>
      <c r="K63" s="2"/>
      <c r="L63" s="7">
        <f t="shared" si="30"/>
        <v>2310.1499999999996</v>
      </c>
      <c r="M63" s="2"/>
      <c r="N63" s="6">
        <f t="shared" si="31"/>
        <v>0.94678278688524575</v>
      </c>
      <c r="O63" s="11"/>
      <c r="P63" s="7">
        <v>26824.99</v>
      </c>
      <c r="Q63" s="2"/>
      <c r="R63" s="6">
        <f t="shared" si="32"/>
        <v>5.0464374285913551E-3</v>
      </c>
      <c r="S63" s="2"/>
      <c r="T63" s="7">
        <v>17130</v>
      </c>
      <c r="U63" s="2"/>
      <c r="V63" s="6">
        <f t="shared" si="33"/>
        <v>2.9013769633582341E-3</v>
      </c>
      <c r="W63" s="2"/>
      <c r="X63" s="7">
        <f t="shared" si="34"/>
        <v>9694.9900000000016</v>
      </c>
      <c r="Y63" s="2"/>
      <c r="Z63" s="6">
        <f t="shared" si="35"/>
        <v>0.56596555750145949</v>
      </c>
    </row>
    <row r="64" spans="1:26" s="27" customFormat="1" outlineLevel="1" collapsed="1" x14ac:dyDescent="0.25">
      <c r="A64" s="26"/>
      <c r="B64" s="13" t="str">
        <f>CONCATENATE("     ","Bad Debts/Over/Short                              ")</f>
        <v xml:space="preserve">     Bad Debts/Over/Short                              </v>
      </c>
      <c r="C64" s="13"/>
      <c r="D64" s="1">
        <f>SUM(OSRRefD22_3x_0)</f>
        <v>-447.77</v>
      </c>
      <c r="E64" s="1"/>
      <c r="F64" s="5">
        <f t="shared" si="28"/>
        <v>-7.5703410077072853E-4</v>
      </c>
      <c r="G64" s="1"/>
      <c r="H64" s="1">
        <f>SUM(OSRRefH22_3x_0)</f>
        <v>154</v>
      </c>
      <c r="I64" s="1"/>
      <c r="J64" s="5">
        <f t="shared" si="29"/>
        <v>2.5033730513516589E-4</v>
      </c>
      <c r="K64" s="1"/>
      <c r="L64" s="1">
        <f t="shared" si="30"/>
        <v>-601.77</v>
      </c>
      <c r="M64" s="1"/>
      <c r="N64" s="5">
        <f t="shared" si="31"/>
        <v>-3.9075974025974025</v>
      </c>
      <c r="O64" s="13"/>
      <c r="P64" s="1">
        <f>SUM(OSRRefP22_3x_0)</f>
        <v>-822.7</v>
      </c>
      <c r="Q64" s="1"/>
      <c r="R64" s="5">
        <f t="shared" si="32"/>
        <v>-1.547700138006429E-4</v>
      </c>
      <c r="S64" s="1"/>
      <c r="T64" s="1">
        <f>SUM(OSRRefT22_3x_0)</f>
        <v>1058</v>
      </c>
      <c r="U64" s="1"/>
      <c r="V64" s="5">
        <f t="shared" si="33"/>
        <v>1.791977132068308E-4</v>
      </c>
      <c r="W64" s="1"/>
      <c r="X64" s="1">
        <f t="shared" si="34"/>
        <v>-1880.7</v>
      </c>
      <c r="Y64" s="1"/>
      <c r="Z64" s="5">
        <f t="shared" si="35"/>
        <v>-1.7775992438563328</v>
      </c>
    </row>
    <row r="65" spans="1:26" s="24" customFormat="1" hidden="1" outlineLevel="2" x14ac:dyDescent="0.25">
      <c r="A65" s="25"/>
      <c r="B65" s="11" t="str">
        <f>CONCATENATE("          ", "6272", " - ", "CASH (OVER/SHORT)")</f>
        <v xml:space="preserve">          6272 - CASH (OVER/SHORT)</v>
      </c>
      <c r="C65" s="11"/>
      <c r="D65" s="7">
        <v>-447.77</v>
      </c>
      <c r="E65" s="2"/>
      <c r="F65" s="6">
        <f t="shared" si="28"/>
        <v>-7.5703410077072853E-4</v>
      </c>
      <c r="G65" s="2"/>
      <c r="H65" s="7">
        <v>154</v>
      </c>
      <c r="I65" s="2"/>
      <c r="J65" s="6">
        <f t="shared" si="29"/>
        <v>2.5033730513516589E-4</v>
      </c>
      <c r="K65" s="2"/>
      <c r="L65" s="7">
        <f t="shared" si="30"/>
        <v>-601.77</v>
      </c>
      <c r="M65" s="2"/>
      <c r="N65" s="6">
        <f t="shared" si="31"/>
        <v>-3.9075974025974025</v>
      </c>
      <c r="O65" s="11"/>
      <c r="P65" s="7">
        <v>-822.7</v>
      </c>
      <c r="Q65" s="2"/>
      <c r="R65" s="6">
        <f t="shared" si="32"/>
        <v>-1.547700138006429E-4</v>
      </c>
      <c r="S65" s="2"/>
      <c r="T65" s="7">
        <v>1058</v>
      </c>
      <c r="U65" s="2"/>
      <c r="V65" s="6">
        <f t="shared" si="33"/>
        <v>1.791977132068308E-4</v>
      </c>
      <c r="W65" s="2"/>
      <c r="X65" s="7">
        <f t="shared" si="34"/>
        <v>-1880.7</v>
      </c>
      <c r="Y65" s="2"/>
      <c r="Z65" s="6">
        <f t="shared" si="35"/>
        <v>-1.7775992438563328</v>
      </c>
    </row>
    <row r="66" spans="1:26" s="27" customFormat="1" outlineLevel="1" collapsed="1" x14ac:dyDescent="0.25">
      <c r="A66" s="26"/>
      <c r="B66" s="13" t="str">
        <f>CONCATENATE("     ","Bank/card Fees                                    ")</f>
        <v xml:space="preserve">     Bank/card Fees                                    </v>
      </c>
      <c r="C66" s="13"/>
      <c r="D66" s="1">
        <f>SUM(OSRRefD22_4x_0)</f>
        <v>18389.73</v>
      </c>
      <c r="E66" s="1"/>
      <c r="F66" s="5">
        <f t="shared" si="28"/>
        <v>3.1091079603292961E-2</v>
      </c>
      <c r="G66" s="1"/>
      <c r="H66" s="1">
        <f>SUM(OSRRefH22_4x_0)</f>
        <v>12950</v>
      </c>
      <c r="I66" s="1"/>
      <c r="J66" s="5">
        <f t="shared" si="29"/>
        <v>2.1051091568184403E-2</v>
      </c>
      <c r="K66" s="1"/>
      <c r="L66" s="1">
        <f t="shared" si="30"/>
        <v>5439.73</v>
      </c>
      <c r="M66" s="1"/>
      <c r="N66" s="5">
        <f t="shared" si="31"/>
        <v>0.42005637065637064</v>
      </c>
      <c r="O66" s="13"/>
      <c r="P66" s="1">
        <f>SUM(OSRRefP22_4x_0)</f>
        <v>178516.53</v>
      </c>
      <c r="Q66" s="1"/>
      <c r="R66" s="5">
        <f t="shared" si="32"/>
        <v>3.3583330268315156E-2</v>
      </c>
      <c r="S66" s="1"/>
      <c r="T66" s="1">
        <f>SUM(OSRRefT22_4x_0)</f>
        <v>125527</v>
      </c>
      <c r="U66" s="1"/>
      <c r="V66" s="5">
        <f t="shared" si="33"/>
        <v>2.1261012614096266E-2</v>
      </c>
      <c r="W66" s="1"/>
      <c r="X66" s="1">
        <f t="shared" si="34"/>
        <v>52989.53</v>
      </c>
      <c r="Y66" s="1"/>
      <c r="Z66" s="5">
        <f t="shared" si="35"/>
        <v>0.42213651246345407</v>
      </c>
    </row>
    <row r="67" spans="1:26" s="24" customFormat="1" hidden="1" outlineLevel="2" x14ac:dyDescent="0.25">
      <c r="A67" s="25"/>
      <c r="B67" s="11" t="str">
        <f>CONCATENATE("          ", "6381", " - ", "BANK/CREDIT CARD FEES")</f>
        <v xml:space="preserve">          6381 - BANK/CREDIT CARD FEES</v>
      </c>
      <c r="C67" s="11"/>
      <c r="D67" s="7">
        <v>18389.73</v>
      </c>
      <c r="E67" s="2"/>
      <c r="F67" s="6">
        <f t="shared" si="28"/>
        <v>3.1091079603292961E-2</v>
      </c>
      <c r="G67" s="2"/>
      <c r="H67" s="7">
        <v>12950</v>
      </c>
      <c r="I67" s="2"/>
      <c r="J67" s="6">
        <f t="shared" si="29"/>
        <v>2.1051091568184403E-2</v>
      </c>
      <c r="K67" s="2"/>
      <c r="L67" s="7">
        <f t="shared" si="30"/>
        <v>5439.73</v>
      </c>
      <c r="M67" s="2"/>
      <c r="N67" s="6">
        <f t="shared" si="31"/>
        <v>0.42005637065637064</v>
      </c>
      <c r="O67" s="11"/>
      <c r="P67" s="7">
        <v>178516.53</v>
      </c>
      <c r="Q67" s="2"/>
      <c r="R67" s="6">
        <f t="shared" si="32"/>
        <v>3.3583330268315156E-2</v>
      </c>
      <c r="S67" s="2"/>
      <c r="T67" s="7">
        <v>125527</v>
      </c>
      <c r="U67" s="2"/>
      <c r="V67" s="6">
        <f t="shared" si="33"/>
        <v>2.1261012614096266E-2</v>
      </c>
      <c r="W67" s="2"/>
      <c r="X67" s="7">
        <f t="shared" si="34"/>
        <v>52989.53</v>
      </c>
      <c r="Y67" s="2"/>
      <c r="Z67" s="6">
        <f t="shared" si="35"/>
        <v>0.42213651246345407</v>
      </c>
    </row>
    <row r="68" spans="1:26" s="27" customFormat="1" outlineLevel="1" collapsed="1" x14ac:dyDescent="0.25">
      <c r="A68" s="26"/>
      <c r="B68" s="13" t="str">
        <f>CONCATENATE("     ","Depreciation                                      ")</f>
        <v xml:space="preserve">     Depreciation                                      </v>
      </c>
      <c r="C68" s="13"/>
      <c r="D68" s="1">
        <f>SUM(OSRRefD22_5x_0)</f>
        <v>49292.520000000004</v>
      </c>
      <c r="E68" s="1"/>
      <c r="F68" s="5">
        <f t="shared" si="28"/>
        <v>8.3337692460243321E-2</v>
      </c>
      <c r="G68" s="1"/>
      <c r="H68" s="1">
        <f>SUM(OSRRefH22_5x_0)</f>
        <v>54222</v>
      </c>
      <c r="I68" s="1"/>
      <c r="J68" s="5">
        <f t="shared" si="29"/>
        <v>8.8141489344408866E-2</v>
      </c>
      <c r="K68" s="1"/>
      <c r="L68" s="1">
        <f t="shared" si="30"/>
        <v>-4929.4799999999959</v>
      </c>
      <c r="M68" s="1"/>
      <c r="N68" s="5">
        <f t="shared" si="31"/>
        <v>-9.091291357751459E-2</v>
      </c>
      <c r="O68" s="13"/>
      <c r="P68" s="1">
        <f>SUM(OSRRefP22_5x_0)</f>
        <v>338457.68999999994</v>
      </c>
      <c r="Q68" s="1"/>
      <c r="R68" s="5">
        <f t="shared" si="32"/>
        <v>6.3672178621895836E-2</v>
      </c>
      <c r="S68" s="1"/>
      <c r="T68" s="1">
        <f>SUM(OSRRefT22_5x_0)</f>
        <v>358598</v>
      </c>
      <c r="U68" s="1"/>
      <c r="V68" s="5">
        <f t="shared" si="33"/>
        <v>6.0737184839832814E-2</v>
      </c>
      <c r="W68" s="1"/>
      <c r="X68" s="1">
        <f t="shared" si="34"/>
        <v>-20140.310000000056</v>
      </c>
      <c r="Y68" s="1"/>
      <c r="Z68" s="5">
        <f t="shared" si="35"/>
        <v>-5.6164033262873905E-2</v>
      </c>
    </row>
    <row r="69" spans="1:26" s="24" customFormat="1" hidden="1" outlineLevel="2" x14ac:dyDescent="0.25">
      <c r="A69" s="25"/>
      <c r="B69" s="11" t="str">
        <f>CONCATENATE("          ", "6321", " - ", "BUILDING DEPRECIATION")</f>
        <v xml:space="preserve">          6321 - BUILDING DEPRECIATION</v>
      </c>
      <c r="C69" s="11"/>
      <c r="D69" s="7">
        <v>29123.47</v>
      </c>
      <c r="E69" s="2"/>
      <c r="F69" s="6">
        <f t="shared" si="28"/>
        <v>4.9238358806470484E-2</v>
      </c>
      <c r="G69" s="2"/>
      <c r="H69" s="7">
        <v>28118</v>
      </c>
      <c r="I69" s="2"/>
      <c r="J69" s="6">
        <f t="shared" si="29"/>
        <v>4.5707690557081786E-2</v>
      </c>
      <c r="K69" s="2"/>
      <c r="L69" s="7">
        <f t="shared" si="30"/>
        <v>1005.4700000000012</v>
      </c>
      <c r="M69" s="2"/>
      <c r="N69" s="6">
        <f t="shared" si="31"/>
        <v>3.5758944448396085E-2</v>
      </c>
      <c r="O69" s="11"/>
      <c r="P69" s="7">
        <v>203864.28999999998</v>
      </c>
      <c r="Q69" s="2"/>
      <c r="R69" s="6">
        <f t="shared" si="32"/>
        <v>3.8351864563945862E-2</v>
      </c>
      <c r="S69" s="2"/>
      <c r="T69" s="7">
        <v>197072</v>
      </c>
      <c r="U69" s="2"/>
      <c r="V69" s="6">
        <f t="shared" si="33"/>
        <v>3.33788768781631E-2</v>
      </c>
      <c r="W69" s="2"/>
      <c r="X69" s="7">
        <f t="shared" si="34"/>
        <v>6792.289999999979</v>
      </c>
      <c r="Y69" s="2"/>
      <c r="Z69" s="6">
        <f t="shared" si="35"/>
        <v>3.4466032719006147E-2</v>
      </c>
    </row>
    <row r="70" spans="1:26" s="24" customFormat="1" hidden="1" outlineLevel="2" x14ac:dyDescent="0.25">
      <c r="A70" s="25"/>
      <c r="B70" s="11" t="str">
        <f>CONCATENATE("          ", "6322", " - ", "EQUIPMENT DEPRECIATION EXPENSE")</f>
        <v xml:space="preserve">          6322 - EQUIPMENT DEPRECIATION EXPENSE</v>
      </c>
      <c r="C70" s="11"/>
      <c r="D70" s="7">
        <v>19744.8</v>
      </c>
      <c r="E70" s="2"/>
      <c r="F70" s="6">
        <f t="shared" si="28"/>
        <v>3.3382064258208187E-2</v>
      </c>
      <c r="G70" s="2"/>
      <c r="H70" s="7">
        <v>18476</v>
      </c>
      <c r="I70" s="2"/>
      <c r="J70" s="6">
        <f t="shared" si="29"/>
        <v>3.0033974348554059E-2</v>
      </c>
      <c r="K70" s="2"/>
      <c r="L70" s="7">
        <f t="shared" si="30"/>
        <v>1268.7999999999993</v>
      </c>
      <c r="M70" s="2"/>
      <c r="N70" s="6">
        <f t="shared" si="31"/>
        <v>6.8672872916215585E-2</v>
      </c>
      <c r="O70" s="11"/>
      <c r="P70" s="7">
        <v>131623.65</v>
      </c>
      <c r="Q70" s="2"/>
      <c r="R70" s="6">
        <f t="shared" si="32"/>
        <v>2.4761631368653201E-2</v>
      </c>
      <c r="S70" s="2"/>
      <c r="T70" s="7">
        <v>129332</v>
      </c>
      <c r="U70" s="2"/>
      <c r="V70" s="6">
        <f t="shared" si="33"/>
        <v>2.1905480760364689E-2</v>
      </c>
      <c r="W70" s="2"/>
      <c r="X70" s="7">
        <f t="shared" si="34"/>
        <v>2291.6499999999942</v>
      </c>
      <c r="Y70" s="2"/>
      <c r="Z70" s="6">
        <f t="shared" si="35"/>
        <v>1.7719125970370782E-2</v>
      </c>
    </row>
    <row r="71" spans="1:26" s="24" customFormat="1" hidden="1" outlineLevel="2" x14ac:dyDescent="0.25">
      <c r="A71" s="25"/>
      <c r="B71" s="11" t="str">
        <f>CONCATENATE("          ", "6324", " - ", "FURNITURE + FIXT DEPRECIATION")</f>
        <v xml:space="preserve">          6324 - FURNITURE + FIXT DEPRECIATION</v>
      </c>
      <c r="C71" s="11"/>
      <c r="D71" s="7"/>
      <c r="E71" s="2"/>
      <c r="F71" s="6">
        <f t="shared" si="28"/>
        <v>0</v>
      </c>
      <c r="G71" s="2"/>
      <c r="H71" s="7">
        <v>5454</v>
      </c>
      <c r="I71" s="2"/>
      <c r="J71" s="6">
        <f t="shared" si="29"/>
        <v>8.8658419623843816E-3</v>
      </c>
      <c r="K71" s="2"/>
      <c r="L71" s="7">
        <f t="shared" si="30"/>
        <v>-5454</v>
      </c>
      <c r="M71" s="2"/>
      <c r="N71" s="6">
        <f t="shared" si="31"/>
        <v>-1</v>
      </c>
      <c r="O71" s="11"/>
      <c r="P71" s="7"/>
      <c r="Q71" s="2"/>
      <c r="R71" s="6">
        <f t="shared" si="32"/>
        <v>0</v>
      </c>
      <c r="S71" s="2"/>
      <c r="T71" s="7">
        <v>22226</v>
      </c>
      <c r="U71" s="2"/>
      <c r="V71" s="6">
        <f t="shared" si="33"/>
        <v>3.764506969503801E-3</v>
      </c>
      <c r="W71" s="2"/>
      <c r="X71" s="7">
        <f t="shared" si="34"/>
        <v>-22226</v>
      </c>
      <c r="Y71" s="2"/>
      <c r="Z71" s="6">
        <f t="shared" si="35"/>
        <v>-1</v>
      </c>
    </row>
    <row r="72" spans="1:26" s="24" customFormat="1" hidden="1" outlineLevel="2" x14ac:dyDescent="0.25">
      <c r="A72" s="25"/>
      <c r="B72" s="11" t="str">
        <f>CONCATENATE("          ", "6326", " - ", "VEHICLES DEPRECIATION EXPENSE")</f>
        <v xml:space="preserve">          6326 - VEHICLES DEPRECIATION EXPENSE</v>
      </c>
      <c r="C72" s="11"/>
      <c r="D72" s="7">
        <v>424.25</v>
      </c>
      <c r="E72" s="2"/>
      <c r="F72" s="6">
        <f t="shared" si="28"/>
        <v>7.1726939556464612E-4</v>
      </c>
      <c r="G72" s="2"/>
      <c r="H72" s="7">
        <v>2174</v>
      </c>
      <c r="I72" s="2"/>
      <c r="J72" s="6">
        <f t="shared" si="29"/>
        <v>3.5339824763886405E-3</v>
      </c>
      <c r="K72" s="2"/>
      <c r="L72" s="7">
        <f t="shared" si="30"/>
        <v>-1749.75</v>
      </c>
      <c r="M72" s="2"/>
      <c r="N72" s="6">
        <f t="shared" si="31"/>
        <v>-0.80485280588776453</v>
      </c>
      <c r="O72" s="11"/>
      <c r="P72" s="7">
        <v>2969.75</v>
      </c>
      <c r="Q72" s="2"/>
      <c r="R72" s="6">
        <f t="shared" si="32"/>
        <v>5.5868268929677787E-4</v>
      </c>
      <c r="S72" s="2"/>
      <c r="T72" s="7">
        <v>9968</v>
      </c>
      <c r="U72" s="2"/>
      <c r="V72" s="6">
        <f t="shared" si="33"/>
        <v>1.6883202318012187E-3</v>
      </c>
      <c r="W72" s="2"/>
      <c r="X72" s="7">
        <f t="shared" si="34"/>
        <v>-6998.25</v>
      </c>
      <c r="Y72" s="2"/>
      <c r="Z72" s="6">
        <f t="shared" si="35"/>
        <v>-0.70207162921348309</v>
      </c>
    </row>
    <row r="73" spans="1:26" s="27" customFormat="1" outlineLevel="1" collapsed="1" x14ac:dyDescent="0.25">
      <c r="A73" s="26"/>
      <c r="B73" s="13" t="str">
        <f>CONCATENATE("     ","Discounts and Markdowns                           ")</f>
        <v xml:space="preserve">     Discounts and Markdowns                           </v>
      </c>
      <c r="C73" s="13"/>
      <c r="D73" s="1">
        <f>SUM(OSRRefD22_6x_0)</f>
        <v>31.87</v>
      </c>
      <c r="E73" s="1"/>
      <c r="F73" s="5">
        <f t="shared" ref="F73:F85" si="36">IF(D$12=0,0,D73/D$12)</f>
        <v>5.3881851824738412E-5</v>
      </c>
      <c r="G73" s="1"/>
      <c r="H73" s="1">
        <f>SUM(OSRRefH22_6x_0)</f>
        <v>0</v>
      </c>
      <c r="I73" s="1"/>
      <c r="J73" s="5">
        <f t="shared" ref="J73:J85" si="37">IF(H$12=0,0,H73/H$12)</f>
        <v>0</v>
      </c>
      <c r="K73" s="1"/>
      <c r="L73" s="1">
        <f t="shared" ref="L73:L85" si="38">+D73-H73</f>
        <v>31.87</v>
      </c>
      <c r="M73" s="1"/>
      <c r="N73" s="5">
        <f t="shared" ref="N73:N85" si="39">IF(H73=0,0,L73/H73)</f>
        <v>0</v>
      </c>
      <c r="O73" s="13"/>
      <c r="P73" s="1">
        <f>SUM(OSRRefP22_6x_0)</f>
        <v>108.24</v>
      </c>
      <c r="Q73" s="1"/>
      <c r="R73" s="5">
        <f t="shared" ref="R73:R85" si="40">IF(P$12=0,0,P73/P$12)</f>
        <v>2.0362594255234697E-5</v>
      </c>
      <c r="S73" s="1"/>
      <c r="T73" s="1">
        <f>SUM(OSRRefT22_6x_0)</f>
        <v>0</v>
      </c>
      <c r="U73" s="1"/>
      <c r="V73" s="5">
        <f t="shared" ref="V73:V85" si="41">IF(T$12=0,0,T73/T$12)</f>
        <v>0</v>
      </c>
      <c r="W73" s="1"/>
      <c r="X73" s="1">
        <f t="shared" ref="X73:X85" si="42">+P73-T73</f>
        <v>108.24</v>
      </c>
      <c r="Y73" s="1"/>
      <c r="Z73" s="5">
        <f t="shared" ref="Z73:Z85" si="43">IF(T73=0,0,X73/T73)</f>
        <v>0</v>
      </c>
    </row>
    <row r="74" spans="1:26" s="24" customFormat="1" hidden="1" outlineLevel="2" x14ac:dyDescent="0.25">
      <c r="A74" s="25"/>
      <c r="B74" s="11" t="str">
        <f>CONCATENATE("          ", "6382", " - ", "DISCOUNTS/MARK DOWNS")</f>
        <v xml:space="preserve">          6382 - DISCOUNTS/MARK DOWNS</v>
      </c>
      <c r="C74" s="11"/>
      <c r="D74" s="7">
        <v>31.87</v>
      </c>
      <c r="E74" s="2"/>
      <c r="F74" s="6">
        <f t="shared" si="36"/>
        <v>5.3881851824738412E-5</v>
      </c>
      <c r="G74" s="2"/>
      <c r="H74" s="7"/>
      <c r="I74" s="2"/>
      <c r="J74" s="6">
        <f t="shared" si="37"/>
        <v>0</v>
      </c>
      <c r="K74" s="2"/>
      <c r="L74" s="7">
        <f t="shared" si="38"/>
        <v>31.87</v>
      </c>
      <c r="M74" s="2"/>
      <c r="N74" s="6">
        <f t="shared" si="39"/>
        <v>0</v>
      </c>
      <c r="O74" s="11"/>
      <c r="P74" s="7">
        <v>108.24</v>
      </c>
      <c r="Q74" s="2"/>
      <c r="R74" s="6">
        <f t="shared" si="40"/>
        <v>2.0362594255234697E-5</v>
      </c>
      <c r="S74" s="2"/>
      <c r="T74" s="7"/>
      <c r="U74" s="2"/>
      <c r="V74" s="6">
        <f t="shared" si="41"/>
        <v>0</v>
      </c>
      <c r="W74" s="2"/>
      <c r="X74" s="7">
        <f t="shared" si="42"/>
        <v>108.24</v>
      </c>
      <c r="Y74" s="2"/>
      <c r="Z74" s="6">
        <f t="shared" si="43"/>
        <v>0</v>
      </c>
    </row>
    <row r="75" spans="1:26" s="27" customFormat="1" outlineLevel="1" collapsed="1" x14ac:dyDescent="0.25">
      <c r="A75" s="26"/>
      <c r="B75" s="13" t="str">
        <f>CONCATENATE("     ","Donations                                         ")</f>
        <v xml:space="preserve">     Donations                                         </v>
      </c>
      <c r="C75" s="13"/>
      <c r="D75" s="1">
        <f>SUM(OSRRefD22_7x_0)</f>
        <v>0</v>
      </c>
      <c r="E75" s="1"/>
      <c r="F75" s="5">
        <f t="shared" si="36"/>
        <v>0</v>
      </c>
      <c r="G75" s="1"/>
      <c r="H75" s="1">
        <f>SUM(OSRRefH22_7x_0)</f>
        <v>500</v>
      </c>
      <c r="I75" s="1"/>
      <c r="J75" s="5">
        <f t="shared" si="37"/>
        <v>8.1278345823105811E-4</v>
      </c>
      <c r="K75" s="1"/>
      <c r="L75" s="1">
        <f t="shared" si="38"/>
        <v>-500</v>
      </c>
      <c r="M75" s="1"/>
      <c r="N75" s="5">
        <f t="shared" si="39"/>
        <v>-1</v>
      </c>
      <c r="O75" s="13"/>
      <c r="P75" s="1">
        <f>SUM(OSRRefP22_7x_0)</f>
        <v>236.68</v>
      </c>
      <c r="Q75" s="1"/>
      <c r="R75" s="5">
        <f t="shared" si="40"/>
        <v>4.4525303107251922E-5</v>
      </c>
      <c r="S75" s="1"/>
      <c r="T75" s="1">
        <f>SUM(OSRRefT22_7x_0)</f>
        <v>3500</v>
      </c>
      <c r="U75" s="1"/>
      <c r="V75" s="5">
        <f t="shared" si="41"/>
        <v>5.9280907015492237E-4</v>
      </c>
      <c r="W75" s="1"/>
      <c r="X75" s="1">
        <f t="shared" si="42"/>
        <v>-3263.32</v>
      </c>
      <c r="Y75" s="1"/>
      <c r="Z75" s="5">
        <f t="shared" si="43"/>
        <v>-0.9323771428571429</v>
      </c>
    </row>
    <row r="76" spans="1:26" s="24" customFormat="1" hidden="1" outlineLevel="2" x14ac:dyDescent="0.25">
      <c r="A76" s="25"/>
      <c r="B76" s="11" t="str">
        <f>CONCATENATE("          ", "6399", " - ", "DONATION-ON CAMPUS")</f>
        <v xml:space="preserve">          6399 - DONATION-ON CAMPUS</v>
      </c>
      <c r="C76" s="11"/>
      <c r="D76" s="7"/>
      <c r="E76" s="2"/>
      <c r="F76" s="6">
        <f t="shared" si="36"/>
        <v>0</v>
      </c>
      <c r="G76" s="2"/>
      <c r="H76" s="7">
        <v>500</v>
      </c>
      <c r="I76" s="2"/>
      <c r="J76" s="6">
        <f t="shared" si="37"/>
        <v>8.1278345823105811E-4</v>
      </c>
      <c r="K76" s="2"/>
      <c r="L76" s="7">
        <f t="shared" si="38"/>
        <v>-500</v>
      </c>
      <c r="M76" s="2"/>
      <c r="N76" s="6">
        <f t="shared" si="39"/>
        <v>-1</v>
      </c>
      <c r="O76" s="11"/>
      <c r="P76" s="7">
        <v>236.68</v>
      </c>
      <c r="Q76" s="2"/>
      <c r="R76" s="6">
        <f t="shared" si="40"/>
        <v>4.4525303107251922E-5</v>
      </c>
      <c r="S76" s="2"/>
      <c r="T76" s="7">
        <v>3500</v>
      </c>
      <c r="U76" s="2"/>
      <c r="V76" s="6">
        <f t="shared" si="41"/>
        <v>5.9280907015492237E-4</v>
      </c>
      <c r="W76" s="2"/>
      <c r="X76" s="7">
        <f t="shared" si="42"/>
        <v>-3263.32</v>
      </c>
      <c r="Y76" s="2"/>
      <c r="Z76" s="6">
        <f t="shared" si="43"/>
        <v>-0.9323771428571429</v>
      </c>
    </row>
    <row r="77" spans="1:26" s="27" customFormat="1" outlineLevel="1" collapsed="1" x14ac:dyDescent="0.25">
      <c r="A77" s="26"/>
      <c r="B77" s="13" t="str">
        <f>CONCATENATE("     ","Employees' Appreciation                           ")</f>
        <v xml:space="preserve">     Employees' Appreciation                           </v>
      </c>
      <c r="C77" s="13"/>
      <c r="D77" s="1">
        <f>SUM(OSRRefD22_8x_0)</f>
        <v>202.7</v>
      </c>
      <c r="E77" s="1"/>
      <c r="F77" s="5">
        <f t="shared" si="36"/>
        <v>3.427000742037802E-4</v>
      </c>
      <c r="G77" s="1"/>
      <c r="H77" s="1">
        <f>SUM(OSRRefH22_8x_0)</f>
        <v>225</v>
      </c>
      <c r="I77" s="1"/>
      <c r="J77" s="5">
        <f t="shared" si="37"/>
        <v>3.6575255620397611E-4</v>
      </c>
      <c r="K77" s="1"/>
      <c r="L77" s="1">
        <f t="shared" si="38"/>
        <v>-22.300000000000011</v>
      </c>
      <c r="M77" s="1"/>
      <c r="N77" s="5">
        <f t="shared" si="39"/>
        <v>-9.9111111111111164E-2</v>
      </c>
      <c r="O77" s="13"/>
      <c r="P77" s="1">
        <f>SUM(OSRRefP22_8x_0)</f>
        <v>1509.48</v>
      </c>
      <c r="Q77" s="1"/>
      <c r="R77" s="5">
        <f t="shared" si="40"/>
        <v>2.8397014760154907E-4</v>
      </c>
      <c r="S77" s="1"/>
      <c r="T77" s="1">
        <f>SUM(OSRRefT22_8x_0)</f>
        <v>3990</v>
      </c>
      <c r="U77" s="1"/>
      <c r="V77" s="5">
        <f t="shared" si="41"/>
        <v>6.7580233997661151E-4</v>
      </c>
      <c r="W77" s="1"/>
      <c r="X77" s="1">
        <f t="shared" si="42"/>
        <v>-2480.52</v>
      </c>
      <c r="Y77" s="1"/>
      <c r="Z77" s="5">
        <f t="shared" si="43"/>
        <v>-0.62168421052631584</v>
      </c>
    </row>
    <row r="78" spans="1:26" s="24" customFormat="1" hidden="1" outlineLevel="2" x14ac:dyDescent="0.25">
      <c r="A78" s="25"/>
      <c r="B78" s="11" t="str">
        <f>CONCATENATE("          ", "6277", " - ", "EMPLOYEE APPRECIATION")</f>
        <v xml:space="preserve">          6277 - EMPLOYEE APPRECIATION</v>
      </c>
      <c r="C78" s="11"/>
      <c r="D78" s="7">
        <v>202.7</v>
      </c>
      <c r="E78" s="2"/>
      <c r="F78" s="6">
        <f t="shared" si="36"/>
        <v>3.427000742037802E-4</v>
      </c>
      <c r="G78" s="2"/>
      <c r="H78" s="7">
        <v>225</v>
      </c>
      <c r="I78" s="2"/>
      <c r="J78" s="6">
        <f t="shared" si="37"/>
        <v>3.6575255620397611E-4</v>
      </c>
      <c r="K78" s="2"/>
      <c r="L78" s="7">
        <f t="shared" si="38"/>
        <v>-22.300000000000011</v>
      </c>
      <c r="M78" s="2"/>
      <c r="N78" s="6">
        <f t="shared" si="39"/>
        <v>-9.9111111111111164E-2</v>
      </c>
      <c r="O78" s="11"/>
      <c r="P78" s="7">
        <v>1509.48</v>
      </c>
      <c r="Q78" s="2"/>
      <c r="R78" s="6">
        <f t="shared" si="40"/>
        <v>2.8397014760154907E-4</v>
      </c>
      <c r="S78" s="2"/>
      <c r="T78" s="7">
        <v>3990</v>
      </c>
      <c r="U78" s="2"/>
      <c r="V78" s="6">
        <f t="shared" si="41"/>
        <v>6.7580233997661151E-4</v>
      </c>
      <c r="W78" s="2"/>
      <c r="X78" s="7">
        <f t="shared" si="42"/>
        <v>-2480.52</v>
      </c>
      <c r="Y78" s="2"/>
      <c r="Z78" s="6">
        <f t="shared" si="43"/>
        <v>-0.62168421052631584</v>
      </c>
    </row>
    <row r="79" spans="1:26" s="27" customFormat="1" outlineLevel="1" collapsed="1" x14ac:dyDescent="0.25">
      <c r="A79" s="26"/>
      <c r="B79" s="13" t="str">
        <f>CONCATENATE("     ","Equipment Rental                                  ")</f>
        <v xml:space="preserve">     Equipment Rental                                  </v>
      </c>
      <c r="C79" s="13"/>
      <c r="D79" s="1">
        <f>SUM(OSRRefD22_9x_0)</f>
        <v>4769.88</v>
      </c>
      <c r="E79" s="1"/>
      <c r="F79" s="5">
        <f t="shared" si="36"/>
        <v>8.0643227920233207E-3</v>
      </c>
      <c r="G79" s="1"/>
      <c r="H79" s="1">
        <f>SUM(OSRRefH22_9x_0)</f>
        <v>1475</v>
      </c>
      <c r="I79" s="1"/>
      <c r="J79" s="5">
        <f t="shared" si="37"/>
        <v>2.3977112017816212E-3</v>
      </c>
      <c r="K79" s="1"/>
      <c r="L79" s="1">
        <f t="shared" si="38"/>
        <v>3294.88</v>
      </c>
      <c r="M79" s="1"/>
      <c r="N79" s="5">
        <f t="shared" si="39"/>
        <v>2.2338169491525424</v>
      </c>
      <c r="O79" s="13"/>
      <c r="P79" s="1">
        <f>SUM(OSRRefP22_9x_0)</f>
        <v>20333.86</v>
      </c>
      <c r="Q79" s="1"/>
      <c r="R79" s="5">
        <f t="shared" si="40"/>
        <v>3.8252969403431876E-3</v>
      </c>
      <c r="S79" s="1"/>
      <c r="T79" s="1">
        <f>SUM(OSRRefT22_9x_0)</f>
        <v>11001</v>
      </c>
      <c r="U79" s="1"/>
      <c r="V79" s="5">
        <f t="shared" si="41"/>
        <v>1.8632835945069431E-3</v>
      </c>
      <c r="W79" s="1"/>
      <c r="X79" s="1">
        <f t="shared" si="42"/>
        <v>9332.86</v>
      </c>
      <c r="Y79" s="1"/>
      <c r="Z79" s="5">
        <f t="shared" si="43"/>
        <v>0.84836469411871651</v>
      </c>
    </row>
    <row r="80" spans="1:26" s="24" customFormat="1" hidden="1" outlineLevel="2" x14ac:dyDescent="0.25">
      <c r="A80" s="25"/>
      <c r="B80" s="11" t="str">
        <f>CONCATENATE("          ", "6351", " - ", "EQUIPMENT RENTAL")</f>
        <v xml:space="preserve">          6351 - EQUIPMENT RENTAL</v>
      </c>
      <c r="C80" s="11"/>
      <c r="D80" s="7">
        <v>4769.88</v>
      </c>
      <c r="E80" s="2"/>
      <c r="F80" s="6">
        <f t="shared" si="36"/>
        <v>8.0643227920233207E-3</v>
      </c>
      <c r="G80" s="2"/>
      <c r="H80" s="7">
        <v>1475</v>
      </c>
      <c r="I80" s="2"/>
      <c r="J80" s="6">
        <f t="shared" si="37"/>
        <v>2.3977112017816212E-3</v>
      </c>
      <c r="K80" s="2"/>
      <c r="L80" s="7">
        <f t="shared" si="38"/>
        <v>3294.88</v>
      </c>
      <c r="M80" s="2"/>
      <c r="N80" s="6">
        <f t="shared" si="39"/>
        <v>2.2338169491525424</v>
      </c>
      <c r="O80" s="11"/>
      <c r="P80" s="7">
        <v>20333.86</v>
      </c>
      <c r="Q80" s="2"/>
      <c r="R80" s="6">
        <f t="shared" si="40"/>
        <v>3.8252969403431876E-3</v>
      </c>
      <c r="S80" s="2"/>
      <c r="T80" s="7">
        <v>11001</v>
      </c>
      <c r="U80" s="2"/>
      <c r="V80" s="6">
        <f t="shared" si="41"/>
        <v>1.8632835945069431E-3</v>
      </c>
      <c r="W80" s="2"/>
      <c r="X80" s="7">
        <f t="shared" si="42"/>
        <v>9332.86</v>
      </c>
      <c r="Y80" s="2"/>
      <c r="Z80" s="6">
        <f t="shared" si="43"/>
        <v>0.84836469411871651</v>
      </c>
    </row>
    <row r="81" spans="1:26" s="27" customFormat="1" outlineLevel="1" collapsed="1" x14ac:dyDescent="0.25">
      <c r="A81" s="26"/>
      <c r="B81" s="13" t="str">
        <f>CONCATENATE("     ","Freight out/Postage                               ")</f>
        <v xml:space="preserve">     Freight out/Postage                               </v>
      </c>
      <c r="C81" s="13"/>
      <c r="D81" s="1">
        <f>SUM(OSRRefD22_10x_0)</f>
        <v>7.64</v>
      </c>
      <c r="E81" s="1"/>
      <c r="F81" s="5">
        <f t="shared" si="36"/>
        <v>1.2916766487009772E-5</v>
      </c>
      <c r="G81" s="1"/>
      <c r="H81" s="1">
        <f>SUM(OSRRefH22_10x_0)</f>
        <v>0</v>
      </c>
      <c r="I81" s="1"/>
      <c r="J81" s="5">
        <f t="shared" si="37"/>
        <v>0</v>
      </c>
      <c r="K81" s="1"/>
      <c r="L81" s="1">
        <f t="shared" si="38"/>
        <v>7.64</v>
      </c>
      <c r="M81" s="1"/>
      <c r="N81" s="5">
        <f t="shared" si="39"/>
        <v>0</v>
      </c>
      <c r="O81" s="13"/>
      <c r="P81" s="1">
        <f>SUM(OSRRefP22_10x_0)</f>
        <v>233.63</v>
      </c>
      <c r="Q81" s="1"/>
      <c r="R81" s="5">
        <f t="shared" si="40"/>
        <v>4.3951523428034761E-5</v>
      </c>
      <c r="S81" s="1"/>
      <c r="T81" s="1">
        <f>SUM(OSRRefT22_10x_0)</f>
        <v>0</v>
      </c>
      <c r="U81" s="1"/>
      <c r="V81" s="5">
        <f t="shared" si="41"/>
        <v>0</v>
      </c>
      <c r="W81" s="1"/>
      <c r="X81" s="1">
        <f t="shared" si="42"/>
        <v>233.63</v>
      </c>
      <c r="Y81" s="1"/>
      <c r="Z81" s="5">
        <f t="shared" si="43"/>
        <v>0</v>
      </c>
    </row>
    <row r="82" spans="1:26" s="24" customFormat="1" hidden="1" outlineLevel="2" x14ac:dyDescent="0.25">
      <c r="A82" s="25"/>
      <c r="B82" s="11" t="str">
        <f>CONCATENATE("          ", "6305", " - ", "FREIGHT OUT")</f>
        <v xml:space="preserve">          6305 - FREIGHT OUT</v>
      </c>
      <c r="C82" s="11"/>
      <c r="D82" s="7">
        <v>7.64</v>
      </c>
      <c r="E82" s="2"/>
      <c r="F82" s="6">
        <f t="shared" si="36"/>
        <v>1.2916766487009772E-5</v>
      </c>
      <c r="G82" s="2"/>
      <c r="H82" s="7"/>
      <c r="I82" s="2"/>
      <c r="J82" s="6">
        <f t="shared" si="37"/>
        <v>0</v>
      </c>
      <c r="K82" s="2"/>
      <c r="L82" s="7">
        <f t="shared" si="38"/>
        <v>7.64</v>
      </c>
      <c r="M82" s="2"/>
      <c r="N82" s="6">
        <f t="shared" si="39"/>
        <v>0</v>
      </c>
      <c r="O82" s="11"/>
      <c r="P82" s="7">
        <v>233.63</v>
      </c>
      <c r="Q82" s="2"/>
      <c r="R82" s="6">
        <f t="shared" si="40"/>
        <v>4.3951523428034761E-5</v>
      </c>
      <c r="S82" s="2"/>
      <c r="T82" s="7"/>
      <c r="U82" s="2"/>
      <c r="V82" s="6">
        <f t="shared" si="41"/>
        <v>0</v>
      </c>
      <c r="W82" s="2"/>
      <c r="X82" s="7">
        <f t="shared" si="42"/>
        <v>233.63</v>
      </c>
      <c r="Y82" s="2"/>
      <c r="Z82" s="6">
        <f t="shared" si="43"/>
        <v>0</v>
      </c>
    </row>
    <row r="83" spans="1:26" s="27" customFormat="1" outlineLevel="1" collapsed="1" x14ac:dyDescent="0.25">
      <c r="A83" s="26"/>
      <c r="B83" s="13" t="str">
        <f>CONCATENATE("     ","General                                           ")</f>
        <v xml:space="preserve">     General                                           </v>
      </c>
      <c r="C83" s="13"/>
      <c r="D83" s="1">
        <f>SUM(OSRRefD22_11x_0)</f>
        <v>13174.79</v>
      </c>
      <c r="E83" s="1"/>
      <c r="F83" s="5">
        <f t="shared" si="36"/>
        <v>2.2274304443114071E-2</v>
      </c>
      <c r="G83" s="1"/>
      <c r="H83" s="1">
        <f>SUM(OSRRefH22_11x_0)</f>
        <v>3129</v>
      </c>
      <c r="I83" s="1"/>
      <c r="J83" s="5">
        <f t="shared" si="37"/>
        <v>5.0863988816099619E-3</v>
      </c>
      <c r="K83" s="1"/>
      <c r="L83" s="1">
        <f t="shared" si="38"/>
        <v>10045.790000000001</v>
      </c>
      <c r="M83" s="1"/>
      <c r="N83" s="5">
        <f t="shared" si="39"/>
        <v>3.2105433045701504</v>
      </c>
      <c r="O83" s="13"/>
      <c r="P83" s="1">
        <f>SUM(OSRRefP22_11x_0)</f>
        <v>85579.44</v>
      </c>
      <c r="Q83" s="1"/>
      <c r="R83" s="5">
        <f t="shared" si="40"/>
        <v>1.6099588075667061E-2</v>
      </c>
      <c r="S83" s="1"/>
      <c r="T83" s="1">
        <f>SUM(OSRRefT22_11x_0)</f>
        <v>40241</v>
      </c>
      <c r="U83" s="1"/>
      <c r="V83" s="5">
        <f t="shared" si="41"/>
        <v>6.8157799406012081E-3</v>
      </c>
      <c r="W83" s="1"/>
      <c r="X83" s="1">
        <f t="shared" si="42"/>
        <v>45338.44</v>
      </c>
      <c r="Y83" s="1"/>
      <c r="Z83" s="5">
        <f t="shared" si="43"/>
        <v>1.1266727964016798</v>
      </c>
    </row>
    <row r="84" spans="1:26" s="24" customFormat="1" hidden="1" outlineLevel="2" x14ac:dyDescent="0.25">
      <c r="A84" s="25"/>
      <c r="B84" s="11" t="str">
        <f>CONCATENATE("          ", "6269", " - ", "ENTERTAINMENT")</f>
        <v xml:space="preserve">          6269 - ENTERTAINMENT</v>
      </c>
      <c r="C84" s="11"/>
      <c r="D84" s="7"/>
      <c r="E84" s="2"/>
      <c r="F84" s="6">
        <f t="shared" si="36"/>
        <v>0</v>
      </c>
      <c r="G84" s="2"/>
      <c r="H84" s="7">
        <v>350</v>
      </c>
      <c r="I84" s="2"/>
      <c r="J84" s="6">
        <f t="shared" si="37"/>
        <v>5.6894842076174066E-4</v>
      </c>
      <c r="K84" s="2"/>
      <c r="L84" s="7">
        <f t="shared" si="38"/>
        <v>-350</v>
      </c>
      <c r="M84" s="2"/>
      <c r="N84" s="6">
        <f t="shared" si="39"/>
        <v>-1</v>
      </c>
      <c r="O84" s="11"/>
      <c r="P84" s="7">
        <v>7350</v>
      </c>
      <c r="Q84" s="2"/>
      <c r="R84" s="6">
        <f t="shared" si="40"/>
        <v>1.3827149646708705E-3</v>
      </c>
      <c r="S84" s="2"/>
      <c r="T84" s="7">
        <v>4700</v>
      </c>
      <c r="U84" s="2"/>
      <c r="V84" s="6">
        <f t="shared" si="41"/>
        <v>7.9605789420803853E-4</v>
      </c>
      <c r="W84" s="2"/>
      <c r="X84" s="7">
        <f t="shared" si="42"/>
        <v>2650</v>
      </c>
      <c r="Y84" s="2"/>
      <c r="Z84" s="6">
        <f t="shared" si="43"/>
        <v>0.56382978723404253</v>
      </c>
    </row>
    <row r="85" spans="1:26" s="24" customFormat="1" hidden="1" outlineLevel="2" x14ac:dyDescent="0.25">
      <c r="A85" s="25"/>
      <c r="B85" s="11" t="str">
        <f>CONCATENATE("          ", "6279", " - ", "GENERAL EXPENSE")</f>
        <v xml:space="preserve">          6279 - GENERAL EXPENSE</v>
      </c>
      <c r="C85" s="11"/>
      <c r="D85" s="7">
        <v>13174.79</v>
      </c>
      <c r="E85" s="2"/>
      <c r="F85" s="6">
        <f t="shared" si="36"/>
        <v>2.2274304443114071E-2</v>
      </c>
      <c r="G85" s="2"/>
      <c r="H85" s="7">
        <v>2779</v>
      </c>
      <c r="I85" s="2"/>
      <c r="J85" s="6">
        <f t="shared" si="37"/>
        <v>4.5174504608482208E-3</v>
      </c>
      <c r="K85" s="2"/>
      <c r="L85" s="7">
        <f t="shared" si="38"/>
        <v>10395.790000000001</v>
      </c>
      <c r="M85" s="2"/>
      <c r="N85" s="6">
        <f t="shared" si="39"/>
        <v>3.7408384310903204</v>
      </c>
      <c r="O85" s="11"/>
      <c r="P85" s="7">
        <v>78229.440000000002</v>
      </c>
      <c r="Q85" s="2"/>
      <c r="R85" s="6">
        <f t="shared" si="40"/>
        <v>1.471687311099619E-2</v>
      </c>
      <c r="S85" s="2"/>
      <c r="T85" s="7">
        <v>35541</v>
      </c>
      <c r="U85" s="2"/>
      <c r="V85" s="6">
        <f t="shared" si="41"/>
        <v>6.0197220463931696E-3</v>
      </c>
      <c r="W85" s="2"/>
      <c r="X85" s="7">
        <f t="shared" si="42"/>
        <v>42688.44</v>
      </c>
      <c r="Y85" s="2"/>
      <c r="Z85" s="6">
        <f t="shared" si="43"/>
        <v>1.2011040769815144</v>
      </c>
    </row>
    <row r="86" spans="1:26" s="27" customFormat="1" outlineLevel="1" collapsed="1" x14ac:dyDescent="0.25">
      <c r="A86" s="26"/>
      <c r="B86" s="13" t="str">
        <f>CONCATENATE("     ","Insurance                                         ")</f>
        <v xml:space="preserve">     Insurance                                         </v>
      </c>
      <c r="C86" s="13"/>
      <c r="D86" s="1">
        <f>SUM(OSRRefD22_12x_0)</f>
        <v>4483.67</v>
      </c>
      <c r="E86" s="1"/>
      <c r="F86" s="5">
        <f t="shared" ref="F86:F100" si="44">IF(D$12=0,0,D86/D$12)</f>
        <v>7.580434344870564E-3</v>
      </c>
      <c r="G86" s="1"/>
      <c r="H86" s="1">
        <f>SUM(OSRRefH22_12x_0)</f>
        <v>4234</v>
      </c>
      <c r="I86" s="1"/>
      <c r="J86" s="5">
        <f t="shared" ref="J86:J100" si="45">IF(H$12=0,0,H86/H$12)</f>
        <v>6.8826503243006E-3</v>
      </c>
      <c r="K86" s="1"/>
      <c r="L86" s="1">
        <f t="shared" ref="L86:L100" si="46">+D86-H86</f>
        <v>249.67000000000007</v>
      </c>
      <c r="M86" s="1"/>
      <c r="N86" s="5">
        <f t="shared" ref="N86:N100" si="47">IF(H86=0,0,L86/H86)</f>
        <v>5.8967879074161567E-2</v>
      </c>
      <c r="O86" s="13"/>
      <c r="P86" s="1">
        <f>SUM(OSRRefP22_12x_0)</f>
        <v>31385.69</v>
      </c>
      <c r="Q86" s="1"/>
      <c r="R86" s="5">
        <f t="shared" ref="R86:R100" si="48">IF(P$12=0,0,P86/P$12)</f>
        <v>5.9044167672817538E-3</v>
      </c>
      <c r="S86" s="1"/>
      <c r="T86" s="1">
        <f>SUM(OSRRefT22_12x_0)</f>
        <v>29638</v>
      </c>
      <c r="U86" s="1"/>
      <c r="V86" s="5">
        <f t="shared" ref="V86:V100" si="49">IF(T$12=0,0,T86/T$12)</f>
        <v>5.0199072060718823E-3</v>
      </c>
      <c r="W86" s="1"/>
      <c r="X86" s="1">
        <f t="shared" ref="X86:X100" si="50">+P86-T86</f>
        <v>1747.6899999999987</v>
      </c>
      <c r="Y86" s="1"/>
      <c r="Z86" s="5">
        <f t="shared" ref="Z86:Z100" si="51">IF(T86=0,0,X86/T86)</f>
        <v>5.8967879074161504E-2</v>
      </c>
    </row>
    <row r="87" spans="1:26" s="24" customFormat="1" hidden="1" outlineLevel="2" x14ac:dyDescent="0.25">
      <c r="A87" s="25"/>
      <c r="B87" s="11" t="str">
        <f>CONCATENATE("          ", "6314", " - ", "LIABILITY INSURANCE")</f>
        <v xml:space="preserve">          6314 - LIABILITY INSURANCE</v>
      </c>
      <c r="C87" s="11"/>
      <c r="D87" s="7">
        <v>4483.67</v>
      </c>
      <c r="E87" s="2"/>
      <c r="F87" s="6">
        <f t="shared" si="44"/>
        <v>7.580434344870564E-3</v>
      </c>
      <c r="G87" s="2"/>
      <c r="H87" s="7">
        <v>4234</v>
      </c>
      <c r="I87" s="2"/>
      <c r="J87" s="6">
        <f t="shared" si="45"/>
        <v>6.8826503243006E-3</v>
      </c>
      <c r="K87" s="2"/>
      <c r="L87" s="7">
        <f t="shared" si="46"/>
        <v>249.67000000000007</v>
      </c>
      <c r="M87" s="2"/>
      <c r="N87" s="6">
        <f t="shared" si="47"/>
        <v>5.8967879074161567E-2</v>
      </c>
      <c r="O87" s="11"/>
      <c r="P87" s="7">
        <v>31385.69</v>
      </c>
      <c r="Q87" s="2"/>
      <c r="R87" s="6">
        <f t="shared" si="48"/>
        <v>5.9044167672817538E-3</v>
      </c>
      <c r="S87" s="2"/>
      <c r="T87" s="7">
        <v>29638</v>
      </c>
      <c r="U87" s="2"/>
      <c r="V87" s="6">
        <f t="shared" si="49"/>
        <v>5.0199072060718823E-3</v>
      </c>
      <c r="W87" s="2"/>
      <c r="X87" s="7">
        <f t="shared" si="50"/>
        <v>1747.6899999999987</v>
      </c>
      <c r="Y87" s="2"/>
      <c r="Z87" s="6">
        <f t="shared" si="51"/>
        <v>5.8967879074161504E-2</v>
      </c>
    </row>
    <row r="88" spans="1:26" s="27" customFormat="1" outlineLevel="1" collapsed="1" x14ac:dyDescent="0.25">
      <c r="A88" s="26"/>
      <c r="B88" s="13" t="str">
        <f>CONCATENATE("     ","Interest                                          ")</f>
        <v xml:space="preserve">     Interest                                          </v>
      </c>
      <c r="C88" s="13"/>
      <c r="D88" s="1">
        <f>SUM(OSRRefD22_13x_0)</f>
        <v>11929</v>
      </c>
      <c r="E88" s="1"/>
      <c r="F88" s="5">
        <f t="shared" si="44"/>
        <v>2.0168076887897849E-2</v>
      </c>
      <c r="G88" s="1"/>
      <c r="H88" s="1">
        <f>SUM(OSRRefH22_13x_0)</f>
        <v>11929</v>
      </c>
      <c r="I88" s="1"/>
      <c r="J88" s="5">
        <f t="shared" si="45"/>
        <v>1.9391387746476585E-2</v>
      </c>
      <c r="K88" s="1"/>
      <c r="L88" s="1">
        <f t="shared" si="46"/>
        <v>0</v>
      </c>
      <c r="M88" s="1"/>
      <c r="N88" s="5">
        <f t="shared" si="47"/>
        <v>0</v>
      </c>
      <c r="O88" s="13"/>
      <c r="P88" s="1">
        <f>SUM(OSRRefP22_13x_0)</f>
        <v>82904</v>
      </c>
      <c r="Q88" s="1"/>
      <c r="R88" s="5">
        <f t="shared" si="48"/>
        <v>1.5596272303547463E-2</v>
      </c>
      <c r="S88" s="1"/>
      <c r="T88" s="1">
        <f>SUM(OSRRefT22_13x_0)</f>
        <v>83503</v>
      </c>
      <c r="U88" s="1"/>
      <c r="V88" s="5">
        <f t="shared" si="49"/>
        <v>1.4143238795756137E-2</v>
      </c>
      <c r="W88" s="1"/>
      <c r="X88" s="1">
        <f t="shared" si="50"/>
        <v>-599</v>
      </c>
      <c r="Y88" s="1"/>
      <c r="Z88" s="5">
        <f t="shared" si="51"/>
        <v>-7.1733949678454666E-3</v>
      </c>
    </row>
    <row r="89" spans="1:26" s="24" customFormat="1" hidden="1" outlineLevel="2" x14ac:dyDescent="0.25">
      <c r="A89" s="25"/>
      <c r="B89" s="11" t="str">
        <f>CONCATENATE("          ", "6401", " - ", "INTEREST EXPENSE")</f>
        <v xml:space="preserve">          6401 - INTEREST EXPENSE</v>
      </c>
      <c r="C89" s="11"/>
      <c r="D89" s="7">
        <v>11929</v>
      </c>
      <c r="E89" s="2"/>
      <c r="F89" s="6">
        <f t="shared" si="44"/>
        <v>2.0168076887897849E-2</v>
      </c>
      <c r="G89" s="2"/>
      <c r="H89" s="7">
        <v>11929</v>
      </c>
      <c r="I89" s="2"/>
      <c r="J89" s="6">
        <f t="shared" si="45"/>
        <v>1.9391387746476585E-2</v>
      </c>
      <c r="K89" s="2"/>
      <c r="L89" s="7">
        <f t="shared" si="46"/>
        <v>0</v>
      </c>
      <c r="M89" s="2"/>
      <c r="N89" s="6">
        <f t="shared" si="47"/>
        <v>0</v>
      </c>
      <c r="O89" s="11"/>
      <c r="P89" s="7">
        <v>82904</v>
      </c>
      <c r="Q89" s="2"/>
      <c r="R89" s="6">
        <f t="shared" si="48"/>
        <v>1.5596272303547463E-2</v>
      </c>
      <c r="S89" s="2"/>
      <c r="T89" s="7">
        <v>83503</v>
      </c>
      <c r="U89" s="2"/>
      <c r="V89" s="6">
        <f t="shared" si="49"/>
        <v>1.4143238795756137E-2</v>
      </c>
      <c r="W89" s="2"/>
      <c r="X89" s="7">
        <f t="shared" si="50"/>
        <v>-599</v>
      </c>
      <c r="Y89" s="2"/>
      <c r="Z89" s="6">
        <f t="shared" si="51"/>
        <v>-7.1733949678454666E-3</v>
      </c>
    </row>
    <row r="90" spans="1:26" s="27" customFormat="1" outlineLevel="1" collapsed="1" x14ac:dyDescent="0.25">
      <c r="A90" s="26"/>
      <c r="B90" s="13" t="str">
        <f>CONCATENATE("     ","Professional Services                             ")</f>
        <v xml:space="preserve">     Professional Services                             </v>
      </c>
      <c r="C90" s="13"/>
      <c r="D90" s="1">
        <f>SUM(OSRRefD22_14x_0)</f>
        <v>0</v>
      </c>
      <c r="E90" s="1"/>
      <c r="F90" s="5">
        <f t="shared" si="44"/>
        <v>0</v>
      </c>
      <c r="G90" s="1"/>
      <c r="H90" s="1">
        <f>SUM(OSRRefH22_14x_0)</f>
        <v>0</v>
      </c>
      <c r="I90" s="1"/>
      <c r="J90" s="5">
        <f t="shared" si="45"/>
        <v>0</v>
      </c>
      <c r="K90" s="1"/>
      <c r="L90" s="1">
        <f t="shared" si="46"/>
        <v>0</v>
      </c>
      <c r="M90" s="1"/>
      <c r="N90" s="5">
        <f t="shared" si="47"/>
        <v>0</v>
      </c>
      <c r="O90" s="13"/>
      <c r="P90" s="1">
        <f>SUM(OSRRefP22_14x_0)</f>
        <v>125</v>
      </c>
      <c r="Q90" s="1"/>
      <c r="R90" s="5">
        <f t="shared" si="48"/>
        <v>2.3515560623654262E-5</v>
      </c>
      <c r="S90" s="1"/>
      <c r="T90" s="1">
        <f>SUM(OSRRefT22_14x_0)</f>
        <v>0</v>
      </c>
      <c r="U90" s="1"/>
      <c r="V90" s="5">
        <f t="shared" si="49"/>
        <v>0</v>
      </c>
      <c r="W90" s="1"/>
      <c r="X90" s="1">
        <f t="shared" si="50"/>
        <v>125</v>
      </c>
      <c r="Y90" s="1"/>
      <c r="Z90" s="5">
        <f t="shared" si="51"/>
        <v>0</v>
      </c>
    </row>
    <row r="91" spans="1:26" s="24" customFormat="1" hidden="1" outlineLevel="2" x14ac:dyDescent="0.25">
      <c r="A91" s="25"/>
      <c r="B91" s="11" t="str">
        <f>CONCATENATE("          ", "6336", " - ", "PROFESSIONAL SERVICES")</f>
        <v xml:space="preserve">          6336 - PROFESSIONAL SERVICES</v>
      </c>
      <c r="C91" s="11"/>
      <c r="D91" s="7"/>
      <c r="E91" s="2"/>
      <c r="F91" s="6">
        <f t="shared" si="44"/>
        <v>0</v>
      </c>
      <c r="G91" s="2"/>
      <c r="H91" s="7"/>
      <c r="I91" s="2"/>
      <c r="J91" s="6">
        <f t="shared" si="45"/>
        <v>0</v>
      </c>
      <c r="K91" s="2"/>
      <c r="L91" s="7">
        <f t="shared" si="46"/>
        <v>0</v>
      </c>
      <c r="M91" s="2"/>
      <c r="N91" s="6">
        <f t="shared" si="47"/>
        <v>0</v>
      </c>
      <c r="O91" s="11"/>
      <c r="P91" s="7">
        <v>125</v>
      </c>
      <c r="Q91" s="2"/>
      <c r="R91" s="6">
        <f t="shared" si="48"/>
        <v>2.3515560623654262E-5</v>
      </c>
      <c r="S91" s="2"/>
      <c r="T91" s="7"/>
      <c r="U91" s="2"/>
      <c r="V91" s="6">
        <f t="shared" si="49"/>
        <v>0</v>
      </c>
      <c r="W91" s="2"/>
      <c r="X91" s="7">
        <f t="shared" si="50"/>
        <v>125</v>
      </c>
      <c r="Y91" s="2"/>
      <c r="Z91" s="6">
        <f t="shared" si="51"/>
        <v>0</v>
      </c>
    </row>
    <row r="92" spans="1:26" s="27" customFormat="1" outlineLevel="1" collapsed="1" x14ac:dyDescent="0.25">
      <c r="A92" s="26"/>
      <c r="B92" s="13" t="str">
        <f>CONCATENATE("     ","R/H Commissions                                   ")</f>
        <v xml:space="preserve">     R/H Commissions                                   </v>
      </c>
      <c r="C92" s="13"/>
      <c r="D92" s="1">
        <f>SUM(OSRRefD22_15x_0)</f>
        <v>0</v>
      </c>
      <c r="E92" s="1"/>
      <c r="F92" s="5">
        <f t="shared" si="44"/>
        <v>0</v>
      </c>
      <c r="G92" s="1"/>
      <c r="H92" s="1">
        <f>SUM(OSRRefH22_15x_0)</f>
        <v>0</v>
      </c>
      <c r="I92" s="1"/>
      <c r="J92" s="5">
        <f t="shared" si="45"/>
        <v>0</v>
      </c>
      <c r="K92" s="1"/>
      <c r="L92" s="1">
        <f t="shared" si="46"/>
        <v>0</v>
      </c>
      <c r="M92" s="1"/>
      <c r="N92" s="5">
        <f t="shared" si="47"/>
        <v>0</v>
      </c>
      <c r="O92" s="13"/>
      <c r="P92" s="1">
        <f>SUM(OSRRefP22_15x_0)</f>
        <v>0</v>
      </c>
      <c r="Q92" s="1"/>
      <c r="R92" s="5">
        <f t="shared" si="48"/>
        <v>0</v>
      </c>
      <c r="S92" s="1"/>
      <c r="T92" s="1">
        <f>SUM(OSRRefT22_15x_0)</f>
        <v>0</v>
      </c>
      <c r="U92" s="1"/>
      <c r="V92" s="5">
        <f t="shared" si="49"/>
        <v>0</v>
      </c>
      <c r="W92" s="1"/>
      <c r="X92" s="1">
        <f t="shared" si="50"/>
        <v>0</v>
      </c>
      <c r="Y92" s="1"/>
      <c r="Z92" s="5">
        <f t="shared" si="51"/>
        <v>0</v>
      </c>
    </row>
    <row r="93" spans="1:26" s="24" customFormat="1" hidden="1" outlineLevel="2" x14ac:dyDescent="0.25">
      <c r="A93" s="25"/>
      <c r="B93" s="11" t="str">
        <f>CONCATENATE("          ", "6387", " - ", "COMMISSION DUE HOUSING")</f>
        <v xml:space="preserve">          6387 - COMMISSION DUE HOUSING</v>
      </c>
      <c r="C93" s="11"/>
      <c r="D93" s="7"/>
      <c r="E93" s="2"/>
      <c r="F93" s="6">
        <f t="shared" si="44"/>
        <v>0</v>
      </c>
      <c r="G93" s="2"/>
      <c r="H93" s="7"/>
      <c r="I93" s="2"/>
      <c r="J93" s="6">
        <f t="shared" si="45"/>
        <v>0</v>
      </c>
      <c r="K93" s="2"/>
      <c r="L93" s="7">
        <f t="shared" si="46"/>
        <v>0</v>
      </c>
      <c r="M93" s="2"/>
      <c r="N93" s="6">
        <f t="shared" si="47"/>
        <v>0</v>
      </c>
      <c r="O93" s="11"/>
      <c r="P93" s="7"/>
      <c r="Q93" s="2"/>
      <c r="R93" s="6">
        <f t="shared" si="48"/>
        <v>0</v>
      </c>
      <c r="S93" s="2"/>
      <c r="T93" s="7">
        <v>0</v>
      </c>
      <c r="U93" s="2"/>
      <c r="V93" s="6">
        <f t="shared" si="49"/>
        <v>0</v>
      </c>
      <c r="W93" s="2"/>
      <c r="X93" s="7">
        <f t="shared" si="50"/>
        <v>0</v>
      </c>
      <c r="Y93" s="2"/>
      <c r="Z93" s="6">
        <f t="shared" si="51"/>
        <v>0</v>
      </c>
    </row>
    <row r="94" spans="1:26" s="27" customFormat="1" outlineLevel="1" collapsed="1" x14ac:dyDescent="0.25">
      <c r="A94" s="26"/>
      <c r="B94" s="13" t="str">
        <f>CONCATENATE("     ","Rent                                              ")</f>
        <v xml:space="preserve">     Rent                                              </v>
      </c>
      <c r="C94" s="13"/>
      <c r="D94" s="1">
        <f>SUM(OSRRefD22_16x_0)</f>
        <v>3000</v>
      </c>
      <c r="E94" s="1"/>
      <c r="F94" s="5">
        <f t="shared" si="44"/>
        <v>5.0720287252656177E-3</v>
      </c>
      <c r="G94" s="1"/>
      <c r="H94" s="1">
        <f>SUM(OSRRefH22_16x_0)</f>
        <v>3000</v>
      </c>
      <c r="I94" s="1"/>
      <c r="J94" s="5">
        <f t="shared" si="45"/>
        <v>4.8767007493863484E-3</v>
      </c>
      <c r="K94" s="1"/>
      <c r="L94" s="1">
        <f t="shared" si="46"/>
        <v>0</v>
      </c>
      <c r="M94" s="1"/>
      <c r="N94" s="5">
        <f t="shared" si="47"/>
        <v>0</v>
      </c>
      <c r="O94" s="13"/>
      <c r="P94" s="1">
        <f>SUM(OSRRefP22_16x_0)</f>
        <v>21000</v>
      </c>
      <c r="Q94" s="1"/>
      <c r="R94" s="5">
        <f t="shared" si="48"/>
        <v>3.9506141847739156E-3</v>
      </c>
      <c r="S94" s="1"/>
      <c r="T94" s="1">
        <f>SUM(OSRRefT22_16x_0)</f>
        <v>21000</v>
      </c>
      <c r="U94" s="1"/>
      <c r="V94" s="5">
        <f t="shared" si="49"/>
        <v>3.5568544209295342E-3</v>
      </c>
      <c r="W94" s="1"/>
      <c r="X94" s="1">
        <f t="shared" si="50"/>
        <v>0</v>
      </c>
      <c r="Y94" s="1"/>
      <c r="Z94" s="5">
        <f t="shared" si="51"/>
        <v>0</v>
      </c>
    </row>
    <row r="95" spans="1:26" s="24" customFormat="1" hidden="1" outlineLevel="2" x14ac:dyDescent="0.25">
      <c r="A95" s="25"/>
      <c r="B95" s="11" t="str">
        <f>CONCATENATE("          ", "6273", " - ", "RENT")</f>
        <v xml:space="preserve">          6273 - RENT</v>
      </c>
      <c r="C95" s="11"/>
      <c r="D95" s="7">
        <v>3000</v>
      </c>
      <c r="E95" s="2"/>
      <c r="F95" s="6">
        <f t="shared" si="44"/>
        <v>5.0720287252656177E-3</v>
      </c>
      <c r="G95" s="2"/>
      <c r="H95" s="7">
        <v>3000</v>
      </c>
      <c r="I95" s="2"/>
      <c r="J95" s="6">
        <f t="shared" si="45"/>
        <v>4.8767007493863484E-3</v>
      </c>
      <c r="K95" s="2"/>
      <c r="L95" s="7">
        <f t="shared" si="46"/>
        <v>0</v>
      </c>
      <c r="M95" s="2"/>
      <c r="N95" s="6">
        <f t="shared" si="47"/>
        <v>0</v>
      </c>
      <c r="O95" s="11"/>
      <c r="P95" s="7">
        <v>21000</v>
      </c>
      <c r="Q95" s="2"/>
      <c r="R95" s="6">
        <f t="shared" si="48"/>
        <v>3.9506141847739156E-3</v>
      </c>
      <c r="S95" s="2"/>
      <c r="T95" s="7">
        <v>21000</v>
      </c>
      <c r="U95" s="2"/>
      <c r="V95" s="6">
        <f t="shared" si="49"/>
        <v>3.5568544209295342E-3</v>
      </c>
      <c r="W95" s="2"/>
      <c r="X95" s="7">
        <f t="shared" si="50"/>
        <v>0</v>
      </c>
      <c r="Y95" s="2"/>
      <c r="Z95" s="6">
        <f t="shared" si="51"/>
        <v>0</v>
      </c>
    </row>
    <row r="96" spans="1:26" s="27" customFormat="1" outlineLevel="1" collapsed="1" x14ac:dyDescent="0.25">
      <c r="A96" s="26"/>
      <c r="B96" s="13" t="str">
        <f>CONCATENATE("     ","Repair and Maintenance                            ")</f>
        <v xml:space="preserve">     Repair and Maintenance                            </v>
      </c>
      <c r="C96" s="13"/>
      <c r="D96" s="1">
        <f>SUM(OSRRefD22_17x_0)</f>
        <v>33008.340000000004</v>
      </c>
      <c r="E96" s="1"/>
      <c r="F96" s="5">
        <f t="shared" si="44"/>
        <v>5.5806416217778036E-2</v>
      </c>
      <c r="G96" s="1"/>
      <c r="H96" s="1">
        <f>SUM(OSRRefH22_17x_0)</f>
        <v>16638</v>
      </c>
      <c r="I96" s="1"/>
      <c r="J96" s="5">
        <f t="shared" si="45"/>
        <v>2.7046182356096689E-2</v>
      </c>
      <c r="K96" s="1"/>
      <c r="L96" s="1">
        <f t="shared" si="46"/>
        <v>16370.340000000004</v>
      </c>
      <c r="M96" s="1"/>
      <c r="N96" s="5">
        <f t="shared" si="47"/>
        <v>0.98391272989542033</v>
      </c>
      <c r="O96" s="13"/>
      <c r="P96" s="1">
        <f>SUM(OSRRefP22_17x_0)</f>
        <v>191845.33</v>
      </c>
      <c r="Q96" s="1"/>
      <c r="R96" s="5">
        <f t="shared" si="48"/>
        <v>3.6090803903839661E-2</v>
      </c>
      <c r="S96" s="1"/>
      <c r="T96" s="1">
        <f>SUM(OSRRefT22_17x_0)</f>
        <v>161760</v>
      </c>
      <c r="U96" s="1"/>
      <c r="V96" s="5">
        <f t="shared" si="49"/>
        <v>2.7397941482360067E-2</v>
      </c>
      <c r="W96" s="1"/>
      <c r="X96" s="1">
        <f t="shared" si="50"/>
        <v>30085.329999999987</v>
      </c>
      <c r="Y96" s="1"/>
      <c r="Z96" s="5">
        <f t="shared" si="51"/>
        <v>0.18598745054401575</v>
      </c>
    </row>
    <row r="97" spans="1:26" s="24" customFormat="1" hidden="1" outlineLevel="2" x14ac:dyDescent="0.25">
      <c r="A97" s="25"/>
      <c r="B97" s="11" t="str">
        <f>CONCATENATE("          ", "6371", " - ", "COMPUTER SOFTWARE MAINTENANCE")</f>
        <v xml:space="preserve">          6371 - COMPUTER SOFTWARE MAINTENANCE</v>
      </c>
      <c r="C97" s="11"/>
      <c r="D97" s="7"/>
      <c r="E97" s="2"/>
      <c r="F97" s="6">
        <f t="shared" si="44"/>
        <v>0</v>
      </c>
      <c r="G97" s="2"/>
      <c r="H97" s="7">
        <v>500</v>
      </c>
      <c r="I97" s="2"/>
      <c r="J97" s="6">
        <f t="shared" si="45"/>
        <v>8.1278345823105811E-4</v>
      </c>
      <c r="K97" s="2"/>
      <c r="L97" s="7">
        <f t="shared" si="46"/>
        <v>-500</v>
      </c>
      <c r="M97" s="2"/>
      <c r="N97" s="6">
        <f t="shared" si="47"/>
        <v>-1</v>
      </c>
      <c r="O97" s="11"/>
      <c r="P97" s="7">
        <v>12244.62</v>
      </c>
      <c r="Q97" s="2"/>
      <c r="R97" s="6">
        <f t="shared" si="48"/>
        <v>2.3035128313888755E-3</v>
      </c>
      <c r="S97" s="2"/>
      <c r="T97" s="7">
        <v>1800</v>
      </c>
      <c r="U97" s="2"/>
      <c r="V97" s="6">
        <f t="shared" si="49"/>
        <v>3.0487323607967436E-4</v>
      </c>
      <c r="W97" s="2"/>
      <c r="X97" s="7">
        <f t="shared" si="50"/>
        <v>10444.620000000001</v>
      </c>
      <c r="Y97" s="2"/>
      <c r="Z97" s="6">
        <f t="shared" si="51"/>
        <v>5.8025666666666673</v>
      </c>
    </row>
    <row r="98" spans="1:26" s="24" customFormat="1" hidden="1" outlineLevel="2" x14ac:dyDescent="0.25">
      <c r="A98" s="25"/>
      <c r="B98" s="11" t="str">
        <f>CONCATENATE("          ", "6372", " - ", "COMPUTER HARDWARE MAINTENANCE")</f>
        <v xml:space="preserve">          6372 - COMPUTER HARDWARE MAINTENANCE</v>
      </c>
      <c r="C98" s="11"/>
      <c r="D98" s="7">
        <v>-0.01</v>
      </c>
      <c r="E98" s="2"/>
      <c r="F98" s="6">
        <f t="shared" si="44"/>
        <v>-1.6906762417552059E-8</v>
      </c>
      <c r="G98" s="2"/>
      <c r="H98" s="7"/>
      <c r="I98" s="2"/>
      <c r="J98" s="6">
        <f t="shared" si="45"/>
        <v>0</v>
      </c>
      <c r="K98" s="2"/>
      <c r="L98" s="7">
        <f t="shared" si="46"/>
        <v>-0.01</v>
      </c>
      <c r="M98" s="2"/>
      <c r="N98" s="6">
        <f t="shared" si="47"/>
        <v>0</v>
      </c>
      <c r="O98" s="11"/>
      <c r="P98" s="7">
        <v>-0.01</v>
      </c>
      <c r="Q98" s="2"/>
      <c r="R98" s="6">
        <f t="shared" si="48"/>
        <v>-1.8812448498923407E-9</v>
      </c>
      <c r="S98" s="2"/>
      <c r="T98" s="7">
        <v>200</v>
      </c>
      <c r="U98" s="2"/>
      <c r="V98" s="6">
        <f t="shared" si="49"/>
        <v>3.3874804008852708E-5</v>
      </c>
      <c r="W98" s="2"/>
      <c r="X98" s="7">
        <f t="shared" si="50"/>
        <v>-200.01</v>
      </c>
      <c r="Y98" s="2"/>
      <c r="Z98" s="6">
        <f t="shared" si="51"/>
        <v>-1.0000499999999999</v>
      </c>
    </row>
    <row r="99" spans="1:26" s="24" customFormat="1" hidden="1" outlineLevel="2" x14ac:dyDescent="0.25">
      <c r="A99" s="25"/>
      <c r="B99" s="11" t="str">
        <f>CONCATENATE("          ", "6373", " - ", "MAINTENANCE CONTRACTS")</f>
        <v xml:space="preserve">          6373 - MAINTENANCE CONTRACTS</v>
      </c>
      <c r="C99" s="11"/>
      <c r="D99" s="7">
        <v>6799</v>
      </c>
      <c r="E99" s="2"/>
      <c r="F99" s="6">
        <f t="shared" si="44"/>
        <v>1.1494907767693645E-2</v>
      </c>
      <c r="G99" s="2"/>
      <c r="H99" s="7">
        <v>2200</v>
      </c>
      <c r="I99" s="2"/>
      <c r="J99" s="6">
        <f t="shared" si="45"/>
        <v>3.5762472162166555E-3</v>
      </c>
      <c r="K99" s="2"/>
      <c r="L99" s="7">
        <f t="shared" si="46"/>
        <v>4599</v>
      </c>
      <c r="M99" s="2"/>
      <c r="N99" s="6">
        <f t="shared" si="47"/>
        <v>2.0904545454545453</v>
      </c>
      <c r="O99" s="11"/>
      <c r="P99" s="7">
        <v>65703.239999999991</v>
      </c>
      <c r="Q99" s="2"/>
      <c r="R99" s="6">
        <f t="shared" si="48"/>
        <v>1.2360388187124044E-2</v>
      </c>
      <c r="S99" s="2"/>
      <c r="T99" s="7">
        <v>16146</v>
      </c>
      <c r="U99" s="2"/>
      <c r="V99" s="6">
        <f t="shared" si="49"/>
        <v>2.734712927634679E-3</v>
      </c>
      <c r="W99" s="2"/>
      <c r="X99" s="7">
        <f t="shared" si="50"/>
        <v>49557.239999999991</v>
      </c>
      <c r="Y99" s="2"/>
      <c r="Z99" s="6">
        <f t="shared" si="51"/>
        <v>3.0693199554069115</v>
      </c>
    </row>
    <row r="100" spans="1:26" s="24" customFormat="1" hidden="1" outlineLevel="2" x14ac:dyDescent="0.25">
      <c r="A100" s="25"/>
      <c r="B100" s="11" t="str">
        <f>CONCATENATE("          ", "6375", " - ", "OUTSIDE REPAIRS &amp; MAINTENANCE")</f>
        <v xml:space="preserve">          6375 - OUTSIDE REPAIRS &amp; MAINTENANCE</v>
      </c>
      <c r="C100" s="11"/>
      <c r="D100" s="7">
        <v>26209.350000000002</v>
      </c>
      <c r="E100" s="2"/>
      <c r="F100" s="6">
        <f t="shared" si="44"/>
        <v>4.4311525356846806E-2</v>
      </c>
      <c r="G100" s="2"/>
      <c r="H100" s="7">
        <v>13938</v>
      </c>
      <c r="I100" s="2"/>
      <c r="J100" s="6">
        <f t="shared" si="45"/>
        <v>2.2657151681648974E-2</v>
      </c>
      <c r="K100" s="2"/>
      <c r="L100" s="7">
        <f t="shared" si="46"/>
        <v>12271.350000000002</v>
      </c>
      <c r="M100" s="2"/>
      <c r="N100" s="6">
        <f t="shared" si="47"/>
        <v>0.88042402066293601</v>
      </c>
      <c r="O100" s="11"/>
      <c r="P100" s="7">
        <v>113897.48</v>
      </c>
      <c r="Q100" s="2"/>
      <c r="R100" s="6">
        <f t="shared" si="48"/>
        <v>2.1426904766571588E-2</v>
      </c>
      <c r="S100" s="2"/>
      <c r="T100" s="7">
        <v>143614</v>
      </c>
      <c r="U100" s="2"/>
      <c r="V100" s="6">
        <f t="shared" si="49"/>
        <v>2.4324480514636863E-2</v>
      </c>
      <c r="W100" s="2"/>
      <c r="X100" s="7">
        <f t="shared" si="50"/>
        <v>-29716.520000000004</v>
      </c>
      <c r="Y100" s="2"/>
      <c r="Z100" s="6">
        <f t="shared" si="51"/>
        <v>-0.20691938111883246</v>
      </c>
    </row>
    <row r="101" spans="1:26" s="27" customFormat="1" outlineLevel="1" collapsed="1" x14ac:dyDescent="0.25">
      <c r="A101" s="26"/>
      <c r="B101" s="13" t="str">
        <f>CONCATENATE("     ","Royalty &amp; Commissions                             ")</f>
        <v xml:space="preserve">     Royalty &amp; Commissions                             </v>
      </c>
      <c r="C101" s="13"/>
      <c r="D101" s="1">
        <f>SUM(OSRRefD22_18x_0)</f>
        <v>25849.93</v>
      </c>
      <c r="E101" s="1"/>
      <c r="F101" s="5">
        <f t="shared" ref="F101:F104" si="52">IF(D$12=0,0,D101/D$12)</f>
        <v>4.3703862502035146E-2</v>
      </c>
      <c r="G101" s="1"/>
      <c r="H101" s="1">
        <f>SUM(OSRRefH22_18x_0)</f>
        <v>25147</v>
      </c>
      <c r="I101" s="1"/>
      <c r="J101" s="5">
        <f t="shared" ref="J101:J104" si="53">IF(H$12=0,0,H101/H$12)</f>
        <v>4.0878131248272838E-2</v>
      </c>
      <c r="K101" s="1"/>
      <c r="L101" s="1">
        <f t="shared" ref="L101:L104" si="54">+D101-H101</f>
        <v>702.93000000000029</v>
      </c>
      <c r="M101" s="1"/>
      <c r="N101" s="5">
        <f t="shared" ref="N101:N104" si="55">IF(H101=0,0,L101/H101)</f>
        <v>2.7952837316578528E-2</v>
      </c>
      <c r="O101" s="13"/>
      <c r="P101" s="1">
        <f>SUM(OSRRefP22_18x_0)</f>
        <v>174856.9</v>
      </c>
      <c r="Q101" s="1"/>
      <c r="R101" s="5">
        <f t="shared" ref="R101:R104" si="56">IF(P$12=0,0,P101/P$12)</f>
        <v>3.2894864259314004E-2</v>
      </c>
      <c r="S101" s="1"/>
      <c r="T101" s="1">
        <f>SUM(OSRRefT22_18x_0)</f>
        <v>168810</v>
      </c>
      <c r="U101" s="1"/>
      <c r="V101" s="5">
        <f t="shared" ref="V101:V104" si="57">IF(T$12=0,0,T101/T$12)</f>
        <v>2.8592028323672126E-2</v>
      </c>
      <c r="W101" s="1"/>
      <c r="X101" s="1">
        <f t="shared" ref="X101:X104" si="58">+P101-T101</f>
        <v>6046.8999999999942</v>
      </c>
      <c r="Y101" s="1"/>
      <c r="Z101" s="5">
        <f t="shared" ref="Z101:Z104" si="59">IF(T101=0,0,X101/T101)</f>
        <v>3.5820745216515577E-2</v>
      </c>
    </row>
    <row r="102" spans="1:26" s="24" customFormat="1" hidden="1" outlineLevel="2" x14ac:dyDescent="0.25">
      <c r="A102" s="25"/>
      <c r="B102" s="11" t="str">
        <f>CONCATENATE("          ", "6253", " - ", "ROYALTY DUE ATHLETICS-LRG")</f>
        <v xml:space="preserve">          6253 - ROYALTY DUE ATHLETICS-LRG</v>
      </c>
      <c r="C102" s="11"/>
      <c r="D102" s="7"/>
      <c r="E102" s="2"/>
      <c r="F102" s="6">
        <f t="shared" si="52"/>
        <v>0</v>
      </c>
      <c r="G102" s="2"/>
      <c r="H102" s="7">
        <v>16000</v>
      </c>
      <c r="I102" s="2"/>
      <c r="J102" s="6">
        <f t="shared" si="53"/>
        <v>2.6009070663393859E-2</v>
      </c>
      <c r="K102" s="2"/>
      <c r="L102" s="7">
        <f t="shared" si="54"/>
        <v>-16000</v>
      </c>
      <c r="M102" s="2"/>
      <c r="N102" s="6">
        <f t="shared" si="55"/>
        <v>-1</v>
      </c>
      <c r="O102" s="11"/>
      <c r="P102" s="7"/>
      <c r="Q102" s="2"/>
      <c r="R102" s="6">
        <f t="shared" si="56"/>
        <v>0</v>
      </c>
      <c r="S102" s="2"/>
      <c r="T102" s="7">
        <v>51000</v>
      </c>
      <c r="U102" s="2"/>
      <c r="V102" s="6">
        <f t="shared" si="57"/>
        <v>8.6380750222574392E-3</v>
      </c>
      <c r="W102" s="2"/>
      <c r="X102" s="7">
        <f t="shared" si="58"/>
        <v>-51000</v>
      </c>
      <c r="Y102" s="2"/>
      <c r="Z102" s="6">
        <f t="shared" si="59"/>
        <v>-1</v>
      </c>
    </row>
    <row r="103" spans="1:26" s="24" customFormat="1" hidden="1" outlineLevel="2" x14ac:dyDescent="0.25">
      <c r="A103" s="25"/>
      <c r="B103" s="11" t="str">
        <f>CONCATENATE("          ", "6254", " - ", "ROYALTY &amp; COMMISSIONS")</f>
        <v xml:space="preserve">          6254 - ROYALTY &amp; COMMISSIONS</v>
      </c>
      <c r="C103" s="11"/>
      <c r="D103" s="7">
        <v>17641.37</v>
      </c>
      <c r="E103" s="2"/>
      <c r="F103" s="6">
        <f t="shared" si="52"/>
        <v>2.9825845131013034E-2</v>
      </c>
      <c r="G103" s="2"/>
      <c r="H103" s="7"/>
      <c r="I103" s="2"/>
      <c r="J103" s="6">
        <f t="shared" si="53"/>
        <v>0</v>
      </c>
      <c r="K103" s="2"/>
      <c r="L103" s="7">
        <f t="shared" si="54"/>
        <v>17641.37</v>
      </c>
      <c r="M103" s="2"/>
      <c r="N103" s="6">
        <f t="shared" si="55"/>
        <v>0</v>
      </c>
      <c r="O103" s="11"/>
      <c r="P103" s="7">
        <v>94003.22</v>
      </c>
      <c r="Q103" s="2"/>
      <c r="R103" s="6">
        <f t="shared" si="56"/>
        <v>1.7684307349829669E-2</v>
      </c>
      <c r="S103" s="2"/>
      <c r="T103" s="7">
        <v>5117</v>
      </c>
      <c r="U103" s="2"/>
      <c r="V103" s="6">
        <f t="shared" si="57"/>
        <v>8.666868605664964E-4</v>
      </c>
      <c r="W103" s="2"/>
      <c r="X103" s="7">
        <f t="shared" si="58"/>
        <v>88886.22</v>
      </c>
      <c r="Y103" s="2"/>
      <c r="Z103" s="6">
        <f t="shared" si="59"/>
        <v>17.370768028141491</v>
      </c>
    </row>
    <row r="104" spans="1:26" s="24" customFormat="1" hidden="1" outlineLevel="2" x14ac:dyDescent="0.25">
      <c r="A104" s="25"/>
      <c r="B104" s="11" t="str">
        <f>CONCATENATE("          ", "6259", " - ", "ROYALTY &amp; COMMISSIONS")</f>
        <v xml:space="preserve">          6259 - ROYALTY &amp; COMMISSIONS</v>
      </c>
      <c r="C104" s="11"/>
      <c r="D104" s="7">
        <v>8208.56</v>
      </c>
      <c r="E104" s="2"/>
      <c r="F104" s="6">
        <f t="shared" si="52"/>
        <v>1.3878017371022112E-2</v>
      </c>
      <c r="G104" s="2"/>
      <c r="H104" s="7">
        <v>9147</v>
      </c>
      <c r="I104" s="2"/>
      <c r="J104" s="6">
        <f t="shared" si="53"/>
        <v>1.4869060584878977E-2</v>
      </c>
      <c r="K104" s="2"/>
      <c r="L104" s="7">
        <f t="shared" si="54"/>
        <v>-938.44000000000051</v>
      </c>
      <c r="M104" s="2"/>
      <c r="N104" s="6">
        <f t="shared" si="55"/>
        <v>-0.10259538646550788</v>
      </c>
      <c r="O104" s="11"/>
      <c r="P104" s="7">
        <v>80853.679999999993</v>
      </c>
      <c r="Q104" s="2"/>
      <c r="R104" s="6">
        <f t="shared" si="56"/>
        <v>1.5210556909484335E-2</v>
      </c>
      <c r="S104" s="2"/>
      <c r="T104" s="7">
        <v>112693</v>
      </c>
      <c r="U104" s="2"/>
      <c r="V104" s="6">
        <f t="shared" si="57"/>
        <v>1.908726644084819E-2</v>
      </c>
      <c r="W104" s="2"/>
      <c r="X104" s="7">
        <f t="shared" si="58"/>
        <v>-31839.320000000007</v>
      </c>
      <c r="Y104" s="2"/>
      <c r="Z104" s="6">
        <f t="shared" si="59"/>
        <v>-0.28253147932879602</v>
      </c>
    </row>
    <row r="105" spans="1:26" s="27" customFormat="1" outlineLevel="1" collapsed="1" x14ac:dyDescent="0.25">
      <c r="A105" s="26"/>
      <c r="B105" s="13" t="str">
        <f>CONCATENATE("     ","Services                                          ")</f>
        <v xml:space="preserve">     Services                                          </v>
      </c>
      <c r="C105" s="13"/>
      <c r="D105" s="1">
        <f>SUM(OSRRefD22_19x_0)</f>
        <v>26964.460000000003</v>
      </c>
      <c r="E105" s="1"/>
      <c r="F105" s="5">
        <f t="shared" ref="F105:F111" si="60">IF(D$12=0,0,D105/D$12)</f>
        <v>4.5588171893758585E-2</v>
      </c>
      <c r="G105" s="1"/>
      <c r="H105" s="1">
        <f>SUM(OSRRefH22_19x_0)</f>
        <v>22391</v>
      </c>
      <c r="I105" s="1"/>
      <c r="J105" s="5">
        <f t="shared" ref="J105:J111" si="61">IF(H$12=0,0,H105/H$12)</f>
        <v>3.639806882650324E-2</v>
      </c>
      <c r="K105" s="1"/>
      <c r="L105" s="1">
        <f t="shared" ref="L105:L111" si="62">+D105-H105</f>
        <v>4573.4600000000028</v>
      </c>
      <c r="M105" s="1"/>
      <c r="N105" s="5">
        <f t="shared" ref="N105:N111" si="63">IF(H105=0,0,L105/H105)</f>
        <v>0.20425438792371947</v>
      </c>
      <c r="O105" s="13"/>
      <c r="P105" s="1">
        <f>SUM(OSRRefP22_19x_0)</f>
        <v>169588.72</v>
      </c>
      <c r="Q105" s="1"/>
      <c r="R105" s="5">
        <f t="shared" ref="R105:R111" si="64">IF(P$12=0,0,P105/P$12)</f>
        <v>3.1903790609983419E-2</v>
      </c>
      <c r="S105" s="1"/>
      <c r="T105" s="1">
        <f>SUM(OSRRefT22_19x_0)</f>
        <v>161552</v>
      </c>
      <c r="U105" s="1"/>
      <c r="V105" s="5">
        <f t="shared" ref="V105:V111" si="65">IF(T$12=0,0,T105/T$12)</f>
        <v>2.7362711686190862E-2</v>
      </c>
      <c r="W105" s="1"/>
      <c r="X105" s="1">
        <f t="shared" ref="X105:X111" si="66">+P105-T105</f>
        <v>8036.7200000000012</v>
      </c>
      <c r="Y105" s="1"/>
      <c r="Z105" s="5">
        <f t="shared" ref="Z105:Z111" si="67">IF(T105=0,0,X105/T105)</f>
        <v>4.9746954540952765E-2</v>
      </c>
    </row>
    <row r="106" spans="1:26" s="24" customFormat="1" hidden="1" outlineLevel="2" x14ac:dyDescent="0.25">
      <c r="A106" s="25"/>
      <c r="B106" s="11" t="str">
        <f>CONCATENATE("          ", "6281", " - ", "STORAGE FEE")</f>
        <v xml:space="preserve">          6281 - STORAGE FEE</v>
      </c>
      <c r="C106" s="11"/>
      <c r="D106" s="7"/>
      <c r="E106" s="2"/>
      <c r="F106" s="6">
        <f t="shared" si="60"/>
        <v>0</v>
      </c>
      <c r="G106" s="2"/>
      <c r="H106" s="7"/>
      <c r="I106" s="2"/>
      <c r="J106" s="6">
        <f t="shared" si="61"/>
        <v>0</v>
      </c>
      <c r="K106" s="2"/>
      <c r="L106" s="7">
        <f t="shared" si="62"/>
        <v>0</v>
      </c>
      <c r="M106" s="2"/>
      <c r="N106" s="6">
        <f t="shared" si="63"/>
        <v>0</v>
      </c>
      <c r="O106" s="11"/>
      <c r="P106" s="7"/>
      <c r="Q106" s="2"/>
      <c r="R106" s="6">
        <f t="shared" si="64"/>
        <v>0</v>
      </c>
      <c r="S106" s="2"/>
      <c r="T106" s="7">
        <v>0</v>
      </c>
      <c r="U106" s="2"/>
      <c r="V106" s="6">
        <f t="shared" si="65"/>
        <v>0</v>
      </c>
      <c r="W106" s="2"/>
      <c r="X106" s="7">
        <f t="shared" si="66"/>
        <v>0</v>
      </c>
      <c r="Y106" s="2"/>
      <c r="Z106" s="6">
        <f t="shared" si="67"/>
        <v>0</v>
      </c>
    </row>
    <row r="107" spans="1:26" s="24" customFormat="1" hidden="1" outlineLevel="2" x14ac:dyDescent="0.25">
      <c r="A107" s="25"/>
      <c r="B107" s="11" t="str">
        <f>CONCATENATE("          ", "6282", " - ", "JANITORIAL/EXTERMINATOR EXPENS")</f>
        <v xml:space="preserve">          6282 - JANITORIAL/EXTERMINATOR EXPENS</v>
      </c>
      <c r="C107" s="11"/>
      <c r="D107" s="7">
        <v>1434.77</v>
      </c>
      <c r="E107" s="2"/>
      <c r="F107" s="6">
        <f t="shared" si="60"/>
        <v>2.4257315513831167E-3</v>
      </c>
      <c r="G107" s="2"/>
      <c r="H107" s="7">
        <v>1686</v>
      </c>
      <c r="I107" s="2"/>
      <c r="J107" s="6">
        <f t="shared" si="61"/>
        <v>2.7407058211551278E-3</v>
      </c>
      <c r="K107" s="2"/>
      <c r="L107" s="7">
        <f t="shared" si="62"/>
        <v>-251.23000000000002</v>
      </c>
      <c r="M107" s="2"/>
      <c r="N107" s="6">
        <f t="shared" si="63"/>
        <v>-0.14900948991696325</v>
      </c>
      <c r="O107" s="11"/>
      <c r="P107" s="7">
        <v>14529.39</v>
      </c>
      <c r="Q107" s="2"/>
      <c r="R107" s="6">
        <f t="shared" si="64"/>
        <v>2.7333340109577278E-3</v>
      </c>
      <c r="S107" s="2"/>
      <c r="T107" s="7">
        <v>12448</v>
      </c>
      <c r="U107" s="2"/>
      <c r="V107" s="6">
        <f t="shared" si="65"/>
        <v>2.1083678015109924E-3</v>
      </c>
      <c r="W107" s="2"/>
      <c r="X107" s="7">
        <f t="shared" si="66"/>
        <v>2081.3899999999994</v>
      </c>
      <c r="Y107" s="2"/>
      <c r="Z107" s="6">
        <f t="shared" si="67"/>
        <v>0.16720678020565549</v>
      </c>
    </row>
    <row r="108" spans="1:26" s="24" customFormat="1" hidden="1" outlineLevel="2" x14ac:dyDescent="0.25">
      <c r="A108" s="25"/>
      <c r="B108" s="11" t="str">
        <f>CONCATENATE("          ", "6283", " - ", "PLANT SERVICE")</f>
        <v xml:space="preserve">          6283 - PLANT SERVICE</v>
      </c>
      <c r="C108" s="11"/>
      <c r="D108" s="7"/>
      <c r="E108" s="2"/>
      <c r="F108" s="6">
        <f t="shared" si="60"/>
        <v>0</v>
      </c>
      <c r="G108" s="2"/>
      <c r="H108" s="7">
        <v>185</v>
      </c>
      <c r="I108" s="2"/>
      <c r="J108" s="6">
        <f t="shared" si="61"/>
        <v>3.0072987954549147E-4</v>
      </c>
      <c r="K108" s="2"/>
      <c r="L108" s="7">
        <f t="shared" si="62"/>
        <v>-185</v>
      </c>
      <c r="M108" s="2"/>
      <c r="N108" s="6">
        <f t="shared" si="63"/>
        <v>-1</v>
      </c>
      <c r="O108" s="11"/>
      <c r="P108" s="7">
        <v>799.12</v>
      </c>
      <c r="Q108" s="2"/>
      <c r="R108" s="6">
        <f t="shared" si="64"/>
        <v>1.5033403844459675E-4</v>
      </c>
      <c r="S108" s="2"/>
      <c r="T108" s="7">
        <v>1260</v>
      </c>
      <c r="U108" s="2"/>
      <c r="V108" s="6">
        <f t="shared" si="65"/>
        <v>2.1341126525577204E-4</v>
      </c>
      <c r="W108" s="2"/>
      <c r="X108" s="7">
        <f t="shared" si="66"/>
        <v>-460.88</v>
      </c>
      <c r="Y108" s="2"/>
      <c r="Z108" s="6">
        <f t="shared" si="67"/>
        <v>-0.36577777777777776</v>
      </c>
    </row>
    <row r="109" spans="1:26" s="24" customFormat="1" hidden="1" outlineLevel="2" x14ac:dyDescent="0.25">
      <c r="A109" s="25"/>
      <c r="B109" s="11" t="str">
        <f>CONCATENATE("          ", "6284", " - ", "TRASH REMOVAL EXPENSE")</f>
        <v xml:space="preserve">          6284 - TRASH REMOVAL EXPENSE</v>
      </c>
      <c r="C109" s="11"/>
      <c r="D109" s="7">
        <v>5419</v>
      </c>
      <c r="E109" s="2"/>
      <c r="F109" s="6">
        <f t="shared" si="60"/>
        <v>9.1617745540714599E-3</v>
      </c>
      <c r="G109" s="2"/>
      <c r="H109" s="7">
        <v>3665</v>
      </c>
      <c r="I109" s="2"/>
      <c r="J109" s="6">
        <f t="shared" si="61"/>
        <v>5.9577027488336562E-3</v>
      </c>
      <c r="K109" s="2"/>
      <c r="L109" s="7">
        <f t="shared" si="62"/>
        <v>1754</v>
      </c>
      <c r="M109" s="2"/>
      <c r="N109" s="6">
        <f t="shared" si="63"/>
        <v>0.47858117326057298</v>
      </c>
      <c r="O109" s="11"/>
      <c r="P109" s="7">
        <v>30045</v>
      </c>
      <c r="Q109" s="2"/>
      <c r="R109" s="6">
        <f t="shared" si="64"/>
        <v>5.6522001515015383E-3</v>
      </c>
      <c r="S109" s="2"/>
      <c r="T109" s="7">
        <v>25655</v>
      </c>
      <c r="U109" s="2"/>
      <c r="V109" s="6">
        <f t="shared" si="65"/>
        <v>4.3452904842355804E-3</v>
      </c>
      <c r="W109" s="2"/>
      <c r="X109" s="7">
        <f t="shared" si="66"/>
        <v>4390</v>
      </c>
      <c r="Y109" s="2"/>
      <c r="Z109" s="6">
        <f t="shared" si="67"/>
        <v>0.17111674137595012</v>
      </c>
    </row>
    <row r="110" spans="1:26" s="24" customFormat="1" hidden="1" outlineLevel="2" x14ac:dyDescent="0.25">
      <c r="A110" s="25"/>
      <c r="B110" s="11" t="str">
        <f>CONCATENATE("          ", "6285", " - ", "JANITORIAL SERVICES")</f>
        <v xml:space="preserve">          6285 - JANITORIAL SERVICES</v>
      </c>
      <c r="C110" s="11"/>
      <c r="D110" s="7">
        <v>16303.92</v>
      </c>
      <c r="E110" s="2"/>
      <c r="F110" s="6">
        <f t="shared" si="60"/>
        <v>2.7564650191477535E-2</v>
      </c>
      <c r="G110" s="2"/>
      <c r="H110" s="7">
        <v>13370</v>
      </c>
      <c r="I110" s="2"/>
      <c r="J110" s="6">
        <f t="shared" si="61"/>
        <v>2.1733829673098493E-2</v>
      </c>
      <c r="K110" s="2"/>
      <c r="L110" s="7">
        <f t="shared" si="62"/>
        <v>2933.92</v>
      </c>
      <c r="M110" s="2"/>
      <c r="N110" s="6">
        <f t="shared" si="63"/>
        <v>0.21944053851907255</v>
      </c>
      <c r="O110" s="11"/>
      <c r="P110" s="7">
        <v>96602.06</v>
      </c>
      <c r="Q110" s="2"/>
      <c r="R110" s="6">
        <f t="shared" si="64"/>
        <v>1.8173212786399089E-2</v>
      </c>
      <c r="S110" s="2"/>
      <c r="T110" s="7">
        <v>93882</v>
      </c>
      <c r="U110" s="2"/>
      <c r="V110" s="6">
        <f t="shared" si="65"/>
        <v>1.5901171749795547E-2</v>
      </c>
      <c r="W110" s="2"/>
      <c r="X110" s="7">
        <f t="shared" si="66"/>
        <v>2720.0599999999977</v>
      </c>
      <c r="Y110" s="2"/>
      <c r="Z110" s="6">
        <f t="shared" si="67"/>
        <v>2.89731790971645E-2</v>
      </c>
    </row>
    <row r="111" spans="1:26" s="24" customFormat="1" hidden="1" outlineLevel="2" x14ac:dyDescent="0.25">
      <c r="A111" s="25"/>
      <c r="B111" s="11" t="str">
        <f>CONCATENATE("          ", "6286", " - ", "LAUNDRY EXPENSE")</f>
        <v xml:space="preserve">          6286 - LAUNDRY EXPENSE</v>
      </c>
      <c r="C111" s="11"/>
      <c r="D111" s="7">
        <v>3806.77</v>
      </c>
      <c r="E111" s="2"/>
      <c r="F111" s="6">
        <f t="shared" si="60"/>
        <v>6.4360155968264648E-3</v>
      </c>
      <c r="G111" s="2"/>
      <c r="H111" s="7">
        <v>3485</v>
      </c>
      <c r="I111" s="2"/>
      <c r="J111" s="6">
        <f t="shared" si="61"/>
        <v>5.6651007038704751E-3</v>
      </c>
      <c r="K111" s="2"/>
      <c r="L111" s="7">
        <f t="shared" si="62"/>
        <v>321.77</v>
      </c>
      <c r="M111" s="2"/>
      <c r="N111" s="6">
        <f t="shared" si="63"/>
        <v>9.2329985652797694E-2</v>
      </c>
      <c r="O111" s="11"/>
      <c r="P111" s="7">
        <v>27613.15</v>
      </c>
      <c r="Q111" s="2"/>
      <c r="R111" s="6">
        <f t="shared" si="64"/>
        <v>5.1947096226804693E-3</v>
      </c>
      <c r="S111" s="2"/>
      <c r="T111" s="7">
        <v>28307</v>
      </c>
      <c r="U111" s="2"/>
      <c r="V111" s="6">
        <f t="shared" si="65"/>
        <v>4.7944703853929679E-3</v>
      </c>
      <c r="W111" s="2"/>
      <c r="X111" s="7">
        <f t="shared" si="66"/>
        <v>-693.84999999999854</v>
      </c>
      <c r="Y111" s="2"/>
      <c r="Z111" s="6">
        <f t="shared" si="67"/>
        <v>-2.4511604903380738E-2</v>
      </c>
    </row>
    <row r="112" spans="1:26" s="27" customFormat="1" outlineLevel="1" collapsed="1" x14ac:dyDescent="0.25">
      <c r="A112" s="26"/>
      <c r="B112" s="13" t="str">
        <f>CONCATENATE("     ","Subscriptions &amp; Dues                              ")</f>
        <v xml:space="preserve">     Subscriptions &amp; Dues                              </v>
      </c>
      <c r="C112" s="13"/>
      <c r="D112" s="1">
        <f>SUM(OSRRefD22_20x_0)</f>
        <v>762.37999999999988</v>
      </c>
      <c r="E112" s="1"/>
      <c r="F112" s="5">
        <f t="shared" ref="F112:F114" si="68">IF(D$12=0,0,D112/D$12)</f>
        <v>1.2889377531893336E-3</v>
      </c>
      <c r="G112" s="1"/>
      <c r="H112" s="1">
        <f>SUM(OSRRefH22_20x_0)</f>
        <v>574</v>
      </c>
      <c r="I112" s="1"/>
      <c r="J112" s="5">
        <f t="shared" ref="J112:J114" si="69">IF(H$12=0,0,H112/H$12)</f>
        <v>9.3307541004925465E-4</v>
      </c>
      <c r="K112" s="1"/>
      <c r="L112" s="1">
        <f t="shared" ref="L112:L114" si="70">+D112-H112</f>
        <v>188.37999999999988</v>
      </c>
      <c r="M112" s="1"/>
      <c r="N112" s="5">
        <f t="shared" ref="N112:N114" si="71">IF(H112=0,0,L112/H112)</f>
        <v>0.32818815331010431</v>
      </c>
      <c r="O112" s="13"/>
      <c r="P112" s="1">
        <f>SUM(OSRRefP22_20x_0)</f>
        <v>8095.38</v>
      </c>
      <c r="Q112" s="1"/>
      <c r="R112" s="5">
        <f t="shared" ref="R112:R114" si="72">IF(P$12=0,0,P112/P$12)</f>
        <v>1.5229391932921458E-3</v>
      </c>
      <c r="S112" s="1"/>
      <c r="T112" s="1">
        <f>SUM(OSRRefT22_20x_0)</f>
        <v>3843</v>
      </c>
      <c r="U112" s="1"/>
      <c r="V112" s="5">
        <f t="shared" ref="V112:V114" si="73">IF(T$12=0,0,T112/T$12)</f>
        <v>6.5090435903010469E-4</v>
      </c>
      <c r="W112" s="1"/>
      <c r="X112" s="1">
        <f t="shared" ref="X112:X114" si="74">+P112-T112</f>
        <v>4252.38</v>
      </c>
      <c r="Y112" s="1"/>
      <c r="Z112" s="5">
        <f t="shared" ref="Z112:Z114" si="75">IF(T112=0,0,X112/T112)</f>
        <v>1.1065261514441842</v>
      </c>
    </row>
    <row r="113" spans="1:26" s="24" customFormat="1" hidden="1" outlineLevel="2" x14ac:dyDescent="0.25">
      <c r="A113" s="25"/>
      <c r="B113" s="11" t="str">
        <f>CONCATENATE("          ", "6258", " - ", "MEMBERSHIP DUES")</f>
        <v xml:space="preserve">          6258 - MEMBERSHIP DUES</v>
      </c>
      <c r="C113" s="11"/>
      <c r="D113" s="7">
        <v>131.19999999999999</v>
      </c>
      <c r="E113" s="2"/>
      <c r="F113" s="6">
        <f t="shared" si="68"/>
        <v>2.2181672291828299E-4</v>
      </c>
      <c r="G113" s="2"/>
      <c r="H113" s="7"/>
      <c r="I113" s="2"/>
      <c r="J113" s="6">
        <f t="shared" si="69"/>
        <v>0</v>
      </c>
      <c r="K113" s="2"/>
      <c r="L113" s="7">
        <f t="shared" si="70"/>
        <v>131.19999999999999</v>
      </c>
      <c r="M113" s="2"/>
      <c r="N113" s="6">
        <f t="shared" si="71"/>
        <v>0</v>
      </c>
      <c r="O113" s="11"/>
      <c r="P113" s="7">
        <v>3861.2</v>
      </c>
      <c r="Q113" s="2"/>
      <c r="R113" s="6">
        <f t="shared" si="72"/>
        <v>7.2638626144043059E-4</v>
      </c>
      <c r="S113" s="2"/>
      <c r="T113" s="7"/>
      <c r="U113" s="2"/>
      <c r="V113" s="6">
        <f t="shared" si="73"/>
        <v>0</v>
      </c>
      <c r="W113" s="2"/>
      <c r="X113" s="7">
        <f t="shared" si="74"/>
        <v>3861.2</v>
      </c>
      <c r="Y113" s="2"/>
      <c r="Z113" s="6">
        <f t="shared" si="75"/>
        <v>0</v>
      </c>
    </row>
    <row r="114" spans="1:26" s="24" customFormat="1" hidden="1" outlineLevel="2" x14ac:dyDescent="0.25">
      <c r="A114" s="25"/>
      <c r="B114" s="11" t="str">
        <f>CONCATENATE("          ", "6275", " - ", "SUBSCRIPTIONS")</f>
        <v xml:space="preserve">          6275 - SUBSCRIPTIONS</v>
      </c>
      <c r="C114" s="11"/>
      <c r="D114" s="7">
        <v>631.17999999999995</v>
      </c>
      <c r="E114" s="2"/>
      <c r="F114" s="6">
        <f t="shared" si="68"/>
        <v>1.0671210302710507E-3</v>
      </c>
      <c r="G114" s="2"/>
      <c r="H114" s="7">
        <v>574</v>
      </c>
      <c r="I114" s="2"/>
      <c r="J114" s="6">
        <f t="shared" si="69"/>
        <v>9.3307541004925465E-4</v>
      </c>
      <c r="K114" s="2"/>
      <c r="L114" s="7">
        <f t="shared" si="70"/>
        <v>57.17999999999995</v>
      </c>
      <c r="M114" s="2"/>
      <c r="N114" s="6">
        <f t="shared" si="71"/>
        <v>9.9616724738675874E-2</v>
      </c>
      <c r="O114" s="11"/>
      <c r="P114" s="7">
        <v>4234.18</v>
      </c>
      <c r="Q114" s="2"/>
      <c r="R114" s="6">
        <f t="shared" si="72"/>
        <v>7.9655293185171522E-4</v>
      </c>
      <c r="S114" s="2"/>
      <c r="T114" s="7">
        <v>3843</v>
      </c>
      <c r="U114" s="2"/>
      <c r="V114" s="6">
        <f t="shared" si="73"/>
        <v>6.5090435903010469E-4</v>
      </c>
      <c r="W114" s="2"/>
      <c r="X114" s="7">
        <f t="shared" si="74"/>
        <v>391.18000000000029</v>
      </c>
      <c r="Y114" s="2"/>
      <c r="Z114" s="6">
        <f t="shared" si="75"/>
        <v>0.10179026801977629</v>
      </c>
    </row>
    <row r="115" spans="1:26" s="27" customFormat="1" outlineLevel="1" collapsed="1" x14ac:dyDescent="0.25">
      <c r="A115" s="26"/>
      <c r="B115" s="13" t="str">
        <f>CONCATENATE("     ","Supplies                                          ")</f>
        <v xml:space="preserve">     Supplies                                          </v>
      </c>
      <c r="C115" s="13"/>
      <c r="D115" s="1">
        <f>SUM(OSRRefD22_21x_0)</f>
        <v>18146.360000000004</v>
      </c>
      <c r="E115" s="1"/>
      <c r="F115" s="5">
        <f t="shared" ref="F115:F125" si="76">IF(D$12=0,0,D115/D$12)</f>
        <v>3.0679619726337003E-2</v>
      </c>
      <c r="G115" s="1"/>
      <c r="H115" s="1">
        <f>SUM(OSRRefH22_21x_0)</f>
        <v>18081</v>
      </c>
      <c r="I115" s="1"/>
      <c r="J115" s="5">
        <f t="shared" ref="J115:J125" si="77">IF(H$12=0,0,H115/H$12)</f>
        <v>2.9391875416551524E-2</v>
      </c>
      <c r="K115" s="1"/>
      <c r="L115" s="1">
        <f t="shared" ref="L115:L125" si="78">+D115-H115</f>
        <v>65.36000000000422</v>
      </c>
      <c r="M115" s="1"/>
      <c r="N115" s="5">
        <f t="shared" ref="N115:N125" si="79">IF(H115=0,0,L115/H115)</f>
        <v>3.6148443117086566E-3</v>
      </c>
      <c r="O115" s="13"/>
      <c r="P115" s="1">
        <f>SUM(OSRRefP22_21x_0)</f>
        <v>172431.55</v>
      </c>
      <c r="Q115" s="1"/>
      <c r="R115" s="5">
        <f t="shared" ref="R115:R125" si="80">IF(P$12=0,0,P115/P$12)</f>
        <v>3.2438596539645363E-2</v>
      </c>
      <c r="S115" s="1"/>
      <c r="T115" s="1">
        <f>SUM(OSRRefT22_21x_0)</f>
        <v>131496.5</v>
      </c>
      <c r="U115" s="1"/>
      <c r="V115" s="5">
        <f t="shared" ref="V115:V125" si="81">IF(T$12=0,0,T115/T$12)</f>
        <v>2.2272090826750499E-2</v>
      </c>
      <c r="W115" s="1"/>
      <c r="X115" s="1">
        <f t="shared" ref="X115:X125" si="82">+P115-T115</f>
        <v>40935.049999999988</v>
      </c>
      <c r="Y115" s="1"/>
      <c r="Z115" s="5">
        <f t="shared" ref="Z115:Z125" si="83">IF(T115=0,0,X115/T115)</f>
        <v>0.3113014414832333</v>
      </c>
    </row>
    <row r="116" spans="1:26" s="24" customFormat="1" hidden="1" outlineLevel="2" x14ac:dyDescent="0.25">
      <c r="A116" s="25"/>
      <c r="B116" s="11" t="str">
        <f>CONCATENATE("          ", "6234", " - ", "EXPENDABLE SUPPLIES &amp; EQUIPMEN")</f>
        <v xml:space="preserve">          6234 - EXPENDABLE SUPPLIES &amp; EQUIPMEN</v>
      </c>
      <c r="C116" s="11"/>
      <c r="D116" s="7">
        <v>1008.79</v>
      </c>
      <c r="E116" s="2"/>
      <c r="F116" s="6">
        <f t="shared" si="76"/>
        <v>1.7055372859202341E-3</v>
      </c>
      <c r="G116" s="2"/>
      <c r="H116" s="7">
        <v>350</v>
      </c>
      <c r="I116" s="2"/>
      <c r="J116" s="6">
        <f t="shared" si="77"/>
        <v>5.6894842076174066E-4</v>
      </c>
      <c r="K116" s="2"/>
      <c r="L116" s="7">
        <f t="shared" si="78"/>
        <v>658.79</v>
      </c>
      <c r="M116" s="2"/>
      <c r="N116" s="6">
        <f t="shared" si="79"/>
        <v>1.8822571428571429</v>
      </c>
      <c r="O116" s="11"/>
      <c r="P116" s="7">
        <v>14303.97</v>
      </c>
      <c r="Q116" s="2"/>
      <c r="R116" s="6">
        <f t="shared" si="80"/>
        <v>2.6909269895514544E-3</v>
      </c>
      <c r="S116" s="2"/>
      <c r="T116" s="7">
        <v>7150</v>
      </c>
      <c r="U116" s="2"/>
      <c r="V116" s="6">
        <f t="shared" si="81"/>
        <v>1.2110242433164841E-3</v>
      </c>
      <c r="W116" s="2"/>
      <c r="X116" s="7">
        <f t="shared" si="82"/>
        <v>7153.9699999999993</v>
      </c>
      <c r="Y116" s="2"/>
      <c r="Z116" s="6">
        <f t="shared" si="83"/>
        <v>1.0005552447552446</v>
      </c>
    </row>
    <row r="117" spans="1:26" s="24" customFormat="1" hidden="1" outlineLevel="2" x14ac:dyDescent="0.25">
      <c r="A117" s="25"/>
      <c r="B117" s="11" t="str">
        <f>CONCATENATE("          ", "6237", " - ", "JANITORIAL SUPPLIES")</f>
        <v xml:space="preserve">          6237 - JANITORIAL SUPPLIES</v>
      </c>
      <c r="C117" s="11"/>
      <c r="D117" s="7">
        <v>6298.01</v>
      </c>
      <c r="E117" s="2"/>
      <c r="F117" s="6">
        <f t="shared" si="76"/>
        <v>1.0647895877336704E-2</v>
      </c>
      <c r="G117" s="2"/>
      <c r="H117" s="7">
        <v>4851</v>
      </c>
      <c r="I117" s="2"/>
      <c r="J117" s="6">
        <f t="shared" si="77"/>
        <v>7.8856251117577249E-3</v>
      </c>
      <c r="K117" s="2"/>
      <c r="L117" s="7">
        <f t="shared" si="78"/>
        <v>1447.0100000000002</v>
      </c>
      <c r="M117" s="2"/>
      <c r="N117" s="6">
        <f t="shared" si="79"/>
        <v>0.29829107400535976</v>
      </c>
      <c r="O117" s="11"/>
      <c r="P117" s="7">
        <v>39295.919999999998</v>
      </c>
      <c r="Q117" s="2"/>
      <c r="R117" s="6">
        <f t="shared" si="80"/>
        <v>7.392524712178143E-3</v>
      </c>
      <c r="S117" s="2"/>
      <c r="T117" s="7">
        <v>32007</v>
      </c>
      <c r="U117" s="2"/>
      <c r="V117" s="6">
        <f t="shared" si="81"/>
        <v>5.4211542595567425E-3</v>
      </c>
      <c r="W117" s="2"/>
      <c r="X117" s="7">
        <f t="shared" si="82"/>
        <v>7288.9199999999983</v>
      </c>
      <c r="Y117" s="2"/>
      <c r="Z117" s="6">
        <f t="shared" si="83"/>
        <v>0.22772893429562277</v>
      </c>
    </row>
    <row r="118" spans="1:26" s="24" customFormat="1" hidden="1" outlineLevel="2" x14ac:dyDescent="0.25">
      <c r="A118" s="25"/>
      <c r="B118" s="11" t="str">
        <f>CONCATENATE("          ", "6239", " - ", "KITCHEN SUPPLIES")</f>
        <v xml:space="preserve">          6239 - KITCHEN SUPPLIES</v>
      </c>
      <c r="C118" s="11"/>
      <c r="D118" s="7">
        <v>2478.48</v>
      </c>
      <c r="E118" s="2"/>
      <c r="F118" s="6">
        <f t="shared" si="76"/>
        <v>4.1903072516654427E-3</v>
      </c>
      <c r="G118" s="2"/>
      <c r="H118" s="7">
        <v>3037</v>
      </c>
      <c r="I118" s="2"/>
      <c r="J118" s="6">
        <f t="shared" si="77"/>
        <v>4.9368467252954469E-3</v>
      </c>
      <c r="K118" s="2"/>
      <c r="L118" s="7">
        <f t="shared" si="78"/>
        <v>-558.52</v>
      </c>
      <c r="M118" s="2"/>
      <c r="N118" s="6">
        <f t="shared" si="79"/>
        <v>-0.18390516957523872</v>
      </c>
      <c r="O118" s="11"/>
      <c r="P118" s="7">
        <v>35912.32</v>
      </c>
      <c r="Q118" s="2"/>
      <c r="R118" s="6">
        <f t="shared" si="80"/>
        <v>6.755986704768571E-3</v>
      </c>
      <c r="S118" s="2"/>
      <c r="T118" s="7">
        <v>21464.710000000003</v>
      </c>
      <c r="U118" s="2"/>
      <c r="V118" s="6">
        <f t="shared" si="81"/>
        <v>3.635564221784304E-3</v>
      </c>
      <c r="W118" s="2"/>
      <c r="X118" s="7">
        <f t="shared" si="82"/>
        <v>14447.609999999997</v>
      </c>
      <c r="Y118" s="2"/>
      <c r="Z118" s="6">
        <f t="shared" si="83"/>
        <v>0.67308666178112797</v>
      </c>
    </row>
    <row r="119" spans="1:26" s="24" customFormat="1" hidden="1" outlineLevel="2" x14ac:dyDescent="0.25">
      <c r="A119" s="25"/>
      <c r="B119" s="11" t="str">
        <f>CONCATENATE("          ", "6241", " - ", "OFFICE EXPENSE")</f>
        <v xml:space="preserve">          6241 - OFFICE EXPENSE</v>
      </c>
      <c r="C119" s="11"/>
      <c r="D119" s="7">
        <v>1032.5999999999999</v>
      </c>
      <c r="E119" s="2"/>
      <c r="F119" s="6">
        <f t="shared" si="76"/>
        <v>1.7457922872364253E-3</v>
      </c>
      <c r="G119" s="2"/>
      <c r="H119" s="7">
        <v>820</v>
      </c>
      <c r="I119" s="2"/>
      <c r="J119" s="6">
        <f t="shared" si="77"/>
        <v>1.3329648714989352E-3</v>
      </c>
      <c r="K119" s="2"/>
      <c r="L119" s="7">
        <f t="shared" si="78"/>
        <v>212.59999999999991</v>
      </c>
      <c r="M119" s="2"/>
      <c r="N119" s="6">
        <f t="shared" si="79"/>
        <v>0.25926829268292673</v>
      </c>
      <c r="O119" s="11"/>
      <c r="P119" s="7">
        <v>17441.88</v>
      </c>
      <c r="Q119" s="2"/>
      <c r="R119" s="6">
        <f t="shared" si="80"/>
        <v>3.2812446922440225E-3</v>
      </c>
      <c r="S119" s="2"/>
      <c r="T119" s="7">
        <v>6401.25</v>
      </c>
      <c r="U119" s="2"/>
      <c r="V119" s="6">
        <f t="shared" si="81"/>
        <v>1.0842054458083418E-3</v>
      </c>
      <c r="W119" s="2"/>
      <c r="X119" s="7">
        <f t="shared" si="82"/>
        <v>11040.630000000001</v>
      </c>
      <c r="Y119" s="2"/>
      <c r="Z119" s="6">
        <f t="shared" si="83"/>
        <v>1.7247615700058583</v>
      </c>
    </row>
    <row r="120" spans="1:26" s="24" customFormat="1" hidden="1" outlineLevel="2" x14ac:dyDescent="0.25">
      <c r="A120" s="25"/>
      <c r="B120" s="11" t="str">
        <f>CONCATENATE("          ", "6243", " - ", "PAPER SUPPLIES")</f>
        <v xml:space="preserve">          6243 - PAPER SUPPLIES</v>
      </c>
      <c r="C120" s="11"/>
      <c r="D120" s="7">
        <v>5443.22</v>
      </c>
      <c r="E120" s="2"/>
      <c r="F120" s="6">
        <f t="shared" si="76"/>
        <v>9.2027227326467714E-3</v>
      </c>
      <c r="G120" s="2"/>
      <c r="H120" s="7">
        <v>3595</v>
      </c>
      <c r="I120" s="2"/>
      <c r="J120" s="6">
        <f t="shared" si="77"/>
        <v>5.8439130646813072E-3</v>
      </c>
      <c r="K120" s="2"/>
      <c r="L120" s="7">
        <f t="shared" si="78"/>
        <v>1848.2200000000003</v>
      </c>
      <c r="M120" s="2"/>
      <c r="N120" s="6">
        <f t="shared" si="79"/>
        <v>0.5141084840055633</v>
      </c>
      <c r="O120" s="11"/>
      <c r="P120" s="7">
        <v>27642.070000000003</v>
      </c>
      <c r="Q120" s="2"/>
      <c r="R120" s="6">
        <f t="shared" si="80"/>
        <v>5.2001501827863587E-3</v>
      </c>
      <c r="S120" s="2"/>
      <c r="T120" s="7">
        <v>26434.52</v>
      </c>
      <c r="U120" s="2"/>
      <c r="V120" s="6">
        <f t="shared" si="81"/>
        <v>4.4773209203404852E-3</v>
      </c>
      <c r="W120" s="2"/>
      <c r="X120" s="7">
        <f t="shared" si="82"/>
        <v>1207.5500000000029</v>
      </c>
      <c r="Y120" s="2"/>
      <c r="Z120" s="6">
        <f t="shared" si="83"/>
        <v>4.5680799197413191E-2</v>
      </c>
    </row>
    <row r="121" spans="1:26" s="24" customFormat="1" hidden="1" outlineLevel="2" x14ac:dyDescent="0.25">
      <c r="A121" s="25"/>
      <c r="B121" s="11" t="str">
        <f>CONCATENATE("          ", "6244", " - ", "SAFETY SUPPLY EXPENSE")</f>
        <v xml:space="preserve">          6244 - SAFETY SUPPLY EXPENSE</v>
      </c>
      <c r="C121" s="11"/>
      <c r="D121" s="7"/>
      <c r="E121" s="2"/>
      <c r="F121" s="6">
        <f t="shared" si="76"/>
        <v>0</v>
      </c>
      <c r="G121" s="2"/>
      <c r="H121" s="7">
        <v>110</v>
      </c>
      <c r="I121" s="2"/>
      <c r="J121" s="6">
        <f t="shared" si="77"/>
        <v>1.7881236081083277E-4</v>
      </c>
      <c r="K121" s="2"/>
      <c r="L121" s="7">
        <f t="shared" si="78"/>
        <v>-110</v>
      </c>
      <c r="M121" s="2"/>
      <c r="N121" s="6">
        <f t="shared" si="79"/>
        <v>-1</v>
      </c>
      <c r="O121" s="11"/>
      <c r="P121" s="7"/>
      <c r="Q121" s="2"/>
      <c r="R121" s="6">
        <f t="shared" si="80"/>
        <v>0</v>
      </c>
      <c r="S121" s="2"/>
      <c r="T121" s="7">
        <v>800</v>
      </c>
      <c r="U121" s="2"/>
      <c r="V121" s="6">
        <f t="shared" si="81"/>
        <v>1.3549921603541083E-4</v>
      </c>
      <c r="W121" s="2"/>
      <c r="X121" s="7">
        <f t="shared" si="82"/>
        <v>-800</v>
      </c>
      <c r="Y121" s="2"/>
      <c r="Z121" s="6">
        <f t="shared" si="83"/>
        <v>-1</v>
      </c>
    </row>
    <row r="122" spans="1:26" s="24" customFormat="1" hidden="1" outlineLevel="2" x14ac:dyDescent="0.25">
      <c r="A122" s="25"/>
      <c r="B122" s="11" t="str">
        <f>CONCATENATE("          ", "6245", " - ", "PRINTING")</f>
        <v xml:space="preserve">          6245 - PRINTING</v>
      </c>
      <c r="C122" s="11"/>
      <c r="D122" s="7">
        <v>260.38</v>
      </c>
      <c r="E122" s="2"/>
      <c r="F122" s="6">
        <f t="shared" si="76"/>
        <v>4.4021827982822047E-4</v>
      </c>
      <c r="G122" s="2"/>
      <c r="H122" s="7">
        <v>600</v>
      </c>
      <c r="I122" s="2"/>
      <c r="J122" s="6">
        <f t="shared" si="77"/>
        <v>9.7534014987726966E-4</v>
      </c>
      <c r="K122" s="2"/>
      <c r="L122" s="7">
        <f t="shared" si="78"/>
        <v>-339.62</v>
      </c>
      <c r="M122" s="2"/>
      <c r="N122" s="6">
        <f t="shared" si="79"/>
        <v>-0.56603333333333339</v>
      </c>
      <c r="O122" s="11"/>
      <c r="P122" s="7">
        <v>613.02</v>
      </c>
      <c r="Q122" s="2"/>
      <c r="R122" s="6">
        <f t="shared" si="80"/>
        <v>1.1532407178810028E-4</v>
      </c>
      <c r="S122" s="2"/>
      <c r="T122" s="7">
        <v>1950</v>
      </c>
      <c r="U122" s="2"/>
      <c r="V122" s="6">
        <f t="shared" si="81"/>
        <v>3.3027933908631388E-4</v>
      </c>
      <c r="W122" s="2"/>
      <c r="X122" s="7">
        <f t="shared" si="82"/>
        <v>-1336.98</v>
      </c>
      <c r="Y122" s="2"/>
      <c r="Z122" s="6">
        <f t="shared" si="83"/>
        <v>-0.68563076923076927</v>
      </c>
    </row>
    <row r="123" spans="1:26" s="24" customFormat="1" hidden="1" outlineLevel="2" x14ac:dyDescent="0.25">
      <c r="A123" s="25"/>
      <c r="B123" s="11" t="str">
        <f>CONCATENATE("          ", "6246", " - ", "REPLACEMENTS")</f>
        <v xml:space="preserve">          6246 - REPLACEMENTS</v>
      </c>
      <c r="C123" s="11"/>
      <c r="D123" s="7"/>
      <c r="E123" s="2"/>
      <c r="F123" s="6">
        <f t="shared" si="76"/>
        <v>0</v>
      </c>
      <c r="G123" s="2"/>
      <c r="H123" s="7"/>
      <c r="I123" s="2"/>
      <c r="J123" s="6">
        <f t="shared" si="77"/>
        <v>0</v>
      </c>
      <c r="K123" s="2"/>
      <c r="L123" s="7">
        <f t="shared" si="78"/>
        <v>0</v>
      </c>
      <c r="M123" s="2"/>
      <c r="N123" s="6">
        <f t="shared" si="79"/>
        <v>0</v>
      </c>
      <c r="O123" s="11"/>
      <c r="P123" s="7"/>
      <c r="Q123" s="2"/>
      <c r="R123" s="6">
        <f t="shared" si="80"/>
        <v>0</v>
      </c>
      <c r="S123" s="2"/>
      <c r="T123" s="7">
        <v>2400</v>
      </c>
      <c r="U123" s="2"/>
      <c r="V123" s="6">
        <f t="shared" si="81"/>
        <v>4.0649764810623244E-4</v>
      </c>
      <c r="W123" s="2"/>
      <c r="X123" s="7">
        <f t="shared" si="82"/>
        <v>-2400</v>
      </c>
      <c r="Y123" s="2"/>
      <c r="Z123" s="6">
        <f t="shared" si="83"/>
        <v>-1</v>
      </c>
    </row>
    <row r="124" spans="1:26" s="24" customFormat="1" hidden="1" outlineLevel="2" x14ac:dyDescent="0.25">
      <c r="A124" s="25"/>
      <c r="B124" s="11" t="str">
        <f>CONCATENATE("          ", "6247", " - ", "STORE SUPPLIES")</f>
        <v xml:space="preserve">          6247 - STORE SUPPLIES</v>
      </c>
      <c r="C124" s="11"/>
      <c r="D124" s="7">
        <v>1475.93</v>
      </c>
      <c r="E124" s="2"/>
      <c r="F124" s="6">
        <f t="shared" si="76"/>
        <v>2.4953197854937609E-3</v>
      </c>
      <c r="G124" s="2"/>
      <c r="H124" s="7">
        <v>2018</v>
      </c>
      <c r="I124" s="2"/>
      <c r="J124" s="6">
        <f t="shared" si="77"/>
        <v>3.2803940374205504E-3</v>
      </c>
      <c r="K124" s="2"/>
      <c r="L124" s="7">
        <f t="shared" si="78"/>
        <v>-542.06999999999994</v>
      </c>
      <c r="M124" s="2"/>
      <c r="N124" s="6">
        <f t="shared" si="79"/>
        <v>-0.26861744301288404</v>
      </c>
      <c r="O124" s="11"/>
      <c r="P124" s="7">
        <v>33339.67</v>
      </c>
      <c r="Q124" s="2"/>
      <c r="R124" s="6">
        <f t="shared" si="80"/>
        <v>6.2720082484610173E-3</v>
      </c>
      <c r="S124" s="2"/>
      <c r="T124" s="7">
        <v>23239.02</v>
      </c>
      <c r="U124" s="2"/>
      <c r="V124" s="6">
        <f t="shared" si="81"/>
        <v>3.9360862392890409E-3</v>
      </c>
      <c r="W124" s="2"/>
      <c r="X124" s="7">
        <f t="shared" si="82"/>
        <v>10100.649999999998</v>
      </c>
      <c r="Y124" s="2"/>
      <c r="Z124" s="6">
        <f t="shared" si="83"/>
        <v>0.43464182224551628</v>
      </c>
    </row>
    <row r="125" spans="1:26" s="24" customFormat="1" hidden="1" outlineLevel="2" x14ac:dyDescent="0.25">
      <c r="A125" s="25"/>
      <c r="B125" s="11" t="str">
        <f>CONCATENATE("          ", "6248", " - ", "UNIFORMS")</f>
        <v xml:space="preserve">          6248 - UNIFORMS</v>
      </c>
      <c r="C125" s="11"/>
      <c r="D125" s="7">
        <v>148.94999999999999</v>
      </c>
      <c r="E125" s="2"/>
      <c r="F125" s="6">
        <f t="shared" si="76"/>
        <v>2.5182622620943787E-4</v>
      </c>
      <c r="G125" s="2"/>
      <c r="H125" s="7">
        <v>2700</v>
      </c>
      <c r="I125" s="2"/>
      <c r="J125" s="6">
        <f t="shared" si="77"/>
        <v>4.3890306744477133E-3</v>
      </c>
      <c r="K125" s="2"/>
      <c r="L125" s="7">
        <f t="shared" si="78"/>
        <v>-2551.0500000000002</v>
      </c>
      <c r="M125" s="2"/>
      <c r="N125" s="6">
        <f t="shared" si="79"/>
        <v>-0.94483333333333341</v>
      </c>
      <c r="O125" s="11"/>
      <c r="P125" s="7">
        <v>3882.7</v>
      </c>
      <c r="Q125" s="2"/>
      <c r="R125" s="6">
        <f t="shared" si="80"/>
        <v>7.304309378676991E-4</v>
      </c>
      <c r="S125" s="2"/>
      <c r="T125" s="7">
        <v>9650</v>
      </c>
      <c r="U125" s="2"/>
      <c r="V125" s="6">
        <f t="shared" si="81"/>
        <v>1.634459293427143E-3</v>
      </c>
      <c r="W125" s="2"/>
      <c r="X125" s="7">
        <f t="shared" si="82"/>
        <v>-5767.3</v>
      </c>
      <c r="Y125" s="2"/>
      <c r="Z125" s="6">
        <f t="shared" si="83"/>
        <v>-0.59764766839378236</v>
      </c>
    </row>
    <row r="126" spans="1:26" s="27" customFormat="1" outlineLevel="1" collapsed="1" x14ac:dyDescent="0.25">
      <c r="A126" s="26"/>
      <c r="B126" s="13" t="str">
        <f>CONCATENATE("     ","Telephone/Data Lines                              ")</f>
        <v xml:space="preserve">     Telephone/Data Lines                              </v>
      </c>
      <c r="C126" s="13"/>
      <c r="D126" s="1">
        <f>SUM(OSRRefD22_22x_0)</f>
        <v>3306.87</v>
      </c>
      <c r="E126" s="1"/>
      <c r="F126" s="5">
        <f t="shared" ref="F126:F128" si="84">IF(D$12=0,0,D126/D$12)</f>
        <v>5.5908465435730373E-3</v>
      </c>
      <c r="G126" s="1"/>
      <c r="H126" s="1">
        <f>SUM(OSRRefH22_22x_0)</f>
        <v>2501</v>
      </c>
      <c r="I126" s="1"/>
      <c r="J126" s="5">
        <f t="shared" ref="J126:J128" si="85">IF(H$12=0,0,H126/H$12)</f>
        <v>4.0655428580717527E-3</v>
      </c>
      <c r="K126" s="1"/>
      <c r="L126" s="1">
        <f t="shared" ref="L126:L128" si="86">+D126-H126</f>
        <v>805.86999999999989</v>
      </c>
      <c r="M126" s="1"/>
      <c r="N126" s="5">
        <f t="shared" ref="N126:N128" si="87">IF(H126=0,0,L126/H126)</f>
        <v>0.32221911235505796</v>
      </c>
      <c r="O126" s="13"/>
      <c r="P126" s="1">
        <f>SUM(OSRRefP22_22x_0)</f>
        <v>15851.649999999998</v>
      </c>
      <c r="Q126" s="1"/>
      <c r="R126" s="5">
        <f t="shared" ref="R126:R128" si="88">IF(P$12=0,0,P126/P$12)</f>
        <v>2.9820834924795922E-3</v>
      </c>
      <c r="S126" s="1"/>
      <c r="T126" s="1">
        <f>SUM(OSRRefT22_22x_0)</f>
        <v>15588</v>
      </c>
      <c r="U126" s="1"/>
      <c r="V126" s="5">
        <f t="shared" ref="V126:V128" si="89">IF(T$12=0,0,T126/T$12)</f>
        <v>2.6402022244499798E-3</v>
      </c>
      <c r="W126" s="1"/>
      <c r="X126" s="1">
        <f t="shared" ref="X126:X128" si="90">+P126-T126</f>
        <v>263.64999999999782</v>
      </c>
      <c r="Y126" s="1"/>
      <c r="Z126" s="5">
        <f t="shared" ref="Z126:Z128" si="91">IF(T126=0,0,X126/T126)</f>
        <v>1.691365152681536E-2</v>
      </c>
    </row>
    <row r="127" spans="1:26" s="24" customFormat="1" hidden="1" outlineLevel="2" x14ac:dyDescent="0.25">
      <c r="A127" s="25"/>
      <c r="B127" s="11" t="str">
        <f>CONCATENATE("          ", "6303", " - ", "DATA PHONE LINES")</f>
        <v xml:space="preserve">          6303 - DATA PHONE LINES</v>
      </c>
      <c r="C127" s="11"/>
      <c r="D127" s="7"/>
      <c r="E127" s="2"/>
      <c r="F127" s="6">
        <f t="shared" si="84"/>
        <v>0</v>
      </c>
      <c r="G127" s="2"/>
      <c r="H127" s="7">
        <v>696</v>
      </c>
      <c r="I127" s="2"/>
      <c r="J127" s="6">
        <f t="shared" si="85"/>
        <v>1.1313945738576328E-3</v>
      </c>
      <c r="K127" s="2"/>
      <c r="L127" s="7">
        <f t="shared" si="86"/>
        <v>-696</v>
      </c>
      <c r="M127" s="2"/>
      <c r="N127" s="6">
        <f t="shared" si="87"/>
        <v>-1</v>
      </c>
      <c r="O127" s="11"/>
      <c r="P127" s="7"/>
      <c r="Q127" s="2"/>
      <c r="R127" s="6">
        <f t="shared" si="88"/>
        <v>0</v>
      </c>
      <c r="S127" s="2"/>
      <c r="T127" s="7">
        <v>4078</v>
      </c>
      <c r="U127" s="2"/>
      <c r="V127" s="6">
        <f t="shared" si="89"/>
        <v>6.9070725374050662E-4</v>
      </c>
      <c r="W127" s="2"/>
      <c r="X127" s="7">
        <f t="shared" si="90"/>
        <v>-4078</v>
      </c>
      <c r="Y127" s="2"/>
      <c r="Z127" s="6">
        <f t="shared" si="91"/>
        <v>-1</v>
      </c>
    </row>
    <row r="128" spans="1:26" s="24" customFormat="1" hidden="1" outlineLevel="2" x14ac:dyDescent="0.25">
      <c r="A128" s="25"/>
      <c r="B128" s="11" t="str">
        <f>CONCATENATE("          ", "6309", " - ", "TELEPHONE")</f>
        <v xml:space="preserve">          6309 - TELEPHONE</v>
      </c>
      <c r="C128" s="11"/>
      <c r="D128" s="7">
        <v>3306.87</v>
      </c>
      <c r="E128" s="2"/>
      <c r="F128" s="6">
        <f t="shared" si="84"/>
        <v>5.5908465435730373E-3</v>
      </c>
      <c r="G128" s="2"/>
      <c r="H128" s="7">
        <v>1805</v>
      </c>
      <c r="I128" s="2"/>
      <c r="J128" s="6">
        <f t="shared" si="85"/>
        <v>2.9341482842141198E-3</v>
      </c>
      <c r="K128" s="2"/>
      <c r="L128" s="7">
        <f t="shared" si="86"/>
        <v>1501.87</v>
      </c>
      <c r="M128" s="2"/>
      <c r="N128" s="6">
        <f t="shared" si="87"/>
        <v>0.83206094182825474</v>
      </c>
      <c r="O128" s="11"/>
      <c r="P128" s="7">
        <v>15851.649999999998</v>
      </c>
      <c r="Q128" s="2"/>
      <c r="R128" s="6">
        <f t="shared" si="88"/>
        <v>2.9820834924795922E-3</v>
      </c>
      <c r="S128" s="2"/>
      <c r="T128" s="7">
        <v>11510</v>
      </c>
      <c r="U128" s="2"/>
      <c r="V128" s="6">
        <f t="shared" si="89"/>
        <v>1.9494949707094731E-3</v>
      </c>
      <c r="W128" s="2"/>
      <c r="X128" s="7">
        <f t="shared" si="90"/>
        <v>4341.6499999999978</v>
      </c>
      <c r="Y128" s="2"/>
      <c r="Z128" s="6">
        <f t="shared" si="91"/>
        <v>0.37720677671589903</v>
      </c>
    </row>
    <row r="129" spans="1:26" s="27" customFormat="1" outlineLevel="1" collapsed="1" x14ac:dyDescent="0.25">
      <c r="A129" s="26"/>
      <c r="B129" s="13" t="str">
        <f>CONCATENATE("     ","Training                                          ")</f>
        <v xml:space="preserve">     Training                                          </v>
      </c>
      <c r="C129" s="13"/>
      <c r="D129" s="1">
        <f>SUM(OSRRefD22_23x_0)</f>
        <v>0</v>
      </c>
      <c r="E129" s="1"/>
      <c r="F129" s="5">
        <f t="shared" ref="F129:F134" si="92">IF(D$12=0,0,D129/D$12)</f>
        <v>0</v>
      </c>
      <c r="G129" s="1"/>
      <c r="H129" s="1">
        <f>SUM(OSRRefH22_23x_0)</f>
        <v>2040</v>
      </c>
      <c r="I129" s="1"/>
      <c r="J129" s="5">
        <f t="shared" ref="J129:J134" si="93">IF(H$12=0,0,H129/H$12)</f>
        <v>3.316156509582717E-3</v>
      </c>
      <c r="K129" s="1"/>
      <c r="L129" s="1">
        <f t="shared" ref="L129:L134" si="94">+D129-H129</f>
        <v>-2040</v>
      </c>
      <c r="M129" s="1"/>
      <c r="N129" s="5">
        <f t="shared" ref="N129:N134" si="95">IF(H129=0,0,L129/H129)</f>
        <v>-1</v>
      </c>
      <c r="O129" s="13"/>
      <c r="P129" s="1">
        <f>SUM(OSRRefP22_23x_0)</f>
        <v>1907.5</v>
      </c>
      <c r="Q129" s="1"/>
      <c r="R129" s="5">
        <f t="shared" ref="R129:R134" si="96">IF(P$12=0,0,P129/P$12)</f>
        <v>3.58847455116964E-4</v>
      </c>
      <c r="S129" s="1"/>
      <c r="T129" s="1">
        <f>SUM(OSRRefT22_23x_0)</f>
        <v>8880</v>
      </c>
      <c r="U129" s="1"/>
      <c r="V129" s="5">
        <f t="shared" ref="V129:V134" si="97">IF(T$12=0,0,T129/T$12)</f>
        <v>1.5040412979930601E-3</v>
      </c>
      <c r="W129" s="1"/>
      <c r="X129" s="1">
        <f t="shared" ref="X129:X134" si="98">+P129-T129</f>
        <v>-6972.5</v>
      </c>
      <c r="Y129" s="1"/>
      <c r="Z129" s="5">
        <f t="shared" ref="Z129:Z134" si="99">IF(T129=0,0,X129/T129)</f>
        <v>-0.78519144144144148</v>
      </c>
    </row>
    <row r="130" spans="1:26" s="24" customFormat="1" hidden="1" outlineLevel="2" x14ac:dyDescent="0.25">
      <c r="A130" s="25"/>
      <c r="B130" s="11" t="str">
        <f>CONCATENATE("          ", "6376", " - ", "TRAINING")</f>
        <v xml:space="preserve">          6376 - TRAINING</v>
      </c>
      <c r="C130" s="11"/>
      <c r="D130" s="7"/>
      <c r="E130" s="2"/>
      <c r="F130" s="6">
        <f t="shared" si="92"/>
        <v>0</v>
      </c>
      <c r="G130" s="2"/>
      <c r="H130" s="7">
        <v>2040</v>
      </c>
      <c r="I130" s="2"/>
      <c r="J130" s="6">
        <f t="shared" si="93"/>
        <v>3.316156509582717E-3</v>
      </c>
      <c r="K130" s="2"/>
      <c r="L130" s="7">
        <f t="shared" si="94"/>
        <v>-2040</v>
      </c>
      <c r="M130" s="2"/>
      <c r="N130" s="6">
        <f t="shared" si="95"/>
        <v>-1</v>
      </c>
      <c r="O130" s="11"/>
      <c r="P130" s="7">
        <v>1907.5</v>
      </c>
      <c r="Q130" s="2"/>
      <c r="R130" s="6">
        <f t="shared" si="96"/>
        <v>3.58847455116964E-4</v>
      </c>
      <c r="S130" s="2"/>
      <c r="T130" s="7">
        <v>8880</v>
      </c>
      <c r="U130" s="2"/>
      <c r="V130" s="6">
        <f t="shared" si="97"/>
        <v>1.5040412979930601E-3</v>
      </c>
      <c r="W130" s="2"/>
      <c r="X130" s="7">
        <f t="shared" si="98"/>
        <v>-6972.5</v>
      </c>
      <c r="Y130" s="2"/>
      <c r="Z130" s="6">
        <f t="shared" si="99"/>
        <v>-0.78519144144144148</v>
      </c>
    </row>
    <row r="131" spans="1:26" s="27" customFormat="1" outlineLevel="1" collapsed="1" x14ac:dyDescent="0.25">
      <c r="A131" s="26"/>
      <c r="B131" s="13" t="str">
        <f>CONCATENATE("     ","Travel                                            ")</f>
        <v xml:space="preserve">     Travel                                            </v>
      </c>
      <c r="C131" s="13"/>
      <c r="D131" s="1">
        <f>SUM(OSRRefD22_24x_0)</f>
        <v>125.53</v>
      </c>
      <c r="E131" s="1"/>
      <c r="F131" s="5">
        <f t="shared" si="92"/>
        <v>2.1223058862753099E-4</v>
      </c>
      <c r="G131" s="1"/>
      <c r="H131" s="1">
        <f>SUM(OSRRefH22_24x_0)</f>
        <v>1000</v>
      </c>
      <c r="I131" s="1"/>
      <c r="J131" s="5">
        <f t="shared" si="93"/>
        <v>1.6255669164621162E-3</v>
      </c>
      <c r="K131" s="1"/>
      <c r="L131" s="1">
        <f t="shared" si="94"/>
        <v>-874.47</v>
      </c>
      <c r="M131" s="1"/>
      <c r="N131" s="5">
        <f t="shared" si="95"/>
        <v>-0.87447000000000008</v>
      </c>
      <c r="O131" s="13"/>
      <c r="P131" s="1">
        <f>SUM(OSRRefP22_24x_0)</f>
        <v>3069.35</v>
      </c>
      <c r="Q131" s="1"/>
      <c r="R131" s="5">
        <f t="shared" si="96"/>
        <v>5.7741988800170561E-4</v>
      </c>
      <c r="S131" s="1"/>
      <c r="T131" s="1">
        <f>SUM(OSRRefT22_24x_0)</f>
        <v>9700</v>
      </c>
      <c r="U131" s="1"/>
      <c r="V131" s="5">
        <f t="shared" si="97"/>
        <v>1.6429279944293561E-3</v>
      </c>
      <c r="W131" s="1"/>
      <c r="X131" s="1">
        <f t="shared" si="98"/>
        <v>-6630.65</v>
      </c>
      <c r="Y131" s="1"/>
      <c r="Z131" s="5">
        <f t="shared" si="99"/>
        <v>-0.68357216494845352</v>
      </c>
    </row>
    <row r="132" spans="1:26" s="24" customFormat="1" hidden="1" outlineLevel="2" x14ac:dyDescent="0.25">
      <c r="A132" s="25"/>
      <c r="B132" s="11" t="str">
        <f>CONCATENATE("          ", "6292", " - ", "TRAVEL/CONFERENCE")</f>
        <v xml:space="preserve">          6292 - TRAVEL/CONFERENCE</v>
      </c>
      <c r="C132" s="11"/>
      <c r="D132" s="7">
        <v>21.44</v>
      </c>
      <c r="E132" s="2"/>
      <c r="F132" s="6">
        <f t="shared" si="92"/>
        <v>3.6248098623231614E-5</v>
      </c>
      <c r="G132" s="2"/>
      <c r="H132" s="7">
        <v>1000</v>
      </c>
      <c r="I132" s="2"/>
      <c r="J132" s="6">
        <f t="shared" si="93"/>
        <v>1.6255669164621162E-3</v>
      </c>
      <c r="K132" s="2"/>
      <c r="L132" s="7">
        <f t="shared" si="94"/>
        <v>-978.56</v>
      </c>
      <c r="M132" s="2"/>
      <c r="N132" s="6">
        <f t="shared" si="95"/>
        <v>-0.97855999999999999</v>
      </c>
      <c r="O132" s="11"/>
      <c r="P132" s="7">
        <v>2147.04</v>
      </c>
      <c r="Q132" s="2"/>
      <c r="R132" s="6">
        <f t="shared" si="96"/>
        <v>4.0391079425128513E-4</v>
      </c>
      <c r="S132" s="2"/>
      <c r="T132" s="7">
        <v>9700</v>
      </c>
      <c r="U132" s="2"/>
      <c r="V132" s="6">
        <f t="shared" si="97"/>
        <v>1.6429279944293561E-3</v>
      </c>
      <c r="W132" s="2"/>
      <c r="X132" s="7">
        <f t="shared" si="98"/>
        <v>-7552.96</v>
      </c>
      <c r="Y132" s="2"/>
      <c r="Z132" s="6">
        <f t="shared" si="99"/>
        <v>-0.77865567010309278</v>
      </c>
    </row>
    <row r="133" spans="1:26" s="24" customFormat="1" hidden="1" outlineLevel="2" x14ac:dyDescent="0.25">
      <c r="A133" s="25"/>
      <c r="B133" s="11" t="str">
        <f>CONCATENATE("          ", "6294", " - ", "TRAVEL OPERATIONAL")</f>
        <v xml:space="preserve">          6294 - TRAVEL OPERATIONAL</v>
      </c>
      <c r="C133" s="11"/>
      <c r="D133" s="7"/>
      <c r="E133" s="2"/>
      <c r="F133" s="6">
        <f t="shared" si="92"/>
        <v>0</v>
      </c>
      <c r="G133" s="2"/>
      <c r="H133" s="7"/>
      <c r="I133" s="2"/>
      <c r="J133" s="6">
        <f t="shared" si="93"/>
        <v>0</v>
      </c>
      <c r="K133" s="2"/>
      <c r="L133" s="7">
        <f t="shared" si="94"/>
        <v>0</v>
      </c>
      <c r="M133" s="2"/>
      <c r="N133" s="6">
        <f t="shared" si="95"/>
        <v>0</v>
      </c>
      <c r="O133" s="11"/>
      <c r="P133" s="7">
        <v>45.49</v>
      </c>
      <c r="Q133" s="2"/>
      <c r="R133" s="6">
        <f t="shared" si="96"/>
        <v>8.5577828221602588E-6</v>
      </c>
      <c r="S133" s="2"/>
      <c r="T133" s="7"/>
      <c r="U133" s="2"/>
      <c r="V133" s="6">
        <f t="shared" si="97"/>
        <v>0</v>
      </c>
      <c r="W133" s="2"/>
      <c r="X133" s="7">
        <f t="shared" si="98"/>
        <v>45.49</v>
      </c>
      <c r="Y133" s="2"/>
      <c r="Z133" s="6">
        <f t="shared" si="99"/>
        <v>0</v>
      </c>
    </row>
    <row r="134" spans="1:26" s="24" customFormat="1" hidden="1" outlineLevel="2" x14ac:dyDescent="0.25">
      <c r="A134" s="25"/>
      <c r="B134" s="11" t="str">
        <f>CONCATENATE("          ", "6298", " - ", "VEHICLE MILEAGE")</f>
        <v xml:space="preserve">          6298 - VEHICLE MILEAGE</v>
      </c>
      <c r="C134" s="11"/>
      <c r="D134" s="7">
        <v>104.09</v>
      </c>
      <c r="E134" s="2"/>
      <c r="F134" s="6">
        <f t="shared" si="92"/>
        <v>1.7598249000429938E-4</v>
      </c>
      <c r="G134" s="2"/>
      <c r="H134" s="7"/>
      <c r="I134" s="2"/>
      <c r="J134" s="6">
        <f t="shared" si="93"/>
        <v>0</v>
      </c>
      <c r="K134" s="2"/>
      <c r="L134" s="7">
        <f t="shared" si="94"/>
        <v>104.09</v>
      </c>
      <c r="M134" s="2"/>
      <c r="N134" s="6">
        <f t="shared" si="95"/>
        <v>0</v>
      </c>
      <c r="O134" s="11"/>
      <c r="P134" s="7">
        <v>876.82</v>
      </c>
      <c r="Q134" s="2"/>
      <c r="R134" s="6">
        <f t="shared" si="96"/>
        <v>1.6495131092826023E-4</v>
      </c>
      <c r="S134" s="2"/>
      <c r="T134" s="7">
        <v>0</v>
      </c>
      <c r="U134" s="2"/>
      <c r="V134" s="6">
        <f t="shared" si="97"/>
        <v>0</v>
      </c>
      <c r="W134" s="2"/>
      <c r="X134" s="7">
        <f t="shared" si="98"/>
        <v>876.82</v>
      </c>
      <c r="Y134" s="2"/>
      <c r="Z134" s="6">
        <f t="shared" si="99"/>
        <v>0</v>
      </c>
    </row>
    <row r="135" spans="1:26" s="27" customFormat="1" outlineLevel="1" collapsed="1" x14ac:dyDescent="0.25">
      <c r="A135" s="26"/>
      <c r="B135" s="13" t="str">
        <f>CONCATENATE("     ","Utilities                                         ")</f>
        <v xml:space="preserve">     Utilities                                         </v>
      </c>
      <c r="C135" s="13"/>
      <c r="D135" s="1">
        <f>SUM(OSRRefD22_25x_0)</f>
        <v>16688</v>
      </c>
      <c r="E135" s="1"/>
      <c r="F135" s="5">
        <f t="shared" ref="F135:F136" si="100">IF(D$12=0,0,D135/D$12)</f>
        <v>2.8214005122410873E-2</v>
      </c>
      <c r="G135" s="1"/>
      <c r="H135" s="1">
        <f>SUM(OSRRefH22_25x_0)</f>
        <v>23569</v>
      </c>
      <c r="I135" s="1"/>
      <c r="J135" s="5">
        <f t="shared" ref="J135:J136" si="101">IF(H$12=0,0,H135/H$12)</f>
        <v>3.8312986654095618E-2</v>
      </c>
      <c r="K135" s="1"/>
      <c r="L135" s="1">
        <f t="shared" ref="L135:L136" si="102">+D135-H135</f>
        <v>-6881</v>
      </c>
      <c r="M135" s="1"/>
      <c r="N135" s="5">
        <f t="shared" ref="N135:N136" si="103">IF(H135=0,0,L135/H135)</f>
        <v>-0.29195129195129194</v>
      </c>
      <c r="O135" s="13"/>
      <c r="P135" s="1">
        <f>SUM(OSRRefP22_25x_0)</f>
        <v>119025.12</v>
      </c>
      <c r="Q135" s="1"/>
      <c r="R135" s="5">
        <f t="shared" ref="R135:R136" si="104">IF(P$12=0,0,P135/P$12)</f>
        <v>2.2391539400781785E-2</v>
      </c>
      <c r="S135" s="1"/>
      <c r="T135" s="1">
        <f>SUM(OSRRefT22_25x_0)</f>
        <v>145038</v>
      </c>
      <c r="U135" s="1"/>
      <c r="V135" s="5">
        <f t="shared" ref="V135:V136" si="105">IF(T$12=0,0,T135/T$12)</f>
        <v>2.4565669119179893E-2</v>
      </c>
      <c r="W135" s="1"/>
      <c r="X135" s="1">
        <f t="shared" ref="X135:X136" si="106">+P135-T135</f>
        <v>-26012.880000000005</v>
      </c>
      <c r="Y135" s="1"/>
      <c r="Z135" s="5">
        <f t="shared" ref="Z135:Z136" si="107">IF(T135=0,0,X135/T135)</f>
        <v>-0.17935216977619661</v>
      </c>
    </row>
    <row r="136" spans="1:26" s="24" customFormat="1" hidden="1" outlineLevel="2" x14ac:dyDescent="0.25">
      <c r="A136" s="25"/>
      <c r="B136" s="11" t="str">
        <f>CONCATENATE("          ", "6274", " - ", "UTILITIES")</f>
        <v xml:space="preserve">          6274 - UTILITIES</v>
      </c>
      <c r="C136" s="11"/>
      <c r="D136" s="7">
        <v>16688</v>
      </c>
      <c r="E136" s="2"/>
      <c r="F136" s="6">
        <f t="shared" si="100"/>
        <v>2.8214005122410873E-2</v>
      </c>
      <c r="G136" s="2"/>
      <c r="H136" s="7">
        <v>23569</v>
      </c>
      <c r="I136" s="2"/>
      <c r="J136" s="6">
        <f t="shared" si="101"/>
        <v>3.8312986654095618E-2</v>
      </c>
      <c r="K136" s="2"/>
      <c r="L136" s="7">
        <f t="shared" si="102"/>
        <v>-6881</v>
      </c>
      <c r="M136" s="2"/>
      <c r="N136" s="6">
        <f t="shared" si="103"/>
        <v>-0.29195129195129194</v>
      </c>
      <c r="O136" s="11"/>
      <c r="P136" s="7">
        <v>119025.12</v>
      </c>
      <c r="Q136" s="2"/>
      <c r="R136" s="6">
        <f t="shared" si="104"/>
        <v>2.2391539400781785E-2</v>
      </c>
      <c r="S136" s="2"/>
      <c r="T136" s="7">
        <v>145038</v>
      </c>
      <c r="U136" s="2"/>
      <c r="V136" s="6">
        <f t="shared" si="105"/>
        <v>2.4565669119179893E-2</v>
      </c>
      <c r="W136" s="2"/>
      <c r="X136" s="7">
        <f t="shared" si="106"/>
        <v>-26012.880000000005</v>
      </c>
      <c r="Y136" s="2"/>
      <c r="Z136" s="6">
        <f t="shared" si="107"/>
        <v>-0.17935216977619661</v>
      </c>
    </row>
    <row r="137" spans="1:26" s="53" customFormat="1" x14ac:dyDescent="0.25">
      <c r="A137" s="36"/>
      <c r="B137" s="36"/>
      <c r="C137" s="36"/>
      <c r="D137" s="1"/>
      <c r="E137" s="1"/>
      <c r="F137" s="5"/>
      <c r="G137" s="1"/>
      <c r="H137" s="1"/>
      <c r="I137" s="1"/>
      <c r="J137" s="5"/>
      <c r="K137" s="1"/>
      <c r="L137" s="1"/>
      <c r="M137" s="1"/>
      <c r="N137" s="5"/>
      <c r="O137" s="36"/>
      <c r="P137" s="1"/>
      <c r="Q137" s="1"/>
      <c r="R137" s="5"/>
      <c r="S137" s="1"/>
      <c r="T137" s="1"/>
      <c r="U137" s="1"/>
      <c r="V137" s="5"/>
      <c r="W137" s="1"/>
      <c r="X137" s="1"/>
      <c r="Y137" s="1"/>
      <c r="Z137" s="5"/>
    </row>
    <row r="138" spans="1:26" s="23" customFormat="1" collapsed="1" x14ac:dyDescent="0.25">
      <c r="A138" s="10"/>
      <c r="B138" s="28" t="s">
        <v>0</v>
      </c>
      <c r="C138" s="10"/>
      <c r="D138" s="4">
        <f>SUM(OSRRefD25x_0)</f>
        <v>65507.39</v>
      </c>
      <c r="E138" s="4"/>
      <c r="F138" s="12">
        <f t="shared" ref="F138:F142" si="108">IF(D$12=0,0,D138/D$12)</f>
        <v>0.11075178793239256</v>
      </c>
      <c r="G138" s="4"/>
      <c r="H138" s="4">
        <f>SUM(OSRRefH25x_0)</f>
        <v>47329</v>
      </c>
      <c r="I138" s="4"/>
      <c r="J138" s="12">
        <f t="shared" ref="J138:J142" si="109">IF(H$12=0,0,H138/H$12)</f>
        <v>7.6936456589235494E-2</v>
      </c>
      <c r="K138" s="4"/>
      <c r="L138" s="4">
        <f t="shared" ref="L138:L142" si="110">+D138-H138</f>
        <v>18178.39</v>
      </c>
      <c r="M138" s="4"/>
      <c r="N138" s="12">
        <f t="shared" ref="N138:N142" si="111">IF(H138=0,0,L138/H138)</f>
        <v>0.38408565572904563</v>
      </c>
      <c r="O138" s="10"/>
      <c r="P138" s="4">
        <f>SUM(OSRRefP25x_0)</f>
        <v>579944.91999999993</v>
      </c>
      <c r="Q138" s="4"/>
      <c r="R138" s="12">
        <f t="shared" ref="R138:R142" si="112">IF(P$12=0,0,P138/P$12)</f>
        <v>0.10910183939712255</v>
      </c>
      <c r="S138" s="4"/>
      <c r="T138" s="4">
        <f>SUM(OSRRefT25x_0)</f>
        <v>491724</v>
      </c>
      <c r="U138" s="4"/>
      <c r="V138" s="12">
        <f t="shared" ref="V138:V142" si="113">IF(T$12=0,0,T138/T$12)</f>
        <v>8.3285270632245431E-2</v>
      </c>
      <c r="W138" s="4"/>
      <c r="X138" s="4">
        <f t="shared" ref="X138:X142" si="114">+P138-T138</f>
        <v>88220.919999999925</v>
      </c>
      <c r="Y138" s="4"/>
      <c r="Z138" s="12">
        <f t="shared" ref="Z138:Z142" si="115">IF(T138=0,0,X138/T138)</f>
        <v>0.17941145846043702</v>
      </c>
    </row>
    <row r="139" spans="1:26" s="24" customFormat="1" hidden="1" outlineLevel="1" x14ac:dyDescent="0.25">
      <c r="A139" s="44"/>
      <c r="B139" s="11" t="str">
        <f>CONCATENATE("          ", "9150", " - ", "MISC. INCOME")</f>
        <v xml:space="preserve">          9150 - MISC. INCOME</v>
      </c>
      <c r="C139" s="11"/>
      <c r="D139" s="2">
        <f>--47160.59</f>
        <v>47160.59</v>
      </c>
      <c r="E139" s="2"/>
      <c r="F139" s="19">
        <f t="shared" si="108"/>
        <v>7.9733289060158141E-2</v>
      </c>
      <c r="G139" s="2"/>
      <c r="H139" s="2">
        <v>28403</v>
      </c>
      <c r="I139" s="2"/>
      <c r="J139" s="19">
        <f t="shared" si="109"/>
        <v>4.6170977128273484E-2</v>
      </c>
      <c r="K139" s="2"/>
      <c r="L139" s="2">
        <f t="shared" si="110"/>
        <v>18757.589999999997</v>
      </c>
      <c r="M139" s="2"/>
      <c r="N139" s="19">
        <f t="shared" si="111"/>
        <v>0.66040875963806633</v>
      </c>
      <c r="O139" s="11"/>
      <c r="P139" s="2">
        <f>--230131.86</f>
        <v>230131.86</v>
      </c>
      <c r="Q139" s="2"/>
      <c r="R139" s="19">
        <f t="shared" si="112"/>
        <v>4.3293437642114518E-2</v>
      </c>
      <c r="S139" s="2"/>
      <c r="T139" s="2">
        <v>214981</v>
      </c>
      <c r="U139" s="2"/>
      <c r="V139" s="19">
        <f t="shared" si="113"/>
        <v>3.6412196203135815E-2</v>
      </c>
      <c r="W139" s="2"/>
      <c r="X139" s="2">
        <f t="shared" si="114"/>
        <v>15150.859999999986</v>
      </c>
      <c r="Y139" s="2"/>
      <c r="Z139" s="19">
        <f t="shared" si="115"/>
        <v>7.0475344332754916E-2</v>
      </c>
    </row>
    <row r="140" spans="1:26" s="24" customFormat="1" hidden="1" outlineLevel="1" x14ac:dyDescent="0.25">
      <c r="A140" s="44"/>
      <c r="B140" s="11" t="str">
        <f>CONCATENATE("          ", "9151", " - ", "MISC. INCOME")</f>
        <v xml:space="preserve">          9151 - MISC. INCOME</v>
      </c>
      <c r="C140" s="11"/>
      <c r="D140" s="2">
        <f>0</f>
        <v>0</v>
      </c>
      <c r="E140" s="2"/>
      <c r="F140" s="19">
        <f t="shared" si="108"/>
        <v>0</v>
      </c>
      <c r="G140" s="2"/>
      <c r="H140" s="2">
        <v>18926</v>
      </c>
      <c r="I140" s="2"/>
      <c r="J140" s="19">
        <f t="shared" si="109"/>
        <v>3.076547946096201E-2</v>
      </c>
      <c r="K140" s="2"/>
      <c r="L140" s="2">
        <f t="shared" si="110"/>
        <v>-18926</v>
      </c>
      <c r="M140" s="2"/>
      <c r="N140" s="19">
        <f t="shared" si="111"/>
        <v>-1</v>
      </c>
      <c r="O140" s="11"/>
      <c r="P140" s="2">
        <f>0</f>
        <v>0</v>
      </c>
      <c r="Q140" s="2"/>
      <c r="R140" s="19">
        <f t="shared" si="112"/>
        <v>0</v>
      </c>
      <c r="S140" s="2"/>
      <c r="T140" s="2">
        <v>276743</v>
      </c>
      <c r="U140" s="2"/>
      <c r="V140" s="19">
        <f t="shared" si="113"/>
        <v>4.6873074429109624E-2</v>
      </c>
      <c r="W140" s="2"/>
      <c r="X140" s="2">
        <f t="shared" si="114"/>
        <v>-276743</v>
      </c>
      <c r="Y140" s="2"/>
      <c r="Z140" s="19">
        <f t="shared" si="115"/>
        <v>-1</v>
      </c>
    </row>
    <row r="141" spans="1:26" s="24" customFormat="1" hidden="1" outlineLevel="1" x14ac:dyDescent="0.25">
      <c r="A141" s="44"/>
      <c r="B141" s="11" t="str">
        <f>CONCATENATE("          ", "9160", " - ", "MISC. INCOME")</f>
        <v xml:space="preserve">          9160 - MISC. INCOME</v>
      </c>
      <c r="C141" s="11"/>
      <c r="D141" s="2">
        <f>--18346.8</f>
        <v>18346.8</v>
      </c>
      <c r="E141" s="2"/>
      <c r="F141" s="19">
        <f t="shared" si="108"/>
        <v>3.1018498872234408E-2</v>
      </c>
      <c r="G141" s="2"/>
      <c r="H141" s="2"/>
      <c r="I141" s="2"/>
      <c r="J141" s="19">
        <f t="shared" si="109"/>
        <v>0</v>
      </c>
      <c r="K141" s="2"/>
      <c r="L141" s="2">
        <f t="shared" si="110"/>
        <v>18346.8</v>
      </c>
      <c r="M141" s="2"/>
      <c r="N141" s="19">
        <f t="shared" si="111"/>
        <v>0</v>
      </c>
      <c r="O141" s="11"/>
      <c r="P141" s="2">
        <f>--122397</f>
        <v>122397</v>
      </c>
      <c r="Q141" s="2"/>
      <c r="R141" s="19">
        <f t="shared" si="112"/>
        <v>2.3025872589227284E-2</v>
      </c>
      <c r="S141" s="2"/>
      <c r="T141" s="2"/>
      <c r="U141" s="2"/>
      <c r="V141" s="19">
        <f t="shared" si="113"/>
        <v>0</v>
      </c>
      <c r="W141" s="2"/>
      <c r="X141" s="2">
        <f t="shared" si="114"/>
        <v>122397</v>
      </c>
      <c r="Y141" s="2"/>
      <c r="Z141" s="19">
        <f t="shared" si="115"/>
        <v>0</v>
      </c>
    </row>
    <row r="142" spans="1:26" s="24" customFormat="1" hidden="1" outlineLevel="1" x14ac:dyDescent="0.25">
      <c r="A142" s="44"/>
      <c r="B142" s="11" t="str">
        <f>CONCATENATE("          ", "9165", " - ", "OTHER INCOME")</f>
        <v xml:space="preserve">          9165 - OTHER INCOME</v>
      </c>
      <c r="C142" s="11"/>
      <c r="D142" s="2">
        <f>0</f>
        <v>0</v>
      </c>
      <c r="E142" s="2"/>
      <c r="F142" s="19">
        <f t="shared" si="108"/>
        <v>0</v>
      </c>
      <c r="G142" s="2"/>
      <c r="H142" s="2"/>
      <c r="I142" s="2"/>
      <c r="J142" s="19">
        <f t="shared" si="109"/>
        <v>0</v>
      </c>
      <c r="K142" s="2"/>
      <c r="L142" s="2">
        <f t="shared" si="110"/>
        <v>0</v>
      </c>
      <c r="M142" s="2"/>
      <c r="N142" s="19">
        <f t="shared" si="111"/>
        <v>0</v>
      </c>
      <c r="O142" s="11"/>
      <c r="P142" s="2">
        <f>--227416.06</f>
        <v>227416.06</v>
      </c>
      <c r="Q142" s="2"/>
      <c r="R142" s="19">
        <f t="shared" si="112"/>
        <v>4.2782529165780757E-2</v>
      </c>
      <c r="S142" s="2"/>
      <c r="T142" s="2"/>
      <c r="U142" s="2"/>
      <c r="V142" s="19">
        <f t="shared" si="113"/>
        <v>0</v>
      </c>
      <c r="W142" s="2"/>
      <c r="X142" s="2">
        <f t="shared" si="114"/>
        <v>227416.06</v>
      </c>
      <c r="Y142" s="2"/>
      <c r="Z142" s="19">
        <f t="shared" si="115"/>
        <v>0</v>
      </c>
    </row>
    <row r="143" spans="1:26" x14ac:dyDescent="0.25">
      <c r="A143" s="9"/>
      <c r="B143" s="10"/>
      <c r="C143" s="10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O143" s="10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25">
      <c r="A144" s="10"/>
      <c r="B144" s="29" t="s">
        <v>3</v>
      </c>
      <c r="C144" s="29"/>
      <c r="D144" s="21">
        <f>+D37-D39+D138</f>
        <v>-190426.32999999984</v>
      </c>
      <c r="E144" s="14"/>
      <c r="F144" s="20">
        <f>IF(D$12=0,0,D144/D$12)</f>
        <v>-0.32194927193563633</v>
      </c>
      <c r="G144" s="14"/>
      <c r="H144" s="21">
        <f>+H37-H39+H138</f>
        <v>-108404.4326743132</v>
      </c>
      <c r="I144" s="14"/>
      <c r="J144" s="20">
        <f>IF(H$12=0,0,H144/H$12)</f>
        <v>-0.17621865935320838</v>
      </c>
      <c r="K144" s="16"/>
      <c r="L144" s="21">
        <f>+D144-H144</f>
        <v>-82021.897325686645</v>
      </c>
      <c r="M144" s="16"/>
      <c r="N144" s="20">
        <f>IF(H144=0,0,L144/H144)</f>
        <v>0.75662862949627352</v>
      </c>
      <c r="O144" s="28"/>
      <c r="P144" s="21">
        <f>+P37-P39+P138</f>
        <v>-250938.00999999931</v>
      </c>
      <c r="Q144" s="14"/>
      <c r="R144" s="20">
        <f>IF(P$12=0,0,P144/P$12)</f>
        <v>-4.7207583895473144E-2</v>
      </c>
      <c r="S144" s="14"/>
      <c r="T144" s="21">
        <f>+T37-T39+T138</f>
        <v>317455.22805234231</v>
      </c>
      <c r="U144" s="14"/>
      <c r="V144" s="20">
        <f>IF(T$12=0,0,T144/T$12)</f>
        <v>5.3768668159293674E-2</v>
      </c>
      <c r="W144" s="16"/>
      <c r="X144" s="21">
        <f>+P144-T144</f>
        <v>-568393.23805234162</v>
      </c>
      <c r="Y144" s="16"/>
      <c r="Z144" s="20">
        <f>IF(T144=0,0,X144/T144)</f>
        <v>-1.7904674039849942</v>
      </c>
    </row>
    <row r="145" spans="1:26" x14ac:dyDescent="0.25">
      <c r="A145" s="9"/>
      <c r="B145" s="10"/>
      <c r="C145" s="9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x14ac:dyDescent="0.25">
      <c r="A146" s="52"/>
      <c r="B146" s="10" t="s">
        <v>14</v>
      </c>
      <c r="C146" s="10"/>
      <c r="D146" s="4">
        <v>44100.259999999995</v>
      </c>
      <c r="E146" s="4"/>
      <c r="F146" s="12">
        <f>IF(D$12=0,0,D146/D$12)</f>
        <v>7.4559261837227428E-2</v>
      </c>
      <c r="G146" s="4"/>
      <c r="H146" s="4">
        <v>45643</v>
      </c>
      <c r="I146" s="4"/>
      <c r="J146" s="12">
        <f>IF(H$12=0,0,H146/H$12)</f>
        <v>7.4195750768080368E-2</v>
      </c>
      <c r="K146" s="4"/>
      <c r="L146" s="4">
        <f>+D146-H146</f>
        <v>-1542.7400000000052</v>
      </c>
      <c r="M146" s="4"/>
      <c r="N146" s="12">
        <f>IF(H146=0,0,L146/H146)</f>
        <v>-3.3800144600486498E-2</v>
      </c>
      <c r="O146" s="10"/>
      <c r="P146" s="4">
        <v>554344.83000000007</v>
      </c>
      <c r="Q146" s="4"/>
      <c r="R146" s="12">
        <f>IF(P$12=0,0,P146/P$12)</f>
        <v>0.10428583565019453</v>
      </c>
      <c r="S146" s="4"/>
      <c r="T146" s="4">
        <v>726936</v>
      </c>
      <c r="U146" s="4"/>
      <c r="V146" s="12">
        <f>IF(T$12=0,0,T146/T$12)</f>
        <v>0.12312407263489675</v>
      </c>
      <c r="W146" s="4"/>
      <c r="X146" s="4">
        <f>+P146-T146</f>
        <v>-172591.16999999993</v>
      </c>
      <c r="Y146" s="4"/>
      <c r="Z146" s="12">
        <f>IF(T146=0,0,X146/T146)</f>
        <v>-0.23742278549968626</v>
      </c>
    </row>
    <row r="147" spans="1:26" x14ac:dyDescent="0.25">
      <c r="A147" s="9"/>
      <c r="B147" s="10"/>
      <c r="C147" s="10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O147" s="10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3" customFormat="1" ht="15.75" thickBot="1" x14ac:dyDescent="0.3">
      <c r="A148" s="10"/>
      <c r="B148" s="29" t="s">
        <v>4</v>
      </c>
      <c r="C148" s="29"/>
      <c r="D148" s="34">
        <f>+D144-D146</f>
        <v>-234526.58999999985</v>
      </c>
      <c r="E148" s="14"/>
      <c r="F148" s="32">
        <f>IF(D$12=0,0,D148/D$12)</f>
        <v>-0.39650853377286377</v>
      </c>
      <c r="G148" s="14"/>
      <c r="H148" s="34">
        <f>+H144-H146</f>
        <v>-154047.4326743132</v>
      </c>
      <c r="I148" s="14"/>
      <c r="J148" s="32">
        <f>IF(H$12=0,0,H148/H$12)</f>
        <v>-0.25041441012128873</v>
      </c>
      <c r="K148" s="16"/>
      <c r="L148" s="34">
        <f>D148-H148</f>
        <v>-80479.157325686654</v>
      </c>
      <c r="M148" s="16"/>
      <c r="N148" s="32">
        <f>IF(H148=0,0,L148/H148)</f>
        <v>0.52243101964468008</v>
      </c>
      <c r="O148" s="28"/>
      <c r="P148" s="34">
        <f>+P144-P146</f>
        <v>-805282.83999999939</v>
      </c>
      <c r="Q148" s="14"/>
      <c r="R148" s="32">
        <f>IF(P$12=0,0,P148/P$12)</f>
        <v>-0.15149341954566767</v>
      </c>
      <c r="S148" s="14"/>
      <c r="T148" s="34">
        <f>+T144-T146</f>
        <v>-409480.77194765769</v>
      </c>
      <c r="U148" s="14"/>
      <c r="V148" s="32">
        <f>IF(T$12=0,0,T148/T$12)</f>
        <v>-6.935540447560308E-2</v>
      </c>
      <c r="W148" s="16"/>
      <c r="X148" s="34">
        <f>P148-T148</f>
        <v>-395802.0680523417</v>
      </c>
      <c r="Y148" s="16"/>
      <c r="Z148" s="32">
        <f>IF(T148=0,0,X148/T148)</f>
        <v>0.96659500315422753</v>
      </c>
    </row>
    <row r="149" spans="1:26" ht="15.75" thickTop="1" x14ac:dyDescent="0.25">
      <c r="A149" s="9"/>
      <c r="B149" s="9"/>
      <c r="C149" s="9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x14ac:dyDescent="0.25">
      <c r="A150" s="9"/>
      <c r="B150" s="9"/>
      <c r="C150" s="9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ht="15.75" thickBot="1" x14ac:dyDescent="0.3">
      <c r="A151" s="10"/>
      <c r="B151" s="29" t="s">
        <v>5</v>
      </c>
      <c r="C151" s="29"/>
      <c r="D151" s="31">
        <f>SUM(D148:D150)</f>
        <v>-234526.58999999985</v>
      </c>
      <c r="E151" s="14"/>
      <c r="F151" s="30">
        <f>IF(D$12=0,0,D151/D$12)</f>
        <v>-0.39650853377286377</v>
      </c>
      <c r="G151" s="14"/>
      <c r="H151" s="31">
        <f>SUM(H148:H150)</f>
        <v>-154047.4326743132</v>
      </c>
      <c r="I151" s="14"/>
      <c r="J151" s="30">
        <f>IF(H$12=0,0,H151/H$12)</f>
        <v>-0.25041441012128873</v>
      </c>
      <c r="K151" s="16"/>
      <c r="L151" s="31">
        <f>+D151-H151</f>
        <v>-80479.157325686654</v>
      </c>
      <c r="M151" s="16"/>
      <c r="N151" s="30">
        <f>IF(H151=0,0,L151/H151)</f>
        <v>0.52243101964468008</v>
      </c>
      <c r="O151" s="28"/>
      <c r="P151" s="31">
        <f>SUM(P148:P150)</f>
        <v>-805282.83999999939</v>
      </c>
      <c r="Q151" s="14"/>
      <c r="R151" s="30">
        <f>IF(P$12=0,0,P151/P$12)</f>
        <v>-0.15149341954566767</v>
      </c>
      <c r="S151" s="14"/>
      <c r="T151" s="31">
        <f>SUM(T148:T150)</f>
        <v>-409480.77194765769</v>
      </c>
      <c r="U151" s="14"/>
      <c r="V151" s="30">
        <f>IF(T$12=0,0,T151/T$12)</f>
        <v>-6.935540447560308E-2</v>
      </c>
      <c r="W151" s="16"/>
      <c r="X151" s="31">
        <f>+P151-T151</f>
        <v>-395802.0680523417</v>
      </c>
      <c r="Y151" s="16"/>
      <c r="Z151" s="30">
        <f>IF(T151=0,0,X151/T151)</f>
        <v>0.96659500315422753</v>
      </c>
    </row>
    <row r="152" spans="1:26" ht="15.75" thickTop="1" x14ac:dyDescent="0.25">
      <c r="A152" s="9"/>
      <c r="C152" s="9"/>
      <c r="D152" s="18"/>
      <c r="E152" s="18"/>
      <c r="G152" s="18"/>
      <c r="H152" s="18"/>
      <c r="I152" s="18"/>
      <c r="J152" s="43"/>
      <c r="K152" s="18"/>
      <c r="L152" s="18"/>
      <c r="M152" s="18"/>
      <c r="P152" s="18"/>
      <c r="Q152" s="18"/>
      <c r="R152" s="43"/>
      <c r="S152" s="18"/>
      <c r="T152" s="18"/>
      <c r="U152" s="18"/>
      <c r="V152" s="43"/>
      <c r="W152" s="18"/>
      <c r="X152" s="18"/>
    </row>
    <row r="153" spans="1:26" x14ac:dyDescent="0.25">
      <c r="A153" s="9"/>
      <c r="B153" s="63">
        <v>43879.545844097222</v>
      </c>
      <c r="D153" s="18"/>
      <c r="E153" s="18"/>
      <c r="G153" s="18"/>
      <c r="H153" s="18"/>
      <c r="I153" s="18"/>
      <c r="J153" s="43"/>
      <c r="K153" s="18"/>
      <c r="L153" s="18"/>
      <c r="M153" s="18"/>
      <c r="P153" s="18"/>
      <c r="Q153" s="18"/>
      <c r="R153" s="43"/>
      <c r="S153" s="18"/>
      <c r="T153" s="18"/>
      <c r="U153" s="18"/>
      <c r="V153" s="43"/>
      <c r="W153" s="18"/>
      <c r="X153" s="18"/>
    </row>
    <row r="154" spans="1:26" x14ac:dyDescent="0.25">
      <c r="A154" s="9"/>
      <c r="B154" s="57" t="s">
        <v>314</v>
      </c>
      <c r="D154" s="18"/>
      <c r="E154" s="18"/>
      <c r="G154" s="18"/>
      <c r="H154" s="18"/>
      <c r="I154" s="18"/>
      <c r="J154" s="43"/>
      <c r="K154" s="18"/>
      <c r="L154" s="18"/>
      <c r="M154" s="18"/>
      <c r="P154" s="18"/>
      <c r="Q154" s="18"/>
      <c r="R154" s="43"/>
      <c r="S154" s="18"/>
      <c r="T154" s="18"/>
      <c r="U154" s="18"/>
      <c r="V154" s="43"/>
      <c r="W154" s="18"/>
      <c r="X154" s="18"/>
    </row>
    <row r="155" spans="1:26" x14ac:dyDescent="0.25">
      <c r="A155" s="9"/>
      <c r="B155" s="60"/>
      <c r="D155" s="18"/>
      <c r="E155" s="18"/>
      <c r="G155" s="18"/>
      <c r="H155" s="18"/>
      <c r="I155" s="18"/>
      <c r="J155" s="43"/>
      <c r="K155" s="18"/>
      <c r="L155" s="18"/>
      <c r="M155" s="18"/>
      <c r="P155" s="18"/>
      <c r="Q155" s="18"/>
      <c r="R155" s="43"/>
      <c r="S155" s="18"/>
      <c r="T155" s="18"/>
      <c r="U155" s="18"/>
      <c r="V155" s="43"/>
      <c r="W155" s="18"/>
      <c r="X155" s="18"/>
    </row>
    <row r="156" spans="1:26" x14ac:dyDescent="0.25">
      <c r="D156" s="18"/>
      <c r="E156" s="18"/>
      <c r="G156" s="18"/>
      <c r="H156" s="18"/>
      <c r="I156" s="18"/>
      <c r="J156" s="43"/>
      <c r="K156" s="18"/>
      <c r="L156" s="18"/>
      <c r="M156" s="18"/>
      <c r="P156" s="18"/>
      <c r="Q156" s="18"/>
      <c r="R156" s="43"/>
      <c r="S156" s="18"/>
      <c r="T156" s="18"/>
      <c r="U156" s="18"/>
      <c r="V156" s="43"/>
      <c r="W156" s="18"/>
      <c r="X156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301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410288.41000000003</v>
      </c>
      <c r="E12" s="4"/>
      <c r="F12" s="12"/>
      <c r="G12" s="4"/>
      <c r="H12" s="4">
        <f>SUM(OSRRefH13x_0)</f>
        <v>439795</v>
      </c>
      <c r="I12" s="4"/>
      <c r="J12" s="12"/>
      <c r="K12" s="4"/>
      <c r="L12" s="4">
        <f t="shared" ref="L12:L23" si="0">+D12-H12</f>
        <v>-29506.589999999967</v>
      </c>
      <c r="M12" s="4"/>
      <c r="N12" s="12">
        <f t="shared" ref="N12:N23" si="1">IF(H12=0,0,L12/H12)</f>
        <v>-6.7091690446685309E-2</v>
      </c>
      <c r="O12" s="10"/>
      <c r="P12" s="4">
        <f>SUM(OSRRefP13x_0)</f>
        <v>3507645.46</v>
      </c>
      <c r="Q12" s="4"/>
      <c r="R12" s="12"/>
      <c r="S12" s="4"/>
      <c r="T12" s="4">
        <f>SUM(OSRRefT13x_0)</f>
        <v>4097534</v>
      </c>
      <c r="U12" s="4"/>
      <c r="V12" s="12"/>
      <c r="W12" s="4"/>
      <c r="X12" s="4">
        <f t="shared" ref="X12:X23" si="2">+P12-T12</f>
        <v>-589888.54</v>
      </c>
      <c r="Y12" s="4"/>
      <c r="Z12" s="12">
        <f t="shared" ref="Z12:Z23" si="3">IF(T12=0,0,X12/T12)</f>
        <v>-0.14396184143926569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182600</v>
      </c>
      <c r="I13" s="2"/>
      <c r="J13" s="19"/>
      <c r="K13" s="2"/>
      <c r="L13" s="2">
        <f t="shared" si="0"/>
        <v>-182600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2016749.0000000002</v>
      </c>
      <c r="U13" s="2"/>
      <c r="V13" s="19"/>
      <c r="W13" s="2"/>
      <c r="X13" s="2">
        <f t="shared" si="2"/>
        <v>-2016749.0000000002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--34536.57</f>
        <v>34536.57</v>
      </c>
      <c r="E14" s="2"/>
      <c r="F14" s="19"/>
      <c r="G14" s="2"/>
      <c r="H14" s="2"/>
      <c r="I14" s="2"/>
      <c r="J14" s="19"/>
      <c r="K14" s="2"/>
      <c r="L14" s="2">
        <f t="shared" si="0"/>
        <v>34536.57</v>
      </c>
      <c r="M14" s="2"/>
      <c r="N14" s="19">
        <f t="shared" si="1"/>
        <v>0</v>
      </c>
      <c r="O14" s="11"/>
      <c r="P14" s="2">
        <f>--358262.16</f>
        <v>358262.16</v>
      </c>
      <c r="Q14" s="2"/>
      <c r="R14" s="19"/>
      <c r="S14" s="2"/>
      <c r="T14" s="2"/>
      <c r="U14" s="2"/>
      <c r="V14" s="19"/>
      <c r="W14" s="2"/>
      <c r="X14" s="2">
        <f t="shared" si="2"/>
        <v>358262.16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--120705.79</f>
        <v>120705.79</v>
      </c>
      <c r="E15" s="2"/>
      <c r="F15" s="19"/>
      <c r="G15" s="2"/>
      <c r="H15" s="2"/>
      <c r="I15" s="2"/>
      <c r="J15" s="19"/>
      <c r="K15" s="2"/>
      <c r="L15" s="2">
        <f t="shared" si="0"/>
        <v>120705.79</v>
      </c>
      <c r="M15" s="2"/>
      <c r="N15" s="19">
        <f t="shared" si="1"/>
        <v>0</v>
      </c>
      <c r="O15" s="11"/>
      <c r="P15" s="2">
        <f>--657002.44</f>
        <v>657002.43999999994</v>
      </c>
      <c r="Q15" s="2"/>
      <c r="R15" s="19"/>
      <c r="S15" s="2"/>
      <c r="T15" s="2"/>
      <c r="U15" s="2"/>
      <c r="V15" s="19"/>
      <c r="W15" s="2"/>
      <c r="X15" s="2">
        <f t="shared" si="2"/>
        <v>657002.43999999994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--9441.36</f>
        <v>9441.36</v>
      </c>
      <c r="E16" s="2"/>
      <c r="F16" s="19"/>
      <c r="G16" s="2"/>
      <c r="H16" s="2"/>
      <c r="I16" s="2"/>
      <c r="J16" s="19"/>
      <c r="K16" s="2"/>
      <c r="L16" s="2">
        <f t="shared" si="0"/>
        <v>9441.36</v>
      </c>
      <c r="M16" s="2"/>
      <c r="N16" s="19">
        <f t="shared" si="1"/>
        <v>0</v>
      </c>
      <c r="O16" s="11"/>
      <c r="P16" s="2">
        <f>--95873.23</f>
        <v>95873.23</v>
      </c>
      <c r="Q16" s="2"/>
      <c r="R16" s="19"/>
      <c r="S16" s="2"/>
      <c r="T16" s="2"/>
      <c r="U16" s="2"/>
      <c r="V16" s="19"/>
      <c r="W16" s="2"/>
      <c r="X16" s="2">
        <f t="shared" si="2"/>
        <v>95873.23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>--31360</f>
        <v>31360</v>
      </c>
      <c r="E17" s="2"/>
      <c r="F17" s="19"/>
      <c r="G17" s="2"/>
      <c r="H17" s="2"/>
      <c r="I17" s="2"/>
      <c r="J17" s="19"/>
      <c r="K17" s="2"/>
      <c r="L17" s="2">
        <f t="shared" si="0"/>
        <v>31360</v>
      </c>
      <c r="M17" s="2"/>
      <c r="N17" s="19">
        <f t="shared" si="1"/>
        <v>0</v>
      </c>
      <c r="O17" s="11"/>
      <c r="P17" s="2">
        <f>--303213.95</f>
        <v>303213.95</v>
      </c>
      <c r="Q17" s="2"/>
      <c r="R17" s="19"/>
      <c r="S17" s="2"/>
      <c r="T17" s="2"/>
      <c r="U17" s="2"/>
      <c r="V17" s="19"/>
      <c r="W17" s="2"/>
      <c r="X17" s="2">
        <f t="shared" si="2"/>
        <v>303213.95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--7736.89</f>
        <v>7736.89</v>
      </c>
      <c r="E18" s="2"/>
      <c r="F18" s="19"/>
      <c r="G18" s="2"/>
      <c r="H18" s="2"/>
      <c r="I18" s="2"/>
      <c r="J18" s="19"/>
      <c r="K18" s="2"/>
      <c r="L18" s="2">
        <f t="shared" si="0"/>
        <v>7736.89</v>
      </c>
      <c r="M18" s="2"/>
      <c r="N18" s="19">
        <f t="shared" si="1"/>
        <v>0</v>
      </c>
      <c r="O18" s="11"/>
      <c r="P18" s="2">
        <f>--95636.1</f>
        <v>95636.1</v>
      </c>
      <c r="Q18" s="2"/>
      <c r="R18" s="19"/>
      <c r="S18" s="2"/>
      <c r="T18" s="2"/>
      <c r="U18" s="2"/>
      <c r="V18" s="19"/>
      <c r="W18" s="2"/>
      <c r="X18" s="2">
        <f t="shared" si="2"/>
        <v>95636.1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257194.99999999997</v>
      </c>
      <c r="I19" s="2"/>
      <c r="J19" s="19"/>
      <c r="K19" s="2"/>
      <c r="L19" s="2">
        <f t="shared" si="0"/>
        <v>-257194.99999999997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2080785</v>
      </c>
      <c r="U19" s="2"/>
      <c r="V19" s="19"/>
      <c r="W19" s="2"/>
      <c r="X19" s="2">
        <f t="shared" si="2"/>
        <v>-2080785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--98752.28</f>
        <v>98752.28</v>
      </c>
      <c r="E20" s="2"/>
      <c r="F20" s="19"/>
      <c r="G20" s="2"/>
      <c r="H20" s="2"/>
      <c r="I20" s="2"/>
      <c r="J20" s="19"/>
      <c r="K20" s="2"/>
      <c r="L20" s="2">
        <f t="shared" si="0"/>
        <v>98752.28</v>
      </c>
      <c r="M20" s="2"/>
      <c r="N20" s="19">
        <f t="shared" si="1"/>
        <v>0</v>
      </c>
      <c r="O20" s="11"/>
      <c r="P20" s="2">
        <f>--1051930.87</f>
        <v>1051930.8700000001</v>
      </c>
      <c r="Q20" s="2"/>
      <c r="R20" s="19"/>
      <c r="S20" s="2"/>
      <c r="T20" s="2"/>
      <c r="U20" s="2"/>
      <c r="V20" s="19"/>
      <c r="W20" s="2"/>
      <c r="X20" s="2">
        <f t="shared" si="2"/>
        <v>1051930.8700000001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>--4794.1</f>
        <v>4794.1000000000004</v>
      </c>
      <c r="E21" s="2"/>
      <c r="F21" s="19"/>
      <c r="G21" s="2"/>
      <c r="H21" s="2"/>
      <c r="I21" s="2"/>
      <c r="J21" s="19"/>
      <c r="K21" s="2"/>
      <c r="L21" s="2">
        <f t="shared" si="0"/>
        <v>4794.1000000000004</v>
      </c>
      <c r="M21" s="2"/>
      <c r="N21" s="19">
        <f t="shared" si="1"/>
        <v>0</v>
      </c>
      <c r="O21" s="11"/>
      <c r="P21" s="2">
        <f>--39428.9</f>
        <v>39428.9</v>
      </c>
      <c r="Q21" s="2"/>
      <c r="R21" s="19"/>
      <c r="S21" s="2"/>
      <c r="T21" s="2"/>
      <c r="U21" s="2"/>
      <c r="V21" s="19"/>
      <c r="W21" s="2"/>
      <c r="X21" s="2">
        <f t="shared" si="2"/>
        <v>39428.9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>--58440.71</f>
        <v>58440.71</v>
      </c>
      <c r="E22" s="2"/>
      <c r="F22" s="19"/>
      <c r="G22" s="2"/>
      <c r="H22" s="2"/>
      <c r="I22" s="2"/>
      <c r="J22" s="19"/>
      <c r="K22" s="2"/>
      <c r="L22" s="2">
        <f t="shared" si="0"/>
        <v>58440.71</v>
      </c>
      <c r="M22" s="2"/>
      <c r="N22" s="19">
        <f t="shared" si="1"/>
        <v>0</v>
      </c>
      <c r="O22" s="11"/>
      <c r="P22" s="2">
        <f>--543161.16</f>
        <v>543161.16</v>
      </c>
      <c r="Q22" s="2"/>
      <c r="R22" s="19"/>
      <c r="S22" s="2"/>
      <c r="T22" s="2"/>
      <c r="U22" s="2"/>
      <c r="V22" s="19"/>
      <c r="W22" s="2"/>
      <c r="X22" s="2">
        <f t="shared" si="2"/>
        <v>543161.16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"4158", " - ", "NON-TAXABLE SALES-FOOD")</f>
        <v xml:space="preserve">          4158 - NON-TAXABLE SALES-FOOD</v>
      </c>
      <c r="C23" s="11"/>
      <c r="D23" s="2">
        <f>--44520.71</f>
        <v>44520.71</v>
      </c>
      <c r="E23" s="2"/>
      <c r="F23" s="19"/>
      <c r="G23" s="2"/>
      <c r="H23" s="2"/>
      <c r="I23" s="2"/>
      <c r="J23" s="19"/>
      <c r="K23" s="2"/>
      <c r="L23" s="2">
        <f t="shared" si="0"/>
        <v>44520.71</v>
      </c>
      <c r="M23" s="2"/>
      <c r="N23" s="19">
        <f t="shared" si="1"/>
        <v>0</v>
      </c>
      <c r="O23" s="11"/>
      <c r="P23" s="2">
        <f>--363136.65</f>
        <v>363136.65</v>
      </c>
      <c r="Q23" s="2"/>
      <c r="R23" s="19"/>
      <c r="S23" s="2"/>
      <c r="T23" s="2"/>
      <c r="U23" s="2"/>
      <c r="V23" s="19"/>
      <c r="W23" s="2"/>
      <c r="X23" s="2">
        <f t="shared" si="2"/>
        <v>363136.65</v>
      </c>
      <c r="Y23" s="2"/>
      <c r="Z23" s="19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8" t="s">
        <v>8</v>
      </c>
      <c r="C25" s="10"/>
      <c r="D25" s="4">
        <f>SUM(OSRRefD16x_0)</f>
        <v>159952.22</v>
      </c>
      <c r="E25" s="4"/>
      <c r="F25" s="12">
        <f t="shared" ref="F25:F28" si="4">IF(D$12=0,0,D25/D$12)</f>
        <v>0.38985312794967808</v>
      </c>
      <c r="G25" s="4"/>
      <c r="H25" s="4">
        <f>SUM(OSRRefH16x_0)</f>
        <v>131290</v>
      </c>
      <c r="I25" s="4"/>
      <c r="J25" s="12">
        <f t="shared" ref="J25:J28" si="5">IF(H$12=0,0,H25/H$12)</f>
        <v>0.2985254493570868</v>
      </c>
      <c r="K25" s="4"/>
      <c r="L25" s="4">
        <f t="shared" ref="L25:L28" si="6">+D25-H25</f>
        <v>28662.22</v>
      </c>
      <c r="M25" s="4"/>
      <c r="N25" s="12">
        <f t="shared" ref="N25:N28" si="7">IF(H25=0,0,L25/H25)</f>
        <v>0.21831228577957196</v>
      </c>
      <c r="O25" s="10"/>
      <c r="P25" s="4">
        <f>SUM(OSRRefP16x_0)</f>
        <v>1176030.08</v>
      </c>
      <c r="Q25" s="4"/>
      <c r="R25" s="12">
        <f t="shared" ref="R25:R28" si="8">IF(P$12=0,0,P25/P$12)</f>
        <v>0.33527621118241524</v>
      </c>
      <c r="S25" s="4"/>
      <c r="T25" s="4">
        <f>SUM(OSRRefT16x_0)</f>
        <v>1268020</v>
      </c>
      <c r="U25" s="4"/>
      <c r="V25" s="12">
        <f t="shared" ref="V25:V28" si="9">IF(T$12=0,0,T25/T$12)</f>
        <v>0.30945929917848147</v>
      </c>
      <c r="W25" s="4"/>
      <c r="X25" s="4">
        <f t="shared" ref="X25:X28" si="10">+P25-T25</f>
        <v>-91989.919999999925</v>
      </c>
      <c r="Y25" s="4"/>
      <c r="Z25" s="12">
        <f t="shared" ref="Z25:Z28" si="11">IF(T25=0,0,X25/T25)</f>
        <v>-7.2546111260074708E-2</v>
      </c>
    </row>
    <row r="26" spans="1:26" s="24" customFormat="1" hidden="1" outlineLevel="1" x14ac:dyDescent="0.25">
      <c r="A26" s="44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19">
        <f t="shared" si="4"/>
        <v>0</v>
      </c>
      <c r="G26" s="2"/>
      <c r="H26" s="2">
        <v>131290</v>
      </c>
      <c r="I26" s="2"/>
      <c r="J26" s="19">
        <f t="shared" si="5"/>
        <v>0.2985254493570868</v>
      </c>
      <c r="K26" s="2"/>
      <c r="L26" s="2">
        <f t="shared" si="6"/>
        <v>-131290</v>
      </c>
      <c r="M26" s="2"/>
      <c r="N26" s="19">
        <f t="shared" si="7"/>
        <v>-1</v>
      </c>
      <c r="O26" s="11"/>
      <c r="P26" s="2"/>
      <c r="Q26" s="2"/>
      <c r="R26" s="19">
        <f t="shared" si="8"/>
        <v>0</v>
      </c>
      <c r="S26" s="2"/>
      <c r="T26" s="2">
        <v>1268020</v>
      </c>
      <c r="U26" s="2"/>
      <c r="V26" s="19">
        <f t="shared" si="9"/>
        <v>0.30945929917848147</v>
      </c>
      <c r="W26" s="2"/>
      <c r="X26" s="2">
        <f t="shared" si="10"/>
        <v>-1268020</v>
      </c>
      <c r="Y26" s="2"/>
      <c r="Z26" s="19">
        <f t="shared" si="11"/>
        <v>-1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159599.64000000001</v>
      </c>
      <c r="E27" s="2"/>
      <c r="F27" s="19">
        <f t="shared" si="4"/>
        <v>0.38899378122818534</v>
      </c>
      <c r="G27" s="2"/>
      <c r="H27" s="2"/>
      <c r="I27" s="2"/>
      <c r="J27" s="19">
        <f t="shared" si="5"/>
        <v>0</v>
      </c>
      <c r="K27" s="2"/>
      <c r="L27" s="2">
        <f t="shared" si="6"/>
        <v>159599.64000000001</v>
      </c>
      <c r="M27" s="2"/>
      <c r="N27" s="19">
        <f t="shared" si="7"/>
        <v>0</v>
      </c>
      <c r="O27" s="11"/>
      <c r="P27" s="2">
        <v>1208389.07</v>
      </c>
      <c r="Q27" s="2"/>
      <c r="R27" s="19">
        <f t="shared" si="8"/>
        <v>0.34450148505031636</v>
      </c>
      <c r="S27" s="2"/>
      <c r="T27" s="2"/>
      <c r="U27" s="2"/>
      <c r="V27" s="19">
        <f t="shared" si="9"/>
        <v>0</v>
      </c>
      <c r="W27" s="2"/>
      <c r="X27" s="2">
        <f t="shared" si="10"/>
        <v>1208389.07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352.58</v>
      </c>
      <c r="E28" s="2"/>
      <c r="F28" s="19">
        <f t="shared" si="4"/>
        <v>8.5934672149281513E-4</v>
      </c>
      <c r="G28" s="2"/>
      <c r="H28" s="2"/>
      <c r="I28" s="2"/>
      <c r="J28" s="19">
        <f t="shared" si="5"/>
        <v>0</v>
      </c>
      <c r="K28" s="2"/>
      <c r="L28" s="2">
        <f t="shared" si="6"/>
        <v>352.58</v>
      </c>
      <c r="M28" s="2"/>
      <c r="N28" s="19">
        <f t="shared" si="7"/>
        <v>0</v>
      </c>
      <c r="O28" s="11"/>
      <c r="P28" s="2">
        <v>-32358.99</v>
      </c>
      <c r="Q28" s="2"/>
      <c r="R28" s="19">
        <f t="shared" si="8"/>
        <v>-9.2252738679011199E-3</v>
      </c>
      <c r="S28" s="2"/>
      <c r="T28" s="2"/>
      <c r="U28" s="2"/>
      <c r="V28" s="19">
        <f t="shared" si="9"/>
        <v>0</v>
      </c>
      <c r="W28" s="2"/>
      <c r="X28" s="2">
        <f t="shared" si="10"/>
        <v>-32358.99</v>
      </c>
      <c r="Y28" s="2"/>
      <c r="Z28" s="19">
        <f t="shared" si="11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6</v>
      </c>
      <c r="C30" s="29"/>
      <c r="D30" s="21">
        <f>D12-D25</f>
        <v>250336.19000000003</v>
      </c>
      <c r="E30" s="14"/>
      <c r="F30" s="20">
        <f>IF(D$12=0,0,D30/D$12)</f>
        <v>0.61014687205032192</v>
      </c>
      <c r="G30" s="14"/>
      <c r="H30" s="21">
        <f>H12-H25</f>
        <v>308505</v>
      </c>
      <c r="I30" s="14"/>
      <c r="J30" s="20">
        <f>IF(H$12=0,0,H30/H$12)</f>
        <v>0.7014745506429132</v>
      </c>
      <c r="K30" s="16"/>
      <c r="L30" s="21">
        <f>+D30-H30</f>
        <v>-58168.809999999969</v>
      </c>
      <c r="M30" s="16"/>
      <c r="N30" s="20">
        <f>IF(H30=0,0,L30/H30)</f>
        <v>-0.18855062316656121</v>
      </c>
      <c r="O30" s="28"/>
      <c r="P30" s="21">
        <f>P12-P25</f>
        <v>2331615.38</v>
      </c>
      <c r="Q30" s="14"/>
      <c r="R30" s="20">
        <f>IF(P$12=0,0,P30/P$12)</f>
        <v>0.66472378881758476</v>
      </c>
      <c r="S30" s="14"/>
      <c r="T30" s="21">
        <f>T12-T25</f>
        <v>2829514</v>
      </c>
      <c r="U30" s="14"/>
      <c r="V30" s="20">
        <f>IF(T$12=0,0,T30/T$12)</f>
        <v>0.69054070082151853</v>
      </c>
      <c r="W30" s="16"/>
      <c r="X30" s="21">
        <f>+P30-T30</f>
        <v>-497898.62000000011</v>
      </c>
      <c r="Y30" s="16"/>
      <c r="Z30" s="20">
        <f>IF(T30=0,0,X30/T30)</f>
        <v>-0.17596612704513925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8" t="s">
        <v>9</v>
      </c>
      <c r="C32" s="10"/>
      <c r="D32" s="22">
        <f>SUM(OSRRefD22x_0)</f>
        <v>505151.45000000007</v>
      </c>
      <c r="E32" s="22"/>
      <c r="F32" s="35">
        <f t="shared" ref="F32:F43" si="12">IF(D$12=0,0,D32/D$12)</f>
        <v>1.2312106257157009</v>
      </c>
      <c r="G32" s="22"/>
      <c r="H32" s="22">
        <f>SUM(OSRRefH22x_0)</f>
        <v>458589.07635125367</v>
      </c>
      <c r="I32" s="22"/>
      <c r="J32" s="35">
        <f t="shared" ref="J32:J43" si="13">IF(H$12=0,0,H32/H$12)</f>
        <v>1.0427337199178111</v>
      </c>
      <c r="K32" s="4"/>
      <c r="L32" s="22">
        <f t="shared" ref="L32:L43" si="14">+D32-H32</f>
        <v>46562.373648746405</v>
      </c>
      <c r="M32" s="4"/>
      <c r="N32" s="35">
        <f t="shared" ref="N32:N43" si="15">IF(H32=0,0,L32/H32)</f>
        <v>0.10153397900189455</v>
      </c>
      <c r="O32" s="10"/>
      <c r="P32" s="22">
        <f>SUM(OSRRefP22x_0)</f>
        <v>3375239.6200000015</v>
      </c>
      <c r="Q32" s="22"/>
      <c r="R32" s="35">
        <f t="shared" ref="R32:R43" si="16">IF(P$12=0,0,P32/P$12)</f>
        <v>0.96225221690449914</v>
      </c>
      <c r="S32" s="22"/>
      <c r="T32" s="22">
        <f>SUM(OSRRefT22x_0)</f>
        <v>3227750.7204739479</v>
      </c>
      <c r="U32" s="22"/>
      <c r="V32" s="35">
        <f t="shared" ref="V32:V43" si="17">IF(T$12=0,0,T32/T$12)</f>
        <v>0.78773006410049262</v>
      </c>
      <c r="W32" s="4"/>
      <c r="X32" s="22">
        <f t="shared" ref="X32:X43" si="18">+P32-T32</f>
        <v>147488.89952605357</v>
      </c>
      <c r="Y32" s="4"/>
      <c r="Z32" s="35">
        <f t="shared" ref="Z32:Z43" si="19">IF(T32=0,0,X32/T32)</f>
        <v>4.5694018001612276E-2</v>
      </c>
    </row>
    <row r="33" spans="1:26" s="27" customFormat="1" outlineLevel="1" collapsed="1" x14ac:dyDescent="0.25">
      <c r="A33" s="26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69437.460000000006</v>
      </c>
      <c r="E33" s="1"/>
      <c r="F33" s="5">
        <f t="shared" si="12"/>
        <v>0.16924060808834449</v>
      </c>
      <c r="G33" s="1"/>
      <c r="H33" s="1">
        <f>SUM(OSRRefH22_0x_0)</f>
        <v>66303.744147407473</v>
      </c>
      <c r="I33" s="1"/>
      <c r="J33" s="5">
        <f t="shared" si="13"/>
        <v>0.15076056832707846</v>
      </c>
      <c r="K33" s="1"/>
      <c r="L33" s="1">
        <f t="shared" si="14"/>
        <v>3133.7158525925333</v>
      </c>
      <c r="M33" s="1"/>
      <c r="N33" s="5">
        <f t="shared" si="15"/>
        <v>4.7263030057934731E-2</v>
      </c>
      <c r="O33" s="13"/>
      <c r="P33" s="1">
        <f>SUM(OSRRefP22_0x_0)</f>
        <v>476386.70000000007</v>
      </c>
      <c r="Q33" s="1"/>
      <c r="R33" s="5">
        <f t="shared" si="16"/>
        <v>0.13581381169578069</v>
      </c>
      <c r="S33" s="1"/>
      <c r="T33" s="1">
        <f>SUM(OSRRefT22_0x_0)</f>
        <v>465906.79242010176</v>
      </c>
      <c r="U33" s="1"/>
      <c r="V33" s="5">
        <f t="shared" si="17"/>
        <v>0.11370419194083606</v>
      </c>
      <c r="W33" s="1"/>
      <c r="X33" s="1">
        <f t="shared" si="18"/>
        <v>10479.90757989831</v>
      </c>
      <c r="Y33" s="1"/>
      <c r="Z33" s="5">
        <f t="shared" si="19"/>
        <v>2.2493571139973252E-2</v>
      </c>
    </row>
    <row r="34" spans="1:26" s="24" customFormat="1" hidden="1" outlineLevel="2" x14ac:dyDescent="0.25">
      <c r="A34" s="25"/>
      <c r="B34" s="11" t="str">
        <f>CONCATENATE("          ", "6111", " - ", "F.I.C.A.")</f>
        <v xml:space="preserve">          6111 - F.I.C.A.</v>
      </c>
      <c r="C34" s="11"/>
      <c r="D34" s="7">
        <v>11104.18</v>
      </c>
      <c r="E34" s="2"/>
      <c r="F34" s="6">
        <f t="shared" si="12"/>
        <v>2.7064327749350754E-2</v>
      </c>
      <c r="G34" s="2"/>
      <c r="H34" s="7">
        <v>10934.006892825928</v>
      </c>
      <c r="I34" s="2"/>
      <c r="J34" s="6">
        <f t="shared" si="13"/>
        <v>2.4861598910460393E-2</v>
      </c>
      <c r="K34" s="2"/>
      <c r="L34" s="7">
        <f t="shared" si="14"/>
        <v>170.17310717407236</v>
      </c>
      <c r="M34" s="2"/>
      <c r="N34" s="6">
        <f t="shared" si="15"/>
        <v>1.5563654645738986E-2</v>
      </c>
      <c r="O34" s="11"/>
      <c r="P34" s="7">
        <v>91219.56</v>
      </c>
      <c r="Q34" s="2"/>
      <c r="R34" s="6">
        <f t="shared" si="16"/>
        <v>2.6005923643149499E-2</v>
      </c>
      <c r="S34" s="2"/>
      <c r="T34" s="7">
        <v>77792.323914867942</v>
      </c>
      <c r="U34" s="2"/>
      <c r="V34" s="6">
        <f t="shared" si="17"/>
        <v>1.8985156417217756E-2</v>
      </c>
      <c r="W34" s="2"/>
      <c r="X34" s="7">
        <f t="shared" si="18"/>
        <v>13427.236085132055</v>
      </c>
      <c r="Y34" s="2"/>
      <c r="Z34" s="6">
        <f t="shared" si="19"/>
        <v>0.17260361189140147</v>
      </c>
    </row>
    <row r="35" spans="1:26" s="24" customFormat="1" hidden="1" outlineLevel="2" x14ac:dyDescent="0.25">
      <c r="A35" s="25"/>
      <c r="B35" s="11" t="str">
        <f>CONCATENATE("          ", "6112", " - ", "COMPENSATION INSURANCE")</f>
        <v xml:space="preserve">          6112 - COMPENSATION INSURANCE</v>
      </c>
      <c r="C35" s="11"/>
      <c r="D35" s="7">
        <v>6507.66</v>
      </c>
      <c r="E35" s="2"/>
      <c r="F35" s="6">
        <f t="shared" si="12"/>
        <v>1.5861184087554409E-2</v>
      </c>
      <c r="G35" s="2"/>
      <c r="H35" s="7">
        <v>8216.8377192323114</v>
      </c>
      <c r="I35" s="2"/>
      <c r="J35" s="6">
        <f t="shared" si="13"/>
        <v>1.8683335916125265E-2</v>
      </c>
      <c r="K35" s="2"/>
      <c r="L35" s="7">
        <f t="shared" si="14"/>
        <v>-1709.1777192323116</v>
      </c>
      <c r="M35" s="2"/>
      <c r="N35" s="6">
        <f t="shared" si="15"/>
        <v>-0.20800918524066919</v>
      </c>
      <c r="O35" s="11"/>
      <c r="P35" s="7">
        <v>44487.67</v>
      </c>
      <c r="Q35" s="2"/>
      <c r="R35" s="6">
        <f t="shared" si="16"/>
        <v>1.268305776832987E-2</v>
      </c>
      <c r="S35" s="2"/>
      <c r="T35" s="7">
        <v>58261.771228552301</v>
      </c>
      <c r="U35" s="2"/>
      <c r="V35" s="6">
        <f t="shared" si="17"/>
        <v>1.4218740156531294E-2</v>
      </c>
      <c r="W35" s="2"/>
      <c r="X35" s="7">
        <f t="shared" si="18"/>
        <v>-13774.101228552303</v>
      </c>
      <c r="Y35" s="2"/>
      <c r="Z35" s="6">
        <f t="shared" si="19"/>
        <v>-0.23641748161961201</v>
      </c>
    </row>
    <row r="36" spans="1:26" s="24" customFormat="1" hidden="1" outlineLevel="2" x14ac:dyDescent="0.25">
      <c r="A36" s="25"/>
      <c r="B36" s="11" t="str">
        <f>CONCATENATE("          ", "6113", " - ", "GROUP INSURANCE")</f>
        <v xml:space="preserve">          6113 - GROUP INSURANCE</v>
      </c>
      <c r="C36" s="11"/>
      <c r="D36" s="7">
        <v>25419.919999999998</v>
      </c>
      <c r="E36" s="2"/>
      <c r="F36" s="6">
        <f t="shared" si="12"/>
        <v>6.1956222453371269E-2</v>
      </c>
      <c r="G36" s="2"/>
      <c r="H36" s="7">
        <v>22468.801923076931</v>
      </c>
      <c r="I36" s="2"/>
      <c r="J36" s="6">
        <f t="shared" si="13"/>
        <v>5.1089261867635904E-2</v>
      </c>
      <c r="K36" s="2"/>
      <c r="L36" s="7">
        <f t="shared" si="14"/>
        <v>2951.1180769230668</v>
      </c>
      <c r="M36" s="2"/>
      <c r="N36" s="6">
        <f t="shared" si="15"/>
        <v>0.13134292104342579</v>
      </c>
      <c r="O36" s="11"/>
      <c r="P36" s="7">
        <v>154410.02000000002</v>
      </c>
      <c r="Q36" s="2"/>
      <c r="R36" s="6">
        <f t="shared" si="16"/>
        <v>4.40209883697881E-2</v>
      </c>
      <c r="S36" s="2"/>
      <c r="T36" s="7">
        <v>153634.44423076927</v>
      </c>
      <c r="U36" s="2"/>
      <c r="V36" s="6">
        <f t="shared" si="17"/>
        <v>3.7494367156140566E-2</v>
      </c>
      <c r="W36" s="2"/>
      <c r="X36" s="7">
        <f t="shared" si="18"/>
        <v>775.57576923075248</v>
      </c>
      <c r="Y36" s="2"/>
      <c r="Z36" s="6">
        <f t="shared" si="19"/>
        <v>5.0481893765032633E-3</v>
      </c>
    </row>
    <row r="37" spans="1:26" s="24" customFormat="1" hidden="1" outlineLevel="2" x14ac:dyDescent="0.25">
      <c r="A37" s="25"/>
      <c r="B37" s="11" t="str">
        <f>CONCATENATE("          ", "6114", " - ", "STATE UNEMPLOYMENT INSURANCE")</f>
        <v xml:space="preserve">          6114 - STATE UNEMPLOYMENT INSURANCE</v>
      </c>
      <c r="C37" s="11"/>
      <c r="D37" s="7">
        <v>474.68</v>
      </c>
      <c r="E37" s="2"/>
      <c r="F37" s="6">
        <f t="shared" si="12"/>
        <v>1.1569422592268691E-3</v>
      </c>
      <c r="G37" s="2"/>
      <c r="H37" s="7">
        <v>602.54160558000001</v>
      </c>
      <c r="I37" s="2"/>
      <c r="J37" s="6">
        <f t="shared" si="13"/>
        <v>1.3700510591980355E-3</v>
      </c>
      <c r="K37" s="2"/>
      <c r="L37" s="7">
        <f t="shared" si="14"/>
        <v>-127.86160558</v>
      </c>
      <c r="M37" s="2"/>
      <c r="N37" s="6">
        <f t="shared" si="15"/>
        <v>-0.21220377878623303</v>
      </c>
      <c r="O37" s="11"/>
      <c r="P37" s="7">
        <v>4153.03</v>
      </c>
      <c r="Q37" s="2"/>
      <c r="R37" s="6">
        <f t="shared" si="16"/>
        <v>1.1839936639434477E-3</v>
      </c>
      <c r="S37" s="2"/>
      <c r="T37" s="7">
        <v>4193.7008172200003</v>
      </c>
      <c r="U37" s="2"/>
      <c r="V37" s="6">
        <f t="shared" si="17"/>
        <v>1.0234694372810574E-3</v>
      </c>
      <c r="W37" s="2"/>
      <c r="X37" s="7">
        <f t="shared" si="18"/>
        <v>-40.670817220000572</v>
      </c>
      <c r="Y37" s="2"/>
      <c r="Z37" s="6">
        <f t="shared" si="19"/>
        <v>-9.6980731322081314E-3</v>
      </c>
    </row>
    <row r="38" spans="1:26" s="24" customFormat="1" hidden="1" outlineLevel="2" x14ac:dyDescent="0.25">
      <c r="A38" s="25"/>
      <c r="B38" s="11" t="str">
        <f>CONCATENATE("          ", "6115", " - ", "P.E.R.S.")</f>
        <v xml:space="preserve">          6115 - P.E.R.S.</v>
      </c>
      <c r="C38" s="11"/>
      <c r="D38" s="7">
        <v>10259.52</v>
      </c>
      <c r="E38" s="2"/>
      <c r="F38" s="6">
        <f t="shared" si="12"/>
        <v>2.5005629576521547E-2</v>
      </c>
      <c r="G38" s="2"/>
      <c r="H38" s="7">
        <v>8488.0396596153878</v>
      </c>
      <c r="I38" s="2"/>
      <c r="J38" s="6">
        <f t="shared" si="13"/>
        <v>1.9299991267784734E-2</v>
      </c>
      <c r="K38" s="2"/>
      <c r="L38" s="7">
        <f t="shared" si="14"/>
        <v>1771.4803403846126</v>
      </c>
      <c r="M38" s="2"/>
      <c r="N38" s="6">
        <f t="shared" si="15"/>
        <v>0.20870311773082389</v>
      </c>
      <c r="O38" s="11"/>
      <c r="P38" s="7">
        <v>52568.4</v>
      </c>
      <c r="Q38" s="2"/>
      <c r="R38" s="6">
        <f t="shared" si="16"/>
        <v>1.4986805422461369E-2</v>
      </c>
      <c r="S38" s="2"/>
      <c r="T38" s="7">
        <v>52625.845889615419</v>
      </c>
      <c r="U38" s="2"/>
      <c r="V38" s="6">
        <f t="shared" si="17"/>
        <v>1.2843296941432436E-2</v>
      </c>
      <c r="W38" s="2"/>
      <c r="X38" s="7">
        <f t="shared" si="18"/>
        <v>-57.4458896154174</v>
      </c>
      <c r="Y38" s="2"/>
      <c r="Z38" s="6">
        <f t="shared" si="19"/>
        <v>-1.0915908076026407E-3</v>
      </c>
    </row>
    <row r="39" spans="1:26" s="24" customFormat="1" hidden="1" outlineLevel="2" x14ac:dyDescent="0.25">
      <c r="A39" s="25"/>
      <c r="B39" s="11" t="str">
        <f>CONCATENATE("          ", "6116", " - ", "EDUCATIONAL BENEFITS")</f>
        <v xml:space="preserve">          6116 - EDUCATIONAL BENEFITS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16000</v>
      </c>
      <c r="U39" s="2"/>
      <c r="V39" s="6">
        <f t="shared" si="17"/>
        <v>3.9047876112803456E-3</v>
      </c>
      <c r="W39" s="2"/>
      <c r="X39" s="7">
        <f t="shared" si="18"/>
        <v>-16000</v>
      </c>
      <c r="Y39" s="2"/>
      <c r="Z39" s="6">
        <f t="shared" si="19"/>
        <v>-1</v>
      </c>
    </row>
    <row r="40" spans="1:26" s="24" customFormat="1" hidden="1" outlineLevel="2" x14ac:dyDescent="0.25">
      <c r="A40" s="25"/>
      <c r="B40" s="11" t="str">
        <f>CONCATENATE("          ", "6117", " - ", "RETIREMENT STAFF HOURLY")</f>
        <v xml:space="preserve">          6117 - RETIREMENT STAFF HOURLY</v>
      </c>
      <c r="C40" s="11"/>
      <c r="D40" s="7">
        <v>193.98</v>
      </c>
      <c r="E40" s="2"/>
      <c r="F40" s="6">
        <f t="shared" si="12"/>
        <v>4.7278937272442082E-4</v>
      </c>
      <c r="G40" s="2"/>
      <c r="H40" s="7"/>
      <c r="I40" s="2"/>
      <c r="J40" s="6">
        <f t="shared" si="13"/>
        <v>0</v>
      </c>
      <c r="K40" s="2"/>
      <c r="L40" s="7">
        <f t="shared" si="14"/>
        <v>193.98</v>
      </c>
      <c r="M40" s="2"/>
      <c r="N40" s="6">
        <f t="shared" si="15"/>
        <v>0</v>
      </c>
      <c r="O40" s="11"/>
      <c r="P40" s="7">
        <v>557.98</v>
      </c>
      <c r="Q40" s="2"/>
      <c r="R40" s="6">
        <f t="shared" si="16"/>
        <v>1.5907537017723566E-4</v>
      </c>
      <c r="S40" s="2"/>
      <c r="T40" s="7"/>
      <c r="U40" s="2"/>
      <c r="V40" s="6">
        <f t="shared" si="17"/>
        <v>0</v>
      </c>
      <c r="W40" s="2"/>
      <c r="X40" s="7">
        <f t="shared" si="18"/>
        <v>557.98</v>
      </c>
      <c r="Y40" s="2"/>
      <c r="Z40" s="6">
        <f t="shared" si="19"/>
        <v>0</v>
      </c>
    </row>
    <row r="41" spans="1:26" s="24" customFormat="1" hidden="1" outlineLevel="2" x14ac:dyDescent="0.25">
      <c r="A41" s="25"/>
      <c r="B41" s="11" t="str">
        <f>CONCATENATE("          ", "6118", " - ", "VACATION")</f>
        <v xml:space="preserve">          6118 - VACATION</v>
      </c>
      <c r="C41" s="11"/>
      <c r="D41" s="7">
        <v>6679.87</v>
      </c>
      <c r="E41" s="2"/>
      <c r="F41" s="6">
        <f t="shared" si="12"/>
        <v>1.62809132239441E-2</v>
      </c>
      <c r="G41" s="2"/>
      <c r="H41" s="7">
        <v>6463.6665096153811</v>
      </c>
      <c r="I41" s="2"/>
      <c r="J41" s="6">
        <f t="shared" si="13"/>
        <v>1.4696998623484534E-2</v>
      </c>
      <c r="K41" s="2"/>
      <c r="L41" s="7">
        <f t="shared" si="14"/>
        <v>216.20349038461882</v>
      </c>
      <c r="M41" s="2"/>
      <c r="N41" s="6">
        <f t="shared" si="15"/>
        <v>3.3449047852792756E-2</v>
      </c>
      <c r="O41" s="11"/>
      <c r="P41" s="7">
        <v>51851.519999999997</v>
      </c>
      <c r="Q41" s="2"/>
      <c r="R41" s="6">
        <f t="shared" si="16"/>
        <v>1.4782429008660412E-2</v>
      </c>
      <c r="S41" s="2"/>
      <c r="T41" s="7">
        <v>40228.001159615364</v>
      </c>
      <c r="U41" s="2"/>
      <c r="V41" s="6">
        <f t="shared" si="17"/>
        <v>9.81761253466484E-3</v>
      </c>
      <c r="W41" s="2"/>
      <c r="X41" s="7">
        <f t="shared" si="18"/>
        <v>11623.518840384633</v>
      </c>
      <c r="Y41" s="2"/>
      <c r="Z41" s="6">
        <f t="shared" si="19"/>
        <v>0.28894099893915215</v>
      </c>
    </row>
    <row r="42" spans="1:26" s="24" customFormat="1" hidden="1" outlineLevel="2" x14ac:dyDescent="0.25">
      <c r="A42" s="25"/>
      <c r="B42" s="11" t="str">
        <f>CONCATENATE("          ", "6119", " - ", "SICK LEAVE")</f>
        <v xml:space="preserve">          6119 - SICK LEAVE</v>
      </c>
      <c r="C42" s="11"/>
      <c r="D42" s="7">
        <v>5188.91</v>
      </c>
      <c r="E42" s="2"/>
      <c r="F42" s="6">
        <f t="shared" si="12"/>
        <v>1.2646981668334232E-2</v>
      </c>
      <c r="G42" s="2"/>
      <c r="H42" s="7">
        <v>7404.8498374615356</v>
      </c>
      <c r="I42" s="2"/>
      <c r="J42" s="6">
        <f t="shared" si="13"/>
        <v>1.6837048710107064E-2</v>
      </c>
      <c r="K42" s="2"/>
      <c r="L42" s="7">
        <f t="shared" si="14"/>
        <v>-2215.9398374615357</v>
      </c>
      <c r="M42" s="2"/>
      <c r="N42" s="6">
        <f t="shared" si="15"/>
        <v>-0.29925520248242932</v>
      </c>
      <c r="O42" s="11"/>
      <c r="P42" s="7">
        <v>57875.630000000005</v>
      </c>
      <c r="Q42" s="2"/>
      <c r="R42" s="6">
        <f t="shared" si="16"/>
        <v>1.6499851726747779E-2</v>
      </c>
      <c r="S42" s="2"/>
      <c r="T42" s="7">
        <v>51095.705179461525</v>
      </c>
      <c r="U42" s="2"/>
      <c r="V42" s="6">
        <f t="shared" si="17"/>
        <v>1.2469867285899647E-2</v>
      </c>
      <c r="W42" s="2"/>
      <c r="X42" s="7">
        <f t="shared" si="18"/>
        <v>6779.9248205384793</v>
      </c>
      <c r="Y42" s="2"/>
      <c r="Z42" s="6">
        <f t="shared" si="19"/>
        <v>0.13269069869425629</v>
      </c>
    </row>
    <row r="43" spans="1:26" s="24" customFormat="1" hidden="1" outlineLevel="2" x14ac:dyDescent="0.25">
      <c r="A43" s="25"/>
      <c r="B43" s="11" t="str">
        <f>CONCATENATE("          ", "6156", " - ", "EMPLOYEE MEALS")</f>
        <v xml:space="preserve">          6156 - EMPLOYEE MEALS</v>
      </c>
      <c r="C43" s="11"/>
      <c r="D43" s="7">
        <v>3608.74</v>
      </c>
      <c r="E43" s="2"/>
      <c r="F43" s="6">
        <f t="shared" si="12"/>
        <v>8.7956176973168695E-3</v>
      </c>
      <c r="G43" s="2"/>
      <c r="H43" s="7">
        <v>1725</v>
      </c>
      <c r="I43" s="2"/>
      <c r="J43" s="6">
        <f t="shared" si="13"/>
        <v>3.9222819722825406E-3</v>
      </c>
      <c r="K43" s="2"/>
      <c r="L43" s="7">
        <f t="shared" si="14"/>
        <v>1883.7399999999998</v>
      </c>
      <c r="M43" s="2"/>
      <c r="N43" s="6">
        <f t="shared" si="15"/>
        <v>1.0920231884057969</v>
      </c>
      <c r="O43" s="11"/>
      <c r="P43" s="7">
        <v>19262.89</v>
      </c>
      <c r="Q43" s="2"/>
      <c r="R43" s="6">
        <f t="shared" si="16"/>
        <v>5.4916867225229772E-3</v>
      </c>
      <c r="S43" s="2"/>
      <c r="T43" s="7">
        <v>12075</v>
      </c>
      <c r="U43" s="2"/>
      <c r="V43" s="6">
        <f t="shared" si="17"/>
        <v>2.9468944003881361E-3</v>
      </c>
      <c r="W43" s="2"/>
      <c r="X43" s="7">
        <f t="shared" si="18"/>
        <v>7187.8899999999994</v>
      </c>
      <c r="Y43" s="2"/>
      <c r="Z43" s="6">
        <f t="shared" si="19"/>
        <v>0.59527039337474119</v>
      </c>
    </row>
    <row r="44" spans="1:26" s="27" customFormat="1" outlineLevel="1" collapsed="1" x14ac:dyDescent="0.25">
      <c r="A44" s="26"/>
      <c r="B44" s="13" t="str">
        <f>CONCATENATE("     ","*Payroll                                          ")</f>
        <v xml:space="preserve">     *Payroll                                          </v>
      </c>
      <c r="C44" s="13"/>
      <c r="D44" s="1">
        <f>SUM(OSRRefD22_1x_0)</f>
        <v>234618.58999999997</v>
      </c>
      <c r="E44" s="1"/>
      <c r="F44" s="5">
        <f t="shared" ref="F44:F54" si="20">IF(D$12=0,0,D44/D$12)</f>
        <v>0.57183821010201075</v>
      </c>
      <c r="G44" s="1"/>
      <c r="H44" s="1">
        <f>SUM(OSRRefH22_1x_0)</f>
        <v>215711.33220384616</v>
      </c>
      <c r="I44" s="1"/>
      <c r="J44" s="5">
        <f t="shared" ref="J44:J54" si="21">IF(H$12=0,0,H44/H$12)</f>
        <v>0.49048154754793977</v>
      </c>
      <c r="K44" s="1"/>
      <c r="L44" s="1">
        <f t="shared" ref="L44:L54" si="22">+D44-H44</f>
        <v>18907.257796153805</v>
      </c>
      <c r="M44" s="1"/>
      <c r="N44" s="5">
        <f t="shared" ref="N44:N54" si="23">IF(H44=0,0,L44/H44)</f>
        <v>8.7650739546156708E-2</v>
      </c>
      <c r="O44" s="13"/>
      <c r="P44" s="1">
        <f>SUM(OSRRefP22_1x_0)</f>
        <v>1526721.4200000002</v>
      </c>
      <c r="Q44" s="1"/>
      <c r="R44" s="5">
        <f t="shared" ref="R44:R54" si="24">IF(P$12=0,0,P44/P$12)</f>
        <v>0.43525534077209738</v>
      </c>
      <c r="S44" s="1"/>
      <c r="T44" s="1">
        <f>SUM(OSRRefT22_1x_0)</f>
        <v>1499089.4280538463</v>
      </c>
      <c r="U44" s="1"/>
      <c r="V44" s="5">
        <f t="shared" ref="V44:V54" si="25">IF(T$12=0,0,T44/T$12)</f>
        <v>0.36585161417912487</v>
      </c>
      <c r="W44" s="1"/>
      <c r="X44" s="1">
        <f t="shared" ref="X44:X54" si="26">+P44-T44</f>
        <v>27631.991946153808</v>
      </c>
      <c r="Y44" s="1"/>
      <c r="Z44" s="5">
        <f t="shared" ref="Z44:Z54" si="27">IF(T44=0,0,X44/T44)</f>
        <v>1.8432517386255148E-2</v>
      </c>
    </row>
    <row r="45" spans="1:26" s="24" customFormat="1" hidden="1" outlineLevel="2" x14ac:dyDescent="0.25">
      <c r="A45" s="25"/>
      <c r="B45" s="11" t="str">
        <f>CONCATENATE("          ", "6001", " - ", "ADMINISTRATIVE SALARIES")</f>
        <v xml:space="preserve">          6001 - ADMINISTRATIVE SALARIES</v>
      </c>
      <c r="C45" s="11"/>
      <c r="D45" s="7">
        <v>20764.329999999998</v>
      </c>
      <c r="E45" s="2"/>
      <c r="F45" s="6">
        <f t="shared" si="20"/>
        <v>5.060910689629277E-2</v>
      </c>
      <c r="G45" s="2"/>
      <c r="H45" s="7">
        <v>25266.276346153853</v>
      </c>
      <c r="I45" s="2"/>
      <c r="J45" s="6">
        <f t="shared" si="21"/>
        <v>5.7450121866219152E-2</v>
      </c>
      <c r="K45" s="2"/>
      <c r="L45" s="7">
        <f t="shared" si="22"/>
        <v>-4501.9463461538544</v>
      </c>
      <c r="M45" s="2"/>
      <c r="N45" s="6">
        <f t="shared" si="23"/>
        <v>-0.17818004855468783</v>
      </c>
      <c r="O45" s="11"/>
      <c r="P45" s="7">
        <v>124998.73999999999</v>
      </c>
      <c r="Q45" s="2"/>
      <c r="R45" s="6">
        <f t="shared" si="24"/>
        <v>3.5636081646632553E-2</v>
      </c>
      <c r="S45" s="2"/>
      <c r="T45" s="7">
        <v>156650.91334615383</v>
      </c>
      <c r="U45" s="2"/>
      <c r="V45" s="6">
        <f t="shared" si="25"/>
        <v>3.8230534108113279E-2</v>
      </c>
      <c r="W45" s="2"/>
      <c r="X45" s="7">
        <f t="shared" si="26"/>
        <v>-31652.173346153839</v>
      </c>
      <c r="Y45" s="2"/>
      <c r="Z45" s="6">
        <f t="shared" si="27"/>
        <v>-0.20205546632346513</v>
      </c>
    </row>
    <row r="46" spans="1:26" s="24" customFormat="1" hidden="1" outlineLevel="2" x14ac:dyDescent="0.25">
      <c r="A46" s="25"/>
      <c r="B46" s="11" t="str">
        <f>CONCATENATE("          ", "6002", " - ", "STAFF SALARIES")</f>
        <v xml:space="preserve">          6002 - STAFF SALARIES</v>
      </c>
      <c r="C46" s="11"/>
      <c r="D46" s="7">
        <v>78522.13</v>
      </c>
      <c r="E46" s="2"/>
      <c r="F46" s="6">
        <f t="shared" si="20"/>
        <v>0.19138276413901137</v>
      </c>
      <c r="G46" s="2"/>
      <c r="H46" s="7">
        <v>64209.752057692305</v>
      </c>
      <c r="I46" s="2"/>
      <c r="J46" s="6">
        <f t="shared" si="21"/>
        <v>0.14599927706702509</v>
      </c>
      <c r="K46" s="2"/>
      <c r="L46" s="7">
        <f t="shared" si="22"/>
        <v>14312.377942307699</v>
      </c>
      <c r="M46" s="2"/>
      <c r="N46" s="6">
        <f t="shared" si="23"/>
        <v>0.2229003770244754</v>
      </c>
      <c r="O46" s="11"/>
      <c r="P46" s="7">
        <v>438646.82</v>
      </c>
      <c r="Q46" s="2"/>
      <c r="R46" s="6">
        <f t="shared" si="24"/>
        <v>0.12505449168172203</v>
      </c>
      <c r="S46" s="2"/>
      <c r="T46" s="7">
        <v>398100.46275769238</v>
      </c>
      <c r="U46" s="2"/>
      <c r="V46" s="6">
        <f t="shared" si="25"/>
        <v>9.7156109688825612E-2</v>
      </c>
      <c r="W46" s="2"/>
      <c r="X46" s="7">
        <f t="shared" si="26"/>
        <v>40546.357242307626</v>
      </c>
      <c r="Y46" s="2"/>
      <c r="Z46" s="6">
        <f t="shared" si="27"/>
        <v>0.10184956068987679</v>
      </c>
    </row>
    <row r="47" spans="1:26" s="24" customFormat="1" hidden="1" outlineLevel="2" x14ac:dyDescent="0.25">
      <c r="A47" s="25"/>
      <c r="B47" s="11" t="str">
        <f>CONCATENATE("          ", "6003", " - ", "STAFF HOURLY-9 MONTH")</f>
        <v xml:space="preserve">          6003 - STAFF HOURLY-9 MONTH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4" customFormat="1" hidden="1" outlineLevel="2" x14ac:dyDescent="0.25">
      <c r="A48" s="25"/>
      <c r="B48" s="11" t="str">
        <f>CONCATENATE("          ", "6004", " - ", "STAFF HOURLY")</f>
        <v xml:space="preserve">          6004 - STAFF HOURLY</v>
      </c>
      <c r="C48" s="11"/>
      <c r="D48" s="7">
        <v>23998.09</v>
      </c>
      <c r="E48" s="2"/>
      <c r="F48" s="6">
        <f t="shared" si="20"/>
        <v>5.8490782130550555E-2</v>
      </c>
      <c r="G48" s="2"/>
      <c r="H48" s="7">
        <v>40674.882799999999</v>
      </c>
      <c r="I48" s="2"/>
      <c r="J48" s="6">
        <f t="shared" si="21"/>
        <v>9.2486005525301562E-2</v>
      </c>
      <c r="K48" s="2"/>
      <c r="L48" s="7">
        <f t="shared" si="22"/>
        <v>-16676.792799999999</v>
      </c>
      <c r="M48" s="2"/>
      <c r="N48" s="6">
        <f t="shared" si="23"/>
        <v>-0.4100022336143031</v>
      </c>
      <c r="O48" s="11"/>
      <c r="P48" s="7">
        <v>145836.08000000002</v>
      </c>
      <c r="Q48" s="2"/>
      <c r="R48" s="6">
        <f t="shared" si="24"/>
        <v>4.1576630723676393E-2</v>
      </c>
      <c r="S48" s="2"/>
      <c r="T48" s="7">
        <v>336966.15344999998</v>
      </c>
      <c r="U48" s="2"/>
      <c r="V48" s="6">
        <f t="shared" si="25"/>
        <v>8.2236328838271991E-2</v>
      </c>
      <c r="W48" s="2"/>
      <c r="X48" s="7">
        <f t="shared" si="26"/>
        <v>-191130.07344999997</v>
      </c>
      <c r="Y48" s="2"/>
      <c r="Z48" s="6">
        <f t="shared" si="27"/>
        <v>-0.56720852077613904</v>
      </c>
    </row>
    <row r="49" spans="1:26" s="24" customFormat="1" hidden="1" outlineLevel="2" x14ac:dyDescent="0.25">
      <c r="A49" s="25"/>
      <c r="B49" s="11" t="str">
        <f>CONCATENATE("          ", "6005", " - ", "TEMPORARY WAGES-HOURLY")</f>
        <v xml:space="preserve">          6005 - TEMPORARY WAGES-HOURLY</v>
      </c>
      <c r="C49" s="11"/>
      <c r="D49" s="7">
        <v>32623.070000000003</v>
      </c>
      <c r="E49" s="2"/>
      <c r="F49" s="6">
        <f t="shared" si="20"/>
        <v>7.9512531197261954E-2</v>
      </c>
      <c r="G49" s="2"/>
      <c r="H49" s="7">
        <v>27139.962</v>
      </c>
      <c r="I49" s="2"/>
      <c r="J49" s="6">
        <f t="shared" si="21"/>
        <v>6.1710483293352582E-2</v>
      </c>
      <c r="K49" s="2"/>
      <c r="L49" s="7">
        <f t="shared" si="22"/>
        <v>5483.1080000000038</v>
      </c>
      <c r="M49" s="2"/>
      <c r="N49" s="6">
        <f t="shared" si="23"/>
        <v>0.20203079134746038</v>
      </c>
      <c r="O49" s="11"/>
      <c r="P49" s="7">
        <v>308312.63</v>
      </c>
      <c r="Q49" s="2"/>
      <c r="R49" s="6">
        <f t="shared" si="24"/>
        <v>8.7897318447914069E-2</v>
      </c>
      <c r="S49" s="2"/>
      <c r="T49" s="7">
        <v>200820.25199999998</v>
      </c>
      <c r="U49" s="2"/>
      <c r="V49" s="6">
        <f t="shared" si="25"/>
        <v>4.9010027006487308E-2</v>
      </c>
      <c r="W49" s="2"/>
      <c r="X49" s="7">
        <f t="shared" si="26"/>
        <v>107492.37800000003</v>
      </c>
      <c r="Y49" s="2"/>
      <c r="Z49" s="6">
        <f t="shared" si="27"/>
        <v>0.53526662241216605</v>
      </c>
    </row>
    <row r="50" spans="1:26" s="24" customFormat="1" hidden="1" outlineLevel="2" x14ac:dyDescent="0.25">
      <c r="A50" s="25"/>
      <c r="B50" s="11" t="str">
        <f>CONCATENATE("          ", "6006", " - ", "TEMPORARY PART TIME")</f>
        <v xml:space="preserve">          6006 - TEMPORARY PART TIME</v>
      </c>
      <c r="C50" s="11"/>
      <c r="D50" s="7">
        <v>68.25</v>
      </c>
      <c r="E50" s="2"/>
      <c r="F50" s="6">
        <f t="shared" si="20"/>
        <v>1.6634640008475989E-4</v>
      </c>
      <c r="G50" s="2"/>
      <c r="H50" s="7">
        <v>0</v>
      </c>
      <c r="I50" s="2"/>
      <c r="J50" s="6">
        <f t="shared" si="21"/>
        <v>0</v>
      </c>
      <c r="K50" s="2"/>
      <c r="L50" s="7">
        <f t="shared" si="22"/>
        <v>68.25</v>
      </c>
      <c r="M50" s="2"/>
      <c r="N50" s="6">
        <f t="shared" si="23"/>
        <v>0</v>
      </c>
      <c r="O50" s="11"/>
      <c r="P50" s="7">
        <v>10710.9</v>
      </c>
      <c r="Q50" s="2"/>
      <c r="R50" s="6">
        <f t="shared" si="24"/>
        <v>3.0535868354266337E-3</v>
      </c>
      <c r="S50" s="2"/>
      <c r="T50" s="7">
        <v>0</v>
      </c>
      <c r="U50" s="2"/>
      <c r="V50" s="6">
        <f t="shared" si="25"/>
        <v>0</v>
      </c>
      <c r="W50" s="2"/>
      <c r="X50" s="7">
        <f t="shared" si="26"/>
        <v>10710.9</v>
      </c>
      <c r="Y50" s="2"/>
      <c r="Z50" s="6">
        <f t="shared" si="27"/>
        <v>0</v>
      </c>
    </row>
    <row r="51" spans="1:26" s="24" customFormat="1" hidden="1" outlineLevel="2" x14ac:dyDescent="0.25">
      <c r="A51" s="25"/>
      <c r="B51" s="11" t="str">
        <f>CONCATENATE("          ", "6007", " - ", "STUDENT HOURLY")</f>
        <v xml:space="preserve">          6007 - STUDENT HOURLY</v>
      </c>
      <c r="C51" s="11"/>
      <c r="D51" s="7">
        <v>77407.719999999987</v>
      </c>
      <c r="E51" s="2"/>
      <c r="F51" s="6">
        <f t="shared" si="20"/>
        <v>0.18866660162298998</v>
      </c>
      <c r="G51" s="2"/>
      <c r="H51" s="7">
        <v>2529</v>
      </c>
      <c r="I51" s="2"/>
      <c r="J51" s="6">
        <f t="shared" si="21"/>
        <v>5.7504064393637949E-3</v>
      </c>
      <c r="K51" s="2"/>
      <c r="L51" s="7">
        <f t="shared" si="22"/>
        <v>74878.719999999987</v>
      </c>
      <c r="M51" s="2"/>
      <c r="N51" s="6">
        <f t="shared" si="23"/>
        <v>29.608034796362194</v>
      </c>
      <c r="O51" s="11"/>
      <c r="P51" s="7">
        <v>475470.58</v>
      </c>
      <c r="Q51" s="2"/>
      <c r="R51" s="6">
        <f t="shared" si="24"/>
        <v>0.13555263364616105</v>
      </c>
      <c r="S51" s="2"/>
      <c r="T51" s="7">
        <v>52197.8</v>
      </c>
      <c r="U51" s="2"/>
      <c r="V51" s="6">
        <f t="shared" si="25"/>
        <v>1.2738832673505578E-2</v>
      </c>
      <c r="W51" s="2"/>
      <c r="X51" s="7">
        <f t="shared" si="26"/>
        <v>423272.78</v>
      </c>
      <c r="Y51" s="2"/>
      <c r="Z51" s="6">
        <f t="shared" si="27"/>
        <v>8.1090157056427667</v>
      </c>
    </row>
    <row r="52" spans="1:26" s="24" customFormat="1" hidden="1" outlineLevel="2" x14ac:dyDescent="0.25">
      <c r="A52" s="25"/>
      <c r="B52" s="11" t="str">
        <f>CONCATENATE("          ", "6008", " - ", "STUDENT HOURLY-FICA EXEMPT")</f>
        <v xml:space="preserve">          6008 - STUDENT HOURLY-FICA EXEMPT</v>
      </c>
      <c r="C52" s="11"/>
      <c r="D52" s="7">
        <v>1235</v>
      </c>
      <c r="E52" s="2"/>
      <c r="F52" s="6">
        <f t="shared" si="20"/>
        <v>3.0100777158194644E-3</v>
      </c>
      <c r="G52" s="2"/>
      <c r="H52" s="7">
        <v>55891.459000000003</v>
      </c>
      <c r="I52" s="2"/>
      <c r="J52" s="6">
        <f t="shared" si="21"/>
        <v>0.12708525335667756</v>
      </c>
      <c r="K52" s="2"/>
      <c r="L52" s="7">
        <f t="shared" si="22"/>
        <v>-54656.459000000003</v>
      </c>
      <c r="M52" s="2"/>
      <c r="N52" s="6">
        <f t="shared" si="23"/>
        <v>-0.97790360061990866</v>
      </c>
      <c r="O52" s="11"/>
      <c r="P52" s="7">
        <v>22745.670000000002</v>
      </c>
      <c r="Q52" s="2"/>
      <c r="R52" s="6">
        <f t="shared" si="24"/>
        <v>6.4845977905646146E-3</v>
      </c>
      <c r="S52" s="2"/>
      <c r="T52" s="7">
        <v>354353.84649999999</v>
      </c>
      <c r="U52" s="2"/>
      <c r="V52" s="6">
        <f t="shared" si="25"/>
        <v>8.6479781863921079E-2</v>
      </c>
      <c r="W52" s="2"/>
      <c r="X52" s="7">
        <f t="shared" si="26"/>
        <v>-331608.1765</v>
      </c>
      <c r="Y52" s="2"/>
      <c r="Z52" s="6">
        <f t="shared" si="27"/>
        <v>-0.93581085622560056</v>
      </c>
    </row>
    <row r="53" spans="1:26" s="24" customFormat="1" hidden="1" outlineLevel="2" x14ac:dyDescent="0.25">
      <c r="A53" s="25"/>
      <c r="B53" s="11" t="str">
        <f>CONCATENATE("          ", "6009", " - ", "TEMPORARY-SEASONAL")</f>
        <v xml:space="preserve">          6009 - TEMPORARY-SEASONAL</v>
      </c>
      <c r="C53" s="11"/>
      <c r="D53" s="7"/>
      <c r="E53" s="2"/>
      <c r="F53" s="6">
        <f t="shared" si="20"/>
        <v>0</v>
      </c>
      <c r="G53" s="2"/>
      <c r="H53" s="7">
        <v>0</v>
      </c>
      <c r="I53" s="2"/>
      <c r="J53" s="6">
        <f t="shared" si="21"/>
        <v>0</v>
      </c>
      <c r="K53" s="2"/>
      <c r="L53" s="7">
        <f t="shared" si="22"/>
        <v>0</v>
      </c>
      <c r="M53" s="2"/>
      <c r="N53" s="6">
        <f t="shared" si="23"/>
        <v>0</v>
      </c>
      <c r="O53" s="11"/>
      <c r="P53" s="7"/>
      <c r="Q53" s="2"/>
      <c r="R53" s="6">
        <f t="shared" si="24"/>
        <v>0</v>
      </c>
      <c r="S53" s="2"/>
      <c r="T53" s="7">
        <v>0</v>
      </c>
      <c r="U53" s="2"/>
      <c r="V53" s="6">
        <f t="shared" si="25"/>
        <v>0</v>
      </c>
      <c r="W53" s="2"/>
      <c r="X53" s="7">
        <f t="shared" si="26"/>
        <v>0</v>
      </c>
      <c r="Y53" s="2"/>
      <c r="Z53" s="6">
        <f t="shared" si="27"/>
        <v>0</v>
      </c>
    </row>
    <row r="54" spans="1:26" s="24" customFormat="1" hidden="1" outlineLevel="2" x14ac:dyDescent="0.25">
      <c r="A54" s="25"/>
      <c r="B54" s="11" t="str">
        <f>CONCATENATE("          ", "6010", " - ", "GRATUITY")</f>
        <v xml:space="preserve">          6010 - GRATUITY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7" customFormat="1" outlineLevel="1" collapsed="1" x14ac:dyDescent="0.25">
      <c r="A55" s="26"/>
      <c r="B55" s="13" t="str">
        <f>CONCATENATE("     ","Advertising/Promo                                 ")</f>
        <v xml:space="preserve">     Advertising/Promo                                 </v>
      </c>
      <c r="C55" s="13"/>
      <c r="D55" s="1">
        <f>SUM(OSRRefD22_2x_0)</f>
        <v>4169.58</v>
      </c>
      <c r="E55" s="1"/>
      <c r="F55" s="5">
        <f t="shared" ref="F55:F65" si="28">IF(D$12=0,0,D55/D$12)</f>
        <v>1.016255857678261E-2</v>
      </c>
      <c r="G55" s="1"/>
      <c r="H55" s="1">
        <f>SUM(OSRRefH22_2x_0)</f>
        <v>2290</v>
      </c>
      <c r="I55" s="1"/>
      <c r="J55" s="5">
        <f t="shared" ref="J55:J65" si="29">IF(H$12=0,0,H55/H$12)</f>
        <v>5.2069714298707348E-3</v>
      </c>
      <c r="K55" s="1"/>
      <c r="L55" s="1">
        <f t="shared" ref="L55:L65" si="30">+D55-H55</f>
        <v>1879.58</v>
      </c>
      <c r="M55" s="1"/>
      <c r="N55" s="5">
        <f t="shared" ref="N55:N65" si="31">IF(H55=0,0,L55/H55)</f>
        <v>0.82077729257641918</v>
      </c>
      <c r="O55" s="13"/>
      <c r="P55" s="1">
        <f>SUM(OSRRefP22_2x_0)</f>
        <v>23811.01</v>
      </c>
      <c r="Q55" s="1"/>
      <c r="R55" s="5">
        <f t="shared" ref="R55:R65" si="32">IF(P$12=0,0,P55/P$12)</f>
        <v>6.788317197827627E-3</v>
      </c>
      <c r="S55" s="1"/>
      <c r="T55" s="1">
        <f>SUM(OSRRefT22_2x_0)</f>
        <v>16305</v>
      </c>
      <c r="U55" s="1"/>
      <c r="V55" s="5">
        <f t="shared" ref="V55:V65" si="33">IF(T$12=0,0,T55/T$12)</f>
        <v>3.9792226251203775E-3</v>
      </c>
      <c r="W55" s="1"/>
      <c r="X55" s="1">
        <f t="shared" ref="X55:X65" si="34">+P55-T55</f>
        <v>7506.0099999999984</v>
      </c>
      <c r="Y55" s="1"/>
      <c r="Z55" s="5">
        <f t="shared" ref="Z55:Z65" si="35">IF(T55=0,0,X55/T55)</f>
        <v>0.4603501993253602</v>
      </c>
    </row>
    <row r="56" spans="1:26" s="24" customFormat="1" hidden="1" outlineLevel="2" x14ac:dyDescent="0.25">
      <c r="A56" s="25"/>
      <c r="B56" s="11" t="str">
        <f>CONCATENATE("          ", "6362", " - ", "ADVERTISING EXPENSE")</f>
        <v xml:space="preserve">          6362 - ADVERTISING EXPENSE</v>
      </c>
      <c r="C56" s="11"/>
      <c r="D56" s="7">
        <v>4169.58</v>
      </c>
      <c r="E56" s="2"/>
      <c r="F56" s="6">
        <f t="shared" si="28"/>
        <v>1.016255857678261E-2</v>
      </c>
      <c r="G56" s="2"/>
      <c r="H56" s="7">
        <v>2290</v>
      </c>
      <c r="I56" s="2"/>
      <c r="J56" s="6">
        <f t="shared" si="29"/>
        <v>5.2069714298707348E-3</v>
      </c>
      <c r="K56" s="2"/>
      <c r="L56" s="7">
        <f t="shared" si="30"/>
        <v>1879.58</v>
      </c>
      <c r="M56" s="2"/>
      <c r="N56" s="6">
        <f t="shared" si="31"/>
        <v>0.82077729257641918</v>
      </c>
      <c r="O56" s="11"/>
      <c r="P56" s="7">
        <v>23811.01</v>
      </c>
      <c r="Q56" s="2"/>
      <c r="R56" s="6">
        <f t="shared" si="32"/>
        <v>6.788317197827627E-3</v>
      </c>
      <c r="S56" s="2"/>
      <c r="T56" s="7">
        <v>16305</v>
      </c>
      <c r="U56" s="2"/>
      <c r="V56" s="6">
        <f t="shared" si="33"/>
        <v>3.9792226251203775E-3</v>
      </c>
      <c r="W56" s="2"/>
      <c r="X56" s="7">
        <f t="shared" si="34"/>
        <v>7506.0099999999984</v>
      </c>
      <c r="Y56" s="2"/>
      <c r="Z56" s="6">
        <f t="shared" si="35"/>
        <v>0.4603501993253602</v>
      </c>
    </row>
    <row r="57" spans="1:26" s="27" customFormat="1" outlineLevel="1" collapsed="1" x14ac:dyDescent="0.25">
      <c r="A57" s="26"/>
      <c r="B57" s="13" t="str">
        <f>CONCATENATE("     ","Bad Debts/Over/Short                              ")</f>
        <v xml:space="preserve">     Bad Debts/Over/Short                              </v>
      </c>
      <c r="C57" s="13"/>
      <c r="D57" s="1">
        <f>SUM(OSRRefD22_3x_0)</f>
        <v>-412.33</v>
      </c>
      <c r="E57" s="1"/>
      <c r="F57" s="5">
        <f t="shared" si="28"/>
        <v>-1.0049759875010848E-3</v>
      </c>
      <c r="G57" s="1"/>
      <c r="H57" s="1">
        <f>SUM(OSRRefH22_3x_0)</f>
        <v>144</v>
      </c>
      <c r="I57" s="1"/>
      <c r="J57" s="5">
        <f t="shared" si="29"/>
        <v>3.2742527768619468E-4</v>
      </c>
      <c r="K57" s="1"/>
      <c r="L57" s="1">
        <f t="shared" si="30"/>
        <v>-556.32999999999993</v>
      </c>
      <c r="M57" s="1"/>
      <c r="N57" s="5">
        <f t="shared" si="31"/>
        <v>-3.8634027777777771</v>
      </c>
      <c r="O57" s="13"/>
      <c r="P57" s="1">
        <f>SUM(OSRRefP22_3x_0)</f>
        <v>-504.38</v>
      </c>
      <c r="Q57" s="1"/>
      <c r="R57" s="5">
        <f t="shared" si="32"/>
        <v>-1.4379446433562872E-4</v>
      </c>
      <c r="S57" s="1"/>
      <c r="T57" s="1">
        <f>SUM(OSRRefT22_3x_0)</f>
        <v>988</v>
      </c>
      <c r="U57" s="1"/>
      <c r="V57" s="5">
        <f t="shared" si="33"/>
        <v>2.4112063499656135E-4</v>
      </c>
      <c r="W57" s="1"/>
      <c r="X57" s="1">
        <f t="shared" si="34"/>
        <v>-1492.38</v>
      </c>
      <c r="Y57" s="1"/>
      <c r="Z57" s="5">
        <f t="shared" si="35"/>
        <v>-1.5105060728744941</v>
      </c>
    </row>
    <row r="58" spans="1:26" s="24" customFormat="1" hidden="1" outlineLevel="2" x14ac:dyDescent="0.25">
      <c r="A58" s="25"/>
      <c r="B58" s="11" t="str">
        <f>CONCATENATE("          ", "6272", " - ", "CASH (OVER/SHORT)")</f>
        <v xml:space="preserve">          6272 - CASH (OVER/SHORT)</v>
      </c>
      <c r="C58" s="11"/>
      <c r="D58" s="7">
        <v>-412.33</v>
      </c>
      <c r="E58" s="2"/>
      <c r="F58" s="6">
        <f t="shared" si="28"/>
        <v>-1.0049759875010848E-3</v>
      </c>
      <c r="G58" s="2"/>
      <c r="H58" s="7">
        <v>144</v>
      </c>
      <c r="I58" s="2"/>
      <c r="J58" s="6">
        <f t="shared" si="29"/>
        <v>3.2742527768619468E-4</v>
      </c>
      <c r="K58" s="2"/>
      <c r="L58" s="7">
        <f t="shared" si="30"/>
        <v>-556.32999999999993</v>
      </c>
      <c r="M58" s="2"/>
      <c r="N58" s="6">
        <f t="shared" si="31"/>
        <v>-3.8634027777777771</v>
      </c>
      <c r="O58" s="11"/>
      <c r="P58" s="7">
        <v>-504.38</v>
      </c>
      <c r="Q58" s="2"/>
      <c r="R58" s="6">
        <f t="shared" si="32"/>
        <v>-1.4379446433562872E-4</v>
      </c>
      <c r="S58" s="2"/>
      <c r="T58" s="7">
        <v>988</v>
      </c>
      <c r="U58" s="2"/>
      <c r="V58" s="6">
        <f t="shared" si="33"/>
        <v>2.4112063499656135E-4</v>
      </c>
      <c r="W58" s="2"/>
      <c r="X58" s="7">
        <f t="shared" si="34"/>
        <v>-1492.38</v>
      </c>
      <c r="Y58" s="2"/>
      <c r="Z58" s="6">
        <f t="shared" si="35"/>
        <v>-1.5105060728744941</v>
      </c>
    </row>
    <row r="59" spans="1:26" s="27" customFormat="1" outlineLevel="1" collapsed="1" x14ac:dyDescent="0.25">
      <c r="A59" s="26"/>
      <c r="B59" s="13" t="str">
        <f>CONCATENATE("     ","Bank/card Fees                                    ")</f>
        <v xml:space="preserve">     Bank/card Fees                                    </v>
      </c>
      <c r="C59" s="13"/>
      <c r="D59" s="1">
        <f>SUM(OSRRefD22_4x_0)</f>
        <v>10950.57</v>
      </c>
      <c r="E59" s="1"/>
      <c r="F59" s="5">
        <f t="shared" si="28"/>
        <v>2.6689932576940203E-2</v>
      </c>
      <c r="G59" s="1"/>
      <c r="H59" s="1">
        <f>SUM(OSRRefH22_4x_0)</f>
        <v>7670</v>
      </c>
      <c r="I59" s="1"/>
      <c r="J59" s="5">
        <f t="shared" si="29"/>
        <v>1.7439943610091064E-2</v>
      </c>
      <c r="K59" s="1"/>
      <c r="L59" s="1">
        <f t="shared" si="30"/>
        <v>3280.5699999999997</v>
      </c>
      <c r="M59" s="1"/>
      <c r="N59" s="5">
        <f t="shared" si="31"/>
        <v>0.42771447196870921</v>
      </c>
      <c r="O59" s="13"/>
      <c r="P59" s="1">
        <f>SUM(OSRRefP22_4x_0)</f>
        <v>114362.37000000001</v>
      </c>
      <c r="Q59" s="1"/>
      <c r="R59" s="5">
        <f t="shared" si="32"/>
        <v>3.2603742682705453E-2</v>
      </c>
      <c r="S59" s="1"/>
      <c r="T59" s="1">
        <f>SUM(OSRRefT22_4x_0)</f>
        <v>67948</v>
      </c>
      <c r="U59" s="1"/>
      <c r="V59" s="5">
        <f t="shared" si="33"/>
        <v>1.6582656788204808E-2</v>
      </c>
      <c r="W59" s="1"/>
      <c r="X59" s="1">
        <f t="shared" si="34"/>
        <v>46414.37000000001</v>
      </c>
      <c r="Y59" s="1"/>
      <c r="Z59" s="5">
        <f t="shared" si="35"/>
        <v>0.6830866250662273</v>
      </c>
    </row>
    <row r="60" spans="1:26" s="24" customFormat="1" hidden="1" outlineLevel="2" x14ac:dyDescent="0.25">
      <c r="A60" s="25"/>
      <c r="B60" s="11" t="str">
        <f>CONCATENATE("          ", "6381", " - ", "BANK/CREDIT CARD FEES")</f>
        <v xml:space="preserve">          6381 - BANK/CREDIT CARD FEES</v>
      </c>
      <c r="C60" s="11"/>
      <c r="D60" s="7">
        <v>10950.57</v>
      </c>
      <c r="E60" s="2"/>
      <c r="F60" s="6">
        <f t="shared" si="28"/>
        <v>2.6689932576940203E-2</v>
      </c>
      <c r="G60" s="2"/>
      <c r="H60" s="7">
        <v>7670</v>
      </c>
      <c r="I60" s="2"/>
      <c r="J60" s="6">
        <f t="shared" si="29"/>
        <v>1.7439943610091064E-2</v>
      </c>
      <c r="K60" s="2"/>
      <c r="L60" s="7">
        <f t="shared" si="30"/>
        <v>3280.5699999999997</v>
      </c>
      <c r="M60" s="2"/>
      <c r="N60" s="6">
        <f t="shared" si="31"/>
        <v>0.42771447196870921</v>
      </c>
      <c r="O60" s="11"/>
      <c r="P60" s="7">
        <v>114362.37000000001</v>
      </c>
      <c r="Q60" s="2"/>
      <c r="R60" s="6">
        <f t="shared" si="32"/>
        <v>3.2603742682705453E-2</v>
      </c>
      <c r="S60" s="2"/>
      <c r="T60" s="7">
        <v>67948</v>
      </c>
      <c r="U60" s="2"/>
      <c r="V60" s="6">
        <f t="shared" si="33"/>
        <v>1.6582656788204808E-2</v>
      </c>
      <c r="W60" s="2"/>
      <c r="X60" s="7">
        <f t="shared" si="34"/>
        <v>46414.37000000001</v>
      </c>
      <c r="Y60" s="2"/>
      <c r="Z60" s="6">
        <f t="shared" si="35"/>
        <v>0.6830866250662273</v>
      </c>
    </row>
    <row r="61" spans="1:26" s="27" customFormat="1" outlineLevel="1" collapsed="1" x14ac:dyDescent="0.25">
      <c r="A61" s="26"/>
      <c r="B61" s="13" t="str">
        <f>CONCATENATE("     ","Depreciation                                      ")</f>
        <v xml:space="preserve">     Depreciation                                      </v>
      </c>
      <c r="C61" s="13"/>
      <c r="D61" s="1">
        <f>SUM(OSRRefD22_5x_0)</f>
        <v>40745.619999999995</v>
      </c>
      <c r="E61" s="1"/>
      <c r="F61" s="5">
        <f t="shared" si="28"/>
        <v>9.9309702655261428E-2</v>
      </c>
      <c r="G61" s="1"/>
      <c r="H61" s="1">
        <f>SUM(OSRRefH22_5x_0)</f>
        <v>44988</v>
      </c>
      <c r="I61" s="1"/>
      <c r="J61" s="5">
        <f t="shared" si="29"/>
        <v>0.10229311383712866</v>
      </c>
      <c r="K61" s="1"/>
      <c r="L61" s="1">
        <f t="shared" si="30"/>
        <v>-4242.3800000000047</v>
      </c>
      <c r="M61" s="1"/>
      <c r="N61" s="5">
        <f t="shared" si="31"/>
        <v>-9.4300257846536964E-2</v>
      </c>
      <c r="O61" s="13"/>
      <c r="P61" s="1">
        <f>SUM(OSRRefP22_5x_0)</f>
        <v>279346.49</v>
      </c>
      <c r="Q61" s="1"/>
      <c r="R61" s="5">
        <f t="shared" si="32"/>
        <v>7.9639317367040857E-2</v>
      </c>
      <c r="S61" s="1"/>
      <c r="T61" s="1">
        <f>SUM(OSRRefT22_5x_0)</f>
        <v>296714</v>
      </c>
      <c r="U61" s="1"/>
      <c r="V61" s="5">
        <f t="shared" si="33"/>
        <v>7.2412821955839785E-2</v>
      </c>
      <c r="W61" s="1"/>
      <c r="X61" s="1">
        <f t="shared" si="34"/>
        <v>-17367.510000000009</v>
      </c>
      <c r="Y61" s="1"/>
      <c r="Z61" s="5">
        <f t="shared" si="35"/>
        <v>-5.853282959348062E-2</v>
      </c>
    </row>
    <row r="62" spans="1:26" s="24" customFormat="1" hidden="1" outlineLevel="2" x14ac:dyDescent="0.25">
      <c r="A62" s="25"/>
      <c r="B62" s="11" t="str">
        <f>CONCATENATE("          ", "6321", " - ", "BUILDING DEPRECIATION")</f>
        <v xml:space="preserve">          6321 - BUILDING DEPRECIATION</v>
      </c>
      <c r="C62" s="11"/>
      <c r="D62" s="7">
        <v>24042.959999999999</v>
      </c>
      <c r="E62" s="2"/>
      <c r="F62" s="6">
        <f t="shared" si="28"/>
        <v>5.8600144225375503E-2</v>
      </c>
      <c r="G62" s="2"/>
      <c r="H62" s="7">
        <v>23037</v>
      </c>
      <c r="I62" s="2"/>
      <c r="J62" s="6">
        <f t="shared" si="29"/>
        <v>5.2381223069839354E-2</v>
      </c>
      <c r="K62" s="2"/>
      <c r="L62" s="7">
        <f t="shared" si="30"/>
        <v>1005.9599999999991</v>
      </c>
      <c r="M62" s="2"/>
      <c r="N62" s="6">
        <f t="shared" si="31"/>
        <v>4.3667144159395717E-2</v>
      </c>
      <c r="O62" s="11"/>
      <c r="P62" s="7">
        <v>168300.72</v>
      </c>
      <c r="Q62" s="2"/>
      <c r="R62" s="6">
        <f t="shared" si="32"/>
        <v>4.7981109242437522E-2</v>
      </c>
      <c r="S62" s="2"/>
      <c r="T62" s="7">
        <v>161505</v>
      </c>
      <c r="U62" s="2"/>
      <c r="V62" s="6">
        <f t="shared" si="33"/>
        <v>3.9415170197489517E-2</v>
      </c>
      <c r="W62" s="2"/>
      <c r="X62" s="7">
        <f t="shared" si="34"/>
        <v>6795.7200000000012</v>
      </c>
      <c r="Y62" s="2"/>
      <c r="Z62" s="6">
        <f t="shared" si="35"/>
        <v>4.207745890220118E-2</v>
      </c>
    </row>
    <row r="63" spans="1:26" s="24" customFormat="1" hidden="1" outlineLevel="2" x14ac:dyDescent="0.25">
      <c r="A63" s="25"/>
      <c r="B63" s="11" t="str">
        <f>CONCATENATE("          ", "6322", " - ", "EQUIPMENT DEPRECIATION EXPENSE")</f>
        <v xml:space="preserve">          6322 - EQUIPMENT DEPRECIATION EXPENSE</v>
      </c>
      <c r="C63" s="11"/>
      <c r="D63" s="7">
        <v>16278.409999999998</v>
      </c>
      <c r="E63" s="2"/>
      <c r="F63" s="6">
        <f t="shared" si="28"/>
        <v>3.9675529708479935E-2</v>
      </c>
      <c r="G63" s="2"/>
      <c r="H63" s="7">
        <v>15301</v>
      </c>
      <c r="I63" s="2"/>
      <c r="J63" s="6">
        <f t="shared" si="29"/>
        <v>3.4791209540808783E-2</v>
      </c>
      <c r="K63" s="2"/>
      <c r="L63" s="7">
        <f t="shared" si="30"/>
        <v>977.40999999999804</v>
      </c>
      <c r="M63" s="2"/>
      <c r="N63" s="6">
        <f t="shared" si="31"/>
        <v>6.3878831448924783E-2</v>
      </c>
      <c r="O63" s="11"/>
      <c r="P63" s="7">
        <v>108076.01999999999</v>
      </c>
      <c r="Q63" s="2"/>
      <c r="R63" s="6">
        <f t="shared" si="32"/>
        <v>3.0811557562604969E-2</v>
      </c>
      <c r="S63" s="2"/>
      <c r="T63" s="7">
        <v>107107</v>
      </c>
      <c r="U63" s="2"/>
      <c r="V63" s="6">
        <f t="shared" si="33"/>
        <v>2.6139380417587749E-2</v>
      </c>
      <c r="W63" s="2"/>
      <c r="X63" s="7">
        <f t="shared" si="34"/>
        <v>969.01999999998952</v>
      </c>
      <c r="Y63" s="2"/>
      <c r="Z63" s="6">
        <f t="shared" si="35"/>
        <v>9.0472144677751169E-3</v>
      </c>
    </row>
    <row r="64" spans="1:26" s="24" customFormat="1" hidden="1" outlineLevel="2" x14ac:dyDescent="0.25">
      <c r="A64" s="25"/>
      <c r="B64" s="11" t="str">
        <f>CONCATENATE("          ", "6324", " - ", "FURNITURE + FIXT DEPRECIATION")</f>
        <v xml:space="preserve">          6324 - FURNITURE + FIXT DEPRECIATION</v>
      </c>
      <c r="C64" s="11"/>
      <c r="D64" s="7"/>
      <c r="E64" s="2"/>
      <c r="F64" s="6">
        <f t="shared" si="28"/>
        <v>0</v>
      </c>
      <c r="G64" s="2"/>
      <c r="H64" s="7">
        <v>4476</v>
      </c>
      <c r="I64" s="2"/>
      <c r="J64" s="6">
        <f t="shared" si="29"/>
        <v>1.0177469048079219E-2</v>
      </c>
      <c r="K64" s="2"/>
      <c r="L64" s="7">
        <f t="shared" si="30"/>
        <v>-4476</v>
      </c>
      <c r="M64" s="2"/>
      <c r="N64" s="6">
        <f t="shared" si="31"/>
        <v>-1</v>
      </c>
      <c r="O64" s="11"/>
      <c r="P64" s="7"/>
      <c r="Q64" s="2"/>
      <c r="R64" s="6">
        <f t="shared" si="32"/>
        <v>0</v>
      </c>
      <c r="S64" s="2"/>
      <c r="T64" s="7">
        <v>18134</v>
      </c>
      <c r="U64" s="2"/>
      <c r="V64" s="6">
        <f t="shared" si="33"/>
        <v>4.4255886589348618E-3</v>
      </c>
      <c r="W64" s="2"/>
      <c r="X64" s="7">
        <f t="shared" si="34"/>
        <v>-18134</v>
      </c>
      <c r="Y64" s="2"/>
      <c r="Z64" s="6">
        <f t="shared" si="35"/>
        <v>-1</v>
      </c>
    </row>
    <row r="65" spans="1:26" s="24" customFormat="1" hidden="1" outlineLevel="2" x14ac:dyDescent="0.25">
      <c r="A65" s="25"/>
      <c r="B65" s="11" t="str">
        <f>CONCATENATE("          ", "6326", " - ", "VEHICLES DEPRECIATION EXPENSE")</f>
        <v xml:space="preserve">          6326 - VEHICLES DEPRECIATION EXPENSE</v>
      </c>
      <c r="C65" s="11"/>
      <c r="D65" s="7">
        <v>424.25</v>
      </c>
      <c r="E65" s="2"/>
      <c r="F65" s="6">
        <f t="shared" si="28"/>
        <v>1.0340287214059983E-3</v>
      </c>
      <c r="G65" s="2"/>
      <c r="H65" s="7">
        <v>2174</v>
      </c>
      <c r="I65" s="2"/>
      <c r="J65" s="6">
        <f t="shared" si="29"/>
        <v>4.9432121784013005E-3</v>
      </c>
      <c r="K65" s="2"/>
      <c r="L65" s="7">
        <f t="shared" si="30"/>
        <v>-1749.75</v>
      </c>
      <c r="M65" s="2"/>
      <c r="N65" s="6">
        <f t="shared" si="31"/>
        <v>-0.80485280588776453</v>
      </c>
      <c r="O65" s="11"/>
      <c r="P65" s="7">
        <v>2969.75</v>
      </c>
      <c r="Q65" s="2"/>
      <c r="R65" s="6">
        <f t="shared" si="32"/>
        <v>8.4665056199836116E-4</v>
      </c>
      <c r="S65" s="2"/>
      <c r="T65" s="7">
        <v>9968</v>
      </c>
      <c r="U65" s="2"/>
      <c r="V65" s="6">
        <f t="shared" si="33"/>
        <v>2.4326826818276553E-3</v>
      </c>
      <c r="W65" s="2"/>
      <c r="X65" s="7">
        <f t="shared" si="34"/>
        <v>-6998.25</v>
      </c>
      <c r="Y65" s="2"/>
      <c r="Z65" s="6">
        <f t="shared" si="35"/>
        <v>-0.70207162921348309</v>
      </c>
    </row>
    <row r="66" spans="1:26" s="27" customFormat="1" outlineLevel="1" collapsed="1" x14ac:dyDescent="0.25">
      <c r="A66" s="26"/>
      <c r="B66" s="13" t="str">
        <f>CONCATENATE("     ","Discounts and Markdowns                           ")</f>
        <v xml:space="preserve">     Discounts and Markdowns                           </v>
      </c>
      <c r="C66" s="13"/>
      <c r="D66" s="1">
        <f>SUM(OSRRefD22_6x_0)</f>
        <v>0.09</v>
      </c>
      <c r="E66" s="1"/>
      <c r="F66" s="5">
        <f t="shared" ref="F66:F76" si="36">IF(D$12=0,0,D66/D$12)</f>
        <v>2.1935789022166137E-7</v>
      </c>
      <c r="G66" s="1"/>
      <c r="H66" s="1">
        <f>SUM(OSRRefH22_6x_0)</f>
        <v>0</v>
      </c>
      <c r="I66" s="1"/>
      <c r="J66" s="5">
        <f t="shared" ref="J66:J76" si="37">IF(H$12=0,0,H66/H$12)</f>
        <v>0</v>
      </c>
      <c r="K66" s="1"/>
      <c r="L66" s="1">
        <f t="shared" ref="L66:L76" si="38">+D66-H66</f>
        <v>0.09</v>
      </c>
      <c r="M66" s="1"/>
      <c r="N66" s="5">
        <f t="shared" ref="N66:N76" si="39">IF(H66=0,0,L66/H66)</f>
        <v>0</v>
      </c>
      <c r="O66" s="13"/>
      <c r="P66" s="1">
        <f>SUM(OSRRefP22_6x_0)</f>
        <v>0.09</v>
      </c>
      <c r="Q66" s="1"/>
      <c r="R66" s="5">
        <f t="shared" ref="R66:R76" si="40">IF(P$12=0,0,P66/P$12)</f>
        <v>2.5658237420608636E-8</v>
      </c>
      <c r="S66" s="1"/>
      <c r="T66" s="1">
        <f>SUM(OSRRefT22_6x_0)</f>
        <v>0</v>
      </c>
      <c r="U66" s="1"/>
      <c r="V66" s="5">
        <f t="shared" ref="V66:V76" si="41">IF(T$12=0,0,T66/T$12)</f>
        <v>0</v>
      </c>
      <c r="W66" s="1"/>
      <c r="X66" s="1">
        <f t="shared" ref="X66:X76" si="42">+P66-T66</f>
        <v>0.09</v>
      </c>
      <c r="Y66" s="1"/>
      <c r="Z66" s="5">
        <f t="shared" ref="Z66:Z76" si="43">IF(T66=0,0,X66/T66)</f>
        <v>0</v>
      </c>
    </row>
    <row r="67" spans="1:26" s="24" customFormat="1" hidden="1" outlineLevel="2" x14ac:dyDescent="0.25">
      <c r="A67" s="25"/>
      <c r="B67" s="11" t="str">
        <f>CONCATENATE("          ", "6382", " - ", "DISCOUNTS/MARK DOWNS")</f>
        <v xml:space="preserve">          6382 - DISCOUNTS/MARK DOWNS</v>
      </c>
      <c r="C67" s="11"/>
      <c r="D67" s="7">
        <v>0.09</v>
      </c>
      <c r="E67" s="2"/>
      <c r="F67" s="6">
        <f t="shared" si="36"/>
        <v>2.1935789022166137E-7</v>
      </c>
      <c r="G67" s="2"/>
      <c r="H67" s="7"/>
      <c r="I67" s="2"/>
      <c r="J67" s="6">
        <f t="shared" si="37"/>
        <v>0</v>
      </c>
      <c r="K67" s="2"/>
      <c r="L67" s="7">
        <f t="shared" si="38"/>
        <v>0.09</v>
      </c>
      <c r="M67" s="2"/>
      <c r="N67" s="6">
        <f t="shared" si="39"/>
        <v>0</v>
      </c>
      <c r="O67" s="11"/>
      <c r="P67" s="7">
        <v>0.09</v>
      </c>
      <c r="Q67" s="2"/>
      <c r="R67" s="6">
        <f t="shared" si="40"/>
        <v>2.5658237420608636E-8</v>
      </c>
      <c r="S67" s="2"/>
      <c r="T67" s="7"/>
      <c r="U67" s="2"/>
      <c r="V67" s="6">
        <f t="shared" si="41"/>
        <v>0</v>
      </c>
      <c r="W67" s="2"/>
      <c r="X67" s="7">
        <f t="shared" si="42"/>
        <v>0.09</v>
      </c>
      <c r="Y67" s="2"/>
      <c r="Z67" s="6">
        <f t="shared" si="43"/>
        <v>0</v>
      </c>
    </row>
    <row r="68" spans="1:26" s="27" customFormat="1" outlineLevel="1" collapsed="1" x14ac:dyDescent="0.25">
      <c r="A68" s="26"/>
      <c r="B68" s="13" t="str">
        <f>CONCATENATE("     ","Donations                                         ")</f>
        <v xml:space="preserve">     Donations                                         </v>
      </c>
      <c r="C68" s="13"/>
      <c r="D68" s="1">
        <f>SUM(OSRRefD22_7x_0)</f>
        <v>0</v>
      </c>
      <c r="E68" s="1"/>
      <c r="F68" s="5">
        <f t="shared" si="36"/>
        <v>0</v>
      </c>
      <c r="G68" s="1"/>
      <c r="H68" s="1">
        <f>SUM(OSRRefH22_7x_0)</f>
        <v>500</v>
      </c>
      <c r="I68" s="1"/>
      <c r="J68" s="5">
        <f t="shared" si="37"/>
        <v>1.1368933252992872E-3</v>
      </c>
      <c r="K68" s="1"/>
      <c r="L68" s="1">
        <f t="shared" si="38"/>
        <v>-500</v>
      </c>
      <c r="M68" s="1"/>
      <c r="N68" s="5">
        <f t="shared" si="39"/>
        <v>-1</v>
      </c>
      <c r="O68" s="13"/>
      <c r="P68" s="1">
        <f>SUM(OSRRefP22_7x_0)</f>
        <v>236.68</v>
      </c>
      <c r="Q68" s="1"/>
      <c r="R68" s="5">
        <f t="shared" si="40"/>
        <v>6.7475462585662809E-5</v>
      </c>
      <c r="S68" s="1"/>
      <c r="T68" s="1">
        <f>SUM(OSRRefT22_7x_0)</f>
        <v>3500</v>
      </c>
      <c r="U68" s="1"/>
      <c r="V68" s="5">
        <f t="shared" si="41"/>
        <v>8.5417228996757561E-4</v>
      </c>
      <c r="W68" s="1"/>
      <c r="X68" s="1">
        <f t="shared" si="42"/>
        <v>-3263.32</v>
      </c>
      <c r="Y68" s="1"/>
      <c r="Z68" s="5">
        <f t="shared" si="43"/>
        <v>-0.9323771428571429</v>
      </c>
    </row>
    <row r="69" spans="1:26" s="24" customFormat="1" hidden="1" outlineLevel="2" x14ac:dyDescent="0.25">
      <c r="A69" s="25"/>
      <c r="B69" s="11" t="str">
        <f>CONCATENATE("          ", "6399", " - ", "DONATION-ON CAMPUS")</f>
        <v xml:space="preserve">          6399 - DONATION-ON CAMPUS</v>
      </c>
      <c r="C69" s="11"/>
      <c r="D69" s="7"/>
      <c r="E69" s="2"/>
      <c r="F69" s="6">
        <f t="shared" si="36"/>
        <v>0</v>
      </c>
      <c r="G69" s="2"/>
      <c r="H69" s="7">
        <v>500</v>
      </c>
      <c r="I69" s="2"/>
      <c r="J69" s="6">
        <f t="shared" si="37"/>
        <v>1.1368933252992872E-3</v>
      </c>
      <c r="K69" s="2"/>
      <c r="L69" s="7">
        <f t="shared" si="38"/>
        <v>-500</v>
      </c>
      <c r="M69" s="2"/>
      <c r="N69" s="6">
        <f t="shared" si="39"/>
        <v>-1</v>
      </c>
      <c r="O69" s="11"/>
      <c r="P69" s="7">
        <v>236.68</v>
      </c>
      <c r="Q69" s="2"/>
      <c r="R69" s="6">
        <f t="shared" si="40"/>
        <v>6.7475462585662809E-5</v>
      </c>
      <c r="S69" s="2"/>
      <c r="T69" s="7">
        <v>3500</v>
      </c>
      <c r="U69" s="2"/>
      <c r="V69" s="6">
        <f t="shared" si="41"/>
        <v>8.5417228996757561E-4</v>
      </c>
      <c r="W69" s="2"/>
      <c r="X69" s="7">
        <f t="shared" si="42"/>
        <v>-3263.32</v>
      </c>
      <c r="Y69" s="2"/>
      <c r="Z69" s="6">
        <f t="shared" si="43"/>
        <v>-0.9323771428571429</v>
      </c>
    </row>
    <row r="70" spans="1:26" s="27" customFormat="1" outlineLevel="1" collapsed="1" x14ac:dyDescent="0.25">
      <c r="A70" s="26"/>
      <c r="B70" s="13" t="str">
        <f>CONCATENATE("     ","Employees' Appreciation                           ")</f>
        <v xml:space="preserve">     Employees' Appreciation                           </v>
      </c>
      <c r="C70" s="13"/>
      <c r="D70" s="1">
        <f>SUM(OSRRefD22_8x_0)</f>
        <v>162.79</v>
      </c>
      <c r="E70" s="1"/>
      <c r="F70" s="5">
        <f t="shared" si="36"/>
        <v>3.9676967721315838E-4</v>
      </c>
      <c r="G70" s="1"/>
      <c r="H70" s="1">
        <f>SUM(OSRRefH22_8x_0)</f>
        <v>200</v>
      </c>
      <c r="I70" s="1"/>
      <c r="J70" s="5">
        <f t="shared" si="37"/>
        <v>4.5475733011971485E-4</v>
      </c>
      <c r="K70" s="1"/>
      <c r="L70" s="1">
        <f t="shared" si="38"/>
        <v>-37.210000000000008</v>
      </c>
      <c r="M70" s="1"/>
      <c r="N70" s="5">
        <f t="shared" si="39"/>
        <v>-0.18605000000000005</v>
      </c>
      <c r="O70" s="13"/>
      <c r="P70" s="1">
        <f>SUM(OSRRefP22_8x_0)</f>
        <v>1372.65</v>
      </c>
      <c r="Q70" s="1"/>
      <c r="R70" s="5">
        <f t="shared" si="40"/>
        <v>3.9133088439331613E-4</v>
      </c>
      <c r="S70" s="1"/>
      <c r="T70" s="1">
        <f>SUM(OSRRefT22_8x_0)</f>
        <v>3815</v>
      </c>
      <c r="U70" s="1"/>
      <c r="V70" s="5">
        <f t="shared" si="41"/>
        <v>9.310477960646574E-4</v>
      </c>
      <c r="W70" s="1"/>
      <c r="X70" s="1">
        <f t="shared" si="42"/>
        <v>-2442.35</v>
      </c>
      <c r="Y70" s="1"/>
      <c r="Z70" s="5">
        <f t="shared" si="43"/>
        <v>-0.64019659239842719</v>
      </c>
    </row>
    <row r="71" spans="1:26" s="24" customFormat="1" hidden="1" outlineLevel="2" x14ac:dyDescent="0.25">
      <c r="A71" s="25"/>
      <c r="B71" s="11" t="str">
        <f>CONCATENATE("          ", "6277", " - ", "EMPLOYEE APPRECIATION")</f>
        <v xml:space="preserve">          6277 - EMPLOYEE APPRECIATION</v>
      </c>
      <c r="C71" s="11"/>
      <c r="D71" s="7">
        <v>162.79</v>
      </c>
      <c r="E71" s="2"/>
      <c r="F71" s="6">
        <f t="shared" si="36"/>
        <v>3.9676967721315838E-4</v>
      </c>
      <c r="G71" s="2"/>
      <c r="H71" s="7">
        <v>200</v>
      </c>
      <c r="I71" s="2"/>
      <c r="J71" s="6">
        <f t="shared" si="37"/>
        <v>4.5475733011971485E-4</v>
      </c>
      <c r="K71" s="2"/>
      <c r="L71" s="7">
        <f t="shared" si="38"/>
        <v>-37.210000000000008</v>
      </c>
      <c r="M71" s="2"/>
      <c r="N71" s="6">
        <f t="shared" si="39"/>
        <v>-0.18605000000000005</v>
      </c>
      <c r="O71" s="11"/>
      <c r="P71" s="7">
        <v>1372.65</v>
      </c>
      <c r="Q71" s="2"/>
      <c r="R71" s="6">
        <f t="shared" si="40"/>
        <v>3.9133088439331613E-4</v>
      </c>
      <c r="S71" s="2"/>
      <c r="T71" s="7">
        <v>3815</v>
      </c>
      <c r="U71" s="2"/>
      <c r="V71" s="6">
        <f t="shared" si="41"/>
        <v>9.310477960646574E-4</v>
      </c>
      <c r="W71" s="2"/>
      <c r="X71" s="7">
        <f t="shared" si="42"/>
        <v>-2442.35</v>
      </c>
      <c r="Y71" s="2"/>
      <c r="Z71" s="6">
        <f t="shared" si="43"/>
        <v>-0.64019659239842719</v>
      </c>
    </row>
    <row r="72" spans="1:26" s="27" customFormat="1" outlineLevel="1" collapsed="1" x14ac:dyDescent="0.25">
      <c r="A72" s="26"/>
      <c r="B72" s="13" t="str">
        <f>CONCATENATE("     ","Equipment Rental                                  ")</f>
        <v xml:space="preserve">     Equipment Rental                                  </v>
      </c>
      <c r="C72" s="13"/>
      <c r="D72" s="1">
        <f>SUM(OSRRefD22_9x_0)</f>
        <v>4676.88</v>
      </c>
      <c r="E72" s="1"/>
      <c r="F72" s="5">
        <f t="shared" si="36"/>
        <v>1.1399005884665374E-2</v>
      </c>
      <c r="G72" s="1"/>
      <c r="H72" s="1">
        <f>SUM(OSRRefH22_9x_0)</f>
        <v>1395</v>
      </c>
      <c r="I72" s="1"/>
      <c r="J72" s="5">
        <f t="shared" si="37"/>
        <v>3.1719323775850111E-3</v>
      </c>
      <c r="K72" s="1"/>
      <c r="L72" s="1">
        <f t="shared" si="38"/>
        <v>3281.88</v>
      </c>
      <c r="M72" s="1"/>
      <c r="N72" s="5">
        <f t="shared" si="39"/>
        <v>2.3526021505376344</v>
      </c>
      <c r="O72" s="13"/>
      <c r="P72" s="1">
        <f>SUM(OSRRefP22_9x_0)</f>
        <v>19559.89</v>
      </c>
      <c r="Q72" s="1"/>
      <c r="R72" s="5">
        <f t="shared" si="40"/>
        <v>5.576358906010985E-3</v>
      </c>
      <c r="S72" s="1"/>
      <c r="T72" s="1">
        <f>SUM(OSRRefT22_9x_0)</f>
        <v>10441</v>
      </c>
      <c r="U72" s="1"/>
      <c r="V72" s="5">
        <f t="shared" si="41"/>
        <v>2.5481179655861305E-3</v>
      </c>
      <c r="W72" s="1"/>
      <c r="X72" s="1">
        <f t="shared" si="42"/>
        <v>9118.89</v>
      </c>
      <c r="Y72" s="1"/>
      <c r="Z72" s="5">
        <f t="shared" si="43"/>
        <v>0.8733732401111004</v>
      </c>
    </row>
    <row r="73" spans="1:26" s="24" customFormat="1" hidden="1" outlineLevel="2" x14ac:dyDescent="0.25">
      <c r="A73" s="25"/>
      <c r="B73" s="11" t="str">
        <f>CONCATENATE("          ", "6351", " - ", "EQUIPMENT RENTAL")</f>
        <v xml:space="preserve">          6351 - EQUIPMENT RENTAL</v>
      </c>
      <c r="C73" s="11"/>
      <c r="D73" s="7">
        <v>4676.88</v>
      </c>
      <c r="E73" s="2"/>
      <c r="F73" s="6">
        <f t="shared" si="36"/>
        <v>1.1399005884665374E-2</v>
      </c>
      <c r="G73" s="2"/>
      <c r="H73" s="7">
        <v>1395</v>
      </c>
      <c r="I73" s="2"/>
      <c r="J73" s="6">
        <f t="shared" si="37"/>
        <v>3.1719323775850111E-3</v>
      </c>
      <c r="K73" s="2"/>
      <c r="L73" s="7">
        <f t="shared" si="38"/>
        <v>3281.88</v>
      </c>
      <c r="M73" s="2"/>
      <c r="N73" s="6">
        <f t="shared" si="39"/>
        <v>2.3526021505376344</v>
      </c>
      <c r="O73" s="11"/>
      <c r="P73" s="7">
        <v>19559.89</v>
      </c>
      <c r="Q73" s="2"/>
      <c r="R73" s="6">
        <f t="shared" si="40"/>
        <v>5.576358906010985E-3</v>
      </c>
      <c r="S73" s="2"/>
      <c r="T73" s="7">
        <v>10441</v>
      </c>
      <c r="U73" s="2"/>
      <c r="V73" s="6">
        <f t="shared" si="41"/>
        <v>2.5481179655861305E-3</v>
      </c>
      <c r="W73" s="2"/>
      <c r="X73" s="7">
        <f t="shared" si="42"/>
        <v>9118.89</v>
      </c>
      <c r="Y73" s="2"/>
      <c r="Z73" s="6">
        <f t="shared" si="43"/>
        <v>0.8733732401111004</v>
      </c>
    </row>
    <row r="74" spans="1:26" s="27" customFormat="1" outlineLevel="1" collapsed="1" x14ac:dyDescent="0.25">
      <c r="A74" s="26"/>
      <c r="B74" s="13" t="str">
        <f>CONCATENATE("     ","General                                           ")</f>
        <v xml:space="preserve">     General                                           </v>
      </c>
      <c r="C74" s="13"/>
      <c r="D74" s="1">
        <f>SUM(OSRRefD22_10x_0)</f>
        <v>9531.09</v>
      </c>
      <c r="E74" s="1"/>
      <c r="F74" s="5">
        <f t="shared" si="36"/>
        <v>2.3230219932364161E-2</v>
      </c>
      <c r="G74" s="1"/>
      <c r="H74" s="1">
        <f>SUM(OSRRefH22_10x_0)</f>
        <v>2125</v>
      </c>
      <c r="I74" s="1"/>
      <c r="J74" s="5">
        <f t="shared" si="37"/>
        <v>4.8317966325219707E-3</v>
      </c>
      <c r="K74" s="1"/>
      <c r="L74" s="1">
        <f t="shared" si="38"/>
        <v>7406.09</v>
      </c>
      <c r="M74" s="1"/>
      <c r="N74" s="5">
        <f t="shared" si="39"/>
        <v>3.4852188235294119</v>
      </c>
      <c r="O74" s="13"/>
      <c r="P74" s="1">
        <f>SUM(OSRRefP22_10x_0)</f>
        <v>75106.600000000006</v>
      </c>
      <c r="Q74" s="1"/>
      <c r="R74" s="5">
        <f t="shared" si="40"/>
        <v>2.1412255273940944E-2</v>
      </c>
      <c r="S74" s="1"/>
      <c r="T74" s="1">
        <f>SUM(OSRRefT22_10x_0)</f>
        <v>32900</v>
      </c>
      <c r="U74" s="1"/>
      <c r="V74" s="5">
        <f t="shared" si="41"/>
        <v>8.0292195256952102E-3</v>
      </c>
      <c r="W74" s="1"/>
      <c r="X74" s="1">
        <f t="shared" si="42"/>
        <v>42206.600000000006</v>
      </c>
      <c r="Y74" s="1"/>
      <c r="Z74" s="5">
        <f t="shared" si="43"/>
        <v>1.2828753799392099</v>
      </c>
    </row>
    <row r="75" spans="1:26" s="24" customFormat="1" hidden="1" outlineLevel="2" x14ac:dyDescent="0.25">
      <c r="A75" s="25"/>
      <c r="B75" s="11" t="str">
        <f>CONCATENATE("          ", "6269", " - ", "ENTERTAINMENT")</f>
        <v xml:space="preserve">          6269 - ENTERTAINMENT</v>
      </c>
      <c r="C75" s="11"/>
      <c r="D75" s="7"/>
      <c r="E75" s="2"/>
      <c r="F75" s="6">
        <f t="shared" si="36"/>
        <v>0</v>
      </c>
      <c r="G75" s="2"/>
      <c r="H75" s="7">
        <v>350</v>
      </c>
      <c r="I75" s="2"/>
      <c r="J75" s="6">
        <f t="shared" si="37"/>
        <v>7.9582532770950103E-4</v>
      </c>
      <c r="K75" s="2"/>
      <c r="L75" s="7">
        <f t="shared" si="38"/>
        <v>-350</v>
      </c>
      <c r="M75" s="2"/>
      <c r="N75" s="6">
        <f t="shared" si="39"/>
        <v>-1</v>
      </c>
      <c r="O75" s="11"/>
      <c r="P75" s="7">
        <v>7350</v>
      </c>
      <c r="Q75" s="2"/>
      <c r="R75" s="6">
        <f t="shared" si="40"/>
        <v>2.0954227226830388E-3</v>
      </c>
      <c r="S75" s="2"/>
      <c r="T75" s="7">
        <v>4700</v>
      </c>
      <c r="U75" s="2"/>
      <c r="V75" s="6">
        <f t="shared" si="41"/>
        <v>1.1470313608136016E-3</v>
      </c>
      <c r="W75" s="2"/>
      <c r="X75" s="7">
        <f t="shared" si="42"/>
        <v>2650</v>
      </c>
      <c r="Y75" s="2"/>
      <c r="Z75" s="6">
        <f t="shared" si="43"/>
        <v>0.56382978723404253</v>
      </c>
    </row>
    <row r="76" spans="1:26" s="24" customFormat="1" hidden="1" outlineLevel="2" x14ac:dyDescent="0.25">
      <c r="A76" s="25"/>
      <c r="B76" s="11" t="str">
        <f>CONCATENATE("          ", "6279", " - ", "GENERAL EXPENSE")</f>
        <v xml:space="preserve">          6279 - GENERAL EXPENSE</v>
      </c>
      <c r="C76" s="11"/>
      <c r="D76" s="7">
        <v>9531.09</v>
      </c>
      <c r="E76" s="2"/>
      <c r="F76" s="6">
        <f t="shared" si="36"/>
        <v>2.3230219932364161E-2</v>
      </c>
      <c r="G76" s="2"/>
      <c r="H76" s="7">
        <v>1775</v>
      </c>
      <c r="I76" s="2"/>
      <c r="J76" s="6">
        <f t="shared" si="37"/>
        <v>4.0359713048124697E-3</v>
      </c>
      <c r="K76" s="2"/>
      <c r="L76" s="7">
        <f t="shared" si="38"/>
        <v>7756.09</v>
      </c>
      <c r="M76" s="2"/>
      <c r="N76" s="6">
        <f t="shared" si="39"/>
        <v>4.369628169014085</v>
      </c>
      <c r="O76" s="11"/>
      <c r="P76" s="7">
        <v>67756.600000000006</v>
      </c>
      <c r="Q76" s="2"/>
      <c r="R76" s="6">
        <f t="shared" si="40"/>
        <v>1.9316832551257903E-2</v>
      </c>
      <c r="S76" s="2"/>
      <c r="T76" s="7">
        <v>28200</v>
      </c>
      <c r="U76" s="2"/>
      <c r="V76" s="6">
        <f t="shared" si="41"/>
        <v>6.8821881648816093E-3</v>
      </c>
      <c r="W76" s="2"/>
      <c r="X76" s="7">
        <f t="shared" si="42"/>
        <v>39556.600000000006</v>
      </c>
      <c r="Y76" s="2"/>
      <c r="Z76" s="6">
        <f t="shared" si="43"/>
        <v>1.4027163120567379</v>
      </c>
    </row>
    <row r="77" spans="1:26" s="27" customFormat="1" outlineLevel="1" collapsed="1" x14ac:dyDescent="0.25">
      <c r="A77" s="26"/>
      <c r="B77" s="13" t="str">
        <f>CONCATENATE("     ","Insurance                                         ")</f>
        <v xml:space="preserve">     Insurance                                         </v>
      </c>
      <c r="C77" s="13"/>
      <c r="D77" s="1">
        <f>SUM(OSRRefD22_11x_0)</f>
        <v>4240.13</v>
      </c>
      <c r="E77" s="1"/>
      <c r="F77" s="5">
        <f t="shared" ref="F77:F89" si="44">IF(D$12=0,0,D77/D$12)</f>
        <v>1.0334510789617479E-2</v>
      </c>
      <c r="G77" s="1"/>
      <c r="H77" s="1">
        <f>SUM(OSRRefH22_11x_0)</f>
        <v>4004</v>
      </c>
      <c r="I77" s="1"/>
      <c r="J77" s="5">
        <f t="shared" ref="J77:J89" si="45">IF(H$12=0,0,H77/H$12)</f>
        <v>9.1042417489966918E-3</v>
      </c>
      <c r="K77" s="1"/>
      <c r="L77" s="1">
        <f t="shared" ref="L77:L89" si="46">+D77-H77</f>
        <v>236.13000000000011</v>
      </c>
      <c r="M77" s="1"/>
      <c r="N77" s="5">
        <f t="shared" ref="N77:N89" si="47">IF(H77=0,0,L77/H77)</f>
        <v>5.8973526473526501E-2</v>
      </c>
      <c r="O77" s="13"/>
      <c r="P77" s="1">
        <f>SUM(OSRRefP22_11x_0)</f>
        <v>29680.91</v>
      </c>
      <c r="Q77" s="1"/>
      <c r="R77" s="5">
        <f t="shared" ref="R77:R89" si="48">IF(P$12=0,0,P77/P$12)</f>
        <v>8.4617759515524128E-3</v>
      </c>
      <c r="S77" s="1"/>
      <c r="T77" s="1">
        <f>SUM(OSRRefT22_11x_0)</f>
        <v>28028</v>
      </c>
      <c r="U77" s="1"/>
      <c r="V77" s="5">
        <f t="shared" ref="V77:V89" si="49">IF(T$12=0,0,T77/T$12)</f>
        <v>6.8402116980603453E-3</v>
      </c>
      <c r="W77" s="1"/>
      <c r="X77" s="1">
        <f t="shared" ref="X77:X89" si="50">+P77-T77</f>
        <v>1652.9099999999999</v>
      </c>
      <c r="Y77" s="1"/>
      <c r="Z77" s="5">
        <f t="shared" ref="Z77:Z89" si="51">IF(T77=0,0,X77/T77)</f>
        <v>5.8973526473526466E-2</v>
      </c>
    </row>
    <row r="78" spans="1:26" s="24" customFormat="1" hidden="1" outlineLevel="2" x14ac:dyDescent="0.25">
      <c r="A78" s="25"/>
      <c r="B78" s="11" t="str">
        <f>CONCATENATE("          ", "6314", " - ", "LIABILITY INSURANCE")</f>
        <v xml:space="preserve">          6314 - LIABILITY INSURANCE</v>
      </c>
      <c r="C78" s="11"/>
      <c r="D78" s="7">
        <v>4240.13</v>
      </c>
      <c r="E78" s="2"/>
      <c r="F78" s="6">
        <f t="shared" si="44"/>
        <v>1.0334510789617479E-2</v>
      </c>
      <c r="G78" s="2"/>
      <c r="H78" s="7">
        <v>4004</v>
      </c>
      <c r="I78" s="2"/>
      <c r="J78" s="6">
        <f t="shared" si="45"/>
        <v>9.1042417489966918E-3</v>
      </c>
      <c r="K78" s="2"/>
      <c r="L78" s="7">
        <f t="shared" si="46"/>
        <v>236.13000000000011</v>
      </c>
      <c r="M78" s="2"/>
      <c r="N78" s="6">
        <f t="shared" si="47"/>
        <v>5.8973526473526501E-2</v>
      </c>
      <c r="O78" s="11"/>
      <c r="P78" s="7">
        <v>29680.91</v>
      </c>
      <c r="Q78" s="2"/>
      <c r="R78" s="6">
        <f t="shared" si="48"/>
        <v>8.4617759515524128E-3</v>
      </c>
      <c r="S78" s="2"/>
      <c r="T78" s="7">
        <v>28028</v>
      </c>
      <c r="U78" s="2"/>
      <c r="V78" s="6">
        <f t="shared" si="49"/>
        <v>6.8402116980603453E-3</v>
      </c>
      <c r="W78" s="2"/>
      <c r="X78" s="7">
        <f t="shared" si="50"/>
        <v>1652.9099999999999</v>
      </c>
      <c r="Y78" s="2"/>
      <c r="Z78" s="6">
        <f t="shared" si="51"/>
        <v>5.8973526473526466E-2</v>
      </c>
    </row>
    <row r="79" spans="1:26" s="27" customFormat="1" outlineLevel="1" collapsed="1" x14ac:dyDescent="0.25">
      <c r="A79" s="26"/>
      <c r="B79" s="13" t="str">
        <f>CONCATENATE("     ","Interest                                          ")</f>
        <v xml:space="preserve">     Interest                                          </v>
      </c>
      <c r="C79" s="13"/>
      <c r="D79" s="1">
        <f>SUM(OSRRefD22_12x_0)</f>
        <v>7754</v>
      </c>
      <c r="E79" s="1"/>
      <c r="F79" s="5">
        <f t="shared" si="44"/>
        <v>1.8898900897541804E-2</v>
      </c>
      <c r="G79" s="1"/>
      <c r="H79" s="1">
        <f>SUM(OSRRefH22_12x_0)</f>
        <v>7754</v>
      </c>
      <c r="I79" s="1"/>
      <c r="J79" s="5">
        <f t="shared" si="45"/>
        <v>1.7630941688741346E-2</v>
      </c>
      <c r="K79" s="1"/>
      <c r="L79" s="1">
        <f t="shared" si="46"/>
        <v>0</v>
      </c>
      <c r="M79" s="1"/>
      <c r="N79" s="5">
        <f t="shared" si="47"/>
        <v>0</v>
      </c>
      <c r="O79" s="13"/>
      <c r="P79" s="1">
        <f>SUM(OSRRefP22_12x_0)</f>
        <v>53885.049999999996</v>
      </c>
      <c r="Q79" s="1"/>
      <c r="R79" s="5">
        <f t="shared" si="48"/>
        <v>1.5362171181348527E-2</v>
      </c>
      <c r="S79" s="1"/>
      <c r="T79" s="1">
        <f>SUM(OSRRefT22_12x_0)</f>
        <v>54278</v>
      </c>
      <c r="U79" s="1"/>
      <c r="V79" s="5">
        <f t="shared" si="49"/>
        <v>1.3246503872817162E-2</v>
      </c>
      <c r="W79" s="1"/>
      <c r="X79" s="1">
        <f t="shared" si="50"/>
        <v>-392.95000000000437</v>
      </c>
      <c r="Y79" s="1"/>
      <c r="Z79" s="5">
        <f t="shared" si="51"/>
        <v>-7.239581414201046E-3</v>
      </c>
    </row>
    <row r="80" spans="1:26" s="24" customFormat="1" hidden="1" outlineLevel="2" x14ac:dyDescent="0.25">
      <c r="A80" s="25"/>
      <c r="B80" s="11" t="str">
        <f>CONCATENATE("          ", "6401", " - ", "INTEREST EXPENSE")</f>
        <v xml:space="preserve">          6401 - INTEREST EXPENSE</v>
      </c>
      <c r="C80" s="11"/>
      <c r="D80" s="7">
        <v>7754</v>
      </c>
      <c r="E80" s="2"/>
      <c r="F80" s="6">
        <f t="shared" si="44"/>
        <v>1.8898900897541804E-2</v>
      </c>
      <c r="G80" s="2"/>
      <c r="H80" s="7">
        <v>7754</v>
      </c>
      <c r="I80" s="2"/>
      <c r="J80" s="6">
        <f t="shared" si="45"/>
        <v>1.7630941688741346E-2</v>
      </c>
      <c r="K80" s="2"/>
      <c r="L80" s="7">
        <f t="shared" si="46"/>
        <v>0</v>
      </c>
      <c r="M80" s="2"/>
      <c r="N80" s="6">
        <f t="shared" si="47"/>
        <v>0</v>
      </c>
      <c r="O80" s="11"/>
      <c r="P80" s="7">
        <v>53885.049999999996</v>
      </c>
      <c r="Q80" s="2"/>
      <c r="R80" s="6">
        <f t="shared" si="48"/>
        <v>1.5362171181348527E-2</v>
      </c>
      <c r="S80" s="2"/>
      <c r="T80" s="7">
        <v>54278</v>
      </c>
      <c r="U80" s="2"/>
      <c r="V80" s="6">
        <f t="shared" si="49"/>
        <v>1.3246503872817162E-2</v>
      </c>
      <c r="W80" s="2"/>
      <c r="X80" s="7">
        <f t="shared" si="50"/>
        <v>-392.95000000000437</v>
      </c>
      <c r="Y80" s="2"/>
      <c r="Z80" s="6">
        <f t="shared" si="51"/>
        <v>-7.239581414201046E-3</v>
      </c>
    </row>
    <row r="81" spans="1:26" s="27" customFormat="1" outlineLevel="1" collapsed="1" x14ac:dyDescent="0.25">
      <c r="A81" s="26"/>
      <c r="B81" s="13" t="str">
        <f>CONCATENATE("     ","Professional Services                             ")</f>
        <v xml:space="preserve">     Professional Services                             </v>
      </c>
      <c r="C81" s="13"/>
      <c r="D81" s="1">
        <f>SUM(OSRRefD22_13x_0)</f>
        <v>0</v>
      </c>
      <c r="E81" s="1"/>
      <c r="F81" s="5">
        <f t="shared" si="44"/>
        <v>0</v>
      </c>
      <c r="G81" s="1"/>
      <c r="H81" s="1">
        <f>SUM(OSRRefH22_13x_0)</f>
        <v>0</v>
      </c>
      <c r="I81" s="1"/>
      <c r="J81" s="5">
        <f t="shared" si="45"/>
        <v>0</v>
      </c>
      <c r="K81" s="1"/>
      <c r="L81" s="1">
        <f t="shared" si="46"/>
        <v>0</v>
      </c>
      <c r="M81" s="1"/>
      <c r="N81" s="5">
        <f t="shared" si="47"/>
        <v>0</v>
      </c>
      <c r="O81" s="13"/>
      <c r="P81" s="1">
        <f>SUM(OSRRefP22_13x_0)</f>
        <v>125</v>
      </c>
      <c r="Q81" s="1"/>
      <c r="R81" s="5">
        <f t="shared" si="48"/>
        <v>3.5636440861956441E-5</v>
      </c>
      <c r="S81" s="1"/>
      <c r="T81" s="1">
        <f>SUM(OSRRefT22_13x_0)</f>
        <v>0</v>
      </c>
      <c r="U81" s="1"/>
      <c r="V81" s="5">
        <f t="shared" si="49"/>
        <v>0</v>
      </c>
      <c r="W81" s="1"/>
      <c r="X81" s="1">
        <f t="shared" si="50"/>
        <v>125</v>
      </c>
      <c r="Y81" s="1"/>
      <c r="Z81" s="5">
        <f t="shared" si="51"/>
        <v>0</v>
      </c>
    </row>
    <row r="82" spans="1:26" s="24" customFormat="1" hidden="1" outlineLevel="2" x14ac:dyDescent="0.25">
      <c r="A82" s="25"/>
      <c r="B82" s="11" t="str">
        <f>CONCATENATE("          ", "6336", " - ", "PROFESSIONAL SERVICES")</f>
        <v xml:space="preserve">          6336 - PROFESSIONAL SERVICES</v>
      </c>
      <c r="C82" s="11"/>
      <c r="D82" s="7"/>
      <c r="E82" s="2"/>
      <c r="F82" s="6">
        <f t="shared" si="44"/>
        <v>0</v>
      </c>
      <c r="G82" s="2"/>
      <c r="H82" s="7"/>
      <c r="I82" s="2"/>
      <c r="J82" s="6">
        <f t="shared" si="45"/>
        <v>0</v>
      </c>
      <c r="K82" s="2"/>
      <c r="L82" s="7">
        <f t="shared" si="46"/>
        <v>0</v>
      </c>
      <c r="M82" s="2"/>
      <c r="N82" s="6">
        <f t="shared" si="47"/>
        <v>0</v>
      </c>
      <c r="O82" s="11"/>
      <c r="P82" s="7">
        <v>125</v>
      </c>
      <c r="Q82" s="2"/>
      <c r="R82" s="6">
        <f t="shared" si="48"/>
        <v>3.5636440861956441E-5</v>
      </c>
      <c r="S82" s="2"/>
      <c r="T82" s="7"/>
      <c r="U82" s="2"/>
      <c r="V82" s="6">
        <f t="shared" si="49"/>
        <v>0</v>
      </c>
      <c r="W82" s="2"/>
      <c r="X82" s="7">
        <f t="shared" si="50"/>
        <v>125</v>
      </c>
      <c r="Y82" s="2"/>
      <c r="Z82" s="6">
        <f t="shared" si="51"/>
        <v>0</v>
      </c>
    </row>
    <row r="83" spans="1:26" s="27" customFormat="1" outlineLevel="1" collapsed="1" x14ac:dyDescent="0.25">
      <c r="A83" s="26"/>
      <c r="B83" s="13" t="str">
        <f>CONCATENATE("     ","Rent                                              ")</f>
        <v xml:space="preserve">     Rent                                              </v>
      </c>
      <c r="C83" s="13"/>
      <c r="D83" s="1">
        <f>SUM(OSRRefD22_14x_0)</f>
        <v>1850</v>
      </c>
      <c r="E83" s="1"/>
      <c r="F83" s="5">
        <f t="shared" si="44"/>
        <v>4.5090232990008172E-3</v>
      </c>
      <c r="G83" s="1"/>
      <c r="H83" s="1">
        <f>SUM(OSRRefH22_14x_0)</f>
        <v>1850</v>
      </c>
      <c r="I83" s="1"/>
      <c r="J83" s="5">
        <f t="shared" si="45"/>
        <v>4.2065053036073625E-3</v>
      </c>
      <c r="K83" s="1"/>
      <c r="L83" s="1">
        <f t="shared" si="46"/>
        <v>0</v>
      </c>
      <c r="M83" s="1"/>
      <c r="N83" s="5">
        <f t="shared" si="47"/>
        <v>0</v>
      </c>
      <c r="O83" s="13"/>
      <c r="P83" s="1">
        <f>SUM(OSRRefP22_14x_0)</f>
        <v>12950</v>
      </c>
      <c r="Q83" s="1"/>
      <c r="R83" s="5">
        <f t="shared" si="48"/>
        <v>3.6919352732986874E-3</v>
      </c>
      <c r="S83" s="1"/>
      <c r="T83" s="1">
        <f>SUM(OSRRefT22_14x_0)</f>
        <v>12950</v>
      </c>
      <c r="U83" s="1"/>
      <c r="V83" s="5">
        <f t="shared" si="49"/>
        <v>3.1604374728800297E-3</v>
      </c>
      <c r="W83" s="1"/>
      <c r="X83" s="1">
        <f t="shared" si="50"/>
        <v>0</v>
      </c>
      <c r="Y83" s="1"/>
      <c r="Z83" s="5">
        <f t="shared" si="51"/>
        <v>0</v>
      </c>
    </row>
    <row r="84" spans="1:26" s="24" customFormat="1" hidden="1" outlineLevel="2" x14ac:dyDescent="0.25">
      <c r="A84" s="25"/>
      <c r="B84" s="11" t="str">
        <f>CONCATENATE("          ", "6273", " - ", "RENT")</f>
        <v xml:space="preserve">          6273 - RENT</v>
      </c>
      <c r="C84" s="11"/>
      <c r="D84" s="7">
        <v>1850</v>
      </c>
      <c r="E84" s="2"/>
      <c r="F84" s="6">
        <f t="shared" si="44"/>
        <v>4.5090232990008172E-3</v>
      </c>
      <c r="G84" s="2"/>
      <c r="H84" s="7">
        <v>1850</v>
      </c>
      <c r="I84" s="2"/>
      <c r="J84" s="6">
        <f t="shared" si="45"/>
        <v>4.2065053036073625E-3</v>
      </c>
      <c r="K84" s="2"/>
      <c r="L84" s="7">
        <f t="shared" si="46"/>
        <v>0</v>
      </c>
      <c r="M84" s="2"/>
      <c r="N84" s="6">
        <f t="shared" si="47"/>
        <v>0</v>
      </c>
      <c r="O84" s="11"/>
      <c r="P84" s="7">
        <v>12950</v>
      </c>
      <c r="Q84" s="2"/>
      <c r="R84" s="6">
        <f t="shared" si="48"/>
        <v>3.6919352732986874E-3</v>
      </c>
      <c r="S84" s="2"/>
      <c r="T84" s="7">
        <v>12950</v>
      </c>
      <c r="U84" s="2"/>
      <c r="V84" s="6">
        <f t="shared" si="49"/>
        <v>3.1604374728800297E-3</v>
      </c>
      <c r="W84" s="2"/>
      <c r="X84" s="7">
        <f t="shared" si="50"/>
        <v>0</v>
      </c>
      <c r="Y84" s="2"/>
      <c r="Z84" s="6">
        <f t="shared" si="51"/>
        <v>0</v>
      </c>
    </row>
    <row r="85" spans="1:26" s="27" customFormat="1" outlineLevel="1" collapsed="1" x14ac:dyDescent="0.25">
      <c r="A85" s="26"/>
      <c r="B85" s="13" t="str">
        <f>CONCATENATE("     ","Repair and Maintenance                            ")</f>
        <v xml:space="preserve">     Repair and Maintenance                            </v>
      </c>
      <c r="C85" s="13"/>
      <c r="D85" s="1">
        <f>SUM(OSRRefD22_15x_0)</f>
        <v>32479.58</v>
      </c>
      <c r="E85" s="1"/>
      <c r="F85" s="5">
        <f t="shared" si="44"/>
        <v>7.9162801600951876E-2</v>
      </c>
      <c r="G85" s="1"/>
      <c r="H85" s="1">
        <f>SUM(OSRRefH22_15x_0)</f>
        <v>15950</v>
      </c>
      <c r="I85" s="1"/>
      <c r="J85" s="5">
        <f t="shared" si="45"/>
        <v>3.6266897077047264E-2</v>
      </c>
      <c r="K85" s="1"/>
      <c r="L85" s="1">
        <f t="shared" si="46"/>
        <v>16529.580000000002</v>
      </c>
      <c r="M85" s="1"/>
      <c r="N85" s="5">
        <f t="shared" si="47"/>
        <v>1.0363373040752353</v>
      </c>
      <c r="O85" s="13"/>
      <c r="P85" s="1">
        <f>SUM(OSRRefP22_15x_0)</f>
        <v>176930.3</v>
      </c>
      <c r="Q85" s="1"/>
      <c r="R85" s="5">
        <f t="shared" si="48"/>
        <v>5.0441329381105689E-2</v>
      </c>
      <c r="S85" s="1"/>
      <c r="T85" s="1">
        <f>SUM(OSRRefT22_15x_0)</f>
        <v>152021</v>
      </c>
      <c r="U85" s="1"/>
      <c r="V85" s="5">
        <f t="shared" si="49"/>
        <v>3.7100607340903091E-2</v>
      </c>
      <c r="W85" s="1"/>
      <c r="X85" s="1">
        <f t="shared" si="50"/>
        <v>24909.299999999988</v>
      </c>
      <c r="Y85" s="1"/>
      <c r="Z85" s="5">
        <f t="shared" si="51"/>
        <v>0.16385433591411705</v>
      </c>
    </row>
    <row r="86" spans="1:26" s="24" customFormat="1" hidden="1" outlineLevel="2" x14ac:dyDescent="0.25">
      <c r="A86" s="25"/>
      <c r="B86" s="11" t="str">
        <f>CONCATENATE("          ", "6371", " - ", "COMPUTER SOFTWARE MAINTENANCE")</f>
        <v xml:space="preserve">          6371 - COMPUTER SOFTWARE MAINTENANCE</v>
      </c>
      <c r="C86" s="11"/>
      <c r="D86" s="7"/>
      <c r="E86" s="2"/>
      <c r="F86" s="6">
        <f t="shared" si="44"/>
        <v>0</v>
      </c>
      <c r="G86" s="2"/>
      <c r="H86" s="7">
        <v>500</v>
      </c>
      <c r="I86" s="2"/>
      <c r="J86" s="6">
        <f t="shared" si="45"/>
        <v>1.1368933252992872E-3</v>
      </c>
      <c r="K86" s="2"/>
      <c r="L86" s="7">
        <f t="shared" si="46"/>
        <v>-500</v>
      </c>
      <c r="M86" s="2"/>
      <c r="N86" s="6">
        <f t="shared" si="47"/>
        <v>-1</v>
      </c>
      <c r="O86" s="11"/>
      <c r="P86" s="7">
        <v>10932.69</v>
      </c>
      <c r="Q86" s="2"/>
      <c r="R86" s="6">
        <f t="shared" si="48"/>
        <v>3.1168172851768206E-3</v>
      </c>
      <c r="S86" s="2"/>
      <c r="T86" s="7">
        <v>1800</v>
      </c>
      <c r="U86" s="2"/>
      <c r="V86" s="6">
        <f t="shared" si="49"/>
        <v>4.392886062690389E-4</v>
      </c>
      <c r="W86" s="2"/>
      <c r="X86" s="7">
        <f t="shared" si="50"/>
        <v>9132.69</v>
      </c>
      <c r="Y86" s="2"/>
      <c r="Z86" s="6">
        <f t="shared" si="51"/>
        <v>5.0737166666666669</v>
      </c>
    </row>
    <row r="87" spans="1:26" s="24" customFormat="1" hidden="1" outlineLevel="2" x14ac:dyDescent="0.25">
      <c r="A87" s="25"/>
      <c r="B87" s="11" t="str">
        <f>CONCATENATE("          ", "6372", " - ", "COMPUTER HARDWARE MAINTENANCE")</f>
        <v xml:space="preserve">          6372 - COMPUTER HARDWARE MAINTENANCE</v>
      </c>
      <c r="C87" s="11"/>
      <c r="D87" s="7">
        <v>-0.01</v>
      </c>
      <c r="E87" s="2"/>
      <c r="F87" s="6">
        <f t="shared" si="44"/>
        <v>-2.4373098913517931E-8</v>
      </c>
      <c r="G87" s="2"/>
      <c r="H87" s="7"/>
      <c r="I87" s="2"/>
      <c r="J87" s="6">
        <f t="shared" si="45"/>
        <v>0</v>
      </c>
      <c r="K87" s="2"/>
      <c r="L87" s="7">
        <f t="shared" si="46"/>
        <v>-0.01</v>
      </c>
      <c r="M87" s="2"/>
      <c r="N87" s="6">
        <f t="shared" si="47"/>
        <v>0</v>
      </c>
      <c r="O87" s="11"/>
      <c r="P87" s="7">
        <v>-0.01</v>
      </c>
      <c r="Q87" s="2"/>
      <c r="R87" s="6">
        <f t="shared" si="48"/>
        <v>-2.8509152689565155E-9</v>
      </c>
      <c r="S87" s="2"/>
      <c r="T87" s="7">
        <v>200</v>
      </c>
      <c r="U87" s="2"/>
      <c r="V87" s="6">
        <f t="shared" si="49"/>
        <v>4.8809845141004319E-5</v>
      </c>
      <c r="W87" s="2"/>
      <c r="X87" s="7">
        <f t="shared" si="50"/>
        <v>-200.01</v>
      </c>
      <c r="Y87" s="2"/>
      <c r="Z87" s="6">
        <f t="shared" si="51"/>
        <v>-1.0000499999999999</v>
      </c>
    </row>
    <row r="88" spans="1:26" s="24" customFormat="1" hidden="1" outlineLevel="2" x14ac:dyDescent="0.25">
      <c r="A88" s="25"/>
      <c r="B88" s="11" t="str">
        <f>CONCATENATE("          ", "6373", " - ", "MAINTENANCE CONTRACTS")</f>
        <v xml:space="preserve">          6373 - MAINTENANCE CONTRACTS</v>
      </c>
      <c r="C88" s="11"/>
      <c r="D88" s="7">
        <v>6799</v>
      </c>
      <c r="E88" s="2"/>
      <c r="F88" s="6">
        <f t="shared" si="44"/>
        <v>1.657126995130084E-2</v>
      </c>
      <c r="G88" s="2"/>
      <c r="H88" s="7">
        <v>2200</v>
      </c>
      <c r="I88" s="2"/>
      <c r="J88" s="6">
        <f t="shared" si="45"/>
        <v>5.0023306313168635E-3</v>
      </c>
      <c r="K88" s="2"/>
      <c r="L88" s="7">
        <f t="shared" si="46"/>
        <v>4599</v>
      </c>
      <c r="M88" s="2"/>
      <c r="N88" s="6">
        <f t="shared" si="47"/>
        <v>2.0904545454545453</v>
      </c>
      <c r="O88" s="11"/>
      <c r="P88" s="7">
        <v>65120.62</v>
      </c>
      <c r="Q88" s="2"/>
      <c r="R88" s="6">
        <f t="shared" si="48"/>
        <v>1.8565336988191503E-2</v>
      </c>
      <c r="S88" s="2"/>
      <c r="T88" s="7">
        <v>16146</v>
      </c>
      <c r="U88" s="2"/>
      <c r="V88" s="6">
        <f t="shared" si="49"/>
        <v>3.9404187982332792E-3</v>
      </c>
      <c r="W88" s="2"/>
      <c r="X88" s="7">
        <f t="shared" si="50"/>
        <v>48974.62</v>
      </c>
      <c r="Y88" s="2"/>
      <c r="Z88" s="6">
        <f t="shared" si="51"/>
        <v>3.0332354762789548</v>
      </c>
    </row>
    <row r="89" spans="1:26" s="24" customFormat="1" hidden="1" outlineLevel="2" x14ac:dyDescent="0.25">
      <c r="A89" s="25"/>
      <c r="B89" s="11" t="str">
        <f>CONCATENATE("          ", "6375", " - ", "OUTSIDE REPAIRS &amp; MAINTENANCE")</f>
        <v xml:space="preserve">          6375 - OUTSIDE REPAIRS &amp; MAINTENANCE</v>
      </c>
      <c r="C89" s="11"/>
      <c r="D89" s="7">
        <v>25680.59</v>
      </c>
      <c r="E89" s="2"/>
      <c r="F89" s="6">
        <f t="shared" si="44"/>
        <v>6.2591556022749947E-2</v>
      </c>
      <c r="G89" s="2"/>
      <c r="H89" s="7">
        <v>13250</v>
      </c>
      <c r="I89" s="2"/>
      <c r="J89" s="6">
        <f t="shared" si="45"/>
        <v>3.012767312043111E-2</v>
      </c>
      <c r="K89" s="2"/>
      <c r="L89" s="7">
        <f t="shared" si="46"/>
        <v>12430.59</v>
      </c>
      <c r="M89" s="2"/>
      <c r="N89" s="6">
        <f t="shared" si="47"/>
        <v>0.9381577358490566</v>
      </c>
      <c r="O89" s="11"/>
      <c r="P89" s="7">
        <v>100877</v>
      </c>
      <c r="Q89" s="2"/>
      <c r="R89" s="6">
        <f t="shared" si="48"/>
        <v>2.875917795865264E-2</v>
      </c>
      <c r="S89" s="2"/>
      <c r="T89" s="7">
        <v>133875</v>
      </c>
      <c r="U89" s="2"/>
      <c r="V89" s="6">
        <f t="shared" si="49"/>
        <v>3.2672090091259764E-2</v>
      </c>
      <c r="W89" s="2"/>
      <c r="X89" s="7">
        <f t="shared" si="50"/>
        <v>-32998</v>
      </c>
      <c r="Y89" s="2"/>
      <c r="Z89" s="6">
        <f t="shared" si="51"/>
        <v>-0.24648366013071896</v>
      </c>
    </row>
    <row r="90" spans="1:26" s="27" customFormat="1" outlineLevel="1" collapsed="1" x14ac:dyDescent="0.25">
      <c r="A90" s="26"/>
      <c r="B90" s="13" t="str">
        <f>CONCATENATE("     ","Royalty &amp; Commissions                             ")</f>
        <v xml:space="preserve">     Royalty &amp; Commissions                             </v>
      </c>
      <c r="C90" s="13"/>
      <c r="D90" s="1">
        <f>SUM(OSRRefD22_16x_0)</f>
        <v>25849.93</v>
      </c>
      <c r="E90" s="1"/>
      <c r="F90" s="5">
        <f t="shared" ref="F90:F93" si="52">IF(D$12=0,0,D90/D$12)</f>
        <v>6.300429007975146E-2</v>
      </c>
      <c r="G90" s="1"/>
      <c r="H90" s="1">
        <f>SUM(OSRRefH22_16x_0)</f>
        <v>23440</v>
      </c>
      <c r="I90" s="1"/>
      <c r="J90" s="5">
        <f t="shared" ref="J90:J93" si="53">IF(H$12=0,0,H90/H$12)</f>
        <v>5.3297559090030582E-2</v>
      </c>
      <c r="K90" s="1"/>
      <c r="L90" s="1">
        <f t="shared" ref="L90:L93" si="54">+D90-H90</f>
        <v>2409.9300000000003</v>
      </c>
      <c r="M90" s="1"/>
      <c r="N90" s="5">
        <f t="shared" ref="N90:N93" si="55">IF(H90=0,0,L90/H90)</f>
        <v>0.10281271331058021</v>
      </c>
      <c r="O90" s="13"/>
      <c r="P90" s="1">
        <f>SUM(OSRRefP22_16x_0)</f>
        <v>159522.10999999999</v>
      </c>
      <c r="Q90" s="1"/>
      <c r="R90" s="5">
        <f t="shared" ref="R90:R93" si="56">IF(P$12=0,0,P90/P$12)</f>
        <v>4.5478401913516077E-2</v>
      </c>
      <c r="S90" s="1"/>
      <c r="T90" s="1">
        <f>SUM(OSRRefT22_16x_0)</f>
        <v>151901</v>
      </c>
      <c r="U90" s="1"/>
      <c r="V90" s="5">
        <f t="shared" ref="V90:V93" si="57">IF(T$12=0,0,T90/T$12)</f>
        <v>3.7071321433818485E-2</v>
      </c>
      <c r="W90" s="1"/>
      <c r="X90" s="1">
        <f t="shared" ref="X90:X93" si="58">+P90-T90</f>
        <v>7621.109999999986</v>
      </c>
      <c r="Y90" s="1"/>
      <c r="Z90" s="5">
        <f t="shared" ref="Z90:Z93" si="59">IF(T90=0,0,X90/T90)</f>
        <v>5.0171559107576556E-2</v>
      </c>
    </row>
    <row r="91" spans="1:26" s="24" customFormat="1" hidden="1" outlineLevel="2" x14ac:dyDescent="0.25">
      <c r="A91" s="25"/>
      <c r="B91" s="11" t="str">
        <f>CONCATENATE("          ", "6253", " - ", "ROYALTY DUE ATHLETICS-LRG")</f>
        <v xml:space="preserve">          6253 - ROYALTY DUE ATHLETICS-LRG</v>
      </c>
      <c r="C91" s="11"/>
      <c r="D91" s="7"/>
      <c r="E91" s="2"/>
      <c r="F91" s="6">
        <f t="shared" si="52"/>
        <v>0</v>
      </c>
      <c r="G91" s="2"/>
      <c r="H91" s="7">
        <v>16000</v>
      </c>
      <c r="I91" s="2"/>
      <c r="J91" s="6">
        <f t="shared" si="53"/>
        <v>3.6380586409577191E-2</v>
      </c>
      <c r="K91" s="2"/>
      <c r="L91" s="7">
        <f t="shared" si="54"/>
        <v>-16000</v>
      </c>
      <c r="M91" s="2"/>
      <c r="N91" s="6">
        <f t="shared" si="55"/>
        <v>-1</v>
      </c>
      <c r="O91" s="11"/>
      <c r="P91" s="7"/>
      <c r="Q91" s="2"/>
      <c r="R91" s="6">
        <f t="shared" si="56"/>
        <v>0</v>
      </c>
      <c r="S91" s="2"/>
      <c r="T91" s="7">
        <v>51000</v>
      </c>
      <c r="U91" s="2"/>
      <c r="V91" s="6">
        <f t="shared" si="57"/>
        <v>1.2446510510956101E-2</v>
      </c>
      <c r="W91" s="2"/>
      <c r="X91" s="7">
        <f t="shared" si="58"/>
        <v>-51000</v>
      </c>
      <c r="Y91" s="2"/>
      <c r="Z91" s="6">
        <f t="shared" si="59"/>
        <v>-1</v>
      </c>
    </row>
    <row r="92" spans="1:26" s="24" customFormat="1" hidden="1" outlineLevel="2" x14ac:dyDescent="0.25">
      <c r="A92" s="25"/>
      <c r="B92" s="11" t="str">
        <f>CONCATENATE("          ", "6254", " - ", "ROYALTY &amp; COMMISSIONS")</f>
        <v xml:space="preserve">          6254 - ROYALTY &amp; COMMISSIONS</v>
      </c>
      <c r="C92" s="11"/>
      <c r="D92" s="7">
        <v>17641.37</v>
      </c>
      <c r="E92" s="2"/>
      <c r="F92" s="6">
        <f t="shared" si="52"/>
        <v>4.2997485597996779E-2</v>
      </c>
      <c r="G92" s="2"/>
      <c r="H92" s="7"/>
      <c r="I92" s="2"/>
      <c r="J92" s="6">
        <f t="shared" si="53"/>
        <v>0</v>
      </c>
      <c r="K92" s="2"/>
      <c r="L92" s="7">
        <f t="shared" si="54"/>
        <v>17641.37</v>
      </c>
      <c r="M92" s="2"/>
      <c r="N92" s="6">
        <f t="shared" si="55"/>
        <v>0</v>
      </c>
      <c r="O92" s="11"/>
      <c r="P92" s="7">
        <v>78668.429999999993</v>
      </c>
      <c r="Q92" s="2"/>
      <c r="R92" s="6">
        <f t="shared" si="56"/>
        <v>2.242770282718368E-2</v>
      </c>
      <c r="S92" s="2"/>
      <c r="T92" s="7">
        <v>5117</v>
      </c>
      <c r="U92" s="2"/>
      <c r="V92" s="6">
        <f t="shared" si="57"/>
        <v>1.2487998879325956E-3</v>
      </c>
      <c r="W92" s="2"/>
      <c r="X92" s="7">
        <f t="shared" si="58"/>
        <v>73551.429999999993</v>
      </c>
      <c r="Y92" s="2"/>
      <c r="Z92" s="6">
        <f t="shared" si="59"/>
        <v>14.373935899941371</v>
      </c>
    </row>
    <row r="93" spans="1:26" s="24" customFormat="1" hidden="1" outlineLevel="2" x14ac:dyDescent="0.25">
      <c r="A93" s="25"/>
      <c r="B93" s="11" t="str">
        <f>CONCATENATE("          ", "6259", " - ", "ROYALTY &amp; COMMISSIONS")</f>
        <v xml:space="preserve">          6259 - ROYALTY &amp; COMMISSIONS</v>
      </c>
      <c r="C93" s="11"/>
      <c r="D93" s="7">
        <v>8208.56</v>
      </c>
      <c r="E93" s="2"/>
      <c r="F93" s="6">
        <f t="shared" si="52"/>
        <v>2.0006804481754674E-2</v>
      </c>
      <c r="G93" s="2"/>
      <c r="H93" s="7">
        <v>7440</v>
      </c>
      <c r="I93" s="2"/>
      <c r="J93" s="6">
        <f t="shared" si="53"/>
        <v>1.6916972680453394E-2</v>
      </c>
      <c r="K93" s="2"/>
      <c r="L93" s="7">
        <f t="shared" si="54"/>
        <v>768.55999999999949</v>
      </c>
      <c r="M93" s="2"/>
      <c r="N93" s="6">
        <f t="shared" si="55"/>
        <v>0.10330107526881714</v>
      </c>
      <c r="O93" s="11"/>
      <c r="P93" s="7">
        <v>80853.679999999993</v>
      </c>
      <c r="Q93" s="2"/>
      <c r="R93" s="6">
        <f t="shared" si="56"/>
        <v>2.30506990863324E-2</v>
      </c>
      <c r="S93" s="2"/>
      <c r="T93" s="7">
        <v>95784</v>
      </c>
      <c r="U93" s="2"/>
      <c r="V93" s="6">
        <f t="shared" si="57"/>
        <v>2.337601103492979E-2</v>
      </c>
      <c r="W93" s="2"/>
      <c r="X93" s="7">
        <f t="shared" si="58"/>
        <v>-14930.320000000007</v>
      </c>
      <c r="Y93" s="2"/>
      <c r="Z93" s="6">
        <f t="shared" si="59"/>
        <v>-0.15587488515827286</v>
      </c>
    </row>
    <row r="94" spans="1:26" s="27" customFormat="1" outlineLevel="1" collapsed="1" x14ac:dyDescent="0.25">
      <c r="A94" s="26"/>
      <c r="B94" s="13" t="str">
        <f>CONCATENATE("     ","Services                                          ")</f>
        <v xml:space="preserve">     Services                                          </v>
      </c>
      <c r="C94" s="13"/>
      <c r="D94" s="1">
        <f>SUM(OSRRefD22_17x_0)</f>
        <v>25171.949999999997</v>
      </c>
      <c r="E94" s="1"/>
      <c r="F94" s="5">
        <f t="shared" ref="F94:F99" si="60">IF(D$12=0,0,D94/D$12)</f>
        <v>6.1351842719612762E-2</v>
      </c>
      <c r="G94" s="1"/>
      <c r="H94" s="1">
        <f>SUM(OSRRefH22_17x_0)</f>
        <v>21751</v>
      </c>
      <c r="I94" s="1"/>
      <c r="J94" s="5">
        <f t="shared" ref="J94:J99" si="61">IF(H$12=0,0,H94/H$12)</f>
        <v>4.9457133437169593E-2</v>
      </c>
      <c r="K94" s="1"/>
      <c r="L94" s="1">
        <f t="shared" ref="L94:L99" si="62">+D94-H94</f>
        <v>3420.9499999999971</v>
      </c>
      <c r="M94" s="1"/>
      <c r="N94" s="5">
        <f t="shared" ref="N94:N99" si="63">IF(H94=0,0,L94/H94)</f>
        <v>0.15727782630683634</v>
      </c>
      <c r="O94" s="13"/>
      <c r="P94" s="1">
        <f>SUM(OSRRefP22_17x_0)</f>
        <v>156999.85999999999</v>
      </c>
      <c r="Q94" s="1"/>
      <c r="R94" s="5">
        <f t="shared" ref="R94:R99" si="64">IF(P$12=0,0,P94/P$12)</f>
        <v>4.4759329809803523E-2</v>
      </c>
      <c r="S94" s="1"/>
      <c r="T94" s="1">
        <f>SUM(OSRRefT22_17x_0)</f>
        <v>155701</v>
      </c>
      <c r="U94" s="1"/>
      <c r="V94" s="5">
        <f t="shared" ref="V94:V99" si="65">IF(T$12=0,0,T94/T$12)</f>
        <v>3.7998708491497571E-2</v>
      </c>
      <c r="W94" s="1"/>
      <c r="X94" s="1">
        <f t="shared" ref="X94:X99" si="66">+P94-T94</f>
        <v>1298.859999999986</v>
      </c>
      <c r="Y94" s="1"/>
      <c r="Z94" s="5">
        <f t="shared" ref="Z94:Z99" si="67">IF(T94=0,0,X94/T94)</f>
        <v>8.3420145021546807E-3</v>
      </c>
    </row>
    <row r="95" spans="1:26" s="24" customFormat="1" hidden="1" outlineLevel="2" x14ac:dyDescent="0.25">
      <c r="A95" s="25"/>
      <c r="B95" s="11" t="str">
        <f>CONCATENATE("          ", "6282", " - ", "JANITORIAL/EXTERMINATOR EXPENS")</f>
        <v xml:space="preserve">          6282 - JANITORIAL/EXTERMINATOR EXPENS</v>
      </c>
      <c r="C95" s="11"/>
      <c r="D95" s="7">
        <v>949.03</v>
      </c>
      <c r="E95" s="2"/>
      <c r="F95" s="6">
        <f t="shared" si="60"/>
        <v>2.3130802061895922E-3</v>
      </c>
      <c r="G95" s="2"/>
      <c r="H95" s="7">
        <v>1355</v>
      </c>
      <c r="I95" s="2"/>
      <c r="J95" s="6">
        <f t="shared" si="61"/>
        <v>3.080980911561068E-3</v>
      </c>
      <c r="K95" s="2"/>
      <c r="L95" s="7">
        <f t="shared" si="62"/>
        <v>-405.97</v>
      </c>
      <c r="M95" s="2"/>
      <c r="N95" s="6">
        <f t="shared" si="63"/>
        <v>-0.29960885608856092</v>
      </c>
      <c r="O95" s="11"/>
      <c r="P95" s="7">
        <v>9892.02</v>
      </c>
      <c r="Q95" s="2"/>
      <c r="R95" s="6">
        <f t="shared" si="64"/>
        <v>2.820131085882323E-3</v>
      </c>
      <c r="S95" s="2"/>
      <c r="T95" s="7">
        <v>9270</v>
      </c>
      <c r="U95" s="2"/>
      <c r="V95" s="6">
        <f t="shared" si="65"/>
        <v>2.2623363222855505E-3</v>
      </c>
      <c r="W95" s="2"/>
      <c r="X95" s="7">
        <f t="shared" si="66"/>
        <v>622.02000000000044</v>
      </c>
      <c r="Y95" s="2"/>
      <c r="Z95" s="6">
        <f t="shared" si="67"/>
        <v>6.7100323624595518E-2</v>
      </c>
    </row>
    <row r="96" spans="1:26" s="24" customFormat="1" hidden="1" outlineLevel="2" x14ac:dyDescent="0.25">
      <c r="A96" s="25"/>
      <c r="B96" s="11" t="str">
        <f>CONCATENATE("          ", "6283", " - ", "PLANT SERVICE")</f>
        <v xml:space="preserve">          6283 - PLANT SERVICE</v>
      </c>
      <c r="C96" s="11"/>
      <c r="D96" s="7"/>
      <c r="E96" s="2"/>
      <c r="F96" s="6">
        <f t="shared" si="60"/>
        <v>0</v>
      </c>
      <c r="G96" s="2"/>
      <c r="H96" s="7">
        <v>185</v>
      </c>
      <c r="I96" s="2"/>
      <c r="J96" s="6">
        <f t="shared" si="61"/>
        <v>4.2065053036073624E-4</v>
      </c>
      <c r="K96" s="2"/>
      <c r="L96" s="7">
        <f t="shared" si="62"/>
        <v>-185</v>
      </c>
      <c r="M96" s="2"/>
      <c r="N96" s="6">
        <f t="shared" si="63"/>
        <v>-1</v>
      </c>
      <c r="O96" s="11"/>
      <c r="P96" s="7">
        <v>799.12</v>
      </c>
      <c r="Q96" s="2"/>
      <c r="R96" s="6">
        <f t="shared" si="64"/>
        <v>2.2782234097285306E-4</v>
      </c>
      <c r="S96" s="2"/>
      <c r="T96" s="7">
        <v>1260</v>
      </c>
      <c r="U96" s="2"/>
      <c r="V96" s="6">
        <f t="shared" si="65"/>
        <v>3.0750202438832721E-4</v>
      </c>
      <c r="W96" s="2"/>
      <c r="X96" s="7">
        <f t="shared" si="66"/>
        <v>-460.88</v>
      </c>
      <c r="Y96" s="2"/>
      <c r="Z96" s="6">
        <f t="shared" si="67"/>
        <v>-0.36577777777777776</v>
      </c>
    </row>
    <row r="97" spans="1:26" s="24" customFormat="1" hidden="1" outlineLevel="2" x14ac:dyDescent="0.25">
      <c r="A97" s="25"/>
      <c r="B97" s="11" t="str">
        <f>CONCATENATE("          ", "6284", " - ", "TRASH REMOVAL EXPENSE")</f>
        <v xml:space="preserve">          6284 - TRASH REMOVAL EXPENSE</v>
      </c>
      <c r="C97" s="11"/>
      <c r="D97" s="7">
        <v>5130</v>
      </c>
      <c r="E97" s="2"/>
      <c r="F97" s="6">
        <f t="shared" si="60"/>
        <v>1.2503399742634699E-2</v>
      </c>
      <c r="G97" s="2"/>
      <c r="H97" s="7">
        <v>3515</v>
      </c>
      <c r="I97" s="2"/>
      <c r="J97" s="6">
        <f t="shared" si="61"/>
        <v>7.9923600768539889E-3</v>
      </c>
      <c r="K97" s="2"/>
      <c r="L97" s="7">
        <f t="shared" si="62"/>
        <v>1615</v>
      </c>
      <c r="M97" s="2"/>
      <c r="N97" s="6">
        <f t="shared" si="63"/>
        <v>0.45945945945945948</v>
      </c>
      <c r="O97" s="11"/>
      <c r="P97" s="7">
        <v>28023</v>
      </c>
      <c r="Q97" s="2"/>
      <c r="R97" s="6">
        <f t="shared" si="64"/>
        <v>7.9891198581968428E-3</v>
      </c>
      <c r="S97" s="2"/>
      <c r="T97" s="7">
        <v>24605</v>
      </c>
      <c r="U97" s="2"/>
      <c r="V97" s="6">
        <f t="shared" si="65"/>
        <v>6.0048311984720569E-3</v>
      </c>
      <c r="W97" s="2"/>
      <c r="X97" s="7">
        <f t="shared" si="66"/>
        <v>3418</v>
      </c>
      <c r="Y97" s="2"/>
      <c r="Z97" s="6">
        <f t="shared" si="67"/>
        <v>0.13891485470432838</v>
      </c>
    </row>
    <row r="98" spans="1:26" s="24" customFormat="1" hidden="1" outlineLevel="2" x14ac:dyDescent="0.25">
      <c r="A98" s="25"/>
      <c r="B98" s="11" t="str">
        <f>CONCATENATE("          ", "6285", " - ", "JANITORIAL SERVICES")</f>
        <v xml:space="preserve">          6285 - JANITORIAL SERVICES</v>
      </c>
      <c r="C98" s="11"/>
      <c r="D98" s="7">
        <v>16169.82</v>
      </c>
      <c r="E98" s="2"/>
      <c r="F98" s="6">
        <f t="shared" si="60"/>
        <v>3.9410862227378052E-2</v>
      </c>
      <c r="G98" s="2"/>
      <c r="H98" s="7">
        <v>13256</v>
      </c>
      <c r="I98" s="2"/>
      <c r="J98" s="6">
        <f t="shared" si="61"/>
        <v>3.0141315840334703E-2</v>
      </c>
      <c r="K98" s="2"/>
      <c r="L98" s="7">
        <f t="shared" si="62"/>
        <v>2913.8199999999997</v>
      </c>
      <c r="M98" s="2"/>
      <c r="N98" s="6">
        <f t="shared" si="63"/>
        <v>0.21981140615570305</v>
      </c>
      <c r="O98" s="11"/>
      <c r="P98" s="7">
        <v>95816.58</v>
      </c>
      <c r="Q98" s="2"/>
      <c r="R98" s="6">
        <f t="shared" si="64"/>
        <v>2.7316495094119347E-2</v>
      </c>
      <c r="S98" s="2"/>
      <c r="T98" s="7">
        <v>92754</v>
      </c>
      <c r="U98" s="2"/>
      <c r="V98" s="6">
        <f t="shared" si="65"/>
        <v>2.2636541881043575E-2</v>
      </c>
      <c r="W98" s="2"/>
      <c r="X98" s="7">
        <f t="shared" si="66"/>
        <v>3062.5800000000017</v>
      </c>
      <c r="Y98" s="2"/>
      <c r="Z98" s="6">
        <f t="shared" si="67"/>
        <v>3.3018306488129909E-2</v>
      </c>
    </row>
    <row r="99" spans="1:26" s="24" customFormat="1" hidden="1" outlineLevel="2" x14ac:dyDescent="0.25">
      <c r="A99" s="25"/>
      <c r="B99" s="11" t="str">
        <f>CONCATENATE("          ", "6286", " - ", "LAUNDRY EXPENSE")</f>
        <v xml:space="preserve">          6286 - LAUNDRY EXPENSE</v>
      </c>
      <c r="C99" s="11"/>
      <c r="D99" s="7">
        <v>2923.1</v>
      </c>
      <c r="E99" s="2"/>
      <c r="F99" s="6">
        <f t="shared" si="60"/>
        <v>7.1245005434104258E-3</v>
      </c>
      <c r="G99" s="2"/>
      <c r="H99" s="7">
        <v>3440</v>
      </c>
      <c r="I99" s="2"/>
      <c r="J99" s="6">
        <f t="shared" si="61"/>
        <v>7.8218260780590961E-3</v>
      </c>
      <c r="K99" s="2"/>
      <c r="L99" s="7">
        <f t="shared" si="62"/>
        <v>-516.90000000000009</v>
      </c>
      <c r="M99" s="2"/>
      <c r="N99" s="6">
        <f t="shared" si="63"/>
        <v>-0.15026162790697678</v>
      </c>
      <c r="O99" s="11"/>
      <c r="P99" s="7">
        <v>22469.14</v>
      </c>
      <c r="Q99" s="2"/>
      <c r="R99" s="6">
        <f t="shared" si="64"/>
        <v>6.4057614306321595E-3</v>
      </c>
      <c r="S99" s="2"/>
      <c r="T99" s="7">
        <v>27812</v>
      </c>
      <c r="U99" s="2"/>
      <c r="V99" s="6">
        <f t="shared" si="65"/>
        <v>6.787497065308061E-3</v>
      </c>
      <c r="W99" s="2"/>
      <c r="X99" s="7">
        <f t="shared" si="66"/>
        <v>-5342.8600000000006</v>
      </c>
      <c r="Y99" s="2"/>
      <c r="Z99" s="6">
        <f t="shared" si="67"/>
        <v>-0.19210628505681004</v>
      </c>
    </row>
    <row r="100" spans="1:26" s="27" customFormat="1" outlineLevel="1" collapsed="1" x14ac:dyDescent="0.25">
      <c r="A100" s="26"/>
      <c r="B100" s="13" t="str">
        <f>CONCATENATE("     ","Subscriptions &amp; Dues                              ")</f>
        <v xml:space="preserve">     Subscriptions &amp; Dues                              </v>
      </c>
      <c r="C100" s="13"/>
      <c r="D100" s="1">
        <f>SUM(OSRRefD22_18x_0)</f>
        <v>585.98</v>
      </c>
      <c r="E100" s="1"/>
      <c r="F100" s="5">
        <f t="shared" ref="F100:F102" si="68">IF(D$12=0,0,D100/D$12)</f>
        <v>1.4282148501343237E-3</v>
      </c>
      <c r="G100" s="1"/>
      <c r="H100" s="1">
        <f>SUM(OSRRefH22_18x_0)</f>
        <v>394</v>
      </c>
      <c r="I100" s="1"/>
      <c r="J100" s="5">
        <f t="shared" ref="J100:J102" si="69">IF(H$12=0,0,H100/H$12)</f>
        <v>8.9587194033583829E-4</v>
      </c>
      <c r="K100" s="1"/>
      <c r="L100" s="1">
        <f t="shared" ref="L100:L102" si="70">+D100-H100</f>
        <v>191.98000000000002</v>
      </c>
      <c r="M100" s="1"/>
      <c r="N100" s="5">
        <f t="shared" ref="N100:N102" si="71">IF(H100=0,0,L100/H100)</f>
        <v>0.48725888324873101</v>
      </c>
      <c r="O100" s="13"/>
      <c r="P100" s="1">
        <f>SUM(OSRRefP22_18x_0)</f>
        <v>6860.58</v>
      </c>
      <c r="Q100" s="1"/>
      <c r="R100" s="5">
        <f t="shared" ref="R100:R102" si="72">IF(P$12=0,0,P100/P$12)</f>
        <v>1.9558932275897689E-3</v>
      </c>
      <c r="S100" s="1"/>
      <c r="T100" s="1">
        <f>SUM(OSRRefT22_18x_0)</f>
        <v>2583</v>
      </c>
      <c r="U100" s="1"/>
      <c r="V100" s="5">
        <f t="shared" ref="V100:V102" si="73">IF(T$12=0,0,T100/T$12)</f>
        <v>6.3037914999607082E-4</v>
      </c>
      <c r="W100" s="1"/>
      <c r="X100" s="1">
        <f t="shared" ref="X100:X102" si="74">+P100-T100</f>
        <v>4277.58</v>
      </c>
      <c r="Y100" s="1"/>
      <c r="Z100" s="5">
        <f t="shared" ref="Z100:Z102" si="75">IF(T100=0,0,X100/T100)</f>
        <v>1.6560511033681764</v>
      </c>
    </row>
    <row r="101" spans="1:26" s="24" customFormat="1" hidden="1" outlineLevel="2" x14ac:dyDescent="0.25">
      <c r="A101" s="25"/>
      <c r="B101" s="11" t="str">
        <f>CONCATENATE("          ", "6258", " - ", "MEMBERSHIP DUES")</f>
        <v xml:space="preserve">          6258 - MEMBERSHIP DUES</v>
      </c>
      <c r="C101" s="11"/>
      <c r="D101" s="7">
        <v>131.19999999999999</v>
      </c>
      <c r="E101" s="2"/>
      <c r="F101" s="6">
        <f t="shared" si="68"/>
        <v>3.1977505774535522E-4</v>
      </c>
      <c r="G101" s="2"/>
      <c r="H101" s="7"/>
      <c r="I101" s="2"/>
      <c r="J101" s="6">
        <f t="shared" si="69"/>
        <v>0</v>
      </c>
      <c r="K101" s="2"/>
      <c r="L101" s="7">
        <f t="shared" si="70"/>
        <v>131.19999999999999</v>
      </c>
      <c r="M101" s="2"/>
      <c r="N101" s="6">
        <f t="shared" si="71"/>
        <v>0</v>
      </c>
      <c r="O101" s="11"/>
      <c r="P101" s="7">
        <v>3861.2</v>
      </c>
      <c r="Q101" s="2"/>
      <c r="R101" s="6">
        <f t="shared" si="72"/>
        <v>1.1007954036494896E-3</v>
      </c>
      <c r="S101" s="2"/>
      <c r="T101" s="7"/>
      <c r="U101" s="2"/>
      <c r="V101" s="6">
        <f t="shared" si="73"/>
        <v>0</v>
      </c>
      <c r="W101" s="2"/>
      <c r="X101" s="7">
        <f t="shared" si="74"/>
        <v>3861.2</v>
      </c>
      <c r="Y101" s="2"/>
      <c r="Z101" s="6">
        <f t="shared" si="75"/>
        <v>0</v>
      </c>
    </row>
    <row r="102" spans="1:26" s="24" customFormat="1" hidden="1" outlineLevel="2" x14ac:dyDescent="0.25">
      <c r="A102" s="25"/>
      <c r="B102" s="11" t="str">
        <f>CONCATENATE("          ", "6275", " - ", "SUBSCRIPTIONS")</f>
        <v xml:space="preserve">          6275 - SUBSCRIPTIONS</v>
      </c>
      <c r="C102" s="11"/>
      <c r="D102" s="7">
        <v>454.78</v>
      </c>
      <c r="E102" s="2"/>
      <c r="F102" s="6">
        <f t="shared" si="68"/>
        <v>1.1084397923889684E-3</v>
      </c>
      <c r="G102" s="2"/>
      <c r="H102" s="7">
        <v>394</v>
      </c>
      <c r="I102" s="2"/>
      <c r="J102" s="6">
        <f t="shared" si="69"/>
        <v>8.9587194033583829E-4</v>
      </c>
      <c r="K102" s="2"/>
      <c r="L102" s="7">
        <f t="shared" si="70"/>
        <v>60.779999999999973</v>
      </c>
      <c r="M102" s="2"/>
      <c r="N102" s="6">
        <f t="shared" si="71"/>
        <v>0.15426395939086288</v>
      </c>
      <c r="O102" s="11"/>
      <c r="P102" s="7">
        <v>2999.38</v>
      </c>
      <c r="Q102" s="2"/>
      <c r="R102" s="6">
        <f t="shared" si="72"/>
        <v>8.5509782394027937E-4</v>
      </c>
      <c r="S102" s="2"/>
      <c r="T102" s="7">
        <v>2583</v>
      </c>
      <c r="U102" s="2"/>
      <c r="V102" s="6">
        <f t="shared" si="73"/>
        <v>6.3037914999607082E-4</v>
      </c>
      <c r="W102" s="2"/>
      <c r="X102" s="7">
        <f t="shared" si="74"/>
        <v>416.38000000000011</v>
      </c>
      <c r="Y102" s="2"/>
      <c r="Z102" s="6">
        <f t="shared" si="75"/>
        <v>0.16120015485869149</v>
      </c>
    </row>
    <row r="103" spans="1:26" s="27" customFormat="1" outlineLevel="1" collapsed="1" x14ac:dyDescent="0.25">
      <c r="A103" s="26"/>
      <c r="B103" s="13" t="str">
        <f>CONCATENATE("     ","Supplies                                          ")</f>
        <v xml:space="preserve">     Supplies                                          </v>
      </c>
      <c r="C103" s="13"/>
      <c r="D103" s="1">
        <f>SUM(OSRRefD22_19x_0)</f>
        <v>14767.399999999998</v>
      </c>
      <c r="E103" s="1"/>
      <c r="F103" s="5">
        <f t="shared" ref="F103:F113" si="76">IF(D$12=0,0,D103/D$12)</f>
        <v>3.5992730089548466E-2</v>
      </c>
      <c r="G103" s="1"/>
      <c r="H103" s="1">
        <f>SUM(OSRRefH22_19x_0)</f>
        <v>15568</v>
      </c>
      <c r="I103" s="1"/>
      <c r="J103" s="5">
        <f t="shared" ref="J103:J113" si="77">IF(H$12=0,0,H103/H$12)</f>
        <v>3.5398310576518606E-2</v>
      </c>
      <c r="K103" s="1"/>
      <c r="L103" s="1">
        <f t="shared" ref="L103:L113" si="78">+D103-H103</f>
        <v>-800.60000000000218</v>
      </c>
      <c r="M103" s="1"/>
      <c r="N103" s="5">
        <f t="shared" ref="N103:N113" si="79">IF(H103=0,0,L103/H103)</f>
        <v>-5.1426002055498597E-2</v>
      </c>
      <c r="O103" s="13"/>
      <c r="P103" s="1">
        <f>SUM(OSRRefP22_19x_0)</f>
        <v>131173.31</v>
      </c>
      <c r="Q103" s="1"/>
      <c r="R103" s="5">
        <f t="shared" ref="R103:R113" si="80">IF(P$12=0,0,P103/P$12)</f>
        <v>3.7396399235856637E-2</v>
      </c>
      <c r="S103" s="1"/>
      <c r="T103" s="1">
        <f>SUM(OSRRefT22_19x_0)</f>
        <v>106943.50000000001</v>
      </c>
      <c r="U103" s="1"/>
      <c r="V103" s="5">
        <f t="shared" ref="V103:V113" si="81">IF(T$12=0,0,T103/T$12)</f>
        <v>2.609947836918498E-2</v>
      </c>
      <c r="W103" s="1"/>
      <c r="X103" s="1">
        <f t="shared" ref="X103:X113" si="82">+P103-T103</f>
        <v>24229.809999999983</v>
      </c>
      <c r="Y103" s="1"/>
      <c r="Z103" s="5">
        <f t="shared" ref="Z103:Z113" si="83">IF(T103=0,0,X103/T103)</f>
        <v>0.22656645798949893</v>
      </c>
    </row>
    <row r="104" spans="1:26" s="24" customFormat="1" hidden="1" outlineLevel="2" x14ac:dyDescent="0.25">
      <c r="A104" s="25"/>
      <c r="B104" s="11" t="str">
        <f>CONCATENATE("          ", "6234", " - ", "EXPENDABLE SUPPLIES &amp; EQUIPMEN")</f>
        <v xml:space="preserve">          6234 - EXPENDABLE SUPPLIES &amp; EQUIPMEN</v>
      </c>
      <c r="C104" s="11"/>
      <c r="D104" s="7">
        <v>1008.79</v>
      </c>
      <c r="E104" s="2"/>
      <c r="F104" s="6">
        <f t="shared" si="76"/>
        <v>2.4587338452967751E-3</v>
      </c>
      <c r="G104" s="2"/>
      <c r="H104" s="7">
        <v>350</v>
      </c>
      <c r="I104" s="2"/>
      <c r="J104" s="6">
        <f t="shared" si="77"/>
        <v>7.9582532770950103E-4</v>
      </c>
      <c r="K104" s="2"/>
      <c r="L104" s="7">
        <f t="shared" si="78"/>
        <v>658.79</v>
      </c>
      <c r="M104" s="2"/>
      <c r="N104" s="6">
        <f t="shared" si="79"/>
        <v>1.8822571428571429</v>
      </c>
      <c r="O104" s="11"/>
      <c r="P104" s="7">
        <v>13211.51</v>
      </c>
      <c r="Q104" s="2"/>
      <c r="R104" s="6">
        <f t="shared" si="80"/>
        <v>3.7664895584971691E-3</v>
      </c>
      <c r="S104" s="2"/>
      <c r="T104" s="7">
        <v>4150</v>
      </c>
      <c r="U104" s="2"/>
      <c r="V104" s="6">
        <f t="shared" si="81"/>
        <v>1.0128042866758397E-3</v>
      </c>
      <c r="W104" s="2"/>
      <c r="X104" s="7">
        <f t="shared" si="82"/>
        <v>9061.51</v>
      </c>
      <c r="Y104" s="2"/>
      <c r="Z104" s="6">
        <f t="shared" si="83"/>
        <v>2.1834963855421687</v>
      </c>
    </row>
    <row r="105" spans="1:26" s="24" customFormat="1" hidden="1" outlineLevel="2" x14ac:dyDescent="0.25">
      <c r="A105" s="25"/>
      <c r="B105" s="11" t="str">
        <f>CONCATENATE("          ", "6237", " - ", "JANITORIAL SUPPLIES")</f>
        <v xml:space="preserve">          6237 - JANITORIAL SUPPLIES</v>
      </c>
      <c r="C105" s="11"/>
      <c r="D105" s="7">
        <v>5936.7</v>
      </c>
      <c r="E105" s="2"/>
      <c r="F105" s="6">
        <f t="shared" si="76"/>
        <v>1.446957763198819E-2</v>
      </c>
      <c r="G105" s="2"/>
      <c r="H105" s="7">
        <v>4551</v>
      </c>
      <c r="I105" s="2"/>
      <c r="J105" s="6">
        <f t="shared" si="77"/>
        <v>1.0348003046874112E-2</v>
      </c>
      <c r="K105" s="2"/>
      <c r="L105" s="7">
        <f t="shared" si="78"/>
        <v>1385.6999999999998</v>
      </c>
      <c r="M105" s="2"/>
      <c r="N105" s="6">
        <f t="shared" si="79"/>
        <v>0.30448253131179959</v>
      </c>
      <c r="O105" s="11"/>
      <c r="P105" s="7">
        <v>35930.18</v>
      </c>
      <c r="Q105" s="2"/>
      <c r="R105" s="6">
        <f t="shared" si="80"/>
        <v>1.0243389877835601E-2</v>
      </c>
      <c r="S105" s="2"/>
      <c r="T105" s="7">
        <v>30907</v>
      </c>
      <c r="U105" s="2"/>
      <c r="V105" s="6">
        <f t="shared" si="81"/>
        <v>7.5428294188651024E-3</v>
      </c>
      <c r="W105" s="2"/>
      <c r="X105" s="7">
        <f t="shared" si="82"/>
        <v>5023.18</v>
      </c>
      <c r="Y105" s="2"/>
      <c r="Z105" s="6">
        <f t="shared" si="83"/>
        <v>0.1625256414404504</v>
      </c>
    </row>
    <row r="106" spans="1:26" s="24" customFormat="1" hidden="1" outlineLevel="2" x14ac:dyDescent="0.25">
      <c r="A106" s="25"/>
      <c r="B106" s="11" t="str">
        <f>CONCATENATE("          ", "6239", " - ", "KITCHEN SUPPLIES")</f>
        <v xml:space="preserve">          6239 - KITCHEN SUPPLIES</v>
      </c>
      <c r="C106" s="11"/>
      <c r="D106" s="7">
        <v>2414.56</v>
      </c>
      <c r="E106" s="2"/>
      <c r="F106" s="6">
        <f t="shared" si="76"/>
        <v>5.8850309712623851E-3</v>
      </c>
      <c r="G106" s="2"/>
      <c r="H106" s="7">
        <v>3037</v>
      </c>
      <c r="I106" s="2"/>
      <c r="J106" s="6">
        <f t="shared" si="77"/>
        <v>6.9054900578678705E-3</v>
      </c>
      <c r="K106" s="2"/>
      <c r="L106" s="7">
        <f t="shared" si="78"/>
        <v>-622.44000000000005</v>
      </c>
      <c r="M106" s="2"/>
      <c r="N106" s="6">
        <f t="shared" si="79"/>
        <v>-0.20495225551531118</v>
      </c>
      <c r="O106" s="11"/>
      <c r="P106" s="7">
        <v>35848.400000000001</v>
      </c>
      <c r="Q106" s="2"/>
      <c r="R106" s="6">
        <f t="shared" si="80"/>
        <v>1.0220075092766075E-2</v>
      </c>
      <c r="S106" s="2"/>
      <c r="T106" s="7">
        <v>21464.710000000003</v>
      </c>
      <c r="U106" s="2"/>
      <c r="V106" s="6">
        <f t="shared" si="81"/>
        <v>5.2384458554828352E-3</v>
      </c>
      <c r="W106" s="2"/>
      <c r="X106" s="7">
        <f t="shared" si="82"/>
        <v>14383.689999999999</v>
      </c>
      <c r="Y106" s="2"/>
      <c r="Z106" s="6">
        <f t="shared" si="83"/>
        <v>0.67010875059574515</v>
      </c>
    </row>
    <row r="107" spans="1:26" s="24" customFormat="1" hidden="1" outlineLevel="2" x14ac:dyDescent="0.25">
      <c r="A107" s="25"/>
      <c r="B107" s="11" t="str">
        <f>CONCATENATE("          ", "6241", " - ", "OFFICE EXPENSE")</f>
        <v xml:space="preserve">          6241 - OFFICE EXPENSE</v>
      </c>
      <c r="C107" s="11"/>
      <c r="D107" s="7">
        <v>749.3</v>
      </c>
      <c r="E107" s="2"/>
      <c r="F107" s="6">
        <f t="shared" si="76"/>
        <v>1.8262763015898984E-3</v>
      </c>
      <c r="G107" s="2"/>
      <c r="H107" s="7">
        <v>700</v>
      </c>
      <c r="I107" s="2"/>
      <c r="J107" s="6">
        <f t="shared" si="77"/>
        <v>1.5916506554190021E-3</v>
      </c>
      <c r="K107" s="2"/>
      <c r="L107" s="7">
        <f t="shared" si="78"/>
        <v>49.299999999999955</v>
      </c>
      <c r="M107" s="2"/>
      <c r="N107" s="6">
        <f t="shared" si="79"/>
        <v>7.0428571428571368E-2</v>
      </c>
      <c r="O107" s="11"/>
      <c r="P107" s="7">
        <v>15281.7</v>
      </c>
      <c r="Q107" s="2"/>
      <c r="R107" s="6">
        <f t="shared" si="80"/>
        <v>4.3566831865612787E-3</v>
      </c>
      <c r="S107" s="2"/>
      <c r="T107" s="7">
        <v>6041.25</v>
      </c>
      <c r="U107" s="2"/>
      <c r="V107" s="6">
        <f t="shared" si="81"/>
        <v>1.4743623847904618E-3</v>
      </c>
      <c r="W107" s="2"/>
      <c r="X107" s="7">
        <f t="shared" si="82"/>
        <v>9240.4500000000007</v>
      </c>
      <c r="Y107" s="2"/>
      <c r="Z107" s="6">
        <f t="shared" si="83"/>
        <v>1.5295592799503415</v>
      </c>
    </row>
    <row r="108" spans="1:26" s="24" customFormat="1" hidden="1" outlineLevel="2" x14ac:dyDescent="0.25">
      <c r="A108" s="25"/>
      <c r="B108" s="11" t="str">
        <f>CONCATENATE("          ", "6243", " - ", "PAPER SUPPLIES")</f>
        <v xml:space="preserve">          6243 - PAPER SUPPLIES</v>
      </c>
      <c r="C108" s="11"/>
      <c r="D108" s="7">
        <v>4864.68</v>
      </c>
      <c r="E108" s="2"/>
      <c r="F108" s="6">
        <f t="shared" si="76"/>
        <v>1.1856732682261241E-2</v>
      </c>
      <c r="G108" s="2"/>
      <c r="H108" s="7">
        <v>3595</v>
      </c>
      <c r="I108" s="2"/>
      <c r="J108" s="6">
        <f t="shared" si="77"/>
        <v>8.1742630089018751E-3</v>
      </c>
      <c r="K108" s="2"/>
      <c r="L108" s="7">
        <f t="shared" si="78"/>
        <v>1269.6800000000003</v>
      </c>
      <c r="M108" s="2"/>
      <c r="N108" s="6">
        <f t="shared" si="79"/>
        <v>0.35317941585535473</v>
      </c>
      <c r="O108" s="11"/>
      <c r="P108" s="7">
        <v>23710.929999999997</v>
      </c>
      <c r="Q108" s="2"/>
      <c r="R108" s="6">
        <f t="shared" si="80"/>
        <v>6.7597852378159101E-3</v>
      </c>
      <c r="S108" s="2"/>
      <c r="T108" s="7">
        <v>26434.52</v>
      </c>
      <c r="U108" s="2"/>
      <c r="V108" s="6">
        <f t="shared" si="81"/>
        <v>6.4513241378839079E-3</v>
      </c>
      <c r="W108" s="2"/>
      <c r="X108" s="7">
        <f t="shared" si="82"/>
        <v>-2723.5900000000038</v>
      </c>
      <c r="Y108" s="2"/>
      <c r="Z108" s="6">
        <f t="shared" si="83"/>
        <v>-0.10303156630042852</v>
      </c>
    </row>
    <row r="109" spans="1:26" s="24" customFormat="1" hidden="1" outlineLevel="2" x14ac:dyDescent="0.25">
      <c r="A109" s="25"/>
      <c r="B109" s="11" t="str">
        <f>CONCATENATE("          ", "6244", " - ", "SAFETY SUPPLY EXPENSE")</f>
        <v xml:space="preserve">          6244 - SAFETY SUPPLY EXPENSE</v>
      </c>
      <c r="C109" s="11"/>
      <c r="D109" s="7"/>
      <c r="E109" s="2"/>
      <c r="F109" s="6">
        <f t="shared" si="76"/>
        <v>0</v>
      </c>
      <c r="G109" s="2"/>
      <c r="H109" s="7">
        <v>110</v>
      </c>
      <c r="I109" s="2"/>
      <c r="J109" s="6">
        <f t="shared" si="77"/>
        <v>2.501165315658432E-4</v>
      </c>
      <c r="K109" s="2"/>
      <c r="L109" s="7">
        <f t="shared" si="78"/>
        <v>-110</v>
      </c>
      <c r="M109" s="2"/>
      <c r="N109" s="6">
        <f t="shared" si="79"/>
        <v>-1</v>
      </c>
      <c r="O109" s="11"/>
      <c r="P109" s="7"/>
      <c r="Q109" s="2"/>
      <c r="R109" s="6">
        <f t="shared" si="80"/>
        <v>0</v>
      </c>
      <c r="S109" s="2"/>
      <c r="T109" s="7">
        <v>770</v>
      </c>
      <c r="U109" s="2"/>
      <c r="V109" s="6">
        <f t="shared" si="81"/>
        <v>1.8791790379286665E-4</v>
      </c>
      <c r="W109" s="2"/>
      <c r="X109" s="7">
        <f t="shared" si="82"/>
        <v>-770</v>
      </c>
      <c r="Y109" s="2"/>
      <c r="Z109" s="6">
        <f t="shared" si="83"/>
        <v>-1</v>
      </c>
    </row>
    <row r="110" spans="1:26" s="24" customFormat="1" hidden="1" outlineLevel="2" x14ac:dyDescent="0.25">
      <c r="A110" s="25"/>
      <c r="B110" s="11" t="str">
        <f>CONCATENATE("          ", "6245", " - ", "PRINTING")</f>
        <v xml:space="preserve">          6245 - PRINTING</v>
      </c>
      <c r="C110" s="11"/>
      <c r="D110" s="7">
        <v>260.38</v>
      </c>
      <c r="E110" s="2"/>
      <c r="F110" s="6">
        <f t="shared" si="76"/>
        <v>6.3462674951017984E-4</v>
      </c>
      <c r="G110" s="2"/>
      <c r="H110" s="7">
        <v>600</v>
      </c>
      <c r="I110" s="2"/>
      <c r="J110" s="6">
        <f t="shared" si="77"/>
        <v>1.3642719903591445E-3</v>
      </c>
      <c r="K110" s="2"/>
      <c r="L110" s="7">
        <f t="shared" si="78"/>
        <v>-339.62</v>
      </c>
      <c r="M110" s="2"/>
      <c r="N110" s="6">
        <f t="shared" si="79"/>
        <v>-0.56603333333333339</v>
      </c>
      <c r="O110" s="11"/>
      <c r="P110" s="7">
        <v>531.28</v>
      </c>
      <c r="Q110" s="2"/>
      <c r="R110" s="6">
        <f t="shared" si="80"/>
        <v>1.5146342640912175E-4</v>
      </c>
      <c r="S110" s="2"/>
      <c r="T110" s="7">
        <v>1950</v>
      </c>
      <c r="U110" s="2"/>
      <c r="V110" s="6">
        <f t="shared" si="81"/>
        <v>4.7589599012479216E-4</v>
      </c>
      <c r="W110" s="2"/>
      <c r="X110" s="7">
        <f t="shared" si="82"/>
        <v>-1418.72</v>
      </c>
      <c r="Y110" s="2"/>
      <c r="Z110" s="6">
        <f t="shared" si="83"/>
        <v>-0.727548717948718</v>
      </c>
    </row>
    <row r="111" spans="1:26" s="24" customFormat="1" hidden="1" outlineLevel="2" x14ac:dyDescent="0.25">
      <c r="A111" s="25"/>
      <c r="B111" s="11" t="str">
        <f>CONCATENATE("          ", "6246", " - ", "REPLACEMENTS")</f>
        <v xml:space="preserve">          6246 - REPLACEMENTS</v>
      </c>
      <c r="C111" s="11"/>
      <c r="D111" s="7"/>
      <c r="E111" s="2"/>
      <c r="F111" s="6">
        <f t="shared" si="76"/>
        <v>0</v>
      </c>
      <c r="G111" s="2"/>
      <c r="H111" s="7"/>
      <c r="I111" s="2"/>
      <c r="J111" s="6">
        <f t="shared" si="77"/>
        <v>0</v>
      </c>
      <c r="K111" s="2"/>
      <c r="L111" s="7">
        <f t="shared" si="78"/>
        <v>0</v>
      </c>
      <c r="M111" s="2"/>
      <c r="N111" s="6">
        <f t="shared" si="79"/>
        <v>0</v>
      </c>
      <c r="O111" s="11"/>
      <c r="P111" s="7"/>
      <c r="Q111" s="2"/>
      <c r="R111" s="6">
        <f t="shared" si="80"/>
        <v>0</v>
      </c>
      <c r="S111" s="2"/>
      <c r="T111" s="7">
        <v>2400</v>
      </c>
      <c r="U111" s="2"/>
      <c r="V111" s="6">
        <f t="shared" si="81"/>
        <v>5.857181416920518E-4</v>
      </c>
      <c r="W111" s="2"/>
      <c r="X111" s="7">
        <f t="shared" si="82"/>
        <v>-2400</v>
      </c>
      <c r="Y111" s="2"/>
      <c r="Z111" s="6">
        <f t="shared" si="83"/>
        <v>-1</v>
      </c>
    </row>
    <row r="112" spans="1:26" s="24" customFormat="1" hidden="1" outlineLevel="2" x14ac:dyDescent="0.25">
      <c r="A112" s="25"/>
      <c r="B112" s="11" t="str">
        <f>CONCATENATE("          ", "6247", " - ", "STORE SUPPLIES")</f>
        <v xml:space="preserve">          6247 - STORE SUPPLIES</v>
      </c>
      <c r="C112" s="11"/>
      <c r="D112" s="7">
        <v>-615.96</v>
      </c>
      <c r="E112" s="2"/>
      <c r="F112" s="6">
        <f t="shared" si="76"/>
        <v>-1.5012854006770506E-3</v>
      </c>
      <c r="G112" s="2"/>
      <c r="H112" s="7">
        <v>225</v>
      </c>
      <c r="I112" s="2"/>
      <c r="J112" s="6">
        <f t="shared" si="77"/>
        <v>5.1160199638467917E-4</v>
      </c>
      <c r="K112" s="2"/>
      <c r="L112" s="7">
        <f t="shared" si="78"/>
        <v>-840.96</v>
      </c>
      <c r="M112" s="2"/>
      <c r="N112" s="6">
        <f t="shared" si="79"/>
        <v>-3.7376</v>
      </c>
      <c r="O112" s="11"/>
      <c r="P112" s="7">
        <v>2776.61</v>
      </c>
      <c r="Q112" s="2"/>
      <c r="R112" s="6">
        <f t="shared" si="80"/>
        <v>7.9158798449373508E-4</v>
      </c>
      <c r="S112" s="2"/>
      <c r="T112" s="7">
        <v>3776.02</v>
      </c>
      <c r="U112" s="2"/>
      <c r="V112" s="6">
        <f t="shared" si="81"/>
        <v>9.2153475724667563E-4</v>
      </c>
      <c r="W112" s="2"/>
      <c r="X112" s="7">
        <f t="shared" si="82"/>
        <v>-999.40999999999985</v>
      </c>
      <c r="Y112" s="2"/>
      <c r="Z112" s="6">
        <f t="shared" si="83"/>
        <v>-0.26467285660563233</v>
      </c>
    </row>
    <row r="113" spans="1:26" s="24" customFormat="1" hidden="1" outlineLevel="2" x14ac:dyDescent="0.25">
      <c r="A113" s="25"/>
      <c r="B113" s="11" t="str">
        <f>CONCATENATE("          ", "6248", " - ", "UNIFORMS")</f>
        <v xml:space="preserve">          6248 - UNIFORMS</v>
      </c>
      <c r="C113" s="11"/>
      <c r="D113" s="7">
        <v>148.94999999999999</v>
      </c>
      <c r="E113" s="2"/>
      <c r="F113" s="6">
        <f t="shared" si="76"/>
        <v>3.6303730831684956E-4</v>
      </c>
      <c r="G113" s="2"/>
      <c r="H113" s="7">
        <v>2400</v>
      </c>
      <c r="I113" s="2"/>
      <c r="J113" s="6">
        <f t="shared" si="77"/>
        <v>5.4570879614365781E-3</v>
      </c>
      <c r="K113" s="2"/>
      <c r="L113" s="7">
        <f t="shared" si="78"/>
        <v>-2251.0500000000002</v>
      </c>
      <c r="M113" s="2"/>
      <c r="N113" s="6">
        <f t="shared" si="79"/>
        <v>-0.93793750000000009</v>
      </c>
      <c r="O113" s="11"/>
      <c r="P113" s="7">
        <v>3882.7</v>
      </c>
      <c r="Q113" s="2"/>
      <c r="R113" s="6">
        <f t="shared" si="80"/>
        <v>1.1069248714777461E-3</v>
      </c>
      <c r="S113" s="2"/>
      <c r="T113" s="7">
        <v>9050</v>
      </c>
      <c r="U113" s="2"/>
      <c r="V113" s="6">
        <f t="shared" si="81"/>
        <v>2.2086454926304455E-3</v>
      </c>
      <c r="W113" s="2"/>
      <c r="X113" s="7">
        <f t="shared" si="82"/>
        <v>-5167.3</v>
      </c>
      <c r="Y113" s="2"/>
      <c r="Z113" s="6">
        <f t="shared" si="83"/>
        <v>-0.57097237569060777</v>
      </c>
    </row>
    <row r="114" spans="1:26" s="27" customFormat="1" outlineLevel="1" collapsed="1" x14ac:dyDescent="0.25">
      <c r="A114" s="26"/>
      <c r="B114" s="13" t="str">
        <f>CONCATENATE("     ","Telephone/Data Lines                              ")</f>
        <v xml:space="preserve">     Telephone/Data Lines                              </v>
      </c>
      <c r="C114" s="13"/>
      <c r="D114" s="1">
        <f>SUM(OSRRefD22_20x_0)</f>
        <v>2863.61</v>
      </c>
      <c r="E114" s="1"/>
      <c r="F114" s="5">
        <f t="shared" ref="F114:F116" si="84">IF(D$12=0,0,D114/D$12)</f>
        <v>6.9795049779739085E-3</v>
      </c>
      <c r="G114" s="1"/>
      <c r="H114" s="1">
        <f>SUM(OSRRefH22_20x_0)</f>
        <v>2161</v>
      </c>
      <c r="I114" s="1"/>
      <c r="J114" s="5">
        <f t="shared" ref="J114:J116" si="85">IF(H$12=0,0,H114/H$12)</f>
        <v>4.9136529519435189E-3</v>
      </c>
      <c r="K114" s="1"/>
      <c r="L114" s="1">
        <f t="shared" ref="L114:L116" si="86">+D114-H114</f>
        <v>702.61000000000013</v>
      </c>
      <c r="M114" s="1"/>
      <c r="N114" s="5">
        <f t="shared" ref="N114:N116" si="87">IF(H114=0,0,L114/H114)</f>
        <v>0.32513188338732074</v>
      </c>
      <c r="O114" s="13"/>
      <c r="P114" s="1">
        <f>SUM(OSRRefP22_20x_0)</f>
        <v>13362.13</v>
      </c>
      <c r="Q114" s="1"/>
      <c r="R114" s="5">
        <f t="shared" ref="R114:R116" si="88">IF(P$12=0,0,P114/P$12)</f>
        <v>3.8094300442781922E-3</v>
      </c>
      <c r="S114" s="1"/>
      <c r="T114" s="1">
        <f>SUM(OSRRefT22_20x_0)</f>
        <v>13208</v>
      </c>
      <c r="U114" s="1"/>
      <c r="V114" s="5">
        <f t="shared" ref="V114:V116" si="89">IF(T$12=0,0,T114/T$12)</f>
        <v>3.2234021731119252E-3</v>
      </c>
      <c r="W114" s="1"/>
      <c r="X114" s="1">
        <f t="shared" ref="X114:X116" si="90">+P114-T114</f>
        <v>154.1299999999992</v>
      </c>
      <c r="Y114" s="1"/>
      <c r="Z114" s="5">
        <f t="shared" ref="Z114:Z116" si="91">IF(T114=0,0,X114/T114)</f>
        <v>1.1669442761962386E-2</v>
      </c>
    </row>
    <row r="115" spans="1:26" s="24" customFormat="1" hidden="1" outlineLevel="2" x14ac:dyDescent="0.25">
      <c r="A115" s="25"/>
      <c r="B115" s="11" t="str">
        <f>CONCATENATE("          ", "6303", " - ", "DATA PHONE LINES")</f>
        <v xml:space="preserve">          6303 - DATA PHONE LINES</v>
      </c>
      <c r="C115" s="11"/>
      <c r="D115" s="7"/>
      <c r="E115" s="2"/>
      <c r="F115" s="6">
        <f t="shared" si="84"/>
        <v>0</v>
      </c>
      <c r="G115" s="2"/>
      <c r="H115" s="7">
        <v>696</v>
      </c>
      <c r="I115" s="2"/>
      <c r="J115" s="6">
        <f t="shared" si="85"/>
        <v>1.5825555088166078E-3</v>
      </c>
      <c r="K115" s="2"/>
      <c r="L115" s="7">
        <f t="shared" si="86"/>
        <v>-696</v>
      </c>
      <c r="M115" s="2"/>
      <c r="N115" s="6">
        <f t="shared" si="87"/>
        <v>-1</v>
      </c>
      <c r="O115" s="11"/>
      <c r="P115" s="7"/>
      <c r="Q115" s="2"/>
      <c r="R115" s="6">
        <f t="shared" si="88"/>
        <v>0</v>
      </c>
      <c r="S115" s="2"/>
      <c r="T115" s="7">
        <v>4078</v>
      </c>
      <c r="U115" s="2"/>
      <c r="V115" s="6">
        <f t="shared" si="89"/>
        <v>9.952327424250782E-4</v>
      </c>
      <c r="W115" s="2"/>
      <c r="X115" s="7">
        <f t="shared" si="90"/>
        <v>-4078</v>
      </c>
      <c r="Y115" s="2"/>
      <c r="Z115" s="6">
        <f t="shared" si="91"/>
        <v>-1</v>
      </c>
    </row>
    <row r="116" spans="1:26" s="24" customFormat="1" hidden="1" outlineLevel="2" x14ac:dyDescent="0.25">
      <c r="A116" s="25"/>
      <c r="B116" s="11" t="str">
        <f>CONCATENATE("          ", "6309", " - ", "TELEPHONE")</f>
        <v xml:space="preserve">          6309 - TELEPHONE</v>
      </c>
      <c r="C116" s="11"/>
      <c r="D116" s="7">
        <v>2863.61</v>
      </c>
      <c r="E116" s="2"/>
      <c r="F116" s="6">
        <f t="shared" si="84"/>
        <v>6.9795049779739085E-3</v>
      </c>
      <c r="G116" s="2"/>
      <c r="H116" s="7">
        <v>1465</v>
      </c>
      <c r="I116" s="2"/>
      <c r="J116" s="6">
        <f t="shared" si="85"/>
        <v>3.3310974431269113E-3</v>
      </c>
      <c r="K116" s="2"/>
      <c r="L116" s="7">
        <f t="shared" si="86"/>
        <v>1398.6100000000001</v>
      </c>
      <c r="M116" s="2"/>
      <c r="N116" s="6">
        <f t="shared" si="87"/>
        <v>0.95468259385665533</v>
      </c>
      <c r="O116" s="11"/>
      <c r="P116" s="7">
        <v>13362.13</v>
      </c>
      <c r="Q116" s="2"/>
      <c r="R116" s="6">
        <f t="shared" si="88"/>
        <v>3.8094300442781922E-3</v>
      </c>
      <c r="S116" s="2"/>
      <c r="T116" s="7">
        <v>9130</v>
      </c>
      <c r="U116" s="2"/>
      <c r="V116" s="6">
        <f t="shared" si="89"/>
        <v>2.2281694306868472E-3</v>
      </c>
      <c r="W116" s="2"/>
      <c r="X116" s="7">
        <f t="shared" si="90"/>
        <v>4232.1299999999992</v>
      </c>
      <c r="Y116" s="2"/>
      <c r="Z116" s="6">
        <f t="shared" si="91"/>
        <v>0.46354107338444678</v>
      </c>
    </row>
    <row r="117" spans="1:26" s="27" customFormat="1" outlineLevel="1" collapsed="1" x14ac:dyDescent="0.25">
      <c r="A117" s="26"/>
      <c r="B117" s="13" t="str">
        <f>CONCATENATE("     ","Training                                          ")</f>
        <v xml:space="preserve">     Training                                          </v>
      </c>
      <c r="C117" s="13"/>
      <c r="D117" s="1">
        <f>SUM(OSRRefD22_21x_0)</f>
        <v>0</v>
      </c>
      <c r="E117" s="1"/>
      <c r="F117" s="5">
        <f t="shared" ref="F117:F122" si="92">IF(D$12=0,0,D117/D$12)</f>
        <v>0</v>
      </c>
      <c r="G117" s="1"/>
      <c r="H117" s="1">
        <f>SUM(OSRRefH22_21x_0)</f>
        <v>940</v>
      </c>
      <c r="I117" s="1"/>
      <c r="J117" s="5">
        <f t="shared" ref="J117:J122" si="93">IF(H$12=0,0,H117/H$12)</f>
        <v>2.1373594515626598E-3</v>
      </c>
      <c r="K117" s="1"/>
      <c r="L117" s="1">
        <f t="shared" ref="L117:L122" si="94">+D117-H117</f>
        <v>-940</v>
      </c>
      <c r="M117" s="1"/>
      <c r="N117" s="5">
        <f t="shared" ref="N117:N122" si="95">IF(H117=0,0,L117/H117)</f>
        <v>-1</v>
      </c>
      <c r="O117" s="13"/>
      <c r="P117" s="1">
        <f>SUM(OSRRefP22_21x_0)</f>
        <v>1811.5</v>
      </c>
      <c r="Q117" s="1"/>
      <c r="R117" s="5">
        <f t="shared" ref="R117:R122" si="96">IF(P$12=0,0,P117/P$12)</f>
        <v>5.1644330097147279E-4</v>
      </c>
      <c r="S117" s="1"/>
      <c r="T117" s="1">
        <f>SUM(OSRRefT22_21x_0)</f>
        <v>6680</v>
      </c>
      <c r="U117" s="1"/>
      <c r="V117" s="5">
        <f t="shared" ref="V117:V122" si="97">IF(T$12=0,0,T117/T$12)</f>
        <v>1.6302488277095443E-3</v>
      </c>
      <c r="W117" s="1"/>
      <c r="X117" s="1">
        <f t="shared" ref="X117:X122" si="98">+P117-T117</f>
        <v>-4868.5</v>
      </c>
      <c r="Y117" s="1"/>
      <c r="Z117" s="5">
        <f t="shared" ref="Z117:Z122" si="99">IF(T117=0,0,X117/T117)</f>
        <v>-0.72881736526946106</v>
      </c>
    </row>
    <row r="118" spans="1:26" s="24" customFormat="1" hidden="1" outlineLevel="2" x14ac:dyDescent="0.25">
      <c r="A118" s="25"/>
      <c r="B118" s="11" t="str">
        <f>CONCATENATE("          ", "6376", " - ", "TRAINING")</f>
        <v xml:space="preserve">          6376 - TRAINING</v>
      </c>
      <c r="C118" s="11"/>
      <c r="D118" s="7"/>
      <c r="E118" s="2"/>
      <c r="F118" s="6">
        <f t="shared" si="92"/>
        <v>0</v>
      </c>
      <c r="G118" s="2"/>
      <c r="H118" s="7">
        <v>940</v>
      </c>
      <c r="I118" s="2"/>
      <c r="J118" s="6">
        <f t="shared" si="93"/>
        <v>2.1373594515626598E-3</v>
      </c>
      <c r="K118" s="2"/>
      <c r="L118" s="7">
        <f t="shared" si="94"/>
        <v>-940</v>
      </c>
      <c r="M118" s="2"/>
      <c r="N118" s="6">
        <f t="shared" si="95"/>
        <v>-1</v>
      </c>
      <c r="O118" s="11"/>
      <c r="P118" s="7">
        <v>1811.5</v>
      </c>
      <c r="Q118" s="2"/>
      <c r="R118" s="6">
        <f t="shared" si="96"/>
        <v>5.1644330097147279E-4</v>
      </c>
      <c r="S118" s="2"/>
      <c r="T118" s="7">
        <v>6680</v>
      </c>
      <c r="U118" s="2"/>
      <c r="V118" s="6">
        <f t="shared" si="97"/>
        <v>1.6302488277095443E-3</v>
      </c>
      <c r="W118" s="2"/>
      <c r="X118" s="7">
        <f t="shared" si="98"/>
        <v>-4868.5</v>
      </c>
      <c r="Y118" s="2"/>
      <c r="Z118" s="6">
        <f t="shared" si="99"/>
        <v>-0.72881736526946106</v>
      </c>
    </row>
    <row r="119" spans="1:26" s="27" customFormat="1" outlineLevel="1" collapsed="1" x14ac:dyDescent="0.25">
      <c r="A119" s="26"/>
      <c r="B119" s="13" t="str">
        <f>CONCATENATE("     ","Travel                                            ")</f>
        <v xml:space="preserve">     Travel                                            </v>
      </c>
      <c r="C119" s="13"/>
      <c r="D119" s="1">
        <f>SUM(OSRRefD22_22x_0)</f>
        <v>125.53</v>
      </c>
      <c r="E119" s="1"/>
      <c r="F119" s="5">
        <f t="shared" si="92"/>
        <v>3.0595551066139057E-4</v>
      </c>
      <c r="G119" s="1"/>
      <c r="H119" s="1">
        <f>SUM(OSRRefH22_22x_0)</f>
        <v>1000</v>
      </c>
      <c r="I119" s="1"/>
      <c r="J119" s="5">
        <f t="shared" si="93"/>
        <v>2.2737866505985744E-3</v>
      </c>
      <c r="K119" s="1"/>
      <c r="L119" s="1">
        <f t="shared" si="94"/>
        <v>-874.47</v>
      </c>
      <c r="M119" s="1"/>
      <c r="N119" s="5">
        <f t="shared" si="95"/>
        <v>-0.87447000000000008</v>
      </c>
      <c r="O119" s="13"/>
      <c r="P119" s="1">
        <f>SUM(OSRRefP22_22x_0)</f>
        <v>3069.35</v>
      </c>
      <c r="Q119" s="1"/>
      <c r="R119" s="5">
        <f t="shared" si="96"/>
        <v>8.7504567807716806E-4</v>
      </c>
      <c r="S119" s="1"/>
      <c r="T119" s="1">
        <f>SUM(OSRRefT22_22x_0)</f>
        <v>8700</v>
      </c>
      <c r="U119" s="1"/>
      <c r="V119" s="5">
        <f t="shared" si="97"/>
        <v>2.1232282636336878E-3</v>
      </c>
      <c r="W119" s="1"/>
      <c r="X119" s="1">
        <f t="shared" si="98"/>
        <v>-5630.65</v>
      </c>
      <c r="Y119" s="1"/>
      <c r="Z119" s="5">
        <f t="shared" si="99"/>
        <v>-0.64720114942528728</v>
      </c>
    </row>
    <row r="120" spans="1:26" s="24" customFormat="1" hidden="1" outlineLevel="2" x14ac:dyDescent="0.25">
      <c r="A120" s="25"/>
      <c r="B120" s="11" t="str">
        <f>CONCATENATE("          ", "6292", " - ", "TRAVEL/CONFERENCE")</f>
        <v xml:space="preserve">          6292 - TRAVEL/CONFERENCE</v>
      </c>
      <c r="C120" s="11"/>
      <c r="D120" s="7">
        <v>21.44</v>
      </c>
      <c r="E120" s="2"/>
      <c r="F120" s="6">
        <f t="shared" si="92"/>
        <v>5.2255924070582444E-5</v>
      </c>
      <c r="G120" s="2"/>
      <c r="H120" s="7">
        <v>1000</v>
      </c>
      <c r="I120" s="2"/>
      <c r="J120" s="6">
        <f t="shared" si="93"/>
        <v>2.2737866505985744E-3</v>
      </c>
      <c r="K120" s="2"/>
      <c r="L120" s="7">
        <f t="shared" si="94"/>
        <v>-978.56</v>
      </c>
      <c r="M120" s="2"/>
      <c r="N120" s="6">
        <f t="shared" si="95"/>
        <v>-0.97855999999999999</v>
      </c>
      <c r="O120" s="11"/>
      <c r="P120" s="7">
        <v>2147.04</v>
      </c>
      <c r="Q120" s="2"/>
      <c r="R120" s="6">
        <f t="shared" si="96"/>
        <v>6.1210291190603961E-4</v>
      </c>
      <c r="S120" s="2"/>
      <c r="T120" s="7">
        <v>8700</v>
      </c>
      <c r="U120" s="2"/>
      <c r="V120" s="6">
        <f t="shared" si="97"/>
        <v>2.1232282636336878E-3</v>
      </c>
      <c r="W120" s="2"/>
      <c r="X120" s="7">
        <f t="shared" si="98"/>
        <v>-6552.96</v>
      </c>
      <c r="Y120" s="2"/>
      <c r="Z120" s="6">
        <f t="shared" si="99"/>
        <v>-0.75321379310344827</v>
      </c>
    </row>
    <row r="121" spans="1:26" s="24" customFormat="1" hidden="1" outlineLevel="2" x14ac:dyDescent="0.25">
      <c r="A121" s="25"/>
      <c r="B121" s="11" t="str">
        <f>CONCATENATE("          ", "6294", " - ", "TRAVEL OPERATIONAL")</f>
        <v xml:space="preserve">          6294 - TRAVEL OPERATIONAL</v>
      </c>
      <c r="C121" s="11"/>
      <c r="D121" s="7"/>
      <c r="E121" s="2"/>
      <c r="F121" s="6">
        <f t="shared" si="92"/>
        <v>0</v>
      </c>
      <c r="G121" s="2"/>
      <c r="H121" s="7"/>
      <c r="I121" s="2"/>
      <c r="J121" s="6">
        <f t="shared" si="93"/>
        <v>0</v>
      </c>
      <c r="K121" s="2"/>
      <c r="L121" s="7">
        <f t="shared" si="94"/>
        <v>0</v>
      </c>
      <c r="M121" s="2"/>
      <c r="N121" s="6">
        <f t="shared" si="95"/>
        <v>0</v>
      </c>
      <c r="O121" s="11"/>
      <c r="P121" s="7">
        <v>45.49</v>
      </c>
      <c r="Q121" s="2"/>
      <c r="R121" s="6">
        <f t="shared" si="96"/>
        <v>1.2968813558483189E-5</v>
      </c>
      <c r="S121" s="2"/>
      <c r="T121" s="7"/>
      <c r="U121" s="2"/>
      <c r="V121" s="6">
        <f t="shared" si="97"/>
        <v>0</v>
      </c>
      <c r="W121" s="2"/>
      <c r="X121" s="7">
        <f t="shared" si="98"/>
        <v>45.49</v>
      </c>
      <c r="Y121" s="2"/>
      <c r="Z121" s="6">
        <f t="shared" si="99"/>
        <v>0</v>
      </c>
    </row>
    <row r="122" spans="1:26" s="24" customFormat="1" hidden="1" outlineLevel="2" x14ac:dyDescent="0.25">
      <c r="A122" s="25"/>
      <c r="B122" s="11" t="str">
        <f>CONCATENATE("          ", "6298", " - ", "VEHICLE MILEAGE")</f>
        <v xml:space="preserve">          6298 - VEHICLE MILEAGE</v>
      </c>
      <c r="C122" s="11"/>
      <c r="D122" s="7">
        <v>104.09</v>
      </c>
      <c r="E122" s="2"/>
      <c r="F122" s="6">
        <f t="shared" si="92"/>
        <v>2.5369958659080812E-4</v>
      </c>
      <c r="G122" s="2"/>
      <c r="H122" s="7"/>
      <c r="I122" s="2"/>
      <c r="J122" s="6">
        <f t="shared" si="93"/>
        <v>0</v>
      </c>
      <c r="K122" s="2"/>
      <c r="L122" s="7">
        <f t="shared" si="94"/>
        <v>104.09</v>
      </c>
      <c r="M122" s="2"/>
      <c r="N122" s="6">
        <f t="shared" si="95"/>
        <v>0</v>
      </c>
      <c r="O122" s="11"/>
      <c r="P122" s="7">
        <v>876.82</v>
      </c>
      <c r="Q122" s="2"/>
      <c r="R122" s="6">
        <f t="shared" si="96"/>
        <v>2.4997395261264519E-4</v>
      </c>
      <c r="S122" s="2"/>
      <c r="T122" s="7">
        <v>0</v>
      </c>
      <c r="U122" s="2"/>
      <c r="V122" s="6">
        <f t="shared" si="97"/>
        <v>0</v>
      </c>
      <c r="W122" s="2"/>
      <c r="X122" s="7">
        <f t="shared" si="98"/>
        <v>876.82</v>
      </c>
      <c r="Y122" s="2"/>
      <c r="Z122" s="6">
        <f t="shared" si="99"/>
        <v>0</v>
      </c>
    </row>
    <row r="123" spans="1:26" s="27" customFormat="1" outlineLevel="1" collapsed="1" x14ac:dyDescent="0.25">
      <c r="A123" s="26"/>
      <c r="B123" s="13" t="str">
        <f>CONCATENATE("     ","Utilities                                         ")</f>
        <v xml:space="preserve">     Utilities                                         </v>
      </c>
      <c r="C123" s="13"/>
      <c r="D123" s="1">
        <f>SUM(OSRRefD22_23x_0)</f>
        <v>15583</v>
      </c>
      <c r="E123" s="1"/>
      <c r="F123" s="5">
        <f t="shared" ref="F123:F124" si="100">IF(D$12=0,0,D123/D$12)</f>
        <v>3.7980600036934993E-2</v>
      </c>
      <c r="G123" s="1"/>
      <c r="H123" s="1">
        <f>SUM(OSRRefH22_23x_0)</f>
        <v>22450</v>
      </c>
      <c r="I123" s="1"/>
      <c r="J123" s="5">
        <f t="shared" ref="J123:J124" si="101">IF(H$12=0,0,H123/H$12)</f>
        <v>5.1046510305937993E-2</v>
      </c>
      <c r="K123" s="1"/>
      <c r="L123" s="1">
        <f t="shared" ref="L123:L124" si="102">+D123-H123</f>
        <v>-6867</v>
      </c>
      <c r="M123" s="1"/>
      <c r="N123" s="5">
        <f t="shared" ref="N123:N124" si="103">IF(H123=0,0,L123/H123)</f>
        <v>-0.30587973273942093</v>
      </c>
      <c r="O123" s="13"/>
      <c r="P123" s="1">
        <f>SUM(OSRRefP22_23x_0)</f>
        <v>112470</v>
      </c>
      <c r="Q123" s="1"/>
      <c r="R123" s="5">
        <f t="shared" ref="R123:R124" si="104">IF(P$12=0,0,P123/P$12)</f>
        <v>3.2064244029953927E-2</v>
      </c>
      <c r="S123" s="1"/>
      <c r="T123" s="1">
        <f>SUM(OSRRefT22_23x_0)</f>
        <v>137150</v>
      </c>
      <c r="U123" s="1"/>
      <c r="V123" s="5">
        <f t="shared" ref="V123:V124" si="105">IF(T$12=0,0,T123/T$12)</f>
        <v>3.3471351305443715E-2</v>
      </c>
      <c r="W123" s="1"/>
      <c r="X123" s="1">
        <f t="shared" ref="X123:X124" si="106">+P123-T123</f>
        <v>-24680</v>
      </c>
      <c r="Y123" s="1"/>
      <c r="Z123" s="5">
        <f t="shared" ref="Z123:Z124" si="107">IF(T123=0,0,X123/T123)</f>
        <v>-0.17994896099161503</v>
      </c>
    </row>
    <row r="124" spans="1:26" s="24" customFormat="1" hidden="1" outlineLevel="2" x14ac:dyDescent="0.25">
      <c r="A124" s="25"/>
      <c r="B124" s="11" t="str">
        <f>CONCATENATE("          ", "6274", " - ", "UTILITIES")</f>
        <v xml:space="preserve">          6274 - UTILITIES</v>
      </c>
      <c r="C124" s="11"/>
      <c r="D124" s="7">
        <v>15583</v>
      </c>
      <c r="E124" s="2"/>
      <c r="F124" s="6">
        <f t="shared" si="100"/>
        <v>3.7980600036934993E-2</v>
      </c>
      <c r="G124" s="2"/>
      <c r="H124" s="7">
        <v>22450</v>
      </c>
      <c r="I124" s="2"/>
      <c r="J124" s="6">
        <f t="shared" si="101"/>
        <v>5.1046510305937993E-2</v>
      </c>
      <c r="K124" s="2"/>
      <c r="L124" s="7">
        <f t="shared" si="102"/>
        <v>-6867</v>
      </c>
      <c r="M124" s="2"/>
      <c r="N124" s="6">
        <f t="shared" si="103"/>
        <v>-0.30587973273942093</v>
      </c>
      <c r="O124" s="11"/>
      <c r="P124" s="7">
        <v>112470</v>
      </c>
      <c r="Q124" s="2"/>
      <c r="R124" s="6">
        <f t="shared" si="104"/>
        <v>3.2064244029953927E-2</v>
      </c>
      <c r="S124" s="2"/>
      <c r="T124" s="7">
        <v>137150</v>
      </c>
      <c r="U124" s="2"/>
      <c r="V124" s="6">
        <f t="shared" si="105"/>
        <v>3.3471351305443715E-2</v>
      </c>
      <c r="W124" s="2"/>
      <c r="X124" s="7">
        <f t="shared" si="106"/>
        <v>-24680</v>
      </c>
      <c r="Y124" s="2"/>
      <c r="Z124" s="6">
        <f t="shared" si="107"/>
        <v>-0.17994896099161503</v>
      </c>
    </row>
    <row r="125" spans="1:26" s="53" customFormat="1" x14ac:dyDescent="0.25">
      <c r="A125" s="36"/>
      <c r="B125" s="36"/>
      <c r="C125" s="36"/>
      <c r="D125" s="1"/>
      <c r="E125" s="1"/>
      <c r="F125" s="5"/>
      <c r="G125" s="1"/>
      <c r="H125" s="1"/>
      <c r="I125" s="1"/>
      <c r="J125" s="5"/>
      <c r="K125" s="1"/>
      <c r="L125" s="1"/>
      <c r="M125" s="1"/>
      <c r="N125" s="5"/>
      <c r="O125" s="36"/>
      <c r="P125" s="1"/>
      <c r="Q125" s="1"/>
      <c r="R125" s="5"/>
      <c r="S125" s="1"/>
      <c r="T125" s="1"/>
      <c r="U125" s="1"/>
      <c r="V125" s="5"/>
      <c r="W125" s="1"/>
      <c r="X125" s="1"/>
      <c r="Y125" s="1"/>
      <c r="Z125" s="5"/>
    </row>
    <row r="126" spans="1:26" s="23" customFormat="1" collapsed="1" x14ac:dyDescent="0.25">
      <c r="A126" s="10"/>
      <c r="B126" s="28" t="s">
        <v>0</v>
      </c>
      <c r="C126" s="10"/>
      <c r="D126" s="4">
        <f>SUM(OSRRefD25x_0)</f>
        <v>65507.39</v>
      </c>
      <c r="E126" s="4"/>
      <c r="F126" s="12">
        <f t="shared" ref="F126:F130" si="108">IF(D$12=0,0,D126/D$12)</f>
        <v>0.15966180960363954</v>
      </c>
      <c r="G126" s="4"/>
      <c r="H126" s="4">
        <f>SUM(OSRRefH25x_0)</f>
        <v>47329</v>
      </c>
      <c r="I126" s="4"/>
      <c r="J126" s="12">
        <f t="shared" ref="J126:J130" si="109">IF(H$12=0,0,H126/H$12)</f>
        <v>0.10761604838617993</v>
      </c>
      <c r="K126" s="4"/>
      <c r="L126" s="4">
        <f t="shared" ref="L126:L130" si="110">+D126-H126</f>
        <v>18178.39</v>
      </c>
      <c r="M126" s="4"/>
      <c r="N126" s="12">
        <f t="shared" ref="N126:N130" si="111">IF(H126=0,0,L126/H126)</f>
        <v>0.38408565572904563</v>
      </c>
      <c r="O126" s="10"/>
      <c r="P126" s="4">
        <f>SUM(OSRRefP25x_0)</f>
        <v>579944.91999999993</v>
      </c>
      <c r="Q126" s="4"/>
      <c r="R126" s="12">
        <f t="shared" ref="R126:R130" si="112">IF(P$12=0,0,P126/P$12)</f>
        <v>0.16533738275817647</v>
      </c>
      <c r="S126" s="4"/>
      <c r="T126" s="4">
        <f>SUM(OSRRefT25x_0)</f>
        <v>491724</v>
      </c>
      <c r="U126" s="4"/>
      <c r="V126" s="12">
        <f t="shared" ref="V126:V130" si="113">IF(T$12=0,0,T126/T$12)</f>
        <v>0.12000486146057604</v>
      </c>
      <c r="W126" s="4"/>
      <c r="X126" s="4">
        <f t="shared" ref="X126:X130" si="114">+P126-T126</f>
        <v>88220.919999999925</v>
      </c>
      <c r="Y126" s="4"/>
      <c r="Z126" s="12">
        <f t="shared" ref="Z126:Z130" si="115">IF(T126=0,0,X126/T126)</f>
        <v>0.17941145846043702</v>
      </c>
    </row>
    <row r="127" spans="1:26" s="24" customFormat="1" hidden="1" outlineLevel="1" x14ac:dyDescent="0.25">
      <c r="A127" s="44"/>
      <c r="B127" s="11" t="str">
        <f>CONCATENATE("          ", "9150", " - ", "MISC. INCOME")</f>
        <v xml:space="preserve">          9150 - MISC. INCOME</v>
      </c>
      <c r="C127" s="11"/>
      <c r="D127" s="2">
        <f>--47160.59</f>
        <v>47160.59</v>
      </c>
      <c r="E127" s="2"/>
      <c r="F127" s="19">
        <f t="shared" si="108"/>
        <v>0.11494497248898645</v>
      </c>
      <c r="G127" s="2"/>
      <c r="H127" s="2">
        <v>28403</v>
      </c>
      <c r="I127" s="2"/>
      <c r="J127" s="19">
        <f t="shared" si="109"/>
        <v>6.458236223695131E-2</v>
      </c>
      <c r="K127" s="2"/>
      <c r="L127" s="2">
        <f t="shared" si="110"/>
        <v>18757.589999999997</v>
      </c>
      <c r="M127" s="2"/>
      <c r="N127" s="19">
        <f t="shared" si="111"/>
        <v>0.66040875963806633</v>
      </c>
      <c r="O127" s="11"/>
      <c r="P127" s="2">
        <f>--230131.86</f>
        <v>230131.86</v>
      </c>
      <c r="Q127" s="2"/>
      <c r="R127" s="19">
        <f t="shared" si="112"/>
        <v>6.5608643354736304E-2</v>
      </c>
      <c r="S127" s="2"/>
      <c r="T127" s="2">
        <v>214981</v>
      </c>
      <c r="U127" s="2"/>
      <c r="V127" s="19">
        <f t="shared" si="113"/>
        <v>5.2465946591291251E-2</v>
      </c>
      <c r="W127" s="2"/>
      <c r="X127" s="2">
        <f t="shared" si="114"/>
        <v>15150.859999999986</v>
      </c>
      <c r="Y127" s="2"/>
      <c r="Z127" s="19">
        <f t="shared" si="115"/>
        <v>7.0475344332754916E-2</v>
      </c>
    </row>
    <row r="128" spans="1:26" s="24" customFormat="1" hidden="1" outlineLevel="1" x14ac:dyDescent="0.25">
      <c r="A128" s="44"/>
      <c r="B128" s="11" t="str">
        <f>CONCATENATE("          ", "9151", " - ", "MISC. INCOME")</f>
        <v xml:space="preserve">          9151 - MISC. INCOME</v>
      </c>
      <c r="C128" s="11"/>
      <c r="D128" s="2">
        <f>0</f>
        <v>0</v>
      </c>
      <c r="E128" s="2"/>
      <c r="F128" s="19">
        <f t="shared" si="108"/>
        <v>0</v>
      </c>
      <c r="G128" s="2"/>
      <c r="H128" s="2">
        <v>18926</v>
      </c>
      <c r="I128" s="2"/>
      <c r="J128" s="19">
        <f t="shared" si="109"/>
        <v>4.3033686149228617E-2</v>
      </c>
      <c r="K128" s="2"/>
      <c r="L128" s="2">
        <f t="shared" si="110"/>
        <v>-18926</v>
      </c>
      <c r="M128" s="2"/>
      <c r="N128" s="19">
        <f t="shared" si="111"/>
        <v>-1</v>
      </c>
      <c r="O128" s="11"/>
      <c r="P128" s="2">
        <f>0</f>
        <v>0</v>
      </c>
      <c r="Q128" s="2"/>
      <c r="R128" s="19">
        <f t="shared" si="112"/>
        <v>0</v>
      </c>
      <c r="S128" s="2"/>
      <c r="T128" s="2">
        <v>276743</v>
      </c>
      <c r="U128" s="2"/>
      <c r="V128" s="19">
        <f t="shared" si="113"/>
        <v>6.7538914869284788E-2</v>
      </c>
      <c r="W128" s="2"/>
      <c r="X128" s="2">
        <f t="shared" si="114"/>
        <v>-276743</v>
      </c>
      <c r="Y128" s="2"/>
      <c r="Z128" s="19">
        <f t="shared" si="115"/>
        <v>-1</v>
      </c>
    </row>
    <row r="129" spans="1:26" s="24" customFormat="1" hidden="1" outlineLevel="1" x14ac:dyDescent="0.25">
      <c r="A129" s="44"/>
      <c r="B129" s="11" t="str">
        <f>CONCATENATE("          ", "9160", " - ", "MISC. INCOME")</f>
        <v xml:space="preserve">          9160 - MISC. INCOME</v>
      </c>
      <c r="C129" s="11"/>
      <c r="D129" s="2">
        <f>--18346.8</f>
        <v>18346.8</v>
      </c>
      <c r="E129" s="2"/>
      <c r="F129" s="19">
        <f t="shared" si="108"/>
        <v>4.4716837114653074E-2</v>
      </c>
      <c r="G129" s="2"/>
      <c r="H129" s="2"/>
      <c r="I129" s="2"/>
      <c r="J129" s="19">
        <f t="shared" si="109"/>
        <v>0</v>
      </c>
      <c r="K129" s="2"/>
      <c r="L129" s="2">
        <f t="shared" si="110"/>
        <v>18346.8</v>
      </c>
      <c r="M129" s="2"/>
      <c r="N129" s="19">
        <f t="shared" si="111"/>
        <v>0</v>
      </c>
      <c r="O129" s="11"/>
      <c r="P129" s="2">
        <f>--122397</f>
        <v>122397</v>
      </c>
      <c r="Q129" s="2"/>
      <c r="R129" s="19">
        <f t="shared" si="112"/>
        <v>3.4894347617447058E-2</v>
      </c>
      <c r="S129" s="2"/>
      <c r="T129" s="2"/>
      <c r="U129" s="2"/>
      <c r="V129" s="19">
        <f t="shared" si="113"/>
        <v>0</v>
      </c>
      <c r="W129" s="2"/>
      <c r="X129" s="2">
        <f t="shared" si="114"/>
        <v>122397</v>
      </c>
      <c r="Y129" s="2"/>
      <c r="Z129" s="19">
        <f t="shared" si="115"/>
        <v>0</v>
      </c>
    </row>
    <row r="130" spans="1:26" s="24" customFormat="1" hidden="1" outlineLevel="1" x14ac:dyDescent="0.25">
      <c r="A130" s="44"/>
      <c r="B130" s="11" t="str">
        <f>CONCATENATE("          ", "9165", " - ", "OTHER INCOME")</f>
        <v xml:space="preserve">          9165 - OTHER INCOME</v>
      </c>
      <c r="C130" s="11"/>
      <c r="D130" s="2">
        <f>0</f>
        <v>0</v>
      </c>
      <c r="E130" s="2"/>
      <c r="F130" s="19">
        <f t="shared" si="108"/>
        <v>0</v>
      </c>
      <c r="G130" s="2"/>
      <c r="H130" s="2"/>
      <c r="I130" s="2"/>
      <c r="J130" s="19">
        <f t="shared" si="109"/>
        <v>0</v>
      </c>
      <c r="K130" s="2"/>
      <c r="L130" s="2">
        <f t="shared" si="110"/>
        <v>0</v>
      </c>
      <c r="M130" s="2"/>
      <c r="N130" s="19">
        <f t="shared" si="111"/>
        <v>0</v>
      </c>
      <c r="O130" s="11"/>
      <c r="P130" s="2">
        <f>--227416.06</f>
        <v>227416.06</v>
      </c>
      <c r="Q130" s="2"/>
      <c r="R130" s="19">
        <f t="shared" si="112"/>
        <v>6.4834391785993109E-2</v>
      </c>
      <c r="S130" s="2"/>
      <c r="T130" s="2"/>
      <c r="U130" s="2"/>
      <c r="V130" s="19">
        <f t="shared" si="113"/>
        <v>0</v>
      </c>
      <c r="W130" s="2"/>
      <c r="X130" s="2">
        <f t="shared" si="114"/>
        <v>227416.06</v>
      </c>
      <c r="Y130" s="2"/>
      <c r="Z130" s="19">
        <f t="shared" si="115"/>
        <v>0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10"/>
      <c r="B132" s="29" t="s">
        <v>3</v>
      </c>
      <c r="C132" s="29"/>
      <c r="D132" s="21">
        <f>+D30-D32+D126</f>
        <v>-189307.87000000005</v>
      </c>
      <c r="E132" s="14"/>
      <c r="F132" s="20">
        <f>IF(D$12=0,0,D132/D$12)</f>
        <v>-0.46140194406173951</v>
      </c>
      <c r="G132" s="14"/>
      <c r="H132" s="21">
        <f>+H30-H32+H126</f>
        <v>-102755.07635125367</v>
      </c>
      <c r="I132" s="14"/>
      <c r="J132" s="20">
        <f>IF(H$12=0,0,H132/H$12)</f>
        <v>-0.23364312088871786</v>
      </c>
      <c r="K132" s="16"/>
      <c r="L132" s="21">
        <f>+D132-H132</f>
        <v>-86552.793648746388</v>
      </c>
      <c r="M132" s="16"/>
      <c r="N132" s="20">
        <f>IF(H132=0,0,L132/H132)</f>
        <v>0.84232134043556084</v>
      </c>
      <c r="O132" s="28"/>
      <c r="P132" s="21">
        <f>+P30-P32+P126</f>
        <v>-463679.3200000017</v>
      </c>
      <c r="Q132" s="14"/>
      <c r="R132" s="20">
        <f>IF(P$12=0,0,P132/P$12)</f>
        <v>-0.13219104532873791</v>
      </c>
      <c r="S132" s="14"/>
      <c r="T132" s="21">
        <f>+T30-T32+T126</f>
        <v>93487.279526052065</v>
      </c>
      <c r="U132" s="14"/>
      <c r="V132" s="20">
        <f>IF(T$12=0,0,T132/T$12)</f>
        <v>2.2815498181601924E-2</v>
      </c>
      <c r="W132" s="16"/>
      <c r="X132" s="21">
        <f>+P132-T132</f>
        <v>-557166.59952605376</v>
      </c>
      <c r="Y132" s="16"/>
      <c r="Z132" s="20">
        <f>IF(T132=0,0,X132/T132)</f>
        <v>-5.9598118840412759</v>
      </c>
    </row>
    <row r="133" spans="1:26" x14ac:dyDescent="0.25">
      <c r="A133" s="9"/>
      <c r="B133" s="10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25">
      <c r="A134" s="52"/>
      <c r="B134" s="10" t="s">
        <v>14</v>
      </c>
      <c r="C134" s="10"/>
      <c r="D134" s="4">
        <v>31259.329999999998</v>
      </c>
      <c r="E134" s="4"/>
      <c r="F134" s="12">
        <f>IF(D$12=0,0,D134/D$12)</f>
        <v>7.6188674206029844E-2</v>
      </c>
      <c r="G134" s="4"/>
      <c r="H134" s="4">
        <v>33333</v>
      </c>
      <c r="I134" s="4"/>
      <c r="J134" s="12">
        <f>IF(H$12=0,0,H134/H$12)</f>
        <v>7.5792130424402276E-2</v>
      </c>
      <c r="K134" s="4"/>
      <c r="L134" s="4">
        <f>+D134-H134</f>
        <v>-2073.6700000000019</v>
      </c>
      <c r="M134" s="4"/>
      <c r="N134" s="12">
        <f>IF(H134=0,0,L134/H134)</f>
        <v>-6.2210722107221131E-2</v>
      </c>
      <c r="O134" s="10"/>
      <c r="P134" s="4">
        <v>365797.74</v>
      </c>
      <c r="Q134" s="4"/>
      <c r="R134" s="12">
        <f>IF(P$12=0,0,P134/P$12)</f>
        <v>0.10428583623157854</v>
      </c>
      <c r="S134" s="4"/>
      <c r="T134" s="4">
        <v>504506.00000000006</v>
      </c>
      <c r="U134" s="4"/>
      <c r="V134" s="12">
        <f>IF(T$12=0,0,T134/T$12)</f>
        <v>0.12312429866353765</v>
      </c>
      <c r="W134" s="4"/>
      <c r="X134" s="4">
        <f>+P134-T134</f>
        <v>-138708.26000000007</v>
      </c>
      <c r="Y134" s="4"/>
      <c r="Z134" s="12">
        <f>IF(T134=0,0,X134/T134)</f>
        <v>-0.27493877178864085</v>
      </c>
    </row>
    <row r="135" spans="1:26" x14ac:dyDescent="0.2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9" t="s">
        <v>4</v>
      </c>
      <c r="C136" s="29"/>
      <c r="D136" s="34">
        <f>+D132-D134</f>
        <v>-220567.20000000004</v>
      </c>
      <c r="E136" s="14"/>
      <c r="F136" s="32">
        <f>IF(D$12=0,0,D136/D$12)</f>
        <v>-0.53759061826776933</v>
      </c>
      <c r="G136" s="14"/>
      <c r="H136" s="34">
        <f>+H132-H134</f>
        <v>-136088.07635125367</v>
      </c>
      <c r="I136" s="14"/>
      <c r="J136" s="32">
        <f>IF(H$12=0,0,H136/H$12)</f>
        <v>-0.30943525131312011</v>
      </c>
      <c r="K136" s="16"/>
      <c r="L136" s="34">
        <f>D136-H136</f>
        <v>-84479.123648746376</v>
      </c>
      <c r="M136" s="16"/>
      <c r="N136" s="32">
        <f>IF(H136=0,0,L136/H136)</f>
        <v>0.62076800491102058</v>
      </c>
      <c r="O136" s="28"/>
      <c r="P136" s="34">
        <f>+P132-P134</f>
        <v>-829477.06000000169</v>
      </c>
      <c r="Q136" s="14"/>
      <c r="R136" s="32">
        <f>IF(P$12=0,0,P136/P$12)</f>
        <v>-0.23647688156031643</v>
      </c>
      <c r="S136" s="14"/>
      <c r="T136" s="34">
        <f>+T132-T134</f>
        <v>-411018.72047394799</v>
      </c>
      <c r="U136" s="14"/>
      <c r="V136" s="32">
        <f>IF(T$12=0,0,T136/T$12)</f>
        <v>-0.10030880048193572</v>
      </c>
      <c r="W136" s="16"/>
      <c r="X136" s="34">
        <f>P136-T136</f>
        <v>-418458.33952605369</v>
      </c>
      <c r="Y136" s="16"/>
      <c r="Z136" s="32">
        <f>IF(T136=0,0,X136/T136)</f>
        <v>1.0181004384508985</v>
      </c>
    </row>
    <row r="137" spans="1:26" ht="15.75" thickTop="1" x14ac:dyDescent="0.25">
      <c r="A137" s="9"/>
      <c r="B137" s="9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x14ac:dyDescent="0.25">
      <c r="A138" s="9"/>
      <c r="B138" s="9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ht="15.75" thickBot="1" x14ac:dyDescent="0.3">
      <c r="A139" s="10"/>
      <c r="B139" s="29" t="s">
        <v>5</v>
      </c>
      <c r="C139" s="29"/>
      <c r="D139" s="31">
        <f>SUM(D136:D138)</f>
        <v>-220567.20000000004</v>
      </c>
      <c r="E139" s="14"/>
      <c r="F139" s="30">
        <f>IF(D$12=0,0,D139/D$12)</f>
        <v>-0.53759061826776933</v>
      </c>
      <c r="G139" s="14"/>
      <c r="H139" s="31">
        <f>SUM(H136:H138)</f>
        <v>-136088.07635125367</v>
      </c>
      <c r="I139" s="14"/>
      <c r="J139" s="30">
        <f>IF(H$12=0,0,H139/H$12)</f>
        <v>-0.30943525131312011</v>
      </c>
      <c r="K139" s="16"/>
      <c r="L139" s="31">
        <f>+D139-H139</f>
        <v>-84479.123648746376</v>
      </c>
      <c r="M139" s="16"/>
      <c r="N139" s="30">
        <f>IF(H139=0,0,L139/H139)</f>
        <v>0.62076800491102058</v>
      </c>
      <c r="O139" s="28"/>
      <c r="P139" s="31">
        <f>SUM(P136:P138)</f>
        <v>-829477.06000000169</v>
      </c>
      <c r="Q139" s="14"/>
      <c r="R139" s="30">
        <f>IF(P$12=0,0,P139/P$12)</f>
        <v>-0.23647688156031643</v>
      </c>
      <c r="S139" s="14"/>
      <c r="T139" s="31">
        <f>SUM(T136:T138)</f>
        <v>-411018.72047394799</v>
      </c>
      <c r="U139" s="14"/>
      <c r="V139" s="30">
        <f>IF(T$12=0,0,T139/T$12)</f>
        <v>-0.10030880048193572</v>
      </c>
      <c r="W139" s="16"/>
      <c r="X139" s="31">
        <f>+P139-T139</f>
        <v>-418458.33952605369</v>
      </c>
      <c r="Y139" s="16"/>
      <c r="Z139" s="30">
        <f>IF(T139=0,0,X139/T139)</f>
        <v>1.0181004384508985</v>
      </c>
    </row>
    <row r="140" spans="1:26" ht="15.75" thickTop="1" x14ac:dyDescent="0.25">
      <c r="A140" s="9"/>
      <c r="C140" s="9"/>
      <c r="D140" s="18"/>
      <c r="E140" s="18"/>
      <c r="G140" s="18"/>
      <c r="H140" s="18"/>
      <c r="I140" s="18"/>
      <c r="J140" s="43"/>
      <c r="K140" s="18"/>
      <c r="L140" s="18"/>
      <c r="M140" s="18"/>
      <c r="P140" s="18"/>
      <c r="Q140" s="18"/>
      <c r="R140" s="43"/>
      <c r="S140" s="18"/>
      <c r="T140" s="18"/>
      <c r="U140" s="18"/>
      <c r="V140" s="43"/>
      <c r="W140" s="18"/>
      <c r="X140" s="18"/>
    </row>
    <row r="141" spans="1:26" x14ac:dyDescent="0.25">
      <c r="A141" s="9"/>
      <c r="B141" s="63">
        <v>43879.54586322917</v>
      </c>
      <c r="D141" s="18"/>
      <c r="E141" s="18"/>
      <c r="G141" s="18"/>
      <c r="H141" s="18"/>
      <c r="I141" s="18"/>
      <c r="J141" s="43"/>
      <c r="K141" s="18"/>
      <c r="L141" s="18"/>
      <c r="M141" s="18"/>
      <c r="P141" s="18"/>
      <c r="Q141" s="18"/>
      <c r="R141" s="43"/>
      <c r="S141" s="18"/>
      <c r="T141" s="18"/>
      <c r="U141" s="18"/>
      <c r="V141" s="43"/>
      <c r="W141" s="18"/>
      <c r="X141" s="18"/>
    </row>
    <row r="142" spans="1:26" x14ac:dyDescent="0.25">
      <c r="A142" s="9"/>
      <c r="B142" s="57" t="s">
        <v>314</v>
      </c>
      <c r="D142" s="18"/>
      <c r="E142" s="18"/>
      <c r="G142" s="18"/>
      <c r="H142" s="18"/>
      <c r="I142" s="18"/>
      <c r="J142" s="43"/>
      <c r="K142" s="18"/>
      <c r="L142" s="18"/>
      <c r="M142" s="18"/>
      <c r="P142" s="18"/>
      <c r="Q142" s="18"/>
      <c r="R142" s="43"/>
      <c r="S142" s="18"/>
      <c r="T142" s="18"/>
      <c r="U142" s="18"/>
      <c r="V142" s="43"/>
      <c r="W142" s="18"/>
      <c r="X142" s="18"/>
    </row>
    <row r="143" spans="1:26" x14ac:dyDescent="0.25">
      <c r="A143" s="9"/>
      <c r="B143" s="60"/>
      <c r="D143" s="18"/>
      <c r="E143" s="18"/>
      <c r="G143" s="18"/>
      <c r="H143" s="18"/>
      <c r="I143" s="18"/>
      <c r="J143" s="43"/>
      <c r="K143" s="18"/>
      <c r="L143" s="18"/>
      <c r="M143" s="18"/>
      <c r="P143" s="18"/>
      <c r="Q143" s="18"/>
      <c r="R143" s="43"/>
      <c r="S143" s="18"/>
      <c r="T143" s="18"/>
      <c r="U143" s="18"/>
      <c r="V143" s="43"/>
      <c r="W143" s="18"/>
      <c r="X143" s="18"/>
    </row>
    <row r="144" spans="1:26" x14ac:dyDescent="0.25">
      <c r="D144" s="18"/>
      <c r="E144" s="18"/>
      <c r="G144" s="18"/>
      <c r="H144" s="18"/>
      <c r="I144" s="18"/>
      <c r="J144" s="43"/>
      <c r="K144" s="18"/>
      <c r="L144" s="18"/>
      <c r="M144" s="18"/>
      <c r="P144" s="18"/>
      <c r="Q144" s="18"/>
      <c r="R144" s="43"/>
      <c r="S144" s="18"/>
      <c r="T144" s="18"/>
      <c r="U144" s="18"/>
      <c r="V144" s="43"/>
      <c r="W144" s="18"/>
      <c r="X144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","405", " - ", "Library Starbucks")</f>
        <v>Department 405 - Library Starbucks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50349.219999999994</v>
      </c>
      <c r="E12" s="4"/>
      <c r="F12" s="12"/>
      <c r="G12" s="4"/>
      <c r="H12" s="4">
        <f>SUM(OSRRefH13x_0)</f>
        <v>40000</v>
      </c>
      <c r="I12" s="4"/>
      <c r="J12" s="12"/>
      <c r="K12" s="4"/>
      <c r="L12" s="4">
        <f t="shared" ref="L12:L15" si="0">+D12-H12</f>
        <v>10349.219999999994</v>
      </c>
      <c r="M12" s="4"/>
      <c r="N12" s="12">
        <f t="shared" ref="N12:N15" si="1">IF(H12=0,0,L12/H12)</f>
        <v>0.25873049999999986</v>
      </c>
      <c r="O12" s="10"/>
      <c r="P12" s="4">
        <f>SUM(OSRRefP13x_0)</f>
        <v>556783.11</v>
      </c>
      <c r="Q12" s="4"/>
      <c r="R12" s="12"/>
      <c r="S12" s="4"/>
      <c r="T12" s="4">
        <f>SUM(OSRRefT13x_0)</f>
        <v>698300</v>
      </c>
      <c r="U12" s="4"/>
      <c r="V12" s="12"/>
      <c r="W12" s="4"/>
      <c r="X12" s="4">
        <f t="shared" ref="X12:X15" si="2">+P12-T12</f>
        <v>-141516.89000000001</v>
      </c>
      <c r="Y12" s="4"/>
      <c r="Z12" s="12">
        <f t="shared" ref="Z12:Z15" si="3">IF(T12=0,0,X12/T12)</f>
        <v>-0.20265915795503367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40000</v>
      </c>
      <c r="I13" s="2"/>
      <c r="J13" s="19"/>
      <c r="K13" s="2"/>
      <c r="L13" s="2">
        <f t="shared" si="0"/>
        <v>-40000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698300</v>
      </c>
      <c r="U13" s="2"/>
      <c r="V13" s="19"/>
      <c r="W13" s="2"/>
      <c r="X13" s="2">
        <f t="shared" si="2"/>
        <v>-698300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--10414.63</f>
        <v>10414.629999999999</v>
      </c>
      <c r="E14" s="2"/>
      <c r="F14" s="19"/>
      <c r="G14" s="2"/>
      <c r="H14" s="2"/>
      <c r="I14" s="2"/>
      <c r="J14" s="19"/>
      <c r="K14" s="2"/>
      <c r="L14" s="2">
        <f t="shared" si="0"/>
        <v>10414.629999999999</v>
      </c>
      <c r="M14" s="2"/>
      <c r="N14" s="19">
        <f t="shared" si="1"/>
        <v>0</v>
      </c>
      <c r="O14" s="11"/>
      <c r="P14" s="2">
        <f>--120766.35</f>
        <v>120766.35</v>
      </c>
      <c r="Q14" s="2"/>
      <c r="R14" s="19"/>
      <c r="S14" s="2"/>
      <c r="T14" s="2"/>
      <c r="U14" s="2"/>
      <c r="V14" s="19"/>
      <c r="W14" s="2"/>
      <c r="X14" s="2">
        <f t="shared" si="2"/>
        <v>120766.35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--39934.59</f>
        <v>39934.589999999997</v>
      </c>
      <c r="E15" s="2"/>
      <c r="F15" s="19"/>
      <c r="G15" s="2"/>
      <c r="H15" s="2"/>
      <c r="I15" s="2"/>
      <c r="J15" s="19"/>
      <c r="K15" s="2"/>
      <c r="L15" s="2">
        <f t="shared" si="0"/>
        <v>39934.589999999997</v>
      </c>
      <c r="M15" s="2"/>
      <c r="N15" s="19">
        <f t="shared" si="1"/>
        <v>0</v>
      </c>
      <c r="O15" s="11"/>
      <c r="P15" s="2">
        <f>--436016.76</f>
        <v>436016.76</v>
      </c>
      <c r="Q15" s="2"/>
      <c r="R15" s="19"/>
      <c r="S15" s="2"/>
      <c r="T15" s="2"/>
      <c r="U15" s="2"/>
      <c r="V15" s="19"/>
      <c r="W15" s="2"/>
      <c r="X15" s="2">
        <f t="shared" si="2"/>
        <v>436016.76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26579.14</v>
      </c>
      <c r="E17" s="4"/>
      <c r="F17" s="12">
        <f t="shared" ref="F17:F20" si="4">IF(D$12=0,0,D17/D$12)</f>
        <v>0.52789576482018996</v>
      </c>
      <c r="G17" s="4"/>
      <c r="H17" s="4">
        <f>SUM(OSRRefH16x_0)</f>
        <v>12800</v>
      </c>
      <c r="I17" s="4"/>
      <c r="J17" s="12">
        <f t="shared" ref="J17:J20" si="5">IF(H$12=0,0,H17/H$12)</f>
        <v>0.32</v>
      </c>
      <c r="K17" s="4"/>
      <c r="L17" s="4">
        <f t="shared" ref="L17:L20" si="6">+D17-H17</f>
        <v>13779.14</v>
      </c>
      <c r="M17" s="4"/>
      <c r="N17" s="12">
        <f t="shared" ref="N17:N20" si="7">IF(H17=0,0,L17/H17)</f>
        <v>1.0764953124999999</v>
      </c>
      <c r="O17" s="10"/>
      <c r="P17" s="4">
        <f>SUM(OSRRefP16x_0)</f>
        <v>220718.19</v>
      </c>
      <c r="Q17" s="4"/>
      <c r="R17" s="12">
        <f t="shared" ref="R17:R20" si="8">IF(P$12=0,0,P17/P$12)</f>
        <v>0.39641682018694857</v>
      </c>
      <c r="S17" s="4"/>
      <c r="T17" s="4">
        <f>SUM(OSRRefT16x_0)</f>
        <v>223456</v>
      </c>
      <c r="U17" s="4"/>
      <c r="V17" s="12">
        <f t="shared" ref="V17:V20" si="9">IF(T$12=0,0,T17/T$12)</f>
        <v>0.32</v>
      </c>
      <c r="W17" s="4"/>
      <c r="X17" s="4">
        <f t="shared" ref="X17:X20" si="10">+P17-T17</f>
        <v>-2737.8099999999977</v>
      </c>
      <c r="Y17" s="4"/>
      <c r="Z17" s="12">
        <f t="shared" ref="Z17:Z20" si="11">IF(T17=0,0,X17/T17)</f>
        <v>-1.225212122297006E-2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12800</v>
      </c>
      <c r="I18" s="2"/>
      <c r="J18" s="19">
        <f t="shared" si="5"/>
        <v>0.32</v>
      </c>
      <c r="K18" s="2"/>
      <c r="L18" s="2">
        <f t="shared" si="6"/>
        <v>-12800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223456</v>
      </c>
      <c r="U18" s="2"/>
      <c r="V18" s="19">
        <f t="shared" si="9"/>
        <v>0.32</v>
      </c>
      <c r="W18" s="2"/>
      <c r="X18" s="2">
        <f t="shared" si="10"/>
        <v>-223456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18827.14</v>
      </c>
      <c r="E19" s="2"/>
      <c r="F19" s="19">
        <f t="shared" si="4"/>
        <v>0.3739311155167846</v>
      </c>
      <c r="G19" s="2"/>
      <c r="H19" s="2"/>
      <c r="I19" s="2"/>
      <c r="J19" s="19">
        <f t="shared" si="5"/>
        <v>0</v>
      </c>
      <c r="K19" s="2"/>
      <c r="L19" s="2">
        <f t="shared" si="6"/>
        <v>18827.14</v>
      </c>
      <c r="M19" s="2"/>
      <c r="N19" s="19">
        <f t="shared" si="7"/>
        <v>0</v>
      </c>
      <c r="O19" s="11"/>
      <c r="P19" s="2">
        <v>221568.19</v>
      </c>
      <c r="Q19" s="2"/>
      <c r="R19" s="19">
        <f t="shared" si="8"/>
        <v>0.39794344695549405</v>
      </c>
      <c r="S19" s="2"/>
      <c r="T19" s="2"/>
      <c r="U19" s="2"/>
      <c r="V19" s="19">
        <f t="shared" si="9"/>
        <v>0</v>
      </c>
      <c r="W19" s="2"/>
      <c r="X19" s="2">
        <f t="shared" si="10"/>
        <v>221568.19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7752</v>
      </c>
      <c r="E20" s="2"/>
      <c r="F20" s="19">
        <f t="shared" si="4"/>
        <v>0.15396464930340531</v>
      </c>
      <c r="G20" s="2"/>
      <c r="H20" s="2"/>
      <c r="I20" s="2"/>
      <c r="J20" s="19">
        <f t="shared" si="5"/>
        <v>0</v>
      </c>
      <c r="K20" s="2"/>
      <c r="L20" s="2">
        <f t="shared" si="6"/>
        <v>7752</v>
      </c>
      <c r="M20" s="2"/>
      <c r="N20" s="19">
        <f t="shared" si="7"/>
        <v>0</v>
      </c>
      <c r="O20" s="11"/>
      <c r="P20" s="2">
        <v>-850</v>
      </c>
      <c r="Q20" s="2"/>
      <c r="R20" s="19">
        <f t="shared" si="8"/>
        <v>-1.5266267685454754E-3</v>
      </c>
      <c r="S20" s="2"/>
      <c r="T20" s="2"/>
      <c r="U20" s="2"/>
      <c r="V20" s="19">
        <f t="shared" si="9"/>
        <v>0</v>
      </c>
      <c r="W20" s="2"/>
      <c r="X20" s="2">
        <f t="shared" si="10"/>
        <v>-850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1">
        <f>D12-D17</f>
        <v>23770.079999999994</v>
      </c>
      <c r="E22" s="14"/>
      <c r="F22" s="20">
        <f>IF(D$12=0,0,D22/D$12)</f>
        <v>0.47210423517981009</v>
      </c>
      <c r="G22" s="14"/>
      <c r="H22" s="21">
        <f>H12-H17</f>
        <v>27200</v>
      </c>
      <c r="I22" s="14"/>
      <c r="J22" s="20">
        <f>IF(H$12=0,0,H22/H$12)</f>
        <v>0.68</v>
      </c>
      <c r="K22" s="16"/>
      <c r="L22" s="21">
        <f>+D22-H22</f>
        <v>-3429.9200000000055</v>
      </c>
      <c r="M22" s="16"/>
      <c r="N22" s="20">
        <f>IF(H22=0,0,L22/H22)</f>
        <v>-0.12610000000000021</v>
      </c>
      <c r="O22" s="28"/>
      <c r="P22" s="21">
        <f>P12-P17</f>
        <v>336064.92</v>
      </c>
      <c r="Q22" s="14"/>
      <c r="R22" s="20">
        <f>IF(P$12=0,0,P22/P$12)</f>
        <v>0.60358317981305143</v>
      </c>
      <c r="S22" s="14"/>
      <c r="T22" s="21">
        <f>T12-T17</f>
        <v>474844</v>
      </c>
      <c r="U22" s="14"/>
      <c r="V22" s="20">
        <f>IF(T$12=0,0,T22/T$12)</f>
        <v>0.68</v>
      </c>
      <c r="W22" s="16"/>
      <c r="X22" s="21">
        <f>+P22-T22</f>
        <v>-138779.08000000002</v>
      </c>
      <c r="Y22" s="16"/>
      <c r="Z22" s="20">
        <f>IF(T22=0,0,X22/T22)</f>
        <v>-0.2922624693583577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2">
        <f>SUM(OSRRefD22x_0)</f>
        <v>50792.89999999998</v>
      </c>
      <c r="E24" s="22"/>
      <c r="F24" s="35">
        <f t="shared" ref="F24:F34" si="12">IF(D$12=0,0,D24/D$12)</f>
        <v>1.0088120530963536</v>
      </c>
      <c r="G24" s="22"/>
      <c r="H24" s="22">
        <f>SUM(OSRRefH22x_0)</f>
        <v>46178.150901000001</v>
      </c>
      <c r="I24" s="22"/>
      <c r="J24" s="35">
        <f t="shared" ref="J24:J34" si="13">IF(H$12=0,0,H24/H$12)</f>
        <v>1.1544537725249999</v>
      </c>
      <c r="K24" s="4"/>
      <c r="L24" s="22">
        <f t="shared" ref="L24:L34" si="14">+D24-H24</f>
        <v>4614.7490989999787</v>
      </c>
      <c r="M24" s="4"/>
      <c r="N24" s="35">
        <f t="shared" ref="N24:N34" si="15">IF(H24=0,0,L24/H24)</f>
        <v>9.9933605156546992E-2</v>
      </c>
      <c r="O24" s="10"/>
      <c r="P24" s="22">
        <f>SUM(OSRRefP22x_0)</f>
        <v>389078.85999999993</v>
      </c>
      <c r="Q24" s="22"/>
      <c r="R24" s="35">
        <f t="shared" ref="R24:R34" si="16">IF(P$12=0,0,P24/P$12)</f>
        <v>0.69879788558959688</v>
      </c>
      <c r="S24" s="22"/>
      <c r="T24" s="22">
        <f>SUM(OSRRefT22x_0)</f>
        <v>391366.60845340003</v>
      </c>
      <c r="U24" s="22"/>
      <c r="V24" s="35">
        <f t="shared" ref="V24:V34" si="17">IF(T$12=0,0,T24/T$12)</f>
        <v>0.56045626300071605</v>
      </c>
      <c r="W24" s="4"/>
      <c r="X24" s="22">
        <f t="shared" ref="X24:X34" si="18">+P24-T24</f>
        <v>-2287.7484534000978</v>
      </c>
      <c r="Y24" s="4"/>
      <c r="Z24" s="35">
        <f t="shared" ref="Z24:Z34" si="19">IF(T24=0,0,X24/T24)</f>
        <v>-5.8455381833437629E-3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4873.3600000000006</v>
      </c>
      <c r="E25" s="1"/>
      <c r="F25" s="5">
        <f t="shared" si="12"/>
        <v>9.6791171740098478E-2</v>
      </c>
      <c r="G25" s="1"/>
      <c r="H25" s="1">
        <f>SUM(OSRRefH22_0x_0)</f>
        <v>5378.4525933076984</v>
      </c>
      <c r="I25" s="1"/>
      <c r="J25" s="5">
        <f t="shared" si="13"/>
        <v>0.13446131483269247</v>
      </c>
      <c r="K25" s="1"/>
      <c r="L25" s="1">
        <f t="shared" si="14"/>
        <v>-505.09259330769783</v>
      </c>
      <c r="M25" s="1"/>
      <c r="N25" s="5">
        <f t="shared" si="15"/>
        <v>-9.3910392356376715E-2</v>
      </c>
      <c r="O25" s="13"/>
      <c r="P25" s="1">
        <f>SUM(OSRRefP22_0x_0)</f>
        <v>36267.720000000008</v>
      </c>
      <c r="Q25" s="1"/>
      <c r="R25" s="5">
        <f t="shared" si="16"/>
        <v>6.5137967277778971E-2</v>
      </c>
      <c r="S25" s="1"/>
      <c r="T25" s="1">
        <f>SUM(OSRRefT22_0x_0)</f>
        <v>54558.430945707711</v>
      </c>
      <c r="U25" s="1"/>
      <c r="V25" s="5">
        <f t="shared" si="17"/>
        <v>7.8130360798664922E-2</v>
      </c>
      <c r="W25" s="1"/>
      <c r="X25" s="1">
        <f t="shared" si="18"/>
        <v>-18290.710945707702</v>
      </c>
      <c r="Y25" s="1"/>
      <c r="Z25" s="5">
        <f t="shared" si="19"/>
        <v>-0.33524994448445905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7">
        <v>893.79</v>
      </c>
      <c r="E26" s="2"/>
      <c r="F26" s="6">
        <f t="shared" si="12"/>
        <v>1.7751814228701063E-2</v>
      </c>
      <c r="G26" s="2"/>
      <c r="H26" s="7">
        <v>905.65425392307702</v>
      </c>
      <c r="I26" s="2"/>
      <c r="J26" s="6">
        <f t="shared" si="13"/>
        <v>2.2641356348076926E-2</v>
      </c>
      <c r="K26" s="2"/>
      <c r="L26" s="7">
        <f t="shared" si="14"/>
        <v>-11.864253923077058</v>
      </c>
      <c r="M26" s="2"/>
      <c r="N26" s="6">
        <f t="shared" si="15"/>
        <v>-1.3100202281040425E-2</v>
      </c>
      <c r="O26" s="11"/>
      <c r="P26" s="7">
        <v>7331.41</v>
      </c>
      <c r="Q26" s="2"/>
      <c r="R26" s="6">
        <f t="shared" si="16"/>
        <v>1.3167443243743511E-2</v>
      </c>
      <c r="S26" s="2"/>
      <c r="T26" s="7">
        <v>7053.820374323077</v>
      </c>
      <c r="U26" s="2"/>
      <c r="V26" s="6">
        <f t="shared" si="17"/>
        <v>1.0101418264818956E-2</v>
      </c>
      <c r="W26" s="2"/>
      <c r="X26" s="7">
        <f t="shared" si="18"/>
        <v>277.58962567692288</v>
      </c>
      <c r="Y26" s="2"/>
      <c r="Z26" s="6">
        <f t="shared" si="19"/>
        <v>3.9353089665763126E-2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7">
        <v>755.2</v>
      </c>
      <c r="E27" s="2"/>
      <c r="F27" s="6">
        <f t="shared" si="12"/>
        <v>1.4999239312942687E-2</v>
      </c>
      <c r="G27" s="2"/>
      <c r="H27" s="7">
        <v>964.05339261538506</v>
      </c>
      <c r="I27" s="2"/>
      <c r="J27" s="6">
        <f t="shared" si="13"/>
        <v>2.4101334815384626E-2</v>
      </c>
      <c r="K27" s="2"/>
      <c r="L27" s="7">
        <f t="shared" si="14"/>
        <v>-208.85339261538502</v>
      </c>
      <c r="M27" s="2"/>
      <c r="N27" s="6">
        <f t="shared" si="15"/>
        <v>-0.2166408979162302</v>
      </c>
      <c r="O27" s="11"/>
      <c r="P27" s="7">
        <v>5823.09</v>
      </c>
      <c r="Q27" s="2"/>
      <c r="R27" s="6">
        <f t="shared" si="16"/>
        <v>1.0458453023117027E-2</v>
      </c>
      <c r="S27" s="2"/>
      <c r="T27" s="7">
        <v>7451.1293766153894</v>
      </c>
      <c r="U27" s="2"/>
      <c r="V27" s="6">
        <f t="shared" si="17"/>
        <v>1.0670384328534139E-2</v>
      </c>
      <c r="W27" s="2"/>
      <c r="X27" s="7">
        <f t="shared" si="18"/>
        <v>-1628.0393766153893</v>
      </c>
      <c r="Y27" s="2"/>
      <c r="Z27" s="6">
        <f t="shared" si="19"/>
        <v>-0.21849565271606008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7">
        <v>1079.06</v>
      </c>
      <c r="E28" s="2"/>
      <c r="F28" s="6">
        <f t="shared" si="12"/>
        <v>2.1431513735466014E-2</v>
      </c>
      <c r="G28" s="2"/>
      <c r="H28" s="7">
        <v>1326</v>
      </c>
      <c r="I28" s="2"/>
      <c r="J28" s="6">
        <f t="shared" si="13"/>
        <v>3.3149999999999999E-2</v>
      </c>
      <c r="K28" s="2"/>
      <c r="L28" s="7">
        <f t="shared" si="14"/>
        <v>-246.94000000000005</v>
      </c>
      <c r="M28" s="2"/>
      <c r="N28" s="6">
        <f t="shared" si="15"/>
        <v>-0.18622926093514333</v>
      </c>
      <c r="O28" s="11"/>
      <c r="P28" s="7">
        <v>9336.44</v>
      </c>
      <c r="Q28" s="2"/>
      <c r="R28" s="6">
        <f t="shared" si="16"/>
        <v>1.67685402669632E-2</v>
      </c>
      <c r="S28" s="2"/>
      <c r="T28" s="7">
        <v>9282</v>
      </c>
      <c r="U28" s="2"/>
      <c r="V28" s="6">
        <f t="shared" si="17"/>
        <v>1.3292281254475154E-2</v>
      </c>
      <c r="W28" s="2"/>
      <c r="X28" s="7">
        <f t="shared" si="18"/>
        <v>54.440000000000509</v>
      </c>
      <c r="Y28" s="2"/>
      <c r="Z28" s="6">
        <f t="shared" si="19"/>
        <v>5.8651152768800377E-3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7">
        <v>50.61</v>
      </c>
      <c r="E29" s="2"/>
      <c r="F29" s="6">
        <f t="shared" si="12"/>
        <v>1.0051794248252506E-3</v>
      </c>
      <c r="G29" s="2"/>
      <c r="H29" s="7">
        <v>64.601516000000004</v>
      </c>
      <c r="I29" s="2"/>
      <c r="J29" s="6">
        <f t="shared" si="13"/>
        <v>1.6150379E-3</v>
      </c>
      <c r="K29" s="2"/>
      <c r="L29" s="7">
        <f t="shared" si="14"/>
        <v>-13.991516000000004</v>
      </c>
      <c r="M29" s="2"/>
      <c r="N29" s="6">
        <f t="shared" si="15"/>
        <v>-0.21658185235157645</v>
      </c>
      <c r="O29" s="11"/>
      <c r="P29" s="7">
        <v>494.33</v>
      </c>
      <c r="Q29" s="2"/>
      <c r="R29" s="6">
        <f t="shared" si="16"/>
        <v>8.8783224764127637E-4</v>
      </c>
      <c r="S29" s="2"/>
      <c r="T29" s="7">
        <v>499.30248399999999</v>
      </c>
      <c r="U29" s="2"/>
      <c r="V29" s="6">
        <f t="shared" si="17"/>
        <v>7.1502575397393666E-4</v>
      </c>
      <c r="W29" s="2"/>
      <c r="X29" s="7">
        <f t="shared" si="18"/>
        <v>-4.9724840000000086</v>
      </c>
      <c r="Y29" s="2"/>
      <c r="Z29" s="6">
        <f t="shared" si="19"/>
        <v>-9.9588609296804714E-3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7">
        <v>810.41</v>
      </c>
      <c r="E30" s="2"/>
      <c r="F30" s="6">
        <f t="shared" si="12"/>
        <v>1.6095780629769438E-2</v>
      </c>
      <c r="G30" s="2"/>
      <c r="H30" s="7">
        <v>1017.72201538462</v>
      </c>
      <c r="I30" s="2"/>
      <c r="J30" s="6">
        <f t="shared" si="13"/>
        <v>2.5443050384615501E-2</v>
      </c>
      <c r="K30" s="2"/>
      <c r="L30" s="7">
        <f t="shared" si="14"/>
        <v>-207.31201538462005</v>
      </c>
      <c r="M30" s="2"/>
      <c r="N30" s="6">
        <f t="shared" si="15"/>
        <v>-0.20370200531259233</v>
      </c>
      <c r="O30" s="11"/>
      <c r="P30" s="7">
        <v>4990.43</v>
      </c>
      <c r="Q30" s="2"/>
      <c r="R30" s="6">
        <f t="shared" si="16"/>
        <v>8.9629694406498789E-3</v>
      </c>
      <c r="S30" s="2"/>
      <c r="T30" s="7">
        <v>6309.8764953846285</v>
      </c>
      <c r="U30" s="2"/>
      <c r="V30" s="6">
        <f t="shared" si="17"/>
        <v>9.0360539816477566E-3</v>
      </c>
      <c r="W30" s="2"/>
      <c r="X30" s="7">
        <f t="shared" si="18"/>
        <v>-1319.4464953846282</v>
      </c>
      <c r="Y30" s="2"/>
      <c r="Z30" s="6">
        <f t="shared" si="19"/>
        <v>-0.20910813331286909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16000</v>
      </c>
      <c r="U31" s="2"/>
      <c r="V31" s="6">
        <f t="shared" si="17"/>
        <v>2.2912788199914078E-2</v>
      </c>
      <c r="W31" s="2"/>
      <c r="X31" s="7">
        <f t="shared" si="18"/>
        <v>-16000</v>
      </c>
      <c r="Y31" s="2"/>
      <c r="Z31" s="6">
        <f t="shared" si="19"/>
        <v>-1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7">
        <v>378.58</v>
      </c>
      <c r="E32" s="2"/>
      <c r="F32" s="6">
        <f t="shared" si="12"/>
        <v>7.5190837117238363E-3</v>
      </c>
      <c r="G32" s="2"/>
      <c r="H32" s="7">
        <v>355.01930769230802</v>
      </c>
      <c r="I32" s="2"/>
      <c r="J32" s="6">
        <f t="shared" si="13"/>
        <v>8.8754826923077013E-3</v>
      </c>
      <c r="K32" s="2"/>
      <c r="L32" s="7">
        <f t="shared" si="14"/>
        <v>23.560692307691966</v>
      </c>
      <c r="M32" s="2"/>
      <c r="N32" s="6">
        <f t="shared" si="15"/>
        <v>6.6364537920038422E-2</v>
      </c>
      <c r="O32" s="11"/>
      <c r="P32" s="7">
        <v>2874.58</v>
      </c>
      <c r="Q32" s="2"/>
      <c r="R32" s="6">
        <f t="shared" si="16"/>
        <v>5.1628362074417093E-3</v>
      </c>
      <c r="S32" s="2"/>
      <c r="T32" s="7">
        <v>2201.1197076923081</v>
      </c>
      <c r="U32" s="2"/>
      <c r="V32" s="6">
        <f t="shared" si="17"/>
        <v>3.1521118540631648E-3</v>
      </c>
      <c r="W32" s="2"/>
      <c r="X32" s="7">
        <f t="shared" si="18"/>
        <v>673.46029230769182</v>
      </c>
      <c r="Y32" s="2"/>
      <c r="Z32" s="6">
        <f t="shared" si="19"/>
        <v>0.305962592563291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7">
        <v>453.54</v>
      </c>
      <c r="E33" s="2"/>
      <c r="F33" s="6">
        <f t="shared" si="12"/>
        <v>9.0078853257309667E-3</v>
      </c>
      <c r="G33" s="2"/>
      <c r="H33" s="7">
        <v>745.40210769230794</v>
      </c>
      <c r="I33" s="2"/>
      <c r="J33" s="6">
        <f t="shared" si="13"/>
        <v>1.86350526923077E-2</v>
      </c>
      <c r="K33" s="2"/>
      <c r="L33" s="7">
        <f t="shared" si="14"/>
        <v>-291.86210769230792</v>
      </c>
      <c r="M33" s="2"/>
      <c r="N33" s="6">
        <f t="shared" si="15"/>
        <v>-0.39154988251359318</v>
      </c>
      <c r="O33" s="11"/>
      <c r="P33" s="7">
        <v>3443.8</v>
      </c>
      <c r="Q33" s="2"/>
      <c r="R33" s="6">
        <f t="shared" si="16"/>
        <v>6.1851732535493044E-3</v>
      </c>
      <c r="S33" s="2"/>
      <c r="T33" s="7">
        <v>5761.1825076923096</v>
      </c>
      <c r="U33" s="2"/>
      <c r="V33" s="6">
        <f t="shared" si="17"/>
        <v>8.2502971612377334E-3</v>
      </c>
      <c r="W33" s="2"/>
      <c r="X33" s="7">
        <f t="shared" si="18"/>
        <v>-2317.3825076923094</v>
      </c>
      <c r="Y33" s="2"/>
      <c r="Z33" s="6">
        <f t="shared" si="19"/>
        <v>-0.4022407734172887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7">
        <v>452.17</v>
      </c>
      <c r="E34" s="2"/>
      <c r="F34" s="6">
        <f t="shared" si="12"/>
        <v>8.9806753709392138E-3</v>
      </c>
      <c r="G34" s="2"/>
      <c r="H34" s="7"/>
      <c r="I34" s="2"/>
      <c r="J34" s="6">
        <f t="shared" si="13"/>
        <v>0</v>
      </c>
      <c r="K34" s="2"/>
      <c r="L34" s="7">
        <f t="shared" si="14"/>
        <v>452.17</v>
      </c>
      <c r="M34" s="2"/>
      <c r="N34" s="6">
        <f t="shared" si="15"/>
        <v>0</v>
      </c>
      <c r="O34" s="11"/>
      <c r="P34" s="7">
        <v>1973.64</v>
      </c>
      <c r="Q34" s="2"/>
      <c r="R34" s="6">
        <f t="shared" si="16"/>
        <v>3.5447195946730499E-3</v>
      </c>
      <c r="S34" s="2"/>
      <c r="T34" s="7"/>
      <c r="U34" s="2"/>
      <c r="V34" s="6">
        <f t="shared" si="17"/>
        <v>0</v>
      </c>
      <c r="W34" s="2"/>
      <c r="X34" s="7">
        <f t="shared" si="18"/>
        <v>1973.64</v>
      </c>
      <c r="Y34" s="2"/>
      <c r="Z34" s="6">
        <f t="shared" si="19"/>
        <v>0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25913.440000000002</v>
      </c>
      <c r="E35" s="1"/>
      <c r="F35" s="5">
        <f t="shared" ref="F35:F45" si="20">IF(D$12=0,0,D35/D$12)</f>
        <v>0.51467411014510267</v>
      </c>
      <c r="G35" s="1"/>
      <c r="H35" s="1">
        <f>SUM(OSRRefH22_1x_0)</f>
        <v>24136.698307692299</v>
      </c>
      <c r="I35" s="1"/>
      <c r="J35" s="5">
        <f t="shared" ref="J35:J45" si="21">IF(H$12=0,0,H35/H$12)</f>
        <v>0.60341745769230748</v>
      </c>
      <c r="K35" s="1"/>
      <c r="L35" s="1">
        <f t="shared" ref="L35:L45" si="22">+D35-H35</f>
        <v>1776.7416923077035</v>
      </c>
      <c r="M35" s="1"/>
      <c r="N35" s="5">
        <f t="shared" ref="N35:N45" si="23">IF(H35=0,0,L35/H35)</f>
        <v>7.3611629463896516E-2</v>
      </c>
      <c r="O35" s="13"/>
      <c r="P35" s="1">
        <f>SUM(OSRRefP22_1x_0)</f>
        <v>183294.31</v>
      </c>
      <c r="Q35" s="1"/>
      <c r="R35" s="5">
        <f t="shared" ref="R35:R45" si="24">IF(P$12=0,0,P35/P$12)</f>
        <v>0.329202353138909</v>
      </c>
      <c r="S35" s="1"/>
      <c r="T35" s="1">
        <f>SUM(OSRRefT22_1x_0)</f>
        <v>187637.17750769231</v>
      </c>
      <c r="U35" s="1"/>
      <c r="V35" s="5">
        <f t="shared" ref="V35:V45" si="25">IF(T$12=0,0,T35/T$12)</f>
        <v>0.26870568166646469</v>
      </c>
      <c r="W35" s="1"/>
      <c r="X35" s="1">
        <f t="shared" ref="X35:X45" si="26">+P35-T35</f>
        <v>-4342.86750769231</v>
      </c>
      <c r="Y35" s="1"/>
      <c r="Z35" s="5">
        <f t="shared" ref="Z35:Z45" si="27">IF(T35=0,0,X35/T35)</f>
        <v>-2.3145026829847041E-2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7">
        <v>13641.28</v>
      </c>
      <c r="E37" s="2"/>
      <c r="F37" s="6">
        <f t="shared" si="20"/>
        <v>0.2709332935048448</v>
      </c>
      <c r="G37" s="2"/>
      <c r="H37" s="7">
        <v>11123.9383076923</v>
      </c>
      <c r="I37" s="2"/>
      <c r="J37" s="6">
        <f t="shared" si="21"/>
        <v>0.27809845769230751</v>
      </c>
      <c r="K37" s="2"/>
      <c r="L37" s="7">
        <f t="shared" si="22"/>
        <v>2517.3416923077002</v>
      </c>
      <c r="M37" s="2"/>
      <c r="N37" s="6">
        <f t="shared" si="23"/>
        <v>0.22629950137056554</v>
      </c>
      <c r="O37" s="11"/>
      <c r="P37" s="7">
        <v>76392.78</v>
      </c>
      <c r="Q37" s="2"/>
      <c r="R37" s="6">
        <f t="shared" si="24"/>
        <v>0.13720383867247699</v>
      </c>
      <c r="S37" s="2"/>
      <c r="T37" s="7">
        <v>68968.417507692298</v>
      </c>
      <c r="U37" s="2"/>
      <c r="V37" s="6">
        <f t="shared" si="25"/>
        <v>9.8766171427312477E-2</v>
      </c>
      <c r="W37" s="2"/>
      <c r="X37" s="7">
        <f t="shared" si="26"/>
        <v>7424.3624923077004</v>
      </c>
      <c r="Y37" s="2"/>
      <c r="Z37" s="6">
        <f t="shared" si="27"/>
        <v>0.10764872909371358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>
        <v>45.5</v>
      </c>
      <c r="Q40" s="2"/>
      <c r="R40" s="6">
        <f t="shared" si="24"/>
        <v>8.1719432904493104E-5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45.5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7">
        <v>11901.66</v>
      </c>
      <c r="E42" s="2"/>
      <c r="F42" s="6">
        <f t="shared" si="20"/>
        <v>0.2363822120779627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11901.66</v>
      </c>
      <c r="M42" s="2"/>
      <c r="N42" s="6">
        <f t="shared" si="23"/>
        <v>0</v>
      </c>
      <c r="O42" s="11"/>
      <c r="P42" s="7">
        <v>102021.53</v>
      </c>
      <c r="Q42" s="2"/>
      <c r="R42" s="6">
        <f t="shared" si="24"/>
        <v>0.18323388078348857</v>
      </c>
      <c r="S42" s="2"/>
      <c r="T42" s="7">
        <v>18800</v>
      </c>
      <c r="U42" s="2"/>
      <c r="V42" s="6">
        <f t="shared" si="25"/>
        <v>2.6922526134899042E-2</v>
      </c>
      <c r="W42" s="2"/>
      <c r="X42" s="7">
        <f t="shared" si="26"/>
        <v>83221.53</v>
      </c>
      <c r="Y42" s="2"/>
      <c r="Z42" s="6">
        <f t="shared" si="27"/>
        <v>4.4266771276595742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7">
        <v>370.5</v>
      </c>
      <c r="E43" s="2"/>
      <c r="F43" s="6">
        <f t="shared" si="20"/>
        <v>7.3586045622951067E-3</v>
      </c>
      <c r="G43" s="2"/>
      <c r="H43" s="7">
        <v>13012.76</v>
      </c>
      <c r="I43" s="2"/>
      <c r="J43" s="6">
        <f t="shared" si="21"/>
        <v>0.32531900000000002</v>
      </c>
      <c r="K43" s="2"/>
      <c r="L43" s="7">
        <f t="shared" si="22"/>
        <v>-12642.26</v>
      </c>
      <c r="M43" s="2"/>
      <c r="N43" s="6">
        <f t="shared" si="23"/>
        <v>-0.97152794641567197</v>
      </c>
      <c r="O43" s="11"/>
      <c r="P43" s="7">
        <v>4834.5</v>
      </c>
      <c r="Q43" s="2"/>
      <c r="R43" s="6">
        <f t="shared" si="24"/>
        <v>8.6829142500389426E-3</v>
      </c>
      <c r="S43" s="2"/>
      <c r="T43" s="7">
        <v>99868.760000000009</v>
      </c>
      <c r="U43" s="2"/>
      <c r="V43" s="6">
        <f t="shared" si="25"/>
        <v>0.1430169841042532</v>
      </c>
      <c r="W43" s="2"/>
      <c r="X43" s="7">
        <f t="shared" si="26"/>
        <v>-95034.260000000009</v>
      </c>
      <c r="Y43" s="2"/>
      <c r="Z43" s="6">
        <f t="shared" si="27"/>
        <v>-0.95159146864344768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61.55</v>
      </c>
      <c r="E46" s="1"/>
      <c r="F46" s="5">
        <f t="shared" ref="F46:F55" si="28">IF(D$12=0,0,D46/D$12)</f>
        <v>1.2224618375418727E-3</v>
      </c>
      <c r="G46" s="1"/>
      <c r="H46" s="1">
        <f>SUM(OSRRefH22_2x_0)</f>
        <v>150</v>
      </c>
      <c r="I46" s="1"/>
      <c r="J46" s="5">
        <f t="shared" ref="J46:J55" si="29">IF(H$12=0,0,H46/H$12)</f>
        <v>3.7499999999999999E-3</v>
      </c>
      <c r="K46" s="1"/>
      <c r="L46" s="1">
        <f t="shared" ref="L46:L55" si="30">+D46-H46</f>
        <v>-88.45</v>
      </c>
      <c r="M46" s="1"/>
      <c r="N46" s="5">
        <f t="shared" ref="N46:N55" si="31">IF(H46=0,0,L46/H46)</f>
        <v>-0.58966666666666667</v>
      </c>
      <c r="O46" s="13"/>
      <c r="P46" s="1">
        <f>SUM(OSRRefP22_2x_0)</f>
        <v>1183.29</v>
      </c>
      <c r="Q46" s="1"/>
      <c r="R46" s="5">
        <f t="shared" ref="R46:R55" si="32">IF(P$12=0,0,P46/P$12)</f>
        <v>2.1252261046496184E-3</v>
      </c>
      <c r="S46" s="1"/>
      <c r="T46" s="1">
        <f>SUM(OSRRefT22_2x_0)</f>
        <v>1050</v>
      </c>
      <c r="U46" s="1"/>
      <c r="V46" s="5">
        <f t="shared" ref="V46:V55" si="33">IF(T$12=0,0,T46/T$12)</f>
        <v>1.5036517256193612E-3</v>
      </c>
      <c r="W46" s="1"/>
      <c r="X46" s="1">
        <f t="shared" ref="X46:X55" si="34">+P46-T46</f>
        <v>133.28999999999996</v>
      </c>
      <c r="Y46" s="1"/>
      <c r="Z46" s="5">
        <f t="shared" ref="Z46:Z55" si="35">IF(T46=0,0,X46/T46)</f>
        <v>0.12694285714285711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7">
        <v>61.55</v>
      </c>
      <c r="E47" s="2"/>
      <c r="F47" s="6">
        <f t="shared" si="28"/>
        <v>1.2224618375418727E-3</v>
      </c>
      <c r="G47" s="2"/>
      <c r="H47" s="7">
        <v>150</v>
      </c>
      <c r="I47" s="2"/>
      <c r="J47" s="6">
        <f t="shared" si="29"/>
        <v>3.7499999999999999E-3</v>
      </c>
      <c r="K47" s="2"/>
      <c r="L47" s="7">
        <f t="shared" si="30"/>
        <v>-88.45</v>
      </c>
      <c r="M47" s="2"/>
      <c r="N47" s="6">
        <f t="shared" si="31"/>
        <v>-0.58966666666666667</v>
      </c>
      <c r="O47" s="11"/>
      <c r="P47" s="7">
        <v>1183.29</v>
      </c>
      <c r="Q47" s="2"/>
      <c r="R47" s="6">
        <f t="shared" si="32"/>
        <v>2.1252261046496184E-3</v>
      </c>
      <c r="S47" s="2"/>
      <c r="T47" s="7">
        <v>1050</v>
      </c>
      <c r="U47" s="2"/>
      <c r="V47" s="6">
        <f t="shared" si="33"/>
        <v>1.5036517256193612E-3</v>
      </c>
      <c r="W47" s="2"/>
      <c r="X47" s="7">
        <f t="shared" si="34"/>
        <v>133.28999999999996</v>
      </c>
      <c r="Y47" s="2"/>
      <c r="Z47" s="6">
        <f t="shared" si="35"/>
        <v>0.12694285714285711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52.98</v>
      </c>
      <c r="E48" s="1"/>
      <c r="F48" s="5">
        <f t="shared" si="28"/>
        <v>1.0522506604868954E-3</v>
      </c>
      <c r="G48" s="1"/>
      <c r="H48" s="1">
        <f>SUM(OSRRefH22_3x_0)</f>
        <v>20</v>
      </c>
      <c r="I48" s="1"/>
      <c r="J48" s="5">
        <f t="shared" si="29"/>
        <v>5.0000000000000001E-4</v>
      </c>
      <c r="K48" s="1"/>
      <c r="L48" s="1">
        <f t="shared" si="30"/>
        <v>32.979999999999997</v>
      </c>
      <c r="M48" s="1"/>
      <c r="N48" s="5">
        <f t="shared" si="31"/>
        <v>1.6489999999999998</v>
      </c>
      <c r="O48" s="13"/>
      <c r="P48" s="1">
        <f>SUM(OSRRefP22_3x_0)</f>
        <v>49.97</v>
      </c>
      <c r="Q48" s="1"/>
      <c r="R48" s="5">
        <f t="shared" si="32"/>
        <v>8.9747693675549896E-5</v>
      </c>
      <c r="S48" s="1"/>
      <c r="T48" s="1">
        <f>SUM(OSRRefT22_3x_0)</f>
        <v>140</v>
      </c>
      <c r="U48" s="1"/>
      <c r="V48" s="5">
        <f t="shared" si="33"/>
        <v>2.0048689674924817E-4</v>
      </c>
      <c r="W48" s="1"/>
      <c r="X48" s="1">
        <f t="shared" si="34"/>
        <v>-90.03</v>
      </c>
      <c r="Y48" s="1"/>
      <c r="Z48" s="5">
        <f t="shared" si="35"/>
        <v>-0.64307142857142863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7">
        <v>52.98</v>
      </c>
      <c r="E49" s="2"/>
      <c r="F49" s="6">
        <f t="shared" si="28"/>
        <v>1.0522506604868954E-3</v>
      </c>
      <c r="G49" s="2"/>
      <c r="H49" s="7">
        <v>20</v>
      </c>
      <c r="I49" s="2"/>
      <c r="J49" s="6">
        <f t="shared" si="29"/>
        <v>5.0000000000000001E-4</v>
      </c>
      <c r="K49" s="2"/>
      <c r="L49" s="7">
        <f t="shared" si="30"/>
        <v>32.979999999999997</v>
      </c>
      <c r="M49" s="2"/>
      <c r="N49" s="6">
        <f t="shared" si="31"/>
        <v>1.6489999999999998</v>
      </c>
      <c r="O49" s="11"/>
      <c r="P49" s="7">
        <v>49.97</v>
      </c>
      <c r="Q49" s="2"/>
      <c r="R49" s="6">
        <f t="shared" si="32"/>
        <v>8.9747693675549896E-5</v>
      </c>
      <c r="S49" s="2"/>
      <c r="T49" s="7">
        <v>140</v>
      </c>
      <c r="U49" s="2"/>
      <c r="V49" s="6">
        <f t="shared" si="33"/>
        <v>2.0048689674924817E-4</v>
      </c>
      <c r="W49" s="2"/>
      <c r="X49" s="7">
        <f t="shared" si="34"/>
        <v>-90.03</v>
      </c>
      <c r="Y49" s="2"/>
      <c r="Z49" s="6">
        <f t="shared" si="35"/>
        <v>-0.64307142857142863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1857.65</v>
      </c>
      <c r="E50" s="1"/>
      <c r="F50" s="5">
        <f t="shared" si="28"/>
        <v>3.6895308407955484E-2</v>
      </c>
      <c r="G50" s="1"/>
      <c r="H50" s="1">
        <f>SUM(OSRRefH22_4x_0)</f>
        <v>0</v>
      </c>
      <c r="I50" s="1"/>
      <c r="J50" s="5">
        <f t="shared" si="29"/>
        <v>0</v>
      </c>
      <c r="K50" s="1"/>
      <c r="L50" s="1">
        <f t="shared" si="30"/>
        <v>1857.65</v>
      </c>
      <c r="M50" s="1"/>
      <c r="N50" s="5">
        <f t="shared" si="31"/>
        <v>0</v>
      </c>
      <c r="O50" s="13"/>
      <c r="P50" s="1">
        <f>SUM(OSRRefP22_4x_0)</f>
        <v>19536.929999999997</v>
      </c>
      <c r="Q50" s="1"/>
      <c r="R50" s="5">
        <f t="shared" si="32"/>
        <v>3.5088941544940175E-2</v>
      </c>
      <c r="S50" s="1"/>
      <c r="T50" s="1">
        <f>SUM(OSRRefT22_4x_0)</f>
        <v>0</v>
      </c>
      <c r="U50" s="1"/>
      <c r="V50" s="5">
        <f t="shared" si="33"/>
        <v>0</v>
      </c>
      <c r="W50" s="1"/>
      <c r="X50" s="1">
        <f t="shared" si="34"/>
        <v>19536.929999999997</v>
      </c>
      <c r="Y50" s="1"/>
      <c r="Z50" s="5">
        <f t="shared" si="35"/>
        <v>0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7">
        <v>1857.65</v>
      </c>
      <c r="E51" s="2"/>
      <c r="F51" s="6">
        <f t="shared" si="28"/>
        <v>3.6895308407955484E-2</v>
      </c>
      <c r="G51" s="2"/>
      <c r="H51" s="7"/>
      <c r="I51" s="2"/>
      <c r="J51" s="6">
        <f t="shared" si="29"/>
        <v>0</v>
      </c>
      <c r="K51" s="2"/>
      <c r="L51" s="7">
        <f t="shared" si="30"/>
        <v>1857.65</v>
      </c>
      <c r="M51" s="2"/>
      <c r="N51" s="6">
        <f t="shared" si="31"/>
        <v>0</v>
      </c>
      <c r="O51" s="11"/>
      <c r="P51" s="7">
        <v>19536.929999999997</v>
      </c>
      <c r="Q51" s="2"/>
      <c r="R51" s="6">
        <f t="shared" si="32"/>
        <v>3.5088941544940175E-2</v>
      </c>
      <c r="S51" s="2"/>
      <c r="T51" s="7"/>
      <c r="U51" s="2"/>
      <c r="V51" s="6">
        <f t="shared" si="33"/>
        <v>0</v>
      </c>
      <c r="W51" s="2"/>
      <c r="X51" s="7">
        <f t="shared" si="34"/>
        <v>19536.929999999997</v>
      </c>
      <c r="Y51" s="2"/>
      <c r="Z51" s="6">
        <f t="shared" si="35"/>
        <v>0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5612.57</v>
      </c>
      <c r="E52" s="1"/>
      <c r="F52" s="5">
        <f t="shared" si="28"/>
        <v>0.11147282917193158</v>
      </c>
      <c r="G52" s="1"/>
      <c r="H52" s="1">
        <f>SUM(OSRRefH22_5x_0)</f>
        <v>6318</v>
      </c>
      <c r="I52" s="1"/>
      <c r="J52" s="5">
        <f t="shared" si="29"/>
        <v>0.15795000000000001</v>
      </c>
      <c r="K52" s="1"/>
      <c r="L52" s="1">
        <f t="shared" si="30"/>
        <v>-705.43000000000029</v>
      </c>
      <c r="M52" s="1"/>
      <c r="N52" s="5">
        <f t="shared" si="31"/>
        <v>-0.11165400443178225</v>
      </c>
      <c r="O52" s="13"/>
      <c r="P52" s="1">
        <f>SUM(OSRRefP22_5x_0)</f>
        <v>39287.990000000005</v>
      </c>
      <c r="Q52" s="1"/>
      <c r="R52" s="5">
        <f t="shared" si="32"/>
        <v>7.0562467313349364E-2</v>
      </c>
      <c r="S52" s="1"/>
      <c r="T52" s="1">
        <f>SUM(OSRRefT22_5x_0)</f>
        <v>42892</v>
      </c>
      <c r="U52" s="1"/>
      <c r="V52" s="5">
        <f t="shared" si="33"/>
        <v>6.1423456966919664E-2</v>
      </c>
      <c r="W52" s="1"/>
      <c r="X52" s="1">
        <f t="shared" si="34"/>
        <v>-3604.0099999999948</v>
      </c>
      <c r="Y52" s="1"/>
      <c r="Z52" s="5">
        <f t="shared" si="35"/>
        <v>-8.4025226149398363E-2</v>
      </c>
    </row>
    <row r="53" spans="1:26" s="24" customFormat="1" hidden="1" outlineLevel="2" x14ac:dyDescent="0.25">
      <c r="A53" s="25"/>
      <c r="B53" s="11" t="str">
        <f>CONCATENATE("          ", "6321", " - ", "BUILDING DEPRECIATION")</f>
        <v xml:space="preserve">          6321 - BUILDING DEPRECIATION</v>
      </c>
      <c r="C53" s="11"/>
      <c r="D53" s="7">
        <v>4626.5</v>
      </c>
      <c r="E53" s="2"/>
      <c r="F53" s="6">
        <f t="shared" si="28"/>
        <v>9.1888215944556845E-2</v>
      </c>
      <c r="G53" s="2"/>
      <c r="H53" s="7">
        <v>5165</v>
      </c>
      <c r="I53" s="2"/>
      <c r="J53" s="6">
        <f t="shared" si="29"/>
        <v>0.12912499999999999</v>
      </c>
      <c r="K53" s="2"/>
      <c r="L53" s="7">
        <f t="shared" si="30"/>
        <v>-538.5</v>
      </c>
      <c r="M53" s="2"/>
      <c r="N53" s="6">
        <f t="shared" si="31"/>
        <v>-0.1042594385285576</v>
      </c>
      <c r="O53" s="11"/>
      <c r="P53" s="7">
        <v>32385.500000000004</v>
      </c>
      <c r="Q53" s="2"/>
      <c r="R53" s="6">
        <f t="shared" si="32"/>
        <v>5.8165377897328827E-2</v>
      </c>
      <c r="S53" s="2"/>
      <c r="T53" s="7">
        <v>36155</v>
      </c>
      <c r="U53" s="2"/>
      <c r="V53" s="6">
        <f t="shared" si="33"/>
        <v>5.1775741085493342E-2</v>
      </c>
      <c r="W53" s="2"/>
      <c r="X53" s="7">
        <f t="shared" si="34"/>
        <v>-3769.4999999999964</v>
      </c>
      <c r="Y53" s="2"/>
      <c r="Z53" s="6">
        <f t="shared" si="35"/>
        <v>-0.1042594385285575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986.07</v>
      </c>
      <c r="E54" s="2"/>
      <c r="F54" s="6">
        <f t="shared" si="28"/>
        <v>1.9584613227374727E-2</v>
      </c>
      <c r="G54" s="2"/>
      <c r="H54" s="7">
        <v>486</v>
      </c>
      <c r="I54" s="2"/>
      <c r="J54" s="6">
        <f t="shared" si="29"/>
        <v>1.2149999999999999E-2</v>
      </c>
      <c r="K54" s="2"/>
      <c r="L54" s="7">
        <f t="shared" si="30"/>
        <v>500.07000000000005</v>
      </c>
      <c r="M54" s="2"/>
      <c r="N54" s="6">
        <f t="shared" si="31"/>
        <v>1.0289506172839507</v>
      </c>
      <c r="O54" s="11"/>
      <c r="P54" s="7">
        <v>6902.49</v>
      </c>
      <c r="Q54" s="2"/>
      <c r="R54" s="6">
        <f t="shared" si="32"/>
        <v>1.2397089416020539E-2</v>
      </c>
      <c r="S54" s="2"/>
      <c r="T54" s="7">
        <v>3402</v>
      </c>
      <c r="U54" s="2"/>
      <c r="V54" s="6">
        <f t="shared" si="33"/>
        <v>4.8718315910067306E-3</v>
      </c>
      <c r="W54" s="2"/>
      <c r="X54" s="7">
        <f t="shared" si="34"/>
        <v>3500.49</v>
      </c>
      <c r="Y54" s="2"/>
      <c r="Z54" s="6">
        <f t="shared" si="35"/>
        <v>1.0289506172839507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7"/>
      <c r="E55" s="2"/>
      <c r="F55" s="6">
        <f t="shared" si="28"/>
        <v>0</v>
      </c>
      <c r="G55" s="2"/>
      <c r="H55" s="7">
        <v>667</v>
      </c>
      <c r="I55" s="2"/>
      <c r="J55" s="6">
        <f t="shared" si="29"/>
        <v>1.6674999999999999E-2</v>
      </c>
      <c r="K55" s="2"/>
      <c r="L55" s="7">
        <f t="shared" si="30"/>
        <v>-667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3335</v>
      </c>
      <c r="U55" s="2"/>
      <c r="V55" s="6">
        <f t="shared" si="33"/>
        <v>4.7758842904195905E-3</v>
      </c>
      <c r="W55" s="2"/>
      <c r="X55" s="7">
        <f t="shared" si="34"/>
        <v>-3335</v>
      </c>
      <c r="Y55" s="2"/>
      <c r="Z55" s="6">
        <f t="shared" si="35"/>
        <v>-1</v>
      </c>
    </row>
    <row r="56" spans="1:26" s="27" customFormat="1" outlineLevel="1" collapsed="1" x14ac:dyDescent="0.25">
      <c r="A56" s="26"/>
      <c r="B56" s="13" t="str">
        <f>CONCATENATE("     ","Donations                                         ")</f>
        <v xml:space="preserve">     Donations                                         </v>
      </c>
      <c r="C56" s="13"/>
      <c r="D56" s="1">
        <f>SUM(OSRRefD22_6x_0)</f>
        <v>0</v>
      </c>
      <c r="E56" s="1"/>
      <c r="F56" s="5">
        <f t="shared" ref="F56:F69" si="36">IF(D$12=0,0,D56/D$12)</f>
        <v>0</v>
      </c>
      <c r="G56" s="1"/>
      <c r="H56" s="1">
        <f>SUM(OSRRefH22_6x_0)</f>
        <v>0</v>
      </c>
      <c r="I56" s="1"/>
      <c r="J56" s="5">
        <f t="shared" ref="J56:J69" si="37">IF(H$12=0,0,H56/H$12)</f>
        <v>0</v>
      </c>
      <c r="K56" s="1"/>
      <c r="L56" s="1">
        <f t="shared" ref="L56:L69" si="38">+D56-H56</f>
        <v>0</v>
      </c>
      <c r="M56" s="1"/>
      <c r="N56" s="5">
        <f t="shared" ref="N56:N69" si="39">IF(H56=0,0,L56/H56)</f>
        <v>0</v>
      </c>
      <c r="O56" s="13"/>
      <c r="P56" s="1">
        <f>SUM(OSRRefP22_6x_0)</f>
        <v>0</v>
      </c>
      <c r="Q56" s="1"/>
      <c r="R56" s="5">
        <f t="shared" ref="R56:R69" si="40">IF(P$12=0,0,P56/P$12)</f>
        <v>0</v>
      </c>
      <c r="S56" s="1"/>
      <c r="T56" s="1">
        <f>SUM(OSRRefT22_6x_0)</f>
        <v>2000</v>
      </c>
      <c r="U56" s="1"/>
      <c r="V56" s="5">
        <f t="shared" ref="V56:V69" si="41">IF(T$12=0,0,T56/T$12)</f>
        <v>2.8640985249892598E-3</v>
      </c>
      <c r="W56" s="1"/>
      <c r="X56" s="1">
        <f t="shared" ref="X56:X69" si="42">+P56-T56</f>
        <v>-2000</v>
      </c>
      <c r="Y56" s="1"/>
      <c r="Z56" s="5">
        <f t="shared" ref="Z56:Z69" si="43">IF(T56=0,0,X56/T56)</f>
        <v>-1</v>
      </c>
    </row>
    <row r="57" spans="1:26" s="24" customFormat="1" hidden="1" outlineLevel="2" x14ac:dyDescent="0.25">
      <c r="A57" s="25"/>
      <c r="B57" s="11" t="str">
        <f>CONCATENATE("          ", "6399", " - ", "DONATION-ON CAMPUS")</f>
        <v xml:space="preserve">          6399 - DONATION-ON CAMPUS</v>
      </c>
      <c r="C57" s="11"/>
      <c r="D57" s="7"/>
      <c r="E57" s="2"/>
      <c r="F57" s="6">
        <f t="shared" si="36"/>
        <v>0</v>
      </c>
      <c r="G57" s="2"/>
      <c r="H57" s="7"/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/>
      <c r="Q57" s="2"/>
      <c r="R57" s="6">
        <f t="shared" si="40"/>
        <v>0</v>
      </c>
      <c r="S57" s="2"/>
      <c r="T57" s="7">
        <v>2000</v>
      </c>
      <c r="U57" s="2"/>
      <c r="V57" s="6">
        <f t="shared" si="41"/>
        <v>2.8640985249892598E-3</v>
      </c>
      <c r="W57" s="2"/>
      <c r="X57" s="7">
        <f t="shared" si="42"/>
        <v>-2000</v>
      </c>
      <c r="Y57" s="2"/>
      <c r="Z57" s="6">
        <f t="shared" si="43"/>
        <v>-1</v>
      </c>
    </row>
    <row r="58" spans="1:26" s="27" customFormat="1" outlineLevel="1" collapsed="1" x14ac:dyDescent="0.25">
      <c r="A58" s="26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50</v>
      </c>
      <c r="I58" s="1"/>
      <c r="J58" s="5">
        <f t="shared" si="37"/>
        <v>1.25E-3</v>
      </c>
      <c r="K58" s="1"/>
      <c r="L58" s="1">
        <f t="shared" si="38"/>
        <v>-50</v>
      </c>
      <c r="M58" s="1"/>
      <c r="N58" s="5">
        <f t="shared" si="39"/>
        <v>-1</v>
      </c>
      <c r="O58" s="13"/>
      <c r="P58" s="1">
        <f>SUM(OSRRefP22_7x_0)</f>
        <v>186.48</v>
      </c>
      <c r="Q58" s="1"/>
      <c r="R58" s="5">
        <f t="shared" si="40"/>
        <v>3.3492395270395326E-4</v>
      </c>
      <c r="S58" s="1"/>
      <c r="T58" s="1">
        <f>SUM(OSRRefT22_7x_0)</f>
        <v>600</v>
      </c>
      <c r="U58" s="1"/>
      <c r="V58" s="5">
        <f t="shared" si="41"/>
        <v>8.5922955749677789E-4</v>
      </c>
      <c r="W58" s="1"/>
      <c r="X58" s="1">
        <f t="shared" si="42"/>
        <v>-413.52</v>
      </c>
      <c r="Y58" s="1"/>
      <c r="Z58" s="5">
        <f t="shared" si="43"/>
        <v>-0.68919999999999992</v>
      </c>
    </row>
    <row r="59" spans="1:26" s="24" customFormat="1" hidden="1" outlineLevel="2" x14ac:dyDescent="0.25">
      <c r="A59" s="25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36"/>
        <v>0</v>
      </c>
      <c r="G59" s="2"/>
      <c r="H59" s="7">
        <v>50</v>
      </c>
      <c r="I59" s="2"/>
      <c r="J59" s="6">
        <f t="shared" si="37"/>
        <v>1.25E-3</v>
      </c>
      <c r="K59" s="2"/>
      <c r="L59" s="7">
        <f t="shared" si="38"/>
        <v>-50</v>
      </c>
      <c r="M59" s="2"/>
      <c r="N59" s="6">
        <f t="shared" si="39"/>
        <v>-1</v>
      </c>
      <c r="O59" s="11"/>
      <c r="P59" s="7">
        <v>186.48</v>
      </c>
      <c r="Q59" s="2"/>
      <c r="R59" s="6">
        <f t="shared" si="40"/>
        <v>3.3492395270395326E-4</v>
      </c>
      <c r="S59" s="2"/>
      <c r="T59" s="7">
        <v>600</v>
      </c>
      <c r="U59" s="2"/>
      <c r="V59" s="6">
        <f t="shared" si="41"/>
        <v>8.5922955749677789E-4</v>
      </c>
      <c r="W59" s="2"/>
      <c r="X59" s="7">
        <f t="shared" si="42"/>
        <v>-413.52</v>
      </c>
      <c r="Y59" s="2"/>
      <c r="Z59" s="6">
        <f t="shared" si="43"/>
        <v>-0.68919999999999992</v>
      </c>
    </row>
    <row r="60" spans="1:26" s="27" customFormat="1" outlineLevel="1" collapsed="1" x14ac:dyDescent="0.25">
      <c r="A60" s="26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455.06</v>
      </c>
      <c r="E60" s="1"/>
      <c r="F60" s="5">
        <f t="shared" si="36"/>
        <v>9.0380744726532014E-3</v>
      </c>
      <c r="G60" s="1"/>
      <c r="H60" s="1">
        <f>SUM(OSRRefH22_8x_0)</f>
        <v>115</v>
      </c>
      <c r="I60" s="1"/>
      <c r="J60" s="5">
        <f t="shared" si="37"/>
        <v>2.875E-3</v>
      </c>
      <c r="K60" s="1"/>
      <c r="L60" s="1">
        <f t="shared" si="38"/>
        <v>340.06</v>
      </c>
      <c r="M60" s="1"/>
      <c r="N60" s="5">
        <f t="shared" si="39"/>
        <v>2.9570434782608697</v>
      </c>
      <c r="O60" s="13"/>
      <c r="P60" s="1">
        <f>SUM(OSRRefP22_8x_0)</f>
        <v>2711.08</v>
      </c>
      <c r="Q60" s="1"/>
      <c r="R60" s="5">
        <f t="shared" si="40"/>
        <v>4.8691850584332563E-3</v>
      </c>
      <c r="S60" s="1"/>
      <c r="T60" s="1">
        <f>SUM(OSRRefT22_8x_0)</f>
        <v>805</v>
      </c>
      <c r="U60" s="1"/>
      <c r="V60" s="5">
        <f t="shared" si="41"/>
        <v>1.152799656308177E-3</v>
      </c>
      <c r="W60" s="1"/>
      <c r="X60" s="1">
        <f t="shared" si="42"/>
        <v>1906.08</v>
      </c>
      <c r="Y60" s="1"/>
      <c r="Z60" s="5">
        <f t="shared" si="43"/>
        <v>2.3678012422360246</v>
      </c>
    </row>
    <row r="61" spans="1:26" s="24" customFormat="1" hidden="1" outlineLevel="2" x14ac:dyDescent="0.25">
      <c r="A61" s="25"/>
      <c r="B61" s="11" t="str">
        <f>CONCATENATE("          ", "6351", " - ", "EQUIPMENT RENTAL")</f>
        <v xml:space="preserve">          6351 - EQUIPMENT RENTAL</v>
      </c>
      <c r="C61" s="11"/>
      <c r="D61" s="7">
        <v>455.06</v>
      </c>
      <c r="E61" s="2"/>
      <c r="F61" s="6">
        <f t="shared" si="36"/>
        <v>9.0380744726532014E-3</v>
      </c>
      <c r="G61" s="2"/>
      <c r="H61" s="7">
        <v>115</v>
      </c>
      <c r="I61" s="2"/>
      <c r="J61" s="6">
        <f t="shared" si="37"/>
        <v>2.875E-3</v>
      </c>
      <c r="K61" s="2"/>
      <c r="L61" s="7">
        <f t="shared" si="38"/>
        <v>340.06</v>
      </c>
      <c r="M61" s="2"/>
      <c r="N61" s="6">
        <f t="shared" si="39"/>
        <v>2.9570434782608697</v>
      </c>
      <c r="O61" s="11"/>
      <c r="P61" s="7">
        <v>2711.08</v>
      </c>
      <c r="Q61" s="2"/>
      <c r="R61" s="6">
        <f t="shared" si="40"/>
        <v>4.8691850584332563E-3</v>
      </c>
      <c r="S61" s="2"/>
      <c r="T61" s="7">
        <v>805</v>
      </c>
      <c r="U61" s="2"/>
      <c r="V61" s="6">
        <f t="shared" si="41"/>
        <v>1.152799656308177E-3</v>
      </c>
      <c r="W61" s="2"/>
      <c r="X61" s="7">
        <f t="shared" si="42"/>
        <v>1906.08</v>
      </c>
      <c r="Y61" s="2"/>
      <c r="Z61" s="6">
        <f t="shared" si="43"/>
        <v>2.3678012422360246</v>
      </c>
    </row>
    <row r="62" spans="1:26" s="27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1021.89</v>
      </c>
      <c r="E62" s="1"/>
      <c r="F62" s="5">
        <f t="shared" si="36"/>
        <v>2.0296044308134271E-2</v>
      </c>
      <c r="G62" s="1"/>
      <c r="H62" s="1">
        <f>SUM(OSRRefH22_9x_0)</f>
        <v>1000</v>
      </c>
      <c r="I62" s="1"/>
      <c r="J62" s="5">
        <f t="shared" si="37"/>
        <v>2.5000000000000001E-2</v>
      </c>
      <c r="K62" s="1"/>
      <c r="L62" s="1">
        <f t="shared" si="38"/>
        <v>21.889999999999986</v>
      </c>
      <c r="M62" s="1"/>
      <c r="N62" s="5">
        <f t="shared" si="39"/>
        <v>2.1889999999999986E-2</v>
      </c>
      <c r="O62" s="13"/>
      <c r="P62" s="1">
        <f>SUM(OSRRefP22_9x_0)</f>
        <v>7461.89</v>
      </c>
      <c r="Q62" s="1"/>
      <c r="R62" s="5">
        <f t="shared" si="40"/>
        <v>1.3401789432872704E-2</v>
      </c>
      <c r="S62" s="1"/>
      <c r="T62" s="1">
        <f>SUM(OSRRefT22_9x_0)</f>
        <v>7000</v>
      </c>
      <c r="U62" s="1"/>
      <c r="V62" s="5">
        <f t="shared" si="41"/>
        <v>1.0024344837462409E-2</v>
      </c>
      <c r="W62" s="1"/>
      <c r="X62" s="1">
        <f t="shared" si="42"/>
        <v>461.89000000000033</v>
      </c>
      <c r="Y62" s="1"/>
      <c r="Z62" s="5">
        <f t="shared" si="43"/>
        <v>6.5984285714285759E-2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7">
        <v>1021.89</v>
      </c>
      <c r="E63" s="2"/>
      <c r="F63" s="6">
        <f t="shared" si="36"/>
        <v>2.0296044308134271E-2</v>
      </c>
      <c r="G63" s="2"/>
      <c r="H63" s="7">
        <v>1000</v>
      </c>
      <c r="I63" s="2"/>
      <c r="J63" s="6">
        <f t="shared" si="37"/>
        <v>2.5000000000000001E-2</v>
      </c>
      <c r="K63" s="2"/>
      <c r="L63" s="7">
        <f t="shared" si="38"/>
        <v>21.889999999999986</v>
      </c>
      <c r="M63" s="2"/>
      <c r="N63" s="6">
        <f t="shared" si="39"/>
        <v>2.1889999999999986E-2</v>
      </c>
      <c r="O63" s="11"/>
      <c r="P63" s="7">
        <v>7461.89</v>
      </c>
      <c r="Q63" s="2"/>
      <c r="R63" s="6">
        <f t="shared" si="40"/>
        <v>1.3401789432872704E-2</v>
      </c>
      <c r="S63" s="2"/>
      <c r="T63" s="7">
        <v>7000</v>
      </c>
      <c r="U63" s="2"/>
      <c r="V63" s="6">
        <f t="shared" si="41"/>
        <v>1.0024344837462409E-2</v>
      </c>
      <c r="W63" s="2"/>
      <c r="X63" s="7">
        <f t="shared" si="42"/>
        <v>461.89000000000033</v>
      </c>
      <c r="Y63" s="2"/>
      <c r="Z63" s="6">
        <f t="shared" si="43"/>
        <v>6.5984285714285759E-2</v>
      </c>
    </row>
    <row r="64" spans="1:26" s="27" customFormat="1" outlineLevel="1" collapsed="1" x14ac:dyDescent="0.25">
      <c r="A64" s="26"/>
      <c r="B64" s="13" t="str">
        <f>CONCATENATE("     ","Rent                                              ")</f>
        <v xml:space="preserve">     Rent                                              </v>
      </c>
      <c r="C64" s="13"/>
      <c r="D64" s="1">
        <f>SUM(OSRRefD22_10x_0)</f>
        <v>1850</v>
      </c>
      <c r="E64" s="1"/>
      <c r="F64" s="5">
        <f t="shared" si="36"/>
        <v>3.6743369609300802E-2</v>
      </c>
      <c r="G64" s="1"/>
      <c r="H64" s="1">
        <f>SUM(OSRRefH22_10x_0)</f>
        <v>1850</v>
      </c>
      <c r="I64" s="1"/>
      <c r="J64" s="5">
        <f t="shared" si="37"/>
        <v>4.6249999999999999E-2</v>
      </c>
      <c r="K64" s="1"/>
      <c r="L64" s="1">
        <f t="shared" si="38"/>
        <v>0</v>
      </c>
      <c r="M64" s="1"/>
      <c r="N64" s="5">
        <f t="shared" si="39"/>
        <v>0</v>
      </c>
      <c r="O64" s="13"/>
      <c r="P64" s="1">
        <f>SUM(OSRRefP22_10x_0)</f>
        <v>12950</v>
      </c>
      <c r="Q64" s="1"/>
      <c r="R64" s="5">
        <f t="shared" si="40"/>
        <v>2.3258607826663422E-2</v>
      </c>
      <c r="S64" s="1"/>
      <c r="T64" s="1">
        <f>SUM(OSRRefT22_10x_0)</f>
        <v>12950</v>
      </c>
      <c r="U64" s="1"/>
      <c r="V64" s="5">
        <f t="shared" si="41"/>
        <v>1.8545037949305457E-2</v>
      </c>
      <c r="W64" s="1"/>
      <c r="X64" s="1">
        <f t="shared" si="42"/>
        <v>0</v>
      </c>
      <c r="Y64" s="1"/>
      <c r="Z64" s="5">
        <f t="shared" si="43"/>
        <v>0</v>
      </c>
    </row>
    <row r="65" spans="1:26" s="24" customFormat="1" hidden="1" outlineLevel="2" x14ac:dyDescent="0.25">
      <c r="A65" s="25"/>
      <c r="B65" s="11" t="str">
        <f>CONCATENATE("          ", "6273", " - ", "RENT")</f>
        <v xml:space="preserve">          6273 - RENT</v>
      </c>
      <c r="C65" s="11"/>
      <c r="D65" s="7">
        <v>1850</v>
      </c>
      <c r="E65" s="2"/>
      <c r="F65" s="6">
        <f t="shared" si="36"/>
        <v>3.6743369609300802E-2</v>
      </c>
      <c r="G65" s="2"/>
      <c r="H65" s="7">
        <v>1850</v>
      </c>
      <c r="I65" s="2"/>
      <c r="J65" s="6">
        <f t="shared" si="37"/>
        <v>4.6249999999999999E-2</v>
      </c>
      <c r="K65" s="2"/>
      <c r="L65" s="7">
        <f t="shared" si="38"/>
        <v>0</v>
      </c>
      <c r="M65" s="2"/>
      <c r="N65" s="6">
        <f t="shared" si="39"/>
        <v>0</v>
      </c>
      <c r="O65" s="11"/>
      <c r="P65" s="7">
        <v>12950</v>
      </c>
      <c r="Q65" s="2"/>
      <c r="R65" s="6">
        <f t="shared" si="40"/>
        <v>2.3258607826663422E-2</v>
      </c>
      <c r="S65" s="2"/>
      <c r="T65" s="7">
        <v>12950</v>
      </c>
      <c r="U65" s="2"/>
      <c r="V65" s="6">
        <f t="shared" si="41"/>
        <v>1.8545037949305457E-2</v>
      </c>
      <c r="W65" s="2"/>
      <c r="X65" s="7">
        <f t="shared" si="42"/>
        <v>0</v>
      </c>
      <c r="Y65" s="2"/>
      <c r="Z65" s="6">
        <f t="shared" si="43"/>
        <v>0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2699.1</v>
      </c>
      <c r="E66" s="1"/>
      <c r="F66" s="5">
        <f t="shared" si="36"/>
        <v>5.360758319592638E-2</v>
      </c>
      <c r="G66" s="1"/>
      <c r="H66" s="1">
        <f>SUM(OSRRefH22_11x_0)</f>
        <v>1300</v>
      </c>
      <c r="I66" s="1"/>
      <c r="J66" s="5">
        <f t="shared" si="37"/>
        <v>3.2500000000000001E-2</v>
      </c>
      <c r="K66" s="1"/>
      <c r="L66" s="1">
        <f t="shared" si="38"/>
        <v>1399.1</v>
      </c>
      <c r="M66" s="1"/>
      <c r="N66" s="5">
        <f t="shared" si="39"/>
        <v>1.0762307692307691</v>
      </c>
      <c r="O66" s="13"/>
      <c r="P66" s="1">
        <f>SUM(OSRRefP22_11x_0)</f>
        <v>20355.95</v>
      </c>
      <c r="Q66" s="1"/>
      <c r="R66" s="5">
        <f t="shared" si="40"/>
        <v>3.6559927257850906E-2</v>
      </c>
      <c r="S66" s="1"/>
      <c r="T66" s="1">
        <f>SUM(OSRRefT22_11x_0)</f>
        <v>8400</v>
      </c>
      <c r="U66" s="1"/>
      <c r="V66" s="5">
        <f t="shared" si="41"/>
        <v>1.202921380495489E-2</v>
      </c>
      <c r="W66" s="1"/>
      <c r="X66" s="1">
        <f t="shared" si="42"/>
        <v>11955.95</v>
      </c>
      <c r="Y66" s="1"/>
      <c r="Z66" s="5">
        <f t="shared" si="43"/>
        <v>1.423327380952381</v>
      </c>
    </row>
    <row r="67" spans="1:26" s="24" customFormat="1" hidden="1" outlineLevel="2" x14ac:dyDescent="0.25">
      <c r="A67" s="25"/>
      <c r="B67" s="11" t="str">
        <f>CONCATENATE("          ", "6372", " - ", "COMPUTER HARDWARE MAINTENANCE")</f>
        <v xml:space="preserve">          6372 - COMPUTER HARDWARE MAINTENANCE</v>
      </c>
      <c r="C67" s="11"/>
      <c r="D67" s="7"/>
      <c r="E67" s="2"/>
      <c r="F67" s="6">
        <f t="shared" si="36"/>
        <v>0</v>
      </c>
      <c r="G67" s="2"/>
      <c r="H67" s="7"/>
      <c r="I67" s="2"/>
      <c r="J67" s="6">
        <f t="shared" si="37"/>
        <v>0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/>
      <c r="Q67" s="2"/>
      <c r="R67" s="6">
        <f t="shared" si="40"/>
        <v>0</v>
      </c>
      <c r="S67" s="2"/>
      <c r="T67" s="7">
        <v>200</v>
      </c>
      <c r="U67" s="2"/>
      <c r="V67" s="6">
        <f t="shared" si="41"/>
        <v>2.8640985249892595E-4</v>
      </c>
      <c r="W67" s="2"/>
      <c r="X67" s="7">
        <f t="shared" si="42"/>
        <v>-200</v>
      </c>
      <c r="Y67" s="2"/>
      <c r="Z67" s="6">
        <f t="shared" si="43"/>
        <v>-1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7">
        <v>1799</v>
      </c>
      <c r="E68" s="2"/>
      <c r="F68" s="6">
        <f t="shared" si="36"/>
        <v>3.5730444284936297E-2</v>
      </c>
      <c r="G68" s="2"/>
      <c r="H68" s="7">
        <v>1000</v>
      </c>
      <c r="I68" s="2"/>
      <c r="J68" s="6">
        <f t="shared" si="37"/>
        <v>2.5000000000000001E-2</v>
      </c>
      <c r="K68" s="2"/>
      <c r="L68" s="7">
        <f t="shared" si="38"/>
        <v>799</v>
      </c>
      <c r="M68" s="2"/>
      <c r="N68" s="6">
        <f t="shared" si="39"/>
        <v>0.79900000000000004</v>
      </c>
      <c r="O68" s="11"/>
      <c r="P68" s="7">
        <v>12719.41</v>
      </c>
      <c r="Q68" s="2"/>
      <c r="R68" s="6">
        <f t="shared" si="40"/>
        <v>2.2844460924829418E-2</v>
      </c>
      <c r="S68" s="2"/>
      <c r="T68" s="7">
        <v>7000</v>
      </c>
      <c r="U68" s="2"/>
      <c r="V68" s="6">
        <f t="shared" si="41"/>
        <v>1.0024344837462409E-2</v>
      </c>
      <c r="W68" s="2"/>
      <c r="X68" s="7">
        <f t="shared" si="42"/>
        <v>5719.41</v>
      </c>
      <c r="Y68" s="2"/>
      <c r="Z68" s="6">
        <f t="shared" si="43"/>
        <v>0.81705857142857141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7">
        <v>900.1</v>
      </c>
      <c r="E69" s="2"/>
      <c r="F69" s="6">
        <f t="shared" si="36"/>
        <v>1.7877138910990083E-2</v>
      </c>
      <c r="G69" s="2"/>
      <c r="H69" s="7">
        <v>300</v>
      </c>
      <c r="I69" s="2"/>
      <c r="J69" s="6">
        <f t="shared" si="37"/>
        <v>7.4999999999999997E-3</v>
      </c>
      <c r="K69" s="2"/>
      <c r="L69" s="7">
        <f t="shared" si="38"/>
        <v>600.1</v>
      </c>
      <c r="M69" s="2"/>
      <c r="N69" s="6">
        <f t="shared" si="39"/>
        <v>2.0003333333333333</v>
      </c>
      <c r="O69" s="11"/>
      <c r="P69" s="7">
        <v>7636.54</v>
      </c>
      <c r="Q69" s="2"/>
      <c r="R69" s="6">
        <f t="shared" si="40"/>
        <v>1.3715466333021488E-2</v>
      </c>
      <c r="S69" s="2"/>
      <c r="T69" s="7">
        <v>1200</v>
      </c>
      <c r="U69" s="2"/>
      <c r="V69" s="6">
        <f t="shared" si="41"/>
        <v>1.7184591149935558E-3</v>
      </c>
      <c r="W69" s="2"/>
      <c r="X69" s="7">
        <f t="shared" si="42"/>
        <v>6436.54</v>
      </c>
      <c r="Y69" s="2"/>
      <c r="Z69" s="6">
        <f t="shared" si="43"/>
        <v>5.3637833333333331</v>
      </c>
    </row>
    <row r="70" spans="1:26" s="27" customFormat="1" outlineLevel="1" collapsed="1" x14ac:dyDescent="0.25">
      <c r="A70" s="26"/>
      <c r="B70" s="13" t="str">
        <f>CONCATENATE("     ","Royalty &amp; Commissions                             ")</f>
        <v xml:space="preserve">     Royalty &amp; Commissions                             </v>
      </c>
      <c r="C70" s="13"/>
      <c r="D70" s="1">
        <f>SUM(OSRRefD22_12x_0)</f>
        <v>4027.92</v>
      </c>
      <c r="E70" s="1"/>
      <c r="F70" s="5">
        <f t="shared" ref="F70:F75" si="44">IF(D$12=0,0,D70/D$12)</f>
        <v>7.9999650441456696E-2</v>
      </c>
      <c r="G70" s="1"/>
      <c r="H70" s="1">
        <f>SUM(OSRRefH22_12x_0)</f>
        <v>3200</v>
      </c>
      <c r="I70" s="1"/>
      <c r="J70" s="5">
        <f t="shared" ref="J70:J75" si="45">IF(H$12=0,0,H70/H$12)</f>
        <v>0.08</v>
      </c>
      <c r="K70" s="1"/>
      <c r="L70" s="1">
        <f t="shared" ref="L70:L75" si="46">+D70-H70</f>
        <v>827.92000000000007</v>
      </c>
      <c r="M70" s="1"/>
      <c r="N70" s="5">
        <f t="shared" ref="N70:N75" si="47">IF(H70=0,0,L70/H70)</f>
        <v>0.25872500000000004</v>
      </c>
      <c r="O70" s="13"/>
      <c r="P70" s="1">
        <f>SUM(OSRRefP22_12x_0)</f>
        <v>47371.68</v>
      </c>
      <c r="Q70" s="1"/>
      <c r="R70" s="5">
        <f t="shared" ref="R70:R75" si="48">IF(P$12=0,0,P70/P$12)</f>
        <v>8.5081029128200383E-2</v>
      </c>
      <c r="S70" s="1"/>
      <c r="T70" s="1">
        <f>SUM(OSRRefT22_12x_0)</f>
        <v>55864</v>
      </c>
      <c r="U70" s="1"/>
      <c r="V70" s="5">
        <f t="shared" ref="V70:V75" si="49">IF(T$12=0,0,T70/T$12)</f>
        <v>0.08</v>
      </c>
      <c r="W70" s="1"/>
      <c r="X70" s="1">
        <f t="shared" ref="X70:X75" si="50">+P70-T70</f>
        <v>-8492.32</v>
      </c>
      <c r="Y70" s="1"/>
      <c r="Z70" s="5">
        <f t="shared" ref="Z70:Z75" si="51">IF(T70=0,0,X70/T70)</f>
        <v>-0.15201775741085494</v>
      </c>
    </row>
    <row r="71" spans="1:26" s="24" customFormat="1" hidden="1" outlineLevel="2" x14ac:dyDescent="0.25">
      <c r="A71" s="25"/>
      <c r="B71" s="11" t="str">
        <f>CONCATENATE("          ", "6259", " - ", "ROYALTY &amp; COMMISSIONS")</f>
        <v xml:space="preserve">          6259 - ROYALTY &amp; COMMISSIONS</v>
      </c>
      <c r="C71" s="11"/>
      <c r="D71" s="7">
        <v>4027.92</v>
      </c>
      <c r="E71" s="2"/>
      <c r="F71" s="6">
        <f t="shared" si="44"/>
        <v>7.9999650441456696E-2</v>
      </c>
      <c r="G71" s="2"/>
      <c r="H71" s="7">
        <v>3200</v>
      </c>
      <c r="I71" s="2"/>
      <c r="J71" s="6">
        <f t="shared" si="45"/>
        <v>0.08</v>
      </c>
      <c r="K71" s="2"/>
      <c r="L71" s="7">
        <f t="shared" si="46"/>
        <v>827.92000000000007</v>
      </c>
      <c r="M71" s="2"/>
      <c r="N71" s="6">
        <f t="shared" si="47"/>
        <v>0.25872500000000004</v>
      </c>
      <c r="O71" s="11"/>
      <c r="P71" s="7">
        <v>47371.68</v>
      </c>
      <c r="Q71" s="2"/>
      <c r="R71" s="6">
        <f t="shared" si="48"/>
        <v>8.5081029128200383E-2</v>
      </c>
      <c r="S71" s="2"/>
      <c r="T71" s="7">
        <v>55864</v>
      </c>
      <c r="U71" s="2"/>
      <c r="V71" s="6">
        <f t="shared" si="49"/>
        <v>0.08</v>
      </c>
      <c r="W71" s="2"/>
      <c r="X71" s="7">
        <f t="shared" si="50"/>
        <v>-8492.32</v>
      </c>
      <c r="Y71" s="2"/>
      <c r="Z71" s="6">
        <f t="shared" si="51"/>
        <v>-0.15201775741085494</v>
      </c>
    </row>
    <row r="72" spans="1:26" s="27" customFormat="1" outlineLevel="1" collapsed="1" x14ac:dyDescent="0.25">
      <c r="A72" s="26"/>
      <c r="B72" s="13" t="str">
        <f>CONCATENATE("     ","Services                                          ")</f>
        <v xml:space="preserve">     Services                                          </v>
      </c>
      <c r="C72" s="13"/>
      <c r="D72" s="1">
        <f>SUM(OSRRefD22_13x_0)</f>
        <v>453.96999999999997</v>
      </c>
      <c r="E72" s="1"/>
      <c r="F72" s="5">
        <f t="shared" si="44"/>
        <v>9.0164256765050185E-3</v>
      </c>
      <c r="G72" s="1"/>
      <c r="H72" s="1">
        <f>SUM(OSRRefH22_13x_0)</f>
        <v>360</v>
      </c>
      <c r="I72" s="1"/>
      <c r="J72" s="5">
        <f t="shared" si="45"/>
        <v>8.9999999999999993E-3</v>
      </c>
      <c r="K72" s="1"/>
      <c r="L72" s="1">
        <f t="shared" si="46"/>
        <v>93.96999999999997</v>
      </c>
      <c r="M72" s="1"/>
      <c r="N72" s="5">
        <f t="shared" si="47"/>
        <v>0.26102777777777769</v>
      </c>
      <c r="O72" s="13"/>
      <c r="P72" s="1">
        <f>SUM(OSRRefP22_13x_0)</f>
        <v>3190.09</v>
      </c>
      <c r="Q72" s="1"/>
      <c r="R72" s="5">
        <f t="shared" si="48"/>
        <v>5.7295021036108664E-3</v>
      </c>
      <c r="S72" s="1"/>
      <c r="T72" s="1">
        <f>SUM(OSRRefT22_13x_0)</f>
        <v>2520</v>
      </c>
      <c r="U72" s="1"/>
      <c r="V72" s="5">
        <f t="shared" si="49"/>
        <v>3.6087641414864671E-3</v>
      </c>
      <c r="W72" s="1"/>
      <c r="X72" s="1">
        <f t="shared" si="50"/>
        <v>670.09000000000015</v>
      </c>
      <c r="Y72" s="1"/>
      <c r="Z72" s="5">
        <f t="shared" si="51"/>
        <v>0.26590873015873023</v>
      </c>
    </row>
    <row r="73" spans="1:26" s="24" customFormat="1" hidden="1" outlineLevel="2" x14ac:dyDescent="0.25">
      <c r="A73" s="25"/>
      <c r="B73" s="11" t="str">
        <f>CONCATENATE("          ", "6282", " - ", "JANITORIAL/EXTERMINATOR EXPENS")</f>
        <v xml:space="preserve">          6282 - JANITORIAL/EXTERMINATOR EXPENS</v>
      </c>
      <c r="C73" s="11"/>
      <c r="D73" s="7">
        <v>96.96</v>
      </c>
      <c r="E73" s="2"/>
      <c r="F73" s="6">
        <f t="shared" si="44"/>
        <v>1.9257497931447598E-3</v>
      </c>
      <c r="G73" s="2"/>
      <c r="H73" s="7">
        <v>100</v>
      </c>
      <c r="I73" s="2"/>
      <c r="J73" s="6">
        <f t="shared" si="45"/>
        <v>2.5000000000000001E-3</v>
      </c>
      <c r="K73" s="2"/>
      <c r="L73" s="7">
        <f t="shared" si="46"/>
        <v>-3.0400000000000063</v>
      </c>
      <c r="M73" s="2"/>
      <c r="N73" s="6">
        <f t="shared" si="47"/>
        <v>-3.0400000000000062E-2</v>
      </c>
      <c r="O73" s="11"/>
      <c r="P73" s="7">
        <v>775.68</v>
      </c>
      <c r="Q73" s="2"/>
      <c r="R73" s="6">
        <f t="shared" si="48"/>
        <v>1.3931457080298287E-3</v>
      </c>
      <c r="S73" s="2"/>
      <c r="T73" s="7">
        <v>700</v>
      </c>
      <c r="U73" s="2"/>
      <c r="V73" s="6">
        <f t="shared" si="49"/>
        <v>1.0024344837462409E-3</v>
      </c>
      <c r="W73" s="2"/>
      <c r="X73" s="7">
        <f t="shared" si="50"/>
        <v>75.67999999999995</v>
      </c>
      <c r="Y73" s="2"/>
      <c r="Z73" s="6">
        <f t="shared" si="51"/>
        <v>0.10811428571428565</v>
      </c>
    </row>
    <row r="74" spans="1:26" s="24" customFormat="1" hidden="1" outlineLevel="2" x14ac:dyDescent="0.25">
      <c r="A74" s="25"/>
      <c r="B74" s="11" t="str">
        <f>CONCATENATE("          ", "6284", " - ", "TRASH REMOVAL EXPENSE")</f>
        <v xml:space="preserve">          6284 - TRASH REMOVAL EXPENSE</v>
      </c>
      <c r="C74" s="11"/>
      <c r="D74" s="7">
        <v>115</v>
      </c>
      <c r="E74" s="2"/>
      <c r="F74" s="6">
        <f t="shared" si="44"/>
        <v>2.2840473000376176E-3</v>
      </c>
      <c r="G74" s="2"/>
      <c r="H74" s="7">
        <v>40</v>
      </c>
      <c r="I74" s="2"/>
      <c r="J74" s="6">
        <f t="shared" si="45"/>
        <v>1E-3</v>
      </c>
      <c r="K74" s="2"/>
      <c r="L74" s="7">
        <f t="shared" si="46"/>
        <v>75</v>
      </c>
      <c r="M74" s="2"/>
      <c r="N74" s="6">
        <f t="shared" si="47"/>
        <v>1.875</v>
      </c>
      <c r="O74" s="11"/>
      <c r="P74" s="7">
        <v>709</v>
      </c>
      <c r="Q74" s="2"/>
      <c r="R74" s="6">
        <f t="shared" si="48"/>
        <v>1.2733863281161671E-3</v>
      </c>
      <c r="S74" s="2"/>
      <c r="T74" s="7">
        <v>280</v>
      </c>
      <c r="U74" s="2"/>
      <c r="V74" s="6">
        <f t="shared" si="49"/>
        <v>4.0097379349849635E-4</v>
      </c>
      <c r="W74" s="2"/>
      <c r="X74" s="7">
        <f t="shared" si="50"/>
        <v>429</v>
      </c>
      <c r="Y74" s="2"/>
      <c r="Z74" s="6">
        <f t="shared" si="51"/>
        <v>1.5321428571428573</v>
      </c>
    </row>
    <row r="75" spans="1:26" s="24" customFormat="1" hidden="1" outlineLevel="2" x14ac:dyDescent="0.25">
      <c r="A75" s="25"/>
      <c r="B75" s="11" t="str">
        <f>CONCATENATE("          ", "6286", " - ", "LAUNDRY EXPENSE")</f>
        <v xml:space="preserve">          6286 - LAUNDRY EXPENSE</v>
      </c>
      <c r="C75" s="11"/>
      <c r="D75" s="7">
        <v>242.01</v>
      </c>
      <c r="E75" s="2"/>
      <c r="F75" s="6">
        <f t="shared" si="44"/>
        <v>4.8066285833226413E-3</v>
      </c>
      <c r="G75" s="2"/>
      <c r="H75" s="7">
        <v>220</v>
      </c>
      <c r="I75" s="2"/>
      <c r="J75" s="6">
        <f t="shared" si="45"/>
        <v>5.4999999999999997E-3</v>
      </c>
      <c r="K75" s="2"/>
      <c r="L75" s="7">
        <f t="shared" si="46"/>
        <v>22.009999999999991</v>
      </c>
      <c r="M75" s="2"/>
      <c r="N75" s="6">
        <f t="shared" si="47"/>
        <v>0.10004545454545451</v>
      </c>
      <c r="O75" s="11"/>
      <c r="P75" s="7">
        <v>1705.41</v>
      </c>
      <c r="Q75" s="2"/>
      <c r="R75" s="6">
        <f t="shared" si="48"/>
        <v>3.06297006746487E-3</v>
      </c>
      <c r="S75" s="2"/>
      <c r="T75" s="7">
        <v>1540</v>
      </c>
      <c r="U75" s="2"/>
      <c r="V75" s="6">
        <f t="shared" si="49"/>
        <v>2.2053558642417298E-3</v>
      </c>
      <c r="W75" s="2"/>
      <c r="X75" s="7">
        <f t="shared" si="50"/>
        <v>165.41000000000008</v>
      </c>
      <c r="Y75" s="2"/>
      <c r="Z75" s="6">
        <f t="shared" si="51"/>
        <v>0.10740909090909097</v>
      </c>
    </row>
    <row r="76" spans="1:26" s="27" customFormat="1" outlineLevel="1" collapsed="1" x14ac:dyDescent="0.25">
      <c r="A76" s="26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SUM(OSRRefD22_14x_0)</f>
        <v>30.68</v>
      </c>
      <c r="E76" s="1"/>
      <c r="F76" s="5">
        <f t="shared" ref="F76:F78" si="52">IF(D$12=0,0,D76/D$12)</f>
        <v>6.0934409708829655E-4</v>
      </c>
      <c r="G76" s="1"/>
      <c r="H76" s="1">
        <f>SUM(OSRRefH22_14x_0)</f>
        <v>0</v>
      </c>
      <c r="I76" s="1"/>
      <c r="J76" s="5">
        <f t="shared" ref="J76:J78" si="53">IF(H$12=0,0,H76/H$12)</f>
        <v>0</v>
      </c>
      <c r="K76" s="1"/>
      <c r="L76" s="1">
        <f t="shared" ref="L76:L78" si="54">+D76-H76</f>
        <v>30.68</v>
      </c>
      <c r="M76" s="1"/>
      <c r="N76" s="5">
        <f t="shared" ref="N76:N78" si="55">IF(H76=0,0,L76/H76)</f>
        <v>0</v>
      </c>
      <c r="O76" s="13"/>
      <c r="P76" s="1">
        <f>SUM(OSRRefP22_14x_0)</f>
        <v>1101.72</v>
      </c>
      <c r="Q76" s="1"/>
      <c r="R76" s="5">
        <f t="shared" ref="R76:R78" si="56">IF(P$12=0,0,P76/P$12)</f>
        <v>1.9787238158140252E-3</v>
      </c>
      <c r="S76" s="1"/>
      <c r="T76" s="1">
        <f>SUM(OSRRefT22_14x_0)</f>
        <v>0</v>
      </c>
      <c r="U76" s="1"/>
      <c r="V76" s="5">
        <f t="shared" ref="V76:V78" si="57">IF(T$12=0,0,T76/T$12)</f>
        <v>0</v>
      </c>
      <c r="W76" s="1"/>
      <c r="X76" s="1">
        <f t="shared" ref="X76:X78" si="58">+P76-T76</f>
        <v>1101.72</v>
      </c>
      <c r="Y76" s="1"/>
      <c r="Z76" s="5">
        <f t="shared" ref="Z76:Z78" si="59">IF(T76=0,0,X76/T76)</f>
        <v>0</v>
      </c>
    </row>
    <row r="77" spans="1:26" s="24" customFormat="1" hidden="1" outlineLevel="2" x14ac:dyDescent="0.25">
      <c r="A77" s="25"/>
      <c r="B77" s="11" t="str">
        <f>CONCATENATE("          ", "6258", " - ", "MEMBERSHIP DUES")</f>
        <v xml:space="preserve">          6258 - MEMBERSHIP DUES</v>
      </c>
      <c r="C77" s="11"/>
      <c r="D77" s="7"/>
      <c r="E77" s="2"/>
      <c r="F77" s="6">
        <f t="shared" si="52"/>
        <v>0</v>
      </c>
      <c r="G77" s="2"/>
      <c r="H77" s="7"/>
      <c r="I77" s="2"/>
      <c r="J77" s="6">
        <f t="shared" si="53"/>
        <v>0</v>
      </c>
      <c r="K77" s="2"/>
      <c r="L77" s="7">
        <f t="shared" si="54"/>
        <v>0</v>
      </c>
      <c r="M77" s="2"/>
      <c r="N77" s="6">
        <f t="shared" si="55"/>
        <v>0</v>
      </c>
      <c r="O77" s="11"/>
      <c r="P77" s="7">
        <v>979</v>
      </c>
      <c r="Q77" s="2"/>
      <c r="R77" s="6">
        <f t="shared" si="56"/>
        <v>1.7583148310659064E-3</v>
      </c>
      <c r="S77" s="2"/>
      <c r="T77" s="7"/>
      <c r="U77" s="2"/>
      <c r="V77" s="6">
        <f t="shared" si="57"/>
        <v>0</v>
      </c>
      <c r="W77" s="2"/>
      <c r="X77" s="7">
        <f t="shared" si="58"/>
        <v>979</v>
      </c>
      <c r="Y77" s="2"/>
      <c r="Z77" s="6">
        <f t="shared" si="59"/>
        <v>0</v>
      </c>
    </row>
    <row r="78" spans="1:26" s="24" customFormat="1" hidden="1" outlineLevel="2" x14ac:dyDescent="0.25">
      <c r="A78" s="25"/>
      <c r="B78" s="11" t="str">
        <f>CONCATENATE("          ", "6275", " - ", "SUBSCRIPTIONS")</f>
        <v xml:space="preserve">          6275 - SUBSCRIPTIONS</v>
      </c>
      <c r="C78" s="11"/>
      <c r="D78" s="7">
        <v>30.68</v>
      </c>
      <c r="E78" s="2"/>
      <c r="F78" s="6">
        <f t="shared" si="52"/>
        <v>6.0934409708829655E-4</v>
      </c>
      <c r="G78" s="2"/>
      <c r="H78" s="7"/>
      <c r="I78" s="2"/>
      <c r="J78" s="6">
        <f t="shared" si="53"/>
        <v>0</v>
      </c>
      <c r="K78" s="2"/>
      <c r="L78" s="7">
        <f t="shared" si="54"/>
        <v>30.68</v>
      </c>
      <c r="M78" s="2"/>
      <c r="N78" s="6">
        <f t="shared" si="55"/>
        <v>0</v>
      </c>
      <c r="O78" s="11"/>
      <c r="P78" s="7">
        <v>122.72</v>
      </c>
      <c r="Q78" s="2"/>
      <c r="R78" s="6">
        <f t="shared" si="56"/>
        <v>2.2040898474811853E-4</v>
      </c>
      <c r="S78" s="2"/>
      <c r="T78" s="7"/>
      <c r="U78" s="2"/>
      <c r="V78" s="6">
        <f t="shared" si="57"/>
        <v>0</v>
      </c>
      <c r="W78" s="2"/>
      <c r="X78" s="7">
        <f t="shared" si="58"/>
        <v>122.72</v>
      </c>
      <c r="Y78" s="2"/>
      <c r="Z78" s="6">
        <f t="shared" si="59"/>
        <v>0</v>
      </c>
    </row>
    <row r="79" spans="1:26" s="27" customFormat="1" outlineLevel="1" collapsed="1" x14ac:dyDescent="0.25">
      <c r="A79" s="26"/>
      <c r="B79" s="13" t="str">
        <f>CONCATENATE("     ","Supplies                                          ")</f>
        <v xml:space="preserve">     Supplies                                          </v>
      </c>
      <c r="C79" s="13"/>
      <c r="D79" s="1">
        <f>SUM(OSRRefD22_15x_0)</f>
        <v>711.5300000000002</v>
      </c>
      <c r="E79" s="1"/>
      <c r="F79" s="5">
        <f t="shared" ref="F79:F88" si="60">IF(D$12=0,0,D79/D$12)</f>
        <v>1.4131897177354491E-2</v>
      </c>
      <c r="G79" s="1"/>
      <c r="H79" s="1">
        <f>SUM(OSRRefH22_15x_0)</f>
        <v>400</v>
      </c>
      <c r="I79" s="1"/>
      <c r="J79" s="5">
        <f t="shared" ref="J79:J88" si="61">IF(H$12=0,0,H79/H$12)</f>
        <v>0.01</v>
      </c>
      <c r="K79" s="1"/>
      <c r="L79" s="1">
        <f t="shared" ref="L79:L88" si="62">+D79-H79</f>
        <v>311.5300000000002</v>
      </c>
      <c r="M79" s="1"/>
      <c r="N79" s="5">
        <f t="shared" ref="N79:N88" si="63">IF(H79=0,0,L79/H79)</f>
        <v>0.77882500000000054</v>
      </c>
      <c r="O79" s="13"/>
      <c r="P79" s="1">
        <f>SUM(OSRRefP22_15x_0)</f>
        <v>9916.61</v>
      </c>
      <c r="Q79" s="1"/>
      <c r="R79" s="5">
        <f t="shared" ref="R79:R88" si="64">IF(P$12=0,0,P79/P$12)</f>
        <v>1.7810543857912645E-2</v>
      </c>
      <c r="S79" s="1"/>
      <c r="T79" s="1">
        <f>SUM(OSRRefT22_15x_0)</f>
        <v>10150</v>
      </c>
      <c r="U79" s="1"/>
      <c r="V79" s="5">
        <f t="shared" ref="V79:V88" si="65">IF(T$12=0,0,T79/T$12)</f>
        <v>1.4535300014320492E-2</v>
      </c>
      <c r="W79" s="1"/>
      <c r="X79" s="1">
        <f t="shared" ref="X79:X88" si="66">+P79-T79</f>
        <v>-233.38999999999942</v>
      </c>
      <c r="Y79" s="1"/>
      <c r="Z79" s="5">
        <f t="shared" ref="Z79:Z88" si="67">IF(T79=0,0,X79/T79)</f>
        <v>-2.2994088669950681E-2</v>
      </c>
    </row>
    <row r="80" spans="1:26" s="24" customFormat="1" hidden="1" outlineLevel="2" x14ac:dyDescent="0.25">
      <c r="A80" s="25"/>
      <c r="B80" s="11" t="str">
        <f>CONCATENATE("          ", "6237", " - ", "JANITORIAL SUPPLIES")</f>
        <v xml:space="preserve">          6237 - JANITORIAL SUPPLIES</v>
      </c>
      <c r="C80" s="11"/>
      <c r="D80" s="7">
        <v>355.49</v>
      </c>
      <c r="E80" s="2"/>
      <c r="F80" s="6">
        <f t="shared" si="60"/>
        <v>7.0604867364380229E-3</v>
      </c>
      <c r="G80" s="2"/>
      <c r="H80" s="7">
        <v>100</v>
      </c>
      <c r="I80" s="2"/>
      <c r="J80" s="6">
        <f t="shared" si="61"/>
        <v>2.5000000000000001E-3</v>
      </c>
      <c r="K80" s="2"/>
      <c r="L80" s="7">
        <f t="shared" si="62"/>
        <v>255.49</v>
      </c>
      <c r="M80" s="2"/>
      <c r="N80" s="6">
        <f t="shared" si="63"/>
        <v>2.5548999999999999</v>
      </c>
      <c r="O80" s="11"/>
      <c r="P80" s="7">
        <v>1428.63</v>
      </c>
      <c r="Q80" s="2"/>
      <c r="R80" s="6">
        <f t="shared" si="64"/>
        <v>2.5658644709966151E-3</v>
      </c>
      <c r="S80" s="2"/>
      <c r="T80" s="7">
        <v>700</v>
      </c>
      <c r="U80" s="2"/>
      <c r="V80" s="6">
        <f t="shared" si="65"/>
        <v>1.0024344837462409E-3</v>
      </c>
      <c r="W80" s="2"/>
      <c r="X80" s="7">
        <f t="shared" si="66"/>
        <v>728.63000000000011</v>
      </c>
      <c r="Y80" s="2"/>
      <c r="Z80" s="6">
        <f t="shared" si="67"/>
        <v>1.0409000000000002</v>
      </c>
    </row>
    <row r="81" spans="1:26" s="24" customFormat="1" hidden="1" outlineLevel="2" x14ac:dyDescent="0.25">
      <c r="A81" s="25"/>
      <c r="B81" s="11" t="str">
        <f>CONCATENATE("          ", "6239", " - ", "KITCHEN SUPPLIES")</f>
        <v xml:space="preserve">          6239 - KITCHEN SUPPLIES</v>
      </c>
      <c r="C81" s="11"/>
      <c r="D81" s="7">
        <v>528.49</v>
      </c>
      <c r="E81" s="2"/>
      <c r="F81" s="6">
        <f t="shared" si="60"/>
        <v>1.0496488326929395E-2</v>
      </c>
      <c r="G81" s="2"/>
      <c r="H81" s="7"/>
      <c r="I81" s="2"/>
      <c r="J81" s="6">
        <f t="shared" si="61"/>
        <v>0</v>
      </c>
      <c r="K81" s="2"/>
      <c r="L81" s="7">
        <f t="shared" si="62"/>
        <v>528.49</v>
      </c>
      <c r="M81" s="2"/>
      <c r="N81" s="6">
        <f t="shared" si="63"/>
        <v>0</v>
      </c>
      <c r="O81" s="11"/>
      <c r="P81" s="7">
        <v>4001.24</v>
      </c>
      <c r="Q81" s="2"/>
      <c r="R81" s="6">
        <f t="shared" si="64"/>
        <v>7.1863530486763506E-3</v>
      </c>
      <c r="S81" s="2"/>
      <c r="T81" s="7">
        <v>4900</v>
      </c>
      <c r="U81" s="2"/>
      <c r="V81" s="6">
        <f t="shared" si="65"/>
        <v>7.0170413862236857E-3</v>
      </c>
      <c r="W81" s="2"/>
      <c r="X81" s="7">
        <f t="shared" si="66"/>
        <v>-898.76000000000022</v>
      </c>
      <c r="Y81" s="2"/>
      <c r="Z81" s="6">
        <f t="shared" si="67"/>
        <v>-0.18342040816326535</v>
      </c>
    </row>
    <row r="82" spans="1:26" s="24" customFormat="1" hidden="1" outlineLevel="2" x14ac:dyDescent="0.25">
      <c r="A82" s="25"/>
      <c r="B82" s="11" t="str">
        <f>CONCATENATE("          ", "6241", " - ", "OFFICE EXPENSE")</f>
        <v xml:space="preserve">          6241 - OFFICE EXPENSE</v>
      </c>
      <c r="C82" s="11"/>
      <c r="D82" s="7">
        <v>236.42</v>
      </c>
      <c r="E82" s="2"/>
      <c r="F82" s="6">
        <f t="shared" si="60"/>
        <v>4.6956040232599434E-3</v>
      </c>
      <c r="G82" s="2"/>
      <c r="H82" s="7">
        <v>50</v>
      </c>
      <c r="I82" s="2"/>
      <c r="J82" s="6">
        <f t="shared" si="61"/>
        <v>1.25E-3</v>
      </c>
      <c r="K82" s="2"/>
      <c r="L82" s="7">
        <f t="shared" si="62"/>
        <v>186.42</v>
      </c>
      <c r="M82" s="2"/>
      <c r="N82" s="6">
        <f t="shared" si="63"/>
        <v>3.7283999999999997</v>
      </c>
      <c r="O82" s="11"/>
      <c r="P82" s="7">
        <v>1405.42</v>
      </c>
      <c r="Q82" s="2"/>
      <c r="R82" s="6">
        <f t="shared" si="64"/>
        <v>2.5241785800578613E-3</v>
      </c>
      <c r="S82" s="2"/>
      <c r="T82" s="7">
        <v>700</v>
      </c>
      <c r="U82" s="2"/>
      <c r="V82" s="6">
        <f t="shared" si="65"/>
        <v>1.0024344837462409E-3</v>
      </c>
      <c r="W82" s="2"/>
      <c r="X82" s="7">
        <f t="shared" si="66"/>
        <v>705.42000000000007</v>
      </c>
      <c r="Y82" s="2"/>
      <c r="Z82" s="6">
        <f t="shared" si="67"/>
        <v>1.0077428571428573</v>
      </c>
    </row>
    <row r="83" spans="1:26" s="24" customFormat="1" hidden="1" outlineLevel="2" x14ac:dyDescent="0.25">
      <c r="A83" s="25"/>
      <c r="B83" s="11" t="str">
        <f>CONCATENATE("          ", "6243", " - ", "PAPER SUPPLIES")</f>
        <v xml:space="preserve">          6243 - PAPER SUPPLIES</v>
      </c>
      <c r="C83" s="11"/>
      <c r="D83" s="7">
        <v>678.11</v>
      </c>
      <c r="E83" s="2"/>
      <c r="F83" s="6">
        <f t="shared" si="60"/>
        <v>1.3468133170682685E-2</v>
      </c>
      <c r="G83" s="2"/>
      <c r="H83" s="7"/>
      <c r="I83" s="2"/>
      <c r="J83" s="6">
        <f t="shared" si="61"/>
        <v>0</v>
      </c>
      <c r="K83" s="2"/>
      <c r="L83" s="7">
        <f t="shared" si="62"/>
        <v>678.11</v>
      </c>
      <c r="M83" s="2"/>
      <c r="N83" s="6">
        <f t="shared" si="63"/>
        <v>0</v>
      </c>
      <c r="O83" s="11"/>
      <c r="P83" s="7">
        <v>4346.87</v>
      </c>
      <c r="Q83" s="2"/>
      <c r="R83" s="6">
        <f t="shared" si="64"/>
        <v>7.8071154133967889E-3</v>
      </c>
      <c r="S83" s="2"/>
      <c r="T83" s="7"/>
      <c r="U83" s="2"/>
      <c r="V83" s="6">
        <f t="shared" si="65"/>
        <v>0</v>
      </c>
      <c r="W83" s="2"/>
      <c r="X83" s="7">
        <f t="shared" si="66"/>
        <v>4346.87</v>
      </c>
      <c r="Y83" s="2"/>
      <c r="Z83" s="6">
        <f t="shared" si="67"/>
        <v>0</v>
      </c>
    </row>
    <row r="84" spans="1:26" s="24" customFormat="1" hidden="1" outlineLevel="2" x14ac:dyDescent="0.25">
      <c r="A84" s="25"/>
      <c r="B84" s="11" t="str">
        <f>CONCATENATE("          ", "6244", " - ", "SAFETY SUPPLY EXPENSE")</f>
        <v xml:space="preserve">          6244 - SAFETY SUPPLY EXPENSE</v>
      </c>
      <c r="C84" s="11"/>
      <c r="D84" s="7"/>
      <c r="E84" s="2"/>
      <c r="F84" s="6">
        <f t="shared" si="60"/>
        <v>0</v>
      </c>
      <c r="G84" s="2"/>
      <c r="H84" s="7">
        <v>50</v>
      </c>
      <c r="I84" s="2"/>
      <c r="J84" s="6">
        <f t="shared" si="61"/>
        <v>1.25E-3</v>
      </c>
      <c r="K84" s="2"/>
      <c r="L84" s="7">
        <f t="shared" si="62"/>
        <v>-50</v>
      </c>
      <c r="M84" s="2"/>
      <c r="N84" s="6">
        <f t="shared" si="63"/>
        <v>-1</v>
      </c>
      <c r="O84" s="11"/>
      <c r="P84" s="7"/>
      <c r="Q84" s="2"/>
      <c r="R84" s="6">
        <f t="shared" si="64"/>
        <v>0</v>
      </c>
      <c r="S84" s="2"/>
      <c r="T84" s="7">
        <v>350</v>
      </c>
      <c r="U84" s="2"/>
      <c r="V84" s="6">
        <f t="shared" si="65"/>
        <v>5.0121724187312047E-4</v>
      </c>
      <c r="W84" s="2"/>
      <c r="X84" s="7">
        <f t="shared" si="66"/>
        <v>-350</v>
      </c>
      <c r="Y84" s="2"/>
      <c r="Z84" s="6">
        <f t="shared" si="67"/>
        <v>-1</v>
      </c>
    </row>
    <row r="85" spans="1:26" s="24" customFormat="1" hidden="1" outlineLevel="2" x14ac:dyDescent="0.25">
      <c r="A85" s="25"/>
      <c r="B85" s="11" t="str">
        <f>CONCATENATE("          ", "6245", " - ", "PRINTING")</f>
        <v xml:space="preserve">          6245 - PRINTING</v>
      </c>
      <c r="C85" s="11"/>
      <c r="D85" s="7"/>
      <c r="E85" s="2"/>
      <c r="F85" s="6">
        <f t="shared" si="60"/>
        <v>0</v>
      </c>
      <c r="G85" s="2"/>
      <c r="H85" s="7">
        <v>100</v>
      </c>
      <c r="I85" s="2"/>
      <c r="J85" s="6">
        <f t="shared" si="61"/>
        <v>2.5000000000000001E-3</v>
      </c>
      <c r="K85" s="2"/>
      <c r="L85" s="7">
        <f t="shared" si="62"/>
        <v>-100</v>
      </c>
      <c r="M85" s="2"/>
      <c r="N85" s="6">
        <f t="shared" si="63"/>
        <v>-1</v>
      </c>
      <c r="O85" s="11"/>
      <c r="P85" s="7">
        <v>66.930000000000007</v>
      </c>
      <c r="Q85" s="2"/>
      <c r="R85" s="6">
        <f t="shared" si="64"/>
        <v>1.2020838778676316E-4</v>
      </c>
      <c r="S85" s="2"/>
      <c r="T85" s="7">
        <v>450</v>
      </c>
      <c r="U85" s="2"/>
      <c r="V85" s="6">
        <f t="shared" si="65"/>
        <v>6.4442216812258342E-4</v>
      </c>
      <c r="W85" s="2"/>
      <c r="X85" s="7">
        <f t="shared" si="66"/>
        <v>-383.07</v>
      </c>
      <c r="Y85" s="2"/>
      <c r="Z85" s="6">
        <f t="shared" si="67"/>
        <v>-0.85126666666666662</v>
      </c>
    </row>
    <row r="86" spans="1:26" s="24" customFormat="1" hidden="1" outlineLevel="2" x14ac:dyDescent="0.25">
      <c r="A86" s="25"/>
      <c r="B86" s="11" t="str">
        <f>CONCATENATE("          ", "6246", " - ", "REPLACEMENTS")</f>
        <v xml:space="preserve">          6246 - REPLACEMENTS</v>
      </c>
      <c r="C86" s="11"/>
      <c r="D86" s="7"/>
      <c r="E86" s="2"/>
      <c r="F86" s="6">
        <f t="shared" si="60"/>
        <v>0</v>
      </c>
      <c r="G86" s="2"/>
      <c r="H86" s="7"/>
      <c r="I86" s="2"/>
      <c r="J86" s="6">
        <f t="shared" si="61"/>
        <v>0</v>
      </c>
      <c r="K86" s="2"/>
      <c r="L86" s="7">
        <f t="shared" si="62"/>
        <v>0</v>
      </c>
      <c r="M86" s="2"/>
      <c r="N86" s="6">
        <f t="shared" si="63"/>
        <v>0</v>
      </c>
      <c r="O86" s="11"/>
      <c r="P86" s="7"/>
      <c r="Q86" s="2"/>
      <c r="R86" s="6">
        <f t="shared" si="64"/>
        <v>0</v>
      </c>
      <c r="S86" s="2"/>
      <c r="T86" s="7">
        <v>2400</v>
      </c>
      <c r="U86" s="2"/>
      <c r="V86" s="6">
        <f t="shared" si="65"/>
        <v>3.4369182299871116E-3</v>
      </c>
      <c r="W86" s="2"/>
      <c r="X86" s="7">
        <f t="shared" si="66"/>
        <v>-2400</v>
      </c>
      <c r="Y86" s="2"/>
      <c r="Z86" s="6">
        <f t="shared" si="67"/>
        <v>-1</v>
      </c>
    </row>
    <row r="87" spans="1:26" s="24" customFormat="1" hidden="1" outlineLevel="2" x14ac:dyDescent="0.25">
      <c r="A87" s="25"/>
      <c r="B87" s="11" t="str">
        <f>CONCATENATE("          ", "6247", " - ", "STORE SUPPLIES")</f>
        <v xml:space="preserve">          6247 - STORE SUPPLIES</v>
      </c>
      <c r="C87" s="11"/>
      <c r="D87" s="7">
        <v>-1086.98</v>
      </c>
      <c r="E87" s="2"/>
      <c r="F87" s="6">
        <f t="shared" si="60"/>
        <v>-2.158881507995556E-2</v>
      </c>
      <c r="G87" s="2"/>
      <c r="H87" s="7">
        <v>100</v>
      </c>
      <c r="I87" s="2"/>
      <c r="J87" s="6">
        <f t="shared" si="61"/>
        <v>2.5000000000000001E-3</v>
      </c>
      <c r="K87" s="2"/>
      <c r="L87" s="7">
        <f t="shared" si="62"/>
        <v>-1186.98</v>
      </c>
      <c r="M87" s="2"/>
      <c r="N87" s="6">
        <f t="shared" si="63"/>
        <v>-11.8698</v>
      </c>
      <c r="O87" s="11"/>
      <c r="P87" s="7">
        <v>-1466.56</v>
      </c>
      <c r="Q87" s="2"/>
      <c r="R87" s="6">
        <f t="shared" si="64"/>
        <v>-2.6339879455035912E-3</v>
      </c>
      <c r="S87" s="2"/>
      <c r="T87" s="7">
        <v>650</v>
      </c>
      <c r="U87" s="2"/>
      <c r="V87" s="6">
        <f t="shared" si="65"/>
        <v>9.3083202062150942E-4</v>
      </c>
      <c r="W87" s="2"/>
      <c r="X87" s="7">
        <f t="shared" si="66"/>
        <v>-2116.56</v>
      </c>
      <c r="Y87" s="2"/>
      <c r="Z87" s="6">
        <f t="shared" si="67"/>
        <v>-3.2562461538461536</v>
      </c>
    </row>
    <row r="88" spans="1:26" s="24" customFormat="1" hidden="1" outlineLevel="2" x14ac:dyDescent="0.25">
      <c r="A88" s="25"/>
      <c r="B88" s="11" t="str">
        <f>CONCATENATE("          ", "6248", " - ", "UNIFORMS")</f>
        <v xml:space="preserve">          6248 - UNIFORMS</v>
      </c>
      <c r="C88" s="11"/>
      <c r="D88" s="7"/>
      <c r="E88" s="2"/>
      <c r="F88" s="6">
        <f t="shared" si="60"/>
        <v>0</v>
      </c>
      <c r="G88" s="2"/>
      <c r="H88" s="7"/>
      <c r="I88" s="2"/>
      <c r="J88" s="6">
        <f t="shared" si="61"/>
        <v>0</v>
      </c>
      <c r="K88" s="2"/>
      <c r="L88" s="7">
        <f t="shared" si="62"/>
        <v>0</v>
      </c>
      <c r="M88" s="2"/>
      <c r="N88" s="6">
        <f t="shared" si="63"/>
        <v>0</v>
      </c>
      <c r="O88" s="11"/>
      <c r="P88" s="7">
        <v>134.08000000000001</v>
      </c>
      <c r="Q88" s="2"/>
      <c r="R88" s="6">
        <f t="shared" si="64"/>
        <v>2.4081190250185573E-4</v>
      </c>
      <c r="S88" s="2"/>
      <c r="T88" s="7"/>
      <c r="U88" s="2"/>
      <c r="V88" s="6">
        <f t="shared" si="65"/>
        <v>0</v>
      </c>
      <c r="W88" s="2"/>
      <c r="X88" s="7">
        <f t="shared" si="66"/>
        <v>134.08000000000001</v>
      </c>
      <c r="Y88" s="2"/>
      <c r="Z88" s="6">
        <f t="shared" si="67"/>
        <v>0</v>
      </c>
    </row>
    <row r="89" spans="1:26" s="27" customFormat="1" outlineLevel="1" collapsed="1" x14ac:dyDescent="0.25">
      <c r="A89" s="26"/>
      <c r="B89" s="13" t="str">
        <f>CONCATENATE("     ","Telephone/Data Lines                              ")</f>
        <v xml:space="preserve">     Telephone/Data Lines                              </v>
      </c>
      <c r="C89" s="13"/>
      <c r="D89" s="1">
        <f>SUM(OSRRefD22_16x_0)</f>
        <v>823.2</v>
      </c>
      <c r="E89" s="1"/>
      <c r="F89" s="5">
        <f t="shared" ref="F89:F96" si="68">IF(D$12=0,0,D89/D$12)</f>
        <v>1.6349806412095363E-2</v>
      </c>
      <c r="G89" s="1"/>
      <c r="H89" s="1">
        <f>SUM(OSRRefH22_16x_0)</f>
        <v>50</v>
      </c>
      <c r="I89" s="1"/>
      <c r="J89" s="5">
        <f t="shared" ref="J89:J96" si="69">IF(H$12=0,0,H89/H$12)</f>
        <v>1.25E-3</v>
      </c>
      <c r="K89" s="1"/>
      <c r="L89" s="1">
        <f t="shared" ref="L89:L96" si="70">+D89-H89</f>
        <v>773.2</v>
      </c>
      <c r="M89" s="1"/>
      <c r="N89" s="5">
        <f t="shared" ref="N89:N96" si="71">IF(H89=0,0,L89/H89)</f>
        <v>15.464</v>
      </c>
      <c r="O89" s="13"/>
      <c r="P89" s="1">
        <f>SUM(OSRRefP22_16x_0)</f>
        <v>1315.5</v>
      </c>
      <c r="Q89" s="1"/>
      <c r="R89" s="5">
        <f t="shared" ref="R89:R96" si="72">IF(P$12=0,0,P89/P$12)</f>
        <v>2.3626794282606742E-3</v>
      </c>
      <c r="S89" s="1"/>
      <c r="T89" s="1">
        <f>SUM(OSRRefT22_16x_0)</f>
        <v>350</v>
      </c>
      <c r="U89" s="1"/>
      <c r="V89" s="5">
        <f t="shared" ref="V89:V96" si="73">IF(T$12=0,0,T89/T$12)</f>
        <v>5.0121724187312047E-4</v>
      </c>
      <c r="W89" s="1"/>
      <c r="X89" s="1">
        <f t="shared" ref="X89:X96" si="74">+P89-T89</f>
        <v>965.5</v>
      </c>
      <c r="Y89" s="1"/>
      <c r="Z89" s="5">
        <f t="shared" ref="Z89:Z96" si="75">IF(T89=0,0,X89/T89)</f>
        <v>2.7585714285714285</v>
      </c>
    </row>
    <row r="90" spans="1:26" s="24" customFormat="1" hidden="1" outlineLevel="2" x14ac:dyDescent="0.25">
      <c r="A90" s="25"/>
      <c r="B90" s="11" t="str">
        <f>CONCATENATE("          ", "6309", " - ", "TELEPHONE")</f>
        <v xml:space="preserve">          6309 - TELEPHONE</v>
      </c>
      <c r="C90" s="11"/>
      <c r="D90" s="7">
        <v>823.2</v>
      </c>
      <c r="E90" s="2"/>
      <c r="F90" s="6">
        <f t="shared" si="68"/>
        <v>1.6349806412095363E-2</v>
      </c>
      <c r="G90" s="2"/>
      <c r="H90" s="7">
        <v>50</v>
      </c>
      <c r="I90" s="2"/>
      <c r="J90" s="6">
        <f t="shared" si="69"/>
        <v>1.25E-3</v>
      </c>
      <c r="K90" s="2"/>
      <c r="L90" s="7">
        <f t="shared" si="70"/>
        <v>773.2</v>
      </c>
      <c r="M90" s="2"/>
      <c r="N90" s="6">
        <f t="shared" si="71"/>
        <v>15.464</v>
      </c>
      <c r="O90" s="11"/>
      <c r="P90" s="7">
        <v>1315.5</v>
      </c>
      <c r="Q90" s="2"/>
      <c r="R90" s="6">
        <f t="shared" si="72"/>
        <v>2.3626794282606742E-3</v>
      </c>
      <c r="S90" s="2"/>
      <c r="T90" s="7">
        <v>350</v>
      </c>
      <c r="U90" s="2"/>
      <c r="V90" s="6">
        <f t="shared" si="73"/>
        <v>5.0121724187312047E-4</v>
      </c>
      <c r="W90" s="2"/>
      <c r="X90" s="7">
        <f t="shared" si="74"/>
        <v>965.5</v>
      </c>
      <c r="Y90" s="2"/>
      <c r="Z90" s="6">
        <f t="shared" si="75"/>
        <v>2.7585714285714285</v>
      </c>
    </row>
    <row r="91" spans="1:26" s="27" customFormat="1" outlineLevel="1" collapsed="1" x14ac:dyDescent="0.25">
      <c r="A91" s="26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SUM(OSRRefD22_17x_0)</f>
        <v>0</v>
      </c>
      <c r="E91" s="1"/>
      <c r="F91" s="5">
        <f t="shared" si="68"/>
        <v>0</v>
      </c>
      <c r="G91" s="1"/>
      <c r="H91" s="1">
        <f>SUM(OSRRefH22_17x_0)</f>
        <v>500</v>
      </c>
      <c r="I91" s="1"/>
      <c r="J91" s="5">
        <f t="shared" si="69"/>
        <v>1.2500000000000001E-2</v>
      </c>
      <c r="K91" s="1"/>
      <c r="L91" s="1">
        <f t="shared" si="70"/>
        <v>-500</v>
      </c>
      <c r="M91" s="1"/>
      <c r="N91" s="5">
        <f t="shared" si="71"/>
        <v>-1</v>
      </c>
      <c r="O91" s="13"/>
      <c r="P91" s="1">
        <f>SUM(OSRRefP22_17x_0)</f>
        <v>465.65</v>
      </c>
      <c r="Q91" s="1"/>
      <c r="R91" s="5">
        <f t="shared" si="72"/>
        <v>8.3632206443905958E-4</v>
      </c>
      <c r="S91" s="1"/>
      <c r="T91" s="1">
        <f>SUM(OSRRefT22_17x_0)</f>
        <v>1000</v>
      </c>
      <c r="U91" s="1"/>
      <c r="V91" s="5">
        <f t="shared" si="73"/>
        <v>1.4320492624946299E-3</v>
      </c>
      <c r="W91" s="1"/>
      <c r="X91" s="1">
        <f t="shared" si="74"/>
        <v>-534.35</v>
      </c>
      <c r="Y91" s="1"/>
      <c r="Z91" s="5">
        <f t="shared" si="75"/>
        <v>-0.53434999999999999</v>
      </c>
    </row>
    <row r="92" spans="1:26" s="24" customFormat="1" hidden="1" outlineLevel="2" x14ac:dyDescent="0.25">
      <c r="A92" s="25"/>
      <c r="B92" s="11" t="str">
        <f>CONCATENATE("          ", "6376", " - ", "TRAINING")</f>
        <v xml:space="preserve">          6376 - TRAINING</v>
      </c>
      <c r="C92" s="11"/>
      <c r="D92" s="7"/>
      <c r="E92" s="2"/>
      <c r="F92" s="6">
        <f t="shared" si="68"/>
        <v>0</v>
      </c>
      <c r="G92" s="2"/>
      <c r="H92" s="7">
        <v>500</v>
      </c>
      <c r="I92" s="2"/>
      <c r="J92" s="6">
        <f t="shared" si="69"/>
        <v>1.2500000000000001E-2</v>
      </c>
      <c r="K92" s="2"/>
      <c r="L92" s="7">
        <f t="shared" si="70"/>
        <v>-500</v>
      </c>
      <c r="M92" s="2"/>
      <c r="N92" s="6">
        <f t="shared" si="71"/>
        <v>-1</v>
      </c>
      <c r="O92" s="11"/>
      <c r="P92" s="7">
        <v>465.65</v>
      </c>
      <c r="Q92" s="2"/>
      <c r="R92" s="6">
        <f t="shared" si="72"/>
        <v>8.3632206443905958E-4</v>
      </c>
      <c r="S92" s="2"/>
      <c r="T92" s="7">
        <v>1000</v>
      </c>
      <c r="U92" s="2"/>
      <c r="V92" s="6">
        <f t="shared" si="73"/>
        <v>1.4320492624946299E-3</v>
      </c>
      <c r="W92" s="2"/>
      <c r="X92" s="7">
        <f t="shared" si="74"/>
        <v>-534.35</v>
      </c>
      <c r="Y92" s="2"/>
      <c r="Z92" s="6">
        <f t="shared" si="75"/>
        <v>-0.53434999999999999</v>
      </c>
    </row>
    <row r="93" spans="1:26" s="27" customFormat="1" outlineLevel="1" collapsed="1" x14ac:dyDescent="0.25">
      <c r="A93" s="26"/>
      <c r="B93" s="13" t="str">
        <f>CONCATENATE("     ","Travel                                            ")</f>
        <v xml:space="preserve">     Travel                                            </v>
      </c>
      <c r="C93" s="13"/>
      <c r="D93" s="1">
        <f>SUM(OSRRefD22_18x_0)</f>
        <v>0</v>
      </c>
      <c r="E93" s="1"/>
      <c r="F93" s="5">
        <f t="shared" si="68"/>
        <v>0</v>
      </c>
      <c r="G93" s="1"/>
      <c r="H93" s="1">
        <f>SUM(OSRRefH22_18x_0)</f>
        <v>1000</v>
      </c>
      <c r="I93" s="1"/>
      <c r="J93" s="5">
        <f t="shared" si="69"/>
        <v>2.5000000000000001E-2</v>
      </c>
      <c r="K93" s="1"/>
      <c r="L93" s="1">
        <f t="shared" si="70"/>
        <v>-1000</v>
      </c>
      <c r="M93" s="1"/>
      <c r="N93" s="5">
        <f t="shared" si="71"/>
        <v>-1</v>
      </c>
      <c r="O93" s="13"/>
      <c r="P93" s="1">
        <f>SUM(OSRRefP22_18x_0)</f>
        <v>0</v>
      </c>
      <c r="Q93" s="1"/>
      <c r="R93" s="5">
        <f t="shared" si="72"/>
        <v>0</v>
      </c>
      <c r="S93" s="1"/>
      <c r="T93" s="1">
        <f>SUM(OSRRefT22_18x_0)</f>
        <v>1000</v>
      </c>
      <c r="U93" s="1"/>
      <c r="V93" s="5">
        <f t="shared" si="73"/>
        <v>1.4320492624946299E-3</v>
      </c>
      <c r="W93" s="1"/>
      <c r="X93" s="1">
        <f t="shared" si="74"/>
        <v>-1000</v>
      </c>
      <c r="Y93" s="1"/>
      <c r="Z93" s="5">
        <f t="shared" si="75"/>
        <v>-1</v>
      </c>
    </row>
    <row r="94" spans="1:26" s="24" customFormat="1" hidden="1" outlineLevel="2" x14ac:dyDescent="0.25">
      <c r="A94" s="25"/>
      <c r="B94" s="11" t="str">
        <f>CONCATENATE("          ", "6292", " - ", "TRAVEL/CONFERENCE")</f>
        <v xml:space="preserve">          6292 - TRAVEL/CONFERENCE</v>
      </c>
      <c r="C94" s="11"/>
      <c r="D94" s="7"/>
      <c r="E94" s="2"/>
      <c r="F94" s="6">
        <f t="shared" si="68"/>
        <v>0</v>
      </c>
      <c r="G94" s="2"/>
      <c r="H94" s="7">
        <v>1000</v>
      </c>
      <c r="I94" s="2"/>
      <c r="J94" s="6">
        <f t="shared" si="69"/>
        <v>2.5000000000000001E-2</v>
      </c>
      <c r="K94" s="2"/>
      <c r="L94" s="7">
        <f t="shared" si="70"/>
        <v>-1000</v>
      </c>
      <c r="M94" s="2"/>
      <c r="N94" s="6">
        <f t="shared" si="71"/>
        <v>-1</v>
      </c>
      <c r="O94" s="11"/>
      <c r="P94" s="7"/>
      <c r="Q94" s="2"/>
      <c r="R94" s="6">
        <f t="shared" si="72"/>
        <v>0</v>
      </c>
      <c r="S94" s="2"/>
      <c r="T94" s="7">
        <v>1000</v>
      </c>
      <c r="U94" s="2"/>
      <c r="V94" s="6">
        <f t="shared" si="73"/>
        <v>1.4320492624946299E-3</v>
      </c>
      <c r="W94" s="2"/>
      <c r="X94" s="7">
        <f t="shared" si="74"/>
        <v>-1000</v>
      </c>
      <c r="Y94" s="2"/>
      <c r="Z94" s="6">
        <f t="shared" si="75"/>
        <v>-1</v>
      </c>
    </row>
    <row r="95" spans="1:26" s="27" customFormat="1" outlineLevel="1" collapsed="1" x14ac:dyDescent="0.25">
      <c r="A95" s="26"/>
      <c r="B95" s="13" t="str">
        <f>CONCATENATE("     ","Utilities                                         ")</f>
        <v xml:space="preserve">     Utilities                                         </v>
      </c>
      <c r="C95" s="13"/>
      <c r="D95" s="1">
        <f>SUM(OSRRefD22_19x_0)</f>
        <v>348</v>
      </c>
      <c r="E95" s="1"/>
      <c r="F95" s="5">
        <f t="shared" si="68"/>
        <v>6.9117257427225298E-3</v>
      </c>
      <c r="G95" s="1"/>
      <c r="H95" s="1">
        <f>SUM(OSRRefH22_19x_0)</f>
        <v>350</v>
      </c>
      <c r="I95" s="1"/>
      <c r="J95" s="5">
        <f t="shared" si="69"/>
        <v>8.7500000000000008E-3</v>
      </c>
      <c r="K95" s="1"/>
      <c r="L95" s="1">
        <f t="shared" si="70"/>
        <v>-2</v>
      </c>
      <c r="M95" s="1"/>
      <c r="N95" s="5">
        <f t="shared" si="71"/>
        <v>-5.7142857142857143E-3</v>
      </c>
      <c r="O95" s="13"/>
      <c r="P95" s="1">
        <f>SUM(OSRRefP22_19x_0)</f>
        <v>2432</v>
      </c>
      <c r="Q95" s="1"/>
      <c r="R95" s="5">
        <f t="shared" si="72"/>
        <v>4.3679485895324662E-3</v>
      </c>
      <c r="S95" s="1"/>
      <c r="T95" s="1">
        <f>SUM(OSRRefT22_19x_0)</f>
        <v>2450</v>
      </c>
      <c r="U95" s="1"/>
      <c r="V95" s="5">
        <f t="shared" si="73"/>
        <v>3.5085206931118429E-3</v>
      </c>
      <c r="W95" s="1"/>
      <c r="X95" s="1">
        <f t="shared" si="74"/>
        <v>-18</v>
      </c>
      <c r="Y95" s="1"/>
      <c r="Z95" s="5">
        <f t="shared" si="75"/>
        <v>-7.3469387755102037E-3</v>
      </c>
    </row>
    <row r="96" spans="1:26" s="24" customFormat="1" hidden="1" outlineLevel="2" x14ac:dyDescent="0.25">
      <c r="A96" s="25"/>
      <c r="B96" s="11" t="str">
        <f>CONCATENATE("          ", "6274", " - ", "UTILITIES")</f>
        <v xml:space="preserve">          6274 - UTILITIES</v>
      </c>
      <c r="C96" s="11"/>
      <c r="D96" s="7">
        <v>348</v>
      </c>
      <c r="E96" s="2"/>
      <c r="F96" s="6">
        <f t="shared" si="68"/>
        <v>6.9117257427225298E-3</v>
      </c>
      <c r="G96" s="2"/>
      <c r="H96" s="7">
        <v>350</v>
      </c>
      <c r="I96" s="2"/>
      <c r="J96" s="6">
        <f t="shared" si="69"/>
        <v>8.7500000000000008E-3</v>
      </c>
      <c r="K96" s="2"/>
      <c r="L96" s="7">
        <f t="shared" si="70"/>
        <v>-2</v>
      </c>
      <c r="M96" s="2"/>
      <c r="N96" s="6">
        <f t="shared" si="71"/>
        <v>-5.7142857142857143E-3</v>
      </c>
      <c r="O96" s="11"/>
      <c r="P96" s="7">
        <v>2432</v>
      </c>
      <c r="Q96" s="2"/>
      <c r="R96" s="6">
        <f t="shared" si="72"/>
        <v>4.3679485895324662E-3</v>
      </c>
      <c r="S96" s="2"/>
      <c r="T96" s="7">
        <v>2450</v>
      </c>
      <c r="U96" s="2"/>
      <c r="V96" s="6">
        <f t="shared" si="73"/>
        <v>3.5085206931118429E-3</v>
      </c>
      <c r="W96" s="2"/>
      <c r="X96" s="7">
        <f t="shared" si="74"/>
        <v>-18</v>
      </c>
      <c r="Y96" s="2"/>
      <c r="Z96" s="6">
        <f t="shared" si="75"/>
        <v>-7.3469387755102037E-3</v>
      </c>
    </row>
    <row r="97" spans="1:26" s="53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x14ac:dyDescent="0.25">
      <c r="A98" s="10"/>
      <c r="B98" s="28" t="s">
        <v>0</v>
      </c>
      <c r="C98" s="10"/>
      <c r="D98" s="4">
        <f>SUM(0)</f>
        <v>0</v>
      </c>
      <c r="E98" s="4"/>
      <c r="F98" s="12">
        <f>IF(D$12=0,0,D98/D$12)</f>
        <v>0</v>
      </c>
      <c r="G98" s="4"/>
      <c r="H98" s="4">
        <f>SUM(0)</f>
        <v>0</v>
      </c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>
        <f>SUM(0)</f>
        <v>0</v>
      </c>
      <c r="Q98" s="4"/>
      <c r="R98" s="12">
        <f>IF(P$12=0,0,P98/P$12)</f>
        <v>0</v>
      </c>
      <c r="S98" s="4"/>
      <c r="T98" s="4">
        <f>SUM(0)</f>
        <v>0</v>
      </c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9" t="s">
        <v>3</v>
      </c>
      <c r="C100" s="29"/>
      <c r="D100" s="21">
        <f>+D22-D24+D98</f>
        <v>-27022.819999999985</v>
      </c>
      <c r="E100" s="14"/>
      <c r="F100" s="20">
        <f>IF(D$12=0,0,D100/D$12)</f>
        <v>-0.53670781791654343</v>
      </c>
      <c r="G100" s="14"/>
      <c r="H100" s="21">
        <f>+H22-H24+H98</f>
        <v>-18978.150901000001</v>
      </c>
      <c r="I100" s="14"/>
      <c r="J100" s="20">
        <f>IF(H$12=0,0,H100/H$12)</f>
        <v>-0.47445377252500004</v>
      </c>
      <c r="K100" s="16"/>
      <c r="L100" s="21">
        <f>+D100-H100</f>
        <v>-8044.6690989999843</v>
      </c>
      <c r="M100" s="16"/>
      <c r="N100" s="20">
        <f>IF(H100=0,0,L100/H100)</f>
        <v>0.42389109144327086</v>
      </c>
      <c r="O100" s="28"/>
      <c r="P100" s="21">
        <f>+P22-P24+P98</f>
        <v>-53013.939999999944</v>
      </c>
      <c r="Q100" s="14"/>
      <c r="R100" s="20">
        <f>IF(P$12=0,0,P100/P$12)</f>
        <v>-9.5214705776545464E-2</v>
      </c>
      <c r="S100" s="14"/>
      <c r="T100" s="21">
        <f>+T22-T24+T98</f>
        <v>83477.391546599974</v>
      </c>
      <c r="U100" s="14"/>
      <c r="V100" s="20">
        <f>IF(T$12=0,0,T100/T$12)</f>
        <v>0.11954373699928394</v>
      </c>
      <c r="W100" s="16"/>
      <c r="X100" s="21">
        <f>+P100-T100</f>
        <v>-136491.33154659992</v>
      </c>
      <c r="Y100" s="16"/>
      <c r="Z100" s="20">
        <f>IF(T100=0,0,X100/T100)</f>
        <v>-1.6350694363803369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2"/>
      <c r="B102" s="10" t="s">
        <v>14</v>
      </c>
      <c r="C102" s="10"/>
      <c r="D102" s="4">
        <v>3365.83</v>
      </c>
      <c r="E102" s="4"/>
      <c r="F102" s="12">
        <f>IF(D$12=0,0,D102/D$12)</f>
        <v>6.6849694990309683E-2</v>
      </c>
      <c r="G102" s="4"/>
      <c r="H102" s="4">
        <v>1179</v>
      </c>
      <c r="I102" s="4"/>
      <c r="J102" s="12">
        <f>IF(H$12=0,0,H102/H$12)</f>
        <v>2.9475000000000001E-2</v>
      </c>
      <c r="K102" s="4"/>
      <c r="L102" s="4">
        <f>+D102-H102</f>
        <v>2186.83</v>
      </c>
      <c r="M102" s="4"/>
      <c r="N102" s="12">
        <f>IF(H102=0,0,L102/H102)</f>
        <v>1.8548176420695504</v>
      </c>
      <c r="O102" s="10"/>
      <c r="P102" s="4">
        <v>58064.590000000004</v>
      </c>
      <c r="Q102" s="4"/>
      <c r="R102" s="12">
        <f>IF(P$12=0,0,P102/P$12)</f>
        <v>0.10428583223366816</v>
      </c>
      <c r="S102" s="4"/>
      <c r="T102" s="4">
        <v>85978</v>
      </c>
      <c r="U102" s="4"/>
      <c r="V102" s="12">
        <f>IF(T$12=0,0,T102/T$12)</f>
        <v>0.12312473149076328</v>
      </c>
      <c r="W102" s="4"/>
      <c r="X102" s="4">
        <f>+P102-T102</f>
        <v>-27913.409999999996</v>
      </c>
      <c r="Y102" s="4"/>
      <c r="Z102" s="12">
        <f>IF(T102=0,0,X102/T102)</f>
        <v>-0.32465758682453649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9" t="s">
        <v>4</v>
      </c>
      <c r="C104" s="29"/>
      <c r="D104" s="34">
        <f>+D100-D102</f>
        <v>-30388.649999999987</v>
      </c>
      <c r="E104" s="14"/>
      <c r="F104" s="32">
        <f>IF(D$12=0,0,D104/D$12)</f>
        <v>-0.60355751290685322</v>
      </c>
      <c r="G104" s="14"/>
      <c r="H104" s="34">
        <f>+H100-H102</f>
        <v>-20157.150901000001</v>
      </c>
      <c r="I104" s="14"/>
      <c r="J104" s="32">
        <f>IF(H$12=0,0,H104/H$12)</f>
        <v>-0.50392877252500001</v>
      </c>
      <c r="K104" s="16"/>
      <c r="L104" s="34">
        <f>D104-H104</f>
        <v>-10231.499098999986</v>
      </c>
      <c r="M104" s="16"/>
      <c r="N104" s="32">
        <f>IF(H104=0,0,L104/H104)</f>
        <v>0.50758657060469781</v>
      </c>
      <c r="O104" s="28"/>
      <c r="P104" s="34">
        <f>+P100-P102</f>
        <v>-111078.52999999994</v>
      </c>
      <c r="Q104" s="14"/>
      <c r="R104" s="32">
        <f>IF(P$12=0,0,P104/P$12)</f>
        <v>-0.19950053801021361</v>
      </c>
      <c r="S104" s="14"/>
      <c r="T104" s="34">
        <f>+T100-T102</f>
        <v>-2500.6084534000256</v>
      </c>
      <c r="U104" s="14"/>
      <c r="V104" s="32">
        <f>IF(T$12=0,0,T104/T$12)</f>
        <v>-3.5809944914793434E-3</v>
      </c>
      <c r="W104" s="16"/>
      <c r="X104" s="34">
        <f>P104-T104</f>
        <v>-108577.92154659992</v>
      </c>
      <c r="Y104" s="16"/>
      <c r="Z104" s="32">
        <f>IF(T104=0,0,X104/T104)</f>
        <v>43.420600853751715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5</v>
      </c>
      <c r="C107" s="29"/>
      <c r="D107" s="31">
        <f>SUM(D104:D106)</f>
        <v>-30388.649999999987</v>
      </c>
      <c r="E107" s="14"/>
      <c r="F107" s="30">
        <f>IF(D$12=0,0,D107/D$12)</f>
        <v>-0.60355751290685322</v>
      </c>
      <c r="G107" s="14"/>
      <c r="H107" s="31">
        <f>SUM(H104:H106)</f>
        <v>-20157.150901000001</v>
      </c>
      <c r="I107" s="14"/>
      <c r="J107" s="30">
        <f>IF(H$12=0,0,H107/H$12)</f>
        <v>-0.50392877252500001</v>
      </c>
      <c r="K107" s="16"/>
      <c r="L107" s="31">
        <f>+D107-H107</f>
        <v>-10231.499098999986</v>
      </c>
      <c r="M107" s="16"/>
      <c r="N107" s="30">
        <f>IF(H107=0,0,L107/H107)</f>
        <v>0.50758657060469781</v>
      </c>
      <c r="O107" s="28"/>
      <c r="P107" s="31">
        <f>SUM(P104:P106)</f>
        <v>-111078.52999999994</v>
      </c>
      <c r="Q107" s="14"/>
      <c r="R107" s="30">
        <f>IF(P$12=0,0,P107/P$12)</f>
        <v>-0.19950053801021361</v>
      </c>
      <c r="S107" s="14"/>
      <c r="T107" s="31">
        <f>SUM(T104:T106)</f>
        <v>-2500.6084534000256</v>
      </c>
      <c r="U107" s="14"/>
      <c r="V107" s="30">
        <f>IF(T$12=0,0,T107/T$12)</f>
        <v>-3.5809944914793434E-3</v>
      </c>
      <c r="W107" s="16"/>
      <c r="X107" s="31">
        <f>+P107-T107</f>
        <v>-108577.92154659992</v>
      </c>
      <c r="Y107" s="16"/>
      <c r="Z107" s="30">
        <f>IF(T107=0,0,X107/T107)</f>
        <v>43.420600853751715</v>
      </c>
    </row>
    <row r="108" spans="1:26" ht="15.75" thickTop="1" x14ac:dyDescent="0.25">
      <c r="A108" s="9"/>
      <c r="C108" s="9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63">
        <v>43879.54644244213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57" t="s">
        <v>314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60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300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","406", " - ", "OPA! Greek")</f>
        <v>Department 406 - OPA! Greek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13667.810000000001</v>
      </c>
      <c r="E12" s="4"/>
      <c r="F12" s="12"/>
      <c r="G12" s="4"/>
      <c r="H12" s="4">
        <f>SUM(OSRRefH13x_0)</f>
        <v>34000</v>
      </c>
      <c r="I12" s="4"/>
      <c r="J12" s="12"/>
      <c r="K12" s="4"/>
      <c r="L12" s="4">
        <f t="shared" ref="L12:L16" si="0">+D12-H12</f>
        <v>-20332.189999999999</v>
      </c>
      <c r="M12" s="4"/>
      <c r="N12" s="12">
        <f t="shared" ref="N12:N16" si="1">IF(H12=0,0,L12/H12)</f>
        <v>-0.59800558823529404</v>
      </c>
      <c r="O12" s="10"/>
      <c r="P12" s="4">
        <f>SUM(OSRRefP13x_0)</f>
        <v>151545.38999999998</v>
      </c>
      <c r="Q12" s="4"/>
      <c r="R12" s="12"/>
      <c r="S12" s="4"/>
      <c r="T12" s="4">
        <f>SUM(OSRRefT13x_0)</f>
        <v>241000</v>
      </c>
      <c r="U12" s="4"/>
      <c r="V12" s="12"/>
      <c r="W12" s="4"/>
      <c r="X12" s="4">
        <f t="shared" ref="X12:X16" si="2">+P12-T12</f>
        <v>-89454.610000000015</v>
      </c>
      <c r="Y12" s="4"/>
      <c r="Z12" s="12">
        <f t="shared" ref="Z12:Z16" si="3">IF(T12=0,0,X12/T12)</f>
        <v>-0.37118095435684656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4000</v>
      </c>
      <c r="I13" s="2"/>
      <c r="J13" s="19"/>
      <c r="K13" s="2"/>
      <c r="L13" s="2">
        <f t="shared" si="0"/>
        <v>-4000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39000</v>
      </c>
      <c r="U13" s="2"/>
      <c r="V13" s="19"/>
      <c r="W13" s="2"/>
      <c r="X13" s="2">
        <f t="shared" si="2"/>
        <v>-39000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--2379.2</f>
        <v>2379.1999999999998</v>
      </c>
      <c r="E14" s="2"/>
      <c r="F14" s="19"/>
      <c r="G14" s="2"/>
      <c r="H14" s="2"/>
      <c r="I14" s="2"/>
      <c r="J14" s="19"/>
      <c r="K14" s="2"/>
      <c r="L14" s="2">
        <f t="shared" si="0"/>
        <v>2379.1999999999998</v>
      </c>
      <c r="M14" s="2"/>
      <c r="N14" s="19">
        <f t="shared" si="1"/>
        <v>0</v>
      </c>
      <c r="O14" s="11"/>
      <c r="P14" s="2">
        <f>--36450.63</f>
        <v>36450.629999999997</v>
      </c>
      <c r="Q14" s="2"/>
      <c r="R14" s="19"/>
      <c r="S14" s="2"/>
      <c r="T14" s="2"/>
      <c r="U14" s="2"/>
      <c r="V14" s="19"/>
      <c r="W14" s="2"/>
      <c r="X14" s="2">
        <f t="shared" si="2"/>
        <v>36450.629999999997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30000</v>
      </c>
      <c r="I15" s="2"/>
      <c r="J15" s="19"/>
      <c r="K15" s="2"/>
      <c r="L15" s="2">
        <f t="shared" si="0"/>
        <v>-30000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202000</v>
      </c>
      <c r="U15" s="2"/>
      <c r="V15" s="19"/>
      <c r="W15" s="2"/>
      <c r="X15" s="2">
        <f t="shared" si="2"/>
        <v>-202000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--11288.61</f>
        <v>11288.61</v>
      </c>
      <c r="E16" s="2"/>
      <c r="F16" s="19"/>
      <c r="G16" s="2"/>
      <c r="H16" s="2"/>
      <c r="I16" s="2"/>
      <c r="J16" s="19"/>
      <c r="K16" s="2"/>
      <c r="L16" s="2">
        <f t="shared" si="0"/>
        <v>11288.61</v>
      </c>
      <c r="M16" s="2"/>
      <c r="N16" s="19">
        <f t="shared" si="1"/>
        <v>0</v>
      </c>
      <c r="O16" s="11"/>
      <c r="P16" s="2">
        <f>--115094.76</f>
        <v>115094.76</v>
      </c>
      <c r="Q16" s="2"/>
      <c r="R16" s="19"/>
      <c r="S16" s="2"/>
      <c r="T16" s="2"/>
      <c r="U16" s="2"/>
      <c r="V16" s="19"/>
      <c r="W16" s="2"/>
      <c r="X16" s="2">
        <f t="shared" si="2"/>
        <v>115094.76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4278.0200000000004</v>
      </c>
      <c r="E18" s="4"/>
      <c r="F18" s="12">
        <f t="shared" ref="F18:F21" si="4">IF(D$12=0,0,D18/D$12)</f>
        <v>0.31299966856431277</v>
      </c>
      <c r="G18" s="4"/>
      <c r="H18" s="4">
        <f>SUM(OSRRefH16x_0)</f>
        <v>10880</v>
      </c>
      <c r="I18" s="4"/>
      <c r="J18" s="12">
        <f t="shared" ref="J18:J21" si="5">IF(H$12=0,0,H18/H$12)</f>
        <v>0.32</v>
      </c>
      <c r="K18" s="4"/>
      <c r="L18" s="4">
        <f t="shared" ref="L18:L21" si="6">+D18-H18</f>
        <v>-6601.98</v>
      </c>
      <c r="M18" s="4"/>
      <c r="N18" s="12">
        <f t="shared" ref="N18:N21" si="7">IF(H18=0,0,L18/H18)</f>
        <v>-0.6067996323529411</v>
      </c>
      <c r="O18" s="10"/>
      <c r="P18" s="4">
        <f>SUM(OSRRefP16x_0)</f>
        <v>52698.559999999998</v>
      </c>
      <c r="Q18" s="4"/>
      <c r="R18" s="12">
        <f t="shared" ref="R18:R21" si="8">IF(P$12=0,0,P18/P$12)</f>
        <v>0.3477410959185232</v>
      </c>
      <c r="S18" s="4"/>
      <c r="T18" s="4">
        <f>SUM(OSRRefT16x_0)</f>
        <v>77120</v>
      </c>
      <c r="U18" s="4"/>
      <c r="V18" s="12">
        <f t="shared" ref="V18:V21" si="9">IF(T$12=0,0,T18/T$12)</f>
        <v>0.32</v>
      </c>
      <c r="W18" s="4"/>
      <c r="X18" s="4">
        <f t="shared" ref="X18:X21" si="10">+P18-T18</f>
        <v>-24421.440000000002</v>
      </c>
      <c r="Y18" s="4"/>
      <c r="Z18" s="12">
        <f t="shared" ref="Z18:Z21" si="11">IF(T18=0,0,X18/T18)</f>
        <v>-0.31666804979253116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10880</v>
      </c>
      <c r="I19" s="2"/>
      <c r="J19" s="19">
        <f t="shared" si="5"/>
        <v>0.32</v>
      </c>
      <c r="K19" s="2"/>
      <c r="L19" s="2">
        <f t="shared" si="6"/>
        <v>-10880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77120</v>
      </c>
      <c r="U19" s="2"/>
      <c r="V19" s="19">
        <f t="shared" si="9"/>
        <v>0.32</v>
      </c>
      <c r="W19" s="2"/>
      <c r="X19" s="2">
        <f t="shared" si="10"/>
        <v>-77120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6808.02</v>
      </c>
      <c r="E20" s="2"/>
      <c r="F20" s="19">
        <f t="shared" si="4"/>
        <v>0.49810613404781012</v>
      </c>
      <c r="G20" s="2"/>
      <c r="H20" s="2"/>
      <c r="I20" s="2"/>
      <c r="J20" s="19">
        <f t="shared" si="5"/>
        <v>0</v>
      </c>
      <c r="K20" s="2"/>
      <c r="L20" s="2">
        <f t="shared" si="6"/>
        <v>6808.02</v>
      </c>
      <c r="M20" s="2"/>
      <c r="N20" s="19">
        <f t="shared" si="7"/>
        <v>0</v>
      </c>
      <c r="O20" s="11"/>
      <c r="P20" s="2">
        <v>56061.18</v>
      </c>
      <c r="Q20" s="2"/>
      <c r="R20" s="19">
        <f t="shared" si="8"/>
        <v>0.36992995959824315</v>
      </c>
      <c r="S20" s="2"/>
      <c r="T20" s="2"/>
      <c r="U20" s="2"/>
      <c r="V20" s="19">
        <f t="shared" si="9"/>
        <v>0</v>
      </c>
      <c r="W20" s="2"/>
      <c r="X20" s="2">
        <f t="shared" si="10"/>
        <v>56061.18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-2530</v>
      </c>
      <c r="E21" s="2"/>
      <c r="F21" s="19">
        <f t="shared" si="4"/>
        <v>-0.18510646548349735</v>
      </c>
      <c r="G21" s="2"/>
      <c r="H21" s="2"/>
      <c r="I21" s="2"/>
      <c r="J21" s="19">
        <f t="shared" si="5"/>
        <v>0</v>
      </c>
      <c r="K21" s="2"/>
      <c r="L21" s="2">
        <f t="shared" si="6"/>
        <v>-2530</v>
      </c>
      <c r="M21" s="2"/>
      <c r="N21" s="19">
        <f t="shared" si="7"/>
        <v>0</v>
      </c>
      <c r="O21" s="11"/>
      <c r="P21" s="2">
        <v>-3362.62</v>
      </c>
      <c r="Q21" s="2"/>
      <c r="R21" s="19">
        <f t="shared" si="8"/>
        <v>-2.2188863679719985E-2</v>
      </c>
      <c r="S21" s="2"/>
      <c r="T21" s="2"/>
      <c r="U21" s="2"/>
      <c r="V21" s="19">
        <f t="shared" si="9"/>
        <v>0</v>
      </c>
      <c r="W21" s="2"/>
      <c r="X21" s="2">
        <f t="shared" si="10"/>
        <v>-3362.62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1">
        <f>D12-D18</f>
        <v>9389.7900000000009</v>
      </c>
      <c r="E23" s="14"/>
      <c r="F23" s="20">
        <f>IF(D$12=0,0,D23/D$12)</f>
        <v>0.68700033143568717</v>
      </c>
      <c r="G23" s="14"/>
      <c r="H23" s="21">
        <f>H12-H18</f>
        <v>23120</v>
      </c>
      <c r="I23" s="14"/>
      <c r="J23" s="20">
        <f>IF(H$12=0,0,H23/H$12)</f>
        <v>0.68</v>
      </c>
      <c r="K23" s="16"/>
      <c r="L23" s="21">
        <f>+D23-H23</f>
        <v>-13730.21</v>
      </c>
      <c r="M23" s="16"/>
      <c r="N23" s="20">
        <f>IF(H23=0,0,L23/H23)</f>
        <v>-0.59386721453287195</v>
      </c>
      <c r="O23" s="28"/>
      <c r="P23" s="21">
        <f>P12-P18</f>
        <v>98846.829999999987</v>
      </c>
      <c r="Q23" s="14"/>
      <c r="R23" s="20">
        <f>IF(P$12=0,0,P23/P$12)</f>
        <v>0.6522589040814768</v>
      </c>
      <c r="S23" s="14"/>
      <c r="T23" s="21">
        <f>T12-T18</f>
        <v>163880</v>
      </c>
      <c r="U23" s="14"/>
      <c r="V23" s="20">
        <f>IF(T$12=0,0,T23/T$12)</f>
        <v>0.68</v>
      </c>
      <c r="W23" s="16"/>
      <c r="X23" s="21">
        <f>+P23-T23</f>
        <v>-65033.170000000013</v>
      </c>
      <c r="Y23" s="16"/>
      <c r="Z23" s="20">
        <f>IF(T23=0,0,X23/T23)</f>
        <v>-0.39683408591652436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2">
        <f>SUM(OSRRefD22x_0)</f>
        <v>17521.63</v>
      </c>
      <c r="E25" s="22"/>
      <c r="F25" s="35">
        <f t="shared" ref="F25:F35" si="12">IF(D$12=0,0,D25/D$12)</f>
        <v>1.28196324063621</v>
      </c>
      <c r="G25" s="22"/>
      <c r="H25" s="22">
        <f>SUM(OSRRefH22x_0)</f>
        <v>17294.415213400003</v>
      </c>
      <c r="I25" s="22"/>
      <c r="J25" s="35">
        <f t="shared" ref="J25:J35" si="13">IF(H$12=0,0,H25/H$12)</f>
        <v>0.50865927098235308</v>
      </c>
      <c r="K25" s="4"/>
      <c r="L25" s="22">
        <f t="shared" ref="L25:L35" si="14">+D25-H25</f>
        <v>227.21478659999775</v>
      </c>
      <c r="M25" s="4"/>
      <c r="N25" s="35">
        <f t="shared" ref="N25:N35" si="15">IF(H25=0,0,L25/H25)</f>
        <v>1.3138043917434566E-2</v>
      </c>
      <c r="O25" s="10"/>
      <c r="P25" s="22">
        <f>SUM(OSRRefP22x_0)</f>
        <v>144750.01000000004</v>
      </c>
      <c r="Q25" s="22"/>
      <c r="R25" s="35">
        <f t="shared" ref="R25:R35" si="16">IF(P$12=0,0,P25/P$12)</f>
        <v>0.95515944100972028</v>
      </c>
      <c r="S25" s="22"/>
      <c r="T25" s="22">
        <f>SUM(OSRRefT22x_0)</f>
        <v>123725.87568339999</v>
      </c>
      <c r="U25" s="22"/>
      <c r="V25" s="35">
        <f t="shared" ref="V25:V35" si="17">IF(T$12=0,0,T25/T$12)</f>
        <v>0.51338537627966807</v>
      </c>
      <c r="W25" s="4"/>
      <c r="X25" s="22">
        <f t="shared" ref="X25:X35" si="18">+P25-T25</f>
        <v>21024.134316600044</v>
      </c>
      <c r="Y25" s="4"/>
      <c r="Z25" s="35">
        <f t="shared" ref="Z25:Z35" si="19">IF(T25=0,0,X25/T25)</f>
        <v>0.16992512035557006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1983.5</v>
      </c>
      <c r="E26" s="1"/>
      <c r="F26" s="5">
        <f t="shared" si="12"/>
        <v>0.14512200564684466</v>
      </c>
      <c r="G26" s="1"/>
      <c r="H26" s="1">
        <f>SUM(OSRRefH22_0x_0)</f>
        <v>2357.8621364769233</v>
      </c>
      <c r="I26" s="1"/>
      <c r="J26" s="5">
        <f t="shared" si="13"/>
        <v>6.9348886366968329E-2</v>
      </c>
      <c r="K26" s="1"/>
      <c r="L26" s="1">
        <f t="shared" si="14"/>
        <v>-374.3621364769233</v>
      </c>
      <c r="M26" s="1"/>
      <c r="N26" s="5">
        <f t="shared" si="15"/>
        <v>-0.15877185128231827</v>
      </c>
      <c r="O26" s="13"/>
      <c r="P26" s="1">
        <f>SUM(OSRRefP22_0x_0)</f>
        <v>15150.93</v>
      </c>
      <c r="Q26" s="1"/>
      <c r="R26" s="5">
        <f t="shared" si="16"/>
        <v>9.9976185352784422E-2</v>
      </c>
      <c r="S26" s="1"/>
      <c r="T26" s="1">
        <f>SUM(OSRRefT22_0x_0)</f>
        <v>15520.822606476921</v>
      </c>
      <c r="U26" s="1"/>
      <c r="V26" s="5">
        <f t="shared" si="17"/>
        <v>6.4401753553846142E-2</v>
      </c>
      <c r="W26" s="1"/>
      <c r="X26" s="1">
        <f t="shared" si="18"/>
        <v>-369.89260647692026</v>
      </c>
      <c r="Y26" s="1"/>
      <c r="Z26" s="5">
        <f t="shared" si="19"/>
        <v>-2.3832023331196515E-2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512.78</v>
      </c>
      <c r="E27" s="2"/>
      <c r="F27" s="6">
        <f t="shared" si="12"/>
        <v>3.7517349158350893E-2</v>
      </c>
      <c r="G27" s="2"/>
      <c r="H27" s="7">
        <v>566.93977370769198</v>
      </c>
      <c r="I27" s="2"/>
      <c r="J27" s="6">
        <f t="shared" si="13"/>
        <v>1.6674699226696822E-2</v>
      </c>
      <c r="K27" s="2"/>
      <c r="L27" s="7">
        <f t="shared" si="14"/>
        <v>-54.159773707692011</v>
      </c>
      <c r="M27" s="2"/>
      <c r="N27" s="6">
        <f t="shared" si="15"/>
        <v>-9.5530030206729163E-2</v>
      </c>
      <c r="O27" s="11"/>
      <c r="P27" s="7">
        <v>5057.6499999999996</v>
      </c>
      <c r="Q27" s="2"/>
      <c r="R27" s="6">
        <f t="shared" si="16"/>
        <v>3.3373829451361074E-2</v>
      </c>
      <c r="S27" s="2"/>
      <c r="T27" s="7">
        <v>3863.7756437076919</v>
      </c>
      <c r="U27" s="2"/>
      <c r="V27" s="6">
        <f t="shared" si="17"/>
        <v>1.6032264081774654E-2</v>
      </c>
      <c r="W27" s="2"/>
      <c r="X27" s="7">
        <f t="shared" si="18"/>
        <v>1193.8743562923078</v>
      </c>
      <c r="Y27" s="2"/>
      <c r="Z27" s="6">
        <f t="shared" si="19"/>
        <v>0.30899163574276844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379.71</v>
      </c>
      <c r="E28" s="2"/>
      <c r="F28" s="6">
        <f t="shared" si="12"/>
        <v>2.7781334390805837E-2</v>
      </c>
      <c r="G28" s="2"/>
      <c r="H28" s="7">
        <v>413.14520553846199</v>
      </c>
      <c r="I28" s="2"/>
      <c r="J28" s="6">
        <f t="shared" si="13"/>
        <v>1.2151329574660646E-2</v>
      </c>
      <c r="K28" s="2"/>
      <c r="L28" s="7">
        <f t="shared" si="14"/>
        <v>-33.435205538462014</v>
      </c>
      <c r="M28" s="2"/>
      <c r="N28" s="6">
        <f t="shared" si="15"/>
        <v>-8.0928460720934944E-2</v>
      </c>
      <c r="O28" s="11"/>
      <c r="P28" s="7">
        <v>2919.31</v>
      </c>
      <c r="Q28" s="2"/>
      <c r="R28" s="6">
        <f t="shared" si="16"/>
        <v>1.9263601485997036E-2</v>
      </c>
      <c r="S28" s="2"/>
      <c r="T28" s="7">
        <v>2796.9784055384621</v>
      </c>
      <c r="U28" s="2"/>
      <c r="V28" s="6">
        <f t="shared" si="17"/>
        <v>1.1605719525055859E-2</v>
      </c>
      <c r="W28" s="2"/>
      <c r="X28" s="7">
        <f t="shared" si="18"/>
        <v>122.33159446153786</v>
      </c>
      <c r="Y28" s="2"/>
      <c r="Z28" s="6">
        <f t="shared" si="19"/>
        <v>4.3737053607314898E-2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36.049999999999997</v>
      </c>
      <c r="E29" s="2"/>
      <c r="F29" s="6">
        <f t="shared" si="12"/>
        <v>2.6375842216126793E-3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36.049999999999997</v>
      </c>
      <c r="M29" s="2"/>
      <c r="N29" s="6">
        <f t="shared" si="15"/>
        <v>0</v>
      </c>
      <c r="O29" s="11"/>
      <c r="P29" s="7">
        <v>245.87</v>
      </c>
      <c r="Q29" s="2"/>
      <c r="R29" s="6">
        <f t="shared" si="16"/>
        <v>1.6224182075086548E-3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245.87</v>
      </c>
      <c r="Y29" s="2"/>
      <c r="Z29" s="6">
        <f t="shared" si="19"/>
        <v>0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25.44</v>
      </c>
      <c r="E30" s="2"/>
      <c r="F30" s="6">
        <f t="shared" si="12"/>
        <v>1.8613077003557994E-3</v>
      </c>
      <c r="G30" s="2"/>
      <c r="H30" s="7">
        <v>27.684988000000001</v>
      </c>
      <c r="I30" s="2"/>
      <c r="J30" s="6">
        <f t="shared" si="13"/>
        <v>8.1426435294117648E-4</v>
      </c>
      <c r="K30" s="2"/>
      <c r="L30" s="7">
        <f t="shared" si="14"/>
        <v>-2.2449879999999993</v>
      </c>
      <c r="M30" s="2"/>
      <c r="N30" s="6">
        <f t="shared" si="15"/>
        <v>-8.10904451177656E-2</v>
      </c>
      <c r="O30" s="11"/>
      <c r="P30" s="7">
        <v>246.12</v>
      </c>
      <c r="Q30" s="2"/>
      <c r="R30" s="6">
        <f t="shared" si="16"/>
        <v>1.6240678782772609E-3</v>
      </c>
      <c r="S30" s="2"/>
      <c r="T30" s="7">
        <v>187.426388</v>
      </c>
      <c r="U30" s="2"/>
      <c r="V30" s="6">
        <f t="shared" si="17"/>
        <v>7.7770285477178429E-4</v>
      </c>
      <c r="W30" s="2"/>
      <c r="X30" s="7">
        <f t="shared" si="18"/>
        <v>58.693612000000002</v>
      </c>
      <c r="Y30" s="2"/>
      <c r="Z30" s="6">
        <f t="shared" si="19"/>
        <v>0.31315554136379131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473.18</v>
      </c>
      <c r="E31" s="2"/>
      <c r="F31" s="6">
        <f t="shared" si="12"/>
        <v>3.4620030568174413E-2</v>
      </c>
      <c r="G31" s="2"/>
      <c r="H31" s="7">
        <v>485.486538461539</v>
      </c>
      <c r="I31" s="2"/>
      <c r="J31" s="6">
        <f t="shared" si="13"/>
        <v>1.4279015837104088E-2</v>
      </c>
      <c r="K31" s="2"/>
      <c r="L31" s="7">
        <f t="shared" si="14"/>
        <v>-12.306538461538992</v>
      </c>
      <c r="M31" s="2"/>
      <c r="N31" s="6">
        <f t="shared" si="15"/>
        <v>-2.5348876820636985E-2</v>
      </c>
      <c r="O31" s="11"/>
      <c r="P31" s="7">
        <v>2365.88</v>
      </c>
      <c r="Q31" s="2"/>
      <c r="R31" s="6">
        <f t="shared" si="16"/>
        <v>1.5611692312118503E-2</v>
      </c>
      <c r="S31" s="2"/>
      <c r="T31" s="7">
        <v>3010.0165384615411</v>
      </c>
      <c r="U31" s="2"/>
      <c r="V31" s="6">
        <f t="shared" si="17"/>
        <v>1.2489695180338345E-2</v>
      </c>
      <c r="W31" s="2"/>
      <c r="X31" s="7">
        <f t="shared" si="18"/>
        <v>-644.13653846154102</v>
      </c>
      <c r="Y31" s="2"/>
      <c r="Z31" s="6">
        <f t="shared" si="19"/>
        <v>-0.21399767417582616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7">
        <v>173.88</v>
      </c>
      <c r="E33" s="2"/>
      <c r="F33" s="6">
        <f t="shared" si="12"/>
        <v>1.2721862536865816E-2</v>
      </c>
      <c r="G33" s="2"/>
      <c r="H33" s="7">
        <v>282.25961538461502</v>
      </c>
      <c r="I33" s="2"/>
      <c r="J33" s="6">
        <f t="shared" si="13"/>
        <v>8.3017533936651476E-3</v>
      </c>
      <c r="K33" s="2"/>
      <c r="L33" s="7">
        <f t="shared" si="14"/>
        <v>-108.37961538461502</v>
      </c>
      <c r="M33" s="2"/>
      <c r="N33" s="6">
        <f t="shared" si="15"/>
        <v>-0.38397138477261034</v>
      </c>
      <c r="O33" s="11"/>
      <c r="P33" s="7">
        <v>1374.05</v>
      </c>
      <c r="Q33" s="2"/>
      <c r="R33" s="6">
        <f t="shared" si="16"/>
        <v>9.0669204784124425E-3</v>
      </c>
      <c r="S33" s="2"/>
      <c r="T33" s="7">
        <v>1750.009615384613</v>
      </c>
      <c r="U33" s="2"/>
      <c r="V33" s="6">
        <f t="shared" si="17"/>
        <v>7.2614506862432072E-3</v>
      </c>
      <c r="W33" s="2"/>
      <c r="X33" s="7">
        <f t="shared" si="18"/>
        <v>-375.95961538461302</v>
      </c>
      <c r="Y33" s="2"/>
      <c r="Z33" s="6">
        <f t="shared" si="19"/>
        <v>-0.21483288553359492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7">
        <v>208.3</v>
      </c>
      <c r="E34" s="2"/>
      <c r="F34" s="6">
        <f t="shared" si="12"/>
        <v>1.5240188442771738E-2</v>
      </c>
      <c r="G34" s="2"/>
      <c r="H34" s="7">
        <v>432.34601538461499</v>
      </c>
      <c r="I34" s="2"/>
      <c r="J34" s="6">
        <f t="shared" si="13"/>
        <v>1.2716059276018089E-2</v>
      </c>
      <c r="K34" s="2"/>
      <c r="L34" s="7">
        <f t="shared" si="14"/>
        <v>-224.04601538461498</v>
      </c>
      <c r="M34" s="2"/>
      <c r="N34" s="6">
        <f t="shared" si="15"/>
        <v>-0.51820996935823183</v>
      </c>
      <c r="O34" s="11"/>
      <c r="P34" s="7">
        <v>1684.08</v>
      </c>
      <c r="Q34" s="2"/>
      <c r="R34" s="6">
        <f t="shared" si="16"/>
        <v>1.1112710191976146E-2</v>
      </c>
      <c r="S34" s="2"/>
      <c r="T34" s="7">
        <v>2862.6160153846126</v>
      </c>
      <c r="U34" s="2"/>
      <c r="V34" s="6">
        <f t="shared" si="17"/>
        <v>1.1878074752633248E-2</v>
      </c>
      <c r="W34" s="2"/>
      <c r="X34" s="7">
        <f t="shared" si="18"/>
        <v>-1178.5360153846127</v>
      </c>
      <c r="Y34" s="2"/>
      <c r="Z34" s="6">
        <f t="shared" si="19"/>
        <v>-0.41169895265407019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7">
        <v>174.16</v>
      </c>
      <c r="E35" s="2"/>
      <c r="F35" s="6">
        <f t="shared" si="12"/>
        <v>1.2742348627907468E-2</v>
      </c>
      <c r="G35" s="2"/>
      <c r="H35" s="7">
        <v>150</v>
      </c>
      <c r="I35" s="2"/>
      <c r="J35" s="6">
        <f t="shared" si="13"/>
        <v>4.4117647058823529E-3</v>
      </c>
      <c r="K35" s="2"/>
      <c r="L35" s="7">
        <f t="shared" si="14"/>
        <v>24.159999999999997</v>
      </c>
      <c r="M35" s="2"/>
      <c r="N35" s="6">
        <f t="shared" si="15"/>
        <v>0.16106666666666664</v>
      </c>
      <c r="O35" s="11"/>
      <c r="P35" s="7">
        <v>1257.97</v>
      </c>
      <c r="Q35" s="2"/>
      <c r="R35" s="6">
        <f t="shared" si="16"/>
        <v>8.3009453471332914E-3</v>
      </c>
      <c r="S35" s="2"/>
      <c r="T35" s="7">
        <v>1050</v>
      </c>
      <c r="U35" s="2"/>
      <c r="V35" s="6">
        <f t="shared" si="17"/>
        <v>4.3568464730290458E-3</v>
      </c>
      <c r="W35" s="2"/>
      <c r="X35" s="7">
        <f t="shared" si="18"/>
        <v>207.97000000000003</v>
      </c>
      <c r="Y35" s="2"/>
      <c r="Z35" s="6">
        <f t="shared" si="19"/>
        <v>0.1980666666666667</v>
      </c>
    </row>
    <row r="36" spans="1:26" s="27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9911.6</v>
      </c>
      <c r="E36" s="1"/>
      <c r="F36" s="5">
        <f t="shared" ref="F36:F46" si="20">IF(D$12=0,0,D36/D$12)</f>
        <v>0.72517835703013134</v>
      </c>
      <c r="G36" s="1"/>
      <c r="H36" s="1">
        <f>SUM(OSRRefH22_1x_0)</f>
        <v>10083.553076923079</v>
      </c>
      <c r="I36" s="1"/>
      <c r="J36" s="5">
        <f t="shared" ref="J36:J46" si="21">IF(H$12=0,0,H36/H$12)</f>
        <v>0.29657509049773761</v>
      </c>
      <c r="K36" s="1"/>
      <c r="L36" s="1">
        <f t="shared" ref="L36:L46" si="22">+D36-H36</f>
        <v>-171.9530769230787</v>
      </c>
      <c r="M36" s="1"/>
      <c r="N36" s="5">
        <f t="shared" ref="N36:N46" si="23">IF(H36=0,0,L36/H36)</f>
        <v>-1.7052826083358001E-2</v>
      </c>
      <c r="O36" s="13"/>
      <c r="P36" s="1">
        <f>SUM(OSRRefP22_1x_0)</f>
        <v>86164.36</v>
      </c>
      <c r="Q36" s="1"/>
      <c r="R36" s="5">
        <f t="shared" ref="R36:R46" si="24">IF(P$12=0,0,P36/P$12)</f>
        <v>0.56857130395058542</v>
      </c>
      <c r="S36" s="1"/>
      <c r="T36" s="1">
        <f>SUM(OSRRefT22_1x_0)</f>
        <v>68587.053076923083</v>
      </c>
      <c r="U36" s="1"/>
      <c r="V36" s="5">
        <f t="shared" ref="V36:V46" si="25">IF(T$12=0,0,T36/T$12)</f>
        <v>0.28459358123204598</v>
      </c>
      <c r="W36" s="1"/>
      <c r="X36" s="1">
        <f t="shared" ref="X36:X46" si="26">+P36-T36</f>
        <v>17577.306923076918</v>
      </c>
      <c r="Y36" s="1"/>
      <c r="Z36" s="5">
        <f t="shared" ref="Z36:Z46" si="27">IF(T36=0,0,X36/T36)</f>
        <v>0.25627733128238178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5080.6730769230799</v>
      </c>
      <c r="I37" s="2"/>
      <c r="J37" s="6">
        <f t="shared" si="21"/>
        <v>0.14943156108597294</v>
      </c>
      <c r="K37" s="2"/>
      <c r="L37" s="7">
        <f t="shared" si="22"/>
        <v>-5080.6730769230799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31500.173076923082</v>
      </c>
      <c r="U37" s="2"/>
      <c r="V37" s="6">
        <f t="shared" si="25"/>
        <v>0.13070611235237795</v>
      </c>
      <c r="W37" s="2"/>
      <c r="X37" s="7">
        <f t="shared" si="26"/>
        <v>-31500.173076923082</v>
      </c>
      <c r="Y37" s="2"/>
      <c r="Z37" s="6">
        <f t="shared" si="27"/>
        <v>-1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7">
        <v>5096.97</v>
      </c>
      <c r="E38" s="2"/>
      <c r="F38" s="6">
        <f t="shared" si="20"/>
        <v>0.37291782663060136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5096.97</v>
      </c>
      <c r="M38" s="2"/>
      <c r="N38" s="6">
        <f t="shared" si="23"/>
        <v>0</v>
      </c>
      <c r="O38" s="11"/>
      <c r="P38" s="7">
        <v>32074.28</v>
      </c>
      <c r="Q38" s="2"/>
      <c r="R38" s="6">
        <f t="shared" si="24"/>
        <v>0.21164800856033958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32074.28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0"/>
        <v>0</v>
      </c>
      <c r="G40" s="2"/>
      <c r="H40" s="7">
        <v>1762.88</v>
      </c>
      <c r="I40" s="2"/>
      <c r="J40" s="6">
        <f t="shared" si="21"/>
        <v>5.1849411764705887E-2</v>
      </c>
      <c r="K40" s="2"/>
      <c r="L40" s="7">
        <f t="shared" si="22"/>
        <v>-1762.88</v>
      </c>
      <c r="M40" s="2"/>
      <c r="N40" s="6">
        <f t="shared" si="23"/>
        <v>-1</v>
      </c>
      <c r="O40" s="11"/>
      <c r="P40" s="7"/>
      <c r="Q40" s="2"/>
      <c r="R40" s="6">
        <f t="shared" si="24"/>
        <v>0</v>
      </c>
      <c r="S40" s="2"/>
      <c r="T40" s="7">
        <v>15486.88</v>
      </c>
      <c r="U40" s="2"/>
      <c r="V40" s="6">
        <f t="shared" si="25"/>
        <v>6.4260912863070535E-2</v>
      </c>
      <c r="W40" s="2"/>
      <c r="X40" s="7">
        <f t="shared" si="26"/>
        <v>-15486.88</v>
      </c>
      <c r="Y40" s="2"/>
      <c r="Z40" s="6">
        <f t="shared" si="27"/>
        <v>-1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7">
        <v>1989.13</v>
      </c>
      <c r="E41" s="2"/>
      <c r="F41" s="6">
        <f t="shared" si="20"/>
        <v>0.1455339224060036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1989.13</v>
      </c>
      <c r="M41" s="2"/>
      <c r="N41" s="6">
        <f t="shared" si="23"/>
        <v>0</v>
      </c>
      <c r="O41" s="11"/>
      <c r="P41" s="7">
        <v>27499.08</v>
      </c>
      <c r="Q41" s="2"/>
      <c r="R41" s="6">
        <f t="shared" si="24"/>
        <v>0.18145771375823444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27499.08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7">
        <v>68.25</v>
      </c>
      <c r="E42" s="2"/>
      <c r="F42" s="6">
        <f t="shared" si="20"/>
        <v>4.9934846914026455E-3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68.25</v>
      </c>
      <c r="M42" s="2"/>
      <c r="N42" s="6">
        <f t="shared" si="23"/>
        <v>0</v>
      </c>
      <c r="O42" s="11"/>
      <c r="P42" s="7">
        <v>178.75</v>
      </c>
      <c r="Q42" s="2"/>
      <c r="R42" s="6">
        <f t="shared" si="24"/>
        <v>1.1795145995533089E-3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178.75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7">
        <v>2692.25</v>
      </c>
      <c r="E43" s="2"/>
      <c r="F43" s="6">
        <f t="shared" si="20"/>
        <v>0.19697742359602596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2692.25</v>
      </c>
      <c r="M43" s="2"/>
      <c r="N43" s="6">
        <f t="shared" si="23"/>
        <v>0</v>
      </c>
      <c r="O43" s="11"/>
      <c r="P43" s="7">
        <v>24715.25</v>
      </c>
      <c r="Q43" s="2"/>
      <c r="R43" s="6">
        <f t="shared" si="24"/>
        <v>0.16308810185516037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24715.25</v>
      </c>
      <c r="Y43" s="2"/>
      <c r="Z43" s="6">
        <f t="shared" si="27"/>
        <v>0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7">
        <v>65</v>
      </c>
      <c r="E44" s="2"/>
      <c r="F44" s="6">
        <f t="shared" si="20"/>
        <v>4.7556997060977579E-3</v>
      </c>
      <c r="G44" s="2"/>
      <c r="H44" s="7">
        <v>3240</v>
      </c>
      <c r="I44" s="2"/>
      <c r="J44" s="6">
        <f t="shared" si="21"/>
        <v>9.5294117647058821E-2</v>
      </c>
      <c r="K44" s="2"/>
      <c r="L44" s="7">
        <f t="shared" si="22"/>
        <v>-3175</v>
      </c>
      <c r="M44" s="2"/>
      <c r="N44" s="6">
        <f t="shared" si="23"/>
        <v>-0.97993827160493829</v>
      </c>
      <c r="O44" s="11"/>
      <c r="P44" s="7">
        <v>1697</v>
      </c>
      <c r="Q44" s="2"/>
      <c r="R44" s="6">
        <f t="shared" si="24"/>
        <v>1.1197965177297707E-2</v>
      </c>
      <c r="S44" s="2"/>
      <c r="T44" s="7">
        <v>21600</v>
      </c>
      <c r="U44" s="2"/>
      <c r="V44" s="6">
        <f t="shared" si="25"/>
        <v>8.9626556016597511E-2</v>
      </c>
      <c r="W44" s="2"/>
      <c r="X44" s="7">
        <f t="shared" si="26"/>
        <v>-19903</v>
      </c>
      <c r="Y44" s="2"/>
      <c r="Z44" s="6">
        <f t="shared" si="27"/>
        <v>-0.92143518518518519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7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692</v>
      </c>
      <c r="E47" s="1"/>
      <c r="F47" s="5">
        <f t="shared" ref="F47:F55" si="28">IF(D$12=0,0,D47/D$12)</f>
        <v>5.0629910717225356E-2</v>
      </c>
      <c r="G47" s="1"/>
      <c r="H47" s="1">
        <f>SUM(OSRRefH22_2x_0)</f>
        <v>200</v>
      </c>
      <c r="I47" s="1"/>
      <c r="J47" s="5">
        <f t="shared" ref="J47:J55" si="29">IF(H$12=0,0,H47/H$12)</f>
        <v>5.8823529411764705E-3</v>
      </c>
      <c r="K47" s="1"/>
      <c r="L47" s="1">
        <f t="shared" ref="L47:L55" si="30">+D47-H47</f>
        <v>492</v>
      </c>
      <c r="M47" s="1"/>
      <c r="N47" s="5">
        <f t="shared" ref="N47:N55" si="31">IF(H47=0,0,L47/H47)</f>
        <v>2.46</v>
      </c>
      <c r="O47" s="13"/>
      <c r="P47" s="1">
        <f>SUM(OSRRefP22_2x_0)</f>
        <v>3116.71</v>
      </c>
      <c r="Q47" s="1"/>
      <c r="R47" s="5">
        <f t="shared" ref="R47:R55" si="32">IF(P$12=0,0,P47/P$12)</f>
        <v>2.0566181524888354E-2</v>
      </c>
      <c r="S47" s="1"/>
      <c r="T47" s="1">
        <f>SUM(OSRRefT22_2x_0)</f>
        <v>1200</v>
      </c>
      <c r="U47" s="1"/>
      <c r="V47" s="5">
        <f t="shared" ref="V47:V55" si="33">IF(T$12=0,0,T47/T$12)</f>
        <v>4.9792531120331947E-3</v>
      </c>
      <c r="W47" s="1"/>
      <c r="X47" s="1">
        <f t="shared" ref="X47:X55" si="34">+P47-T47</f>
        <v>1916.71</v>
      </c>
      <c r="Y47" s="1"/>
      <c r="Z47" s="5">
        <f t="shared" ref="Z47:Z55" si="35">IF(T47=0,0,X47/T47)</f>
        <v>1.5972583333333334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7">
        <v>692</v>
      </c>
      <c r="E48" s="2"/>
      <c r="F48" s="6">
        <f t="shared" si="28"/>
        <v>5.0629910717225356E-2</v>
      </c>
      <c r="G48" s="2"/>
      <c r="H48" s="7">
        <v>200</v>
      </c>
      <c r="I48" s="2"/>
      <c r="J48" s="6">
        <f t="shared" si="29"/>
        <v>5.8823529411764705E-3</v>
      </c>
      <c r="K48" s="2"/>
      <c r="L48" s="7">
        <f t="shared" si="30"/>
        <v>492</v>
      </c>
      <c r="M48" s="2"/>
      <c r="N48" s="6">
        <f t="shared" si="31"/>
        <v>2.46</v>
      </c>
      <c r="O48" s="11"/>
      <c r="P48" s="7">
        <v>3116.71</v>
      </c>
      <c r="Q48" s="2"/>
      <c r="R48" s="6">
        <f t="shared" si="32"/>
        <v>2.0566181524888354E-2</v>
      </c>
      <c r="S48" s="2"/>
      <c r="T48" s="7">
        <v>1200</v>
      </c>
      <c r="U48" s="2"/>
      <c r="V48" s="6">
        <f t="shared" si="33"/>
        <v>4.9792531120331947E-3</v>
      </c>
      <c r="W48" s="2"/>
      <c r="X48" s="7">
        <f t="shared" si="34"/>
        <v>1916.71</v>
      </c>
      <c r="Y48" s="2"/>
      <c r="Z48" s="6">
        <f t="shared" si="35"/>
        <v>1.5972583333333334</v>
      </c>
    </row>
    <row r="49" spans="1:26" s="27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-11.55</v>
      </c>
      <c r="E49" s="1"/>
      <c r="F49" s="5">
        <f t="shared" si="28"/>
        <v>-8.4505125546814012E-4</v>
      </c>
      <c r="G49" s="1"/>
      <c r="H49" s="1">
        <f>SUM(OSRRefH22_3x_0)</f>
        <v>25</v>
      </c>
      <c r="I49" s="1"/>
      <c r="J49" s="5">
        <f t="shared" si="29"/>
        <v>7.3529411764705881E-4</v>
      </c>
      <c r="K49" s="1"/>
      <c r="L49" s="1">
        <f t="shared" si="30"/>
        <v>-36.549999999999997</v>
      </c>
      <c r="M49" s="1"/>
      <c r="N49" s="5">
        <f t="shared" si="31"/>
        <v>-1.462</v>
      </c>
      <c r="O49" s="13"/>
      <c r="P49" s="1">
        <f>SUM(OSRRefP22_3x_0)</f>
        <v>-20.98</v>
      </c>
      <c r="Q49" s="1"/>
      <c r="R49" s="5">
        <f t="shared" si="32"/>
        <v>-1.3844037090141774E-4</v>
      </c>
      <c r="S49" s="1"/>
      <c r="T49" s="1">
        <f>SUM(OSRRefT22_3x_0)</f>
        <v>150</v>
      </c>
      <c r="U49" s="1"/>
      <c r="V49" s="5">
        <f t="shared" si="33"/>
        <v>6.2240663900414933E-4</v>
      </c>
      <c r="W49" s="1"/>
      <c r="X49" s="1">
        <f t="shared" si="34"/>
        <v>-170.98</v>
      </c>
      <c r="Y49" s="1"/>
      <c r="Z49" s="5">
        <f t="shared" si="35"/>
        <v>-1.1398666666666666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7">
        <v>-11.55</v>
      </c>
      <c r="E50" s="2"/>
      <c r="F50" s="6">
        <f t="shared" si="28"/>
        <v>-8.4505125546814012E-4</v>
      </c>
      <c r="G50" s="2"/>
      <c r="H50" s="7">
        <v>25</v>
      </c>
      <c r="I50" s="2"/>
      <c r="J50" s="6">
        <f t="shared" si="29"/>
        <v>7.3529411764705881E-4</v>
      </c>
      <c r="K50" s="2"/>
      <c r="L50" s="7">
        <f t="shared" si="30"/>
        <v>-36.549999999999997</v>
      </c>
      <c r="M50" s="2"/>
      <c r="N50" s="6">
        <f t="shared" si="31"/>
        <v>-1.462</v>
      </c>
      <c r="O50" s="11"/>
      <c r="P50" s="7">
        <v>-20.98</v>
      </c>
      <c r="Q50" s="2"/>
      <c r="R50" s="6">
        <f t="shared" si="32"/>
        <v>-1.3844037090141774E-4</v>
      </c>
      <c r="S50" s="2"/>
      <c r="T50" s="7">
        <v>150</v>
      </c>
      <c r="U50" s="2"/>
      <c r="V50" s="6">
        <f t="shared" si="33"/>
        <v>6.2240663900414933E-4</v>
      </c>
      <c r="W50" s="2"/>
      <c r="X50" s="7">
        <f t="shared" si="34"/>
        <v>-170.98</v>
      </c>
      <c r="Y50" s="2"/>
      <c r="Z50" s="6">
        <f t="shared" si="35"/>
        <v>-1.1398666666666666</v>
      </c>
    </row>
    <row r="51" spans="1:26" s="27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437</v>
      </c>
      <c r="E51" s="1"/>
      <c r="F51" s="5">
        <f t="shared" si="28"/>
        <v>3.1972934947149541E-2</v>
      </c>
      <c r="G51" s="1"/>
      <c r="H51" s="1">
        <f>SUM(OSRRefH22_4x_0)</f>
        <v>720</v>
      </c>
      <c r="I51" s="1"/>
      <c r="J51" s="5">
        <f t="shared" si="29"/>
        <v>2.1176470588235293E-2</v>
      </c>
      <c r="K51" s="1"/>
      <c r="L51" s="1">
        <f t="shared" si="30"/>
        <v>-283</v>
      </c>
      <c r="M51" s="1"/>
      <c r="N51" s="5">
        <f t="shared" si="31"/>
        <v>-0.39305555555555555</v>
      </c>
      <c r="O51" s="13"/>
      <c r="P51" s="1">
        <f>SUM(OSRRefP22_4x_0)</f>
        <v>5759.62</v>
      </c>
      <c r="Q51" s="1"/>
      <c r="R51" s="5">
        <f t="shared" si="32"/>
        <v>3.8005907009114569E-2</v>
      </c>
      <c r="S51" s="1"/>
      <c r="T51" s="1">
        <f>SUM(OSRRefT22_4x_0)</f>
        <v>5462</v>
      </c>
      <c r="U51" s="1"/>
      <c r="V51" s="5">
        <f t="shared" si="33"/>
        <v>2.2663900414937758E-2</v>
      </c>
      <c r="W51" s="1"/>
      <c r="X51" s="1">
        <f t="shared" si="34"/>
        <v>297.61999999999989</v>
      </c>
      <c r="Y51" s="1"/>
      <c r="Z51" s="5">
        <f t="shared" si="35"/>
        <v>5.4489198095935533E-2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7">
        <v>437</v>
      </c>
      <c r="E52" s="2"/>
      <c r="F52" s="6">
        <f t="shared" si="28"/>
        <v>3.1972934947149541E-2</v>
      </c>
      <c r="G52" s="2"/>
      <c r="H52" s="7">
        <v>720</v>
      </c>
      <c r="I52" s="2"/>
      <c r="J52" s="6">
        <f t="shared" si="29"/>
        <v>2.1176470588235293E-2</v>
      </c>
      <c r="K52" s="2"/>
      <c r="L52" s="7">
        <f t="shared" si="30"/>
        <v>-283</v>
      </c>
      <c r="M52" s="2"/>
      <c r="N52" s="6">
        <f t="shared" si="31"/>
        <v>-0.39305555555555555</v>
      </c>
      <c r="O52" s="11"/>
      <c r="P52" s="7">
        <v>5759.62</v>
      </c>
      <c r="Q52" s="2"/>
      <c r="R52" s="6">
        <f t="shared" si="32"/>
        <v>3.8005907009114569E-2</v>
      </c>
      <c r="S52" s="2"/>
      <c r="T52" s="7">
        <v>5462</v>
      </c>
      <c r="U52" s="2"/>
      <c r="V52" s="6">
        <f t="shared" si="33"/>
        <v>2.2663900414937758E-2</v>
      </c>
      <c r="W52" s="2"/>
      <c r="X52" s="7">
        <f t="shared" si="34"/>
        <v>297.61999999999989</v>
      </c>
      <c r="Y52" s="2"/>
      <c r="Z52" s="6">
        <f t="shared" si="35"/>
        <v>5.4489198095935533E-2</v>
      </c>
    </row>
    <row r="53" spans="1:26" s="27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2775.32</v>
      </c>
      <c r="E53" s="1"/>
      <c r="F53" s="5">
        <f t="shared" si="28"/>
        <v>0.20305520782041891</v>
      </c>
      <c r="G53" s="1"/>
      <c r="H53" s="1">
        <f>SUM(OSRRefH22_5x_0)</f>
        <v>2906</v>
      </c>
      <c r="I53" s="1"/>
      <c r="J53" s="5">
        <f t="shared" si="29"/>
        <v>8.5470588235294118E-2</v>
      </c>
      <c r="K53" s="1"/>
      <c r="L53" s="1">
        <f t="shared" si="30"/>
        <v>-130.67999999999984</v>
      </c>
      <c r="M53" s="1"/>
      <c r="N53" s="5">
        <f t="shared" si="31"/>
        <v>-4.4969029593943506E-2</v>
      </c>
      <c r="O53" s="13"/>
      <c r="P53" s="1">
        <f>SUM(OSRRefP22_5x_0)</f>
        <v>19427.240000000002</v>
      </c>
      <c r="Q53" s="1"/>
      <c r="R53" s="5">
        <f t="shared" si="32"/>
        <v>0.12819419977077498</v>
      </c>
      <c r="S53" s="1"/>
      <c r="T53" s="1">
        <f>SUM(OSRRefT22_5x_0)</f>
        <v>19592</v>
      </c>
      <c r="U53" s="1"/>
      <c r="V53" s="5">
        <f t="shared" si="33"/>
        <v>8.1294605809128631E-2</v>
      </c>
      <c r="W53" s="1"/>
      <c r="X53" s="1">
        <f t="shared" si="34"/>
        <v>-164.7599999999984</v>
      </c>
      <c r="Y53" s="1"/>
      <c r="Z53" s="5">
        <f t="shared" si="35"/>
        <v>-8.4095549203755827E-3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2775.32</v>
      </c>
      <c r="E54" s="2"/>
      <c r="F54" s="6">
        <f t="shared" si="28"/>
        <v>0.20305520782041891</v>
      </c>
      <c r="G54" s="2"/>
      <c r="H54" s="7">
        <v>2656</v>
      </c>
      <c r="I54" s="2"/>
      <c r="J54" s="6">
        <f t="shared" si="29"/>
        <v>7.8117647058823528E-2</v>
      </c>
      <c r="K54" s="2"/>
      <c r="L54" s="7">
        <f t="shared" si="30"/>
        <v>119.32000000000016</v>
      </c>
      <c r="M54" s="2"/>
      <c r="N54" s="6">
        <f t="shared" si="31"/>
        <v>4.4924698795180781E-2</v>
      </c>
      <c r="O54" s="11"/>
      <c r="P54" s="7">
        <v>19427.240000000002</v>
      </c>
      <c r="Q54" s="2"/>
      <c r="R54" s="6">
        <f t="shared" si="32"/>
        <v>0.12819419977077498</v>
      </c>
      <c r="S54" s="2"/>
      <c r="T54" s="7">
        <v>18592</v>
      </c>
      <c r="U54" s="2"/>
      <c r="V54" s="6">
        <f t="shared" si="33"/>
        <v>7.7145228215767636E-2</v>
      </c>
      <c r="W54" s="2"/>
      <c r="X54" s="7">
        <f t="shared" si="34"/>
        <v>835.2400000000016</v>
      </c>
      <c r="Y54" s="2"/>
      <c r="Z54" s="6">
        <f t="shared" si="35"/>
        <v>4.4924698795180809E-2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7"/>
      <c r="E55" s="2"/>
      <c r="F55" s="6">
        <f t="shared" si="28"/>
        <v>0</v>
      </c>
      <c r="G55" s="2"/>
      <c r="H55" s="7">
        <v>250</v>
      </c>
      <c r="I55" s="2"/>
      <c r="J55" s="6">
        <f t="shared" si="29"/>
        <v>7.3529411764705881E-3</v>
      </c>
      <c r="K55" s="2"/>
      <c r="L55" s="7">
        <f t="shared" si="30"/>
        <v>-250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1000</v>
      </c>
      <c r="U55" s="2"/>
      <c r="V55" s="6">
        <f t="shared" si="33"/>
        <v>4.1493775933609959E-3</v>
      </c>
      <c r="W55" s="2"/>
      <c r="X55" s="7">
        <f t="shared" si="34"/>
        <v>-1000</v>
      </c>
      <c r="Y55" s="2"/>
      <c r="Z55" s="6">
        <f t="shared" si="35"/>
        <v>-1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5" si="36">IF(D$12=0,0,D56/D$12)</f>
        <v>0</v>
      </c>
      <c r="G56" s="1"/>
      <c r="H56" s="1">
        <f>SUM(OSRRefH22_6x_0)</f>
        <v>0</v>
      </c>
      <c r="I56" s="1"/>
      <c r="J56" s="5">
        <f t="shared" ref="J56:J65" si="37">IF(H$12=0,0,H56/H$12)</f>
        <v>0</v>
      </c>
      <c r="K56" s="1"/>
      <c r="L56" s="1">
        <f t="shared" ref="L56:L65" si="38">+D56-H56</f>
        <v>0</v>
      </c>
      <c r="M56" s="1"/>
      <c r="N56" s="5">
        <f t="shared" ref="N56:N65" si="39">IF(H56=0,0,L56/H56)</f>
        <v>0</v>
      </c>
      <c r="O56" s="13"/>
      <c r="P56" s="1">
        <f>SUM(OSRRefP22_6x_0)</f>
        <v>107.51</v>
      </c>
      <c r="Q56" s="1"/>
      <c r="R56" s="5">
        <f t="shared" ref="R56:R65" si="40">IF(P$12=0,0,P56/P$12)</f>
        <v>7.0942441733133567E-4</v>
      </c>
      <c r="S56" s="1"/>
      <c r="T56" s="1">
        <f>SUM(OSRRefT22_6x_0)</f>
        <v>300</v>
      </c>
      <c r="U56" s="1"/>
      <c r="V56" s="5">
        <f t="shared" ref="V56:V65" si="41">IF(T$12=0,0,T56/T$12)</f>
        <v>1.2448132780082987E-3</v>
      </c>
      <c r="W56" s="1"/>
      <c r="X56" s="1">
        <f t="shared" ref="X56:X65" si="42">+P56-T56</f>
        <v>-192.49</v>
      </c>
      <c r="Y56" s="1"/>
      <c r="Z56" s="5">
        <f t="shared" ref="Z56:Z65" si="43">IF(T56=0,0,X56/T56)</f>
        <v>-0.64163333333333339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6"/>
        <v>0</v>
      </c>
      <c r="G57" s="2"/>
      <c r="H57" s="7"/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>
        <v>107.51</v>
      </c>
      <c r="Q57" s="2"/>
      <c r="R57" s="6">
        <f t="shared" si="40"/>
        <v>7.0942441733133567E-4</v>
      </c>
      <c r="S57" s="2"/>
      <c r="T57" s="7">
        <v>300</v>
      </c>
      <c r="U57" s="2"/>
      <c r="V57" s="6">
        <f t="shared" si="41"/>
        <v>1.2448132780082987E-3</v>
      </c>
      <c r="W57" s="2"/>
      <c r="X57" s="7">
        <f t="shared" si="42"/>
        <v>-192.49</v>
      </c>
      <c r="Y57" s="2"/>
      <c r="Z57" s="6">
        <f t="shared" si="43"/>
        <v>-0.64163333333333339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562.30999999999995</v>
      </c>
      <c r="E58" s="1"/>
      <c r="F58" s="5">
        <f t="shared" si="36"/>
        <v>4.1141192334397385E-2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562.30999999999995</v>
      </c>
      <c r="M58" s="1"/>
      <c r="N58" s="5">
        <f t="shared" si="39"/>
        <v>0</v>
      </c>
      <c r="O58" s="13"/>
      <c r="P58" s="1">
        <f>SUM(OSRRefP22_7x_0)</f>
        <v>1273.2</v>
      </c>
      <c r="Q58" s="1"/>
      <c r="R58" s="5">
        <f t="shared" si="40"/>
        <v>8.4014432903567714E-3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1273.2</v>
      </c>
      <c r="Y58" s="1"/>
      <c r="Z58" s="5">
        <f t="shared" si="43"/>
        <v>0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7">
        <v>562.30999999999995</v>
      </c>
      <c r="E59" s="2"/>
      <c r="F59" s="6">
        <f t="shared" si="36"/>
        <v>4.1141192334397385E-2</v>
      </c>
      <c r="G59" s="2"/>
      <c r="H59" s="7"/>
      <c r="I59" s="2"/>
      <c r="J59" s="6">
        <f t="shared" si="37"/>
        <v>0</v>
      </c>
      <c r="K59" s="2"/>
      <c r="L59" s="7">
        <f t="shared" si="38"/>
        <v>562.30999999999995</v>
      </c>
      <c r="M59" s="2"/>
      <c r="N59" s="6">
        <f t="shared" si="39"/>
        <v>0</v>
      </c>
      <c r="O59" s="11"/>
      <c r="P59" s="7">
        <v>1273.2</v>
      </c>
      <c r="Q59" s="2"/>
      <c r="R59" s="6">
        <f t="shared" si="40"/>
        <v>8.4014432903567714E-3</v>
      </c>
      <c r="S59" s="2"/>
      <c r="T59" s="7"/>
      <c r="U59" s="2"/>
      <c r="V59" s="6">
        <f t="shared" si="41"/>
        <v>0</v>
      </c>
      <c r="W59" s="2"/>
      <c r="X59" s="7">
        <f t="shared" si="42"/>
        <v>1273.2</v>
      </c>
      <c r="Y59" s="2"/>
      <c r="Z59" s="6">
        <f t="shared" si="43"/>
        <v>0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12</v>
      </c>
      <c r="E60" s="1"/>
      <c r="F60" s="5">
        <f t="shared" si="36"/>
        <v>8.779753303565091E-4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12</v>
      </c>
      <c r="M60" s="1"/>
      <c r="N60" s="5">
        <f t="shared" si="39"/>
        <v>0</v>
      </c>
      <c r="O60" s="13"/>
      <c r="P60" s="1">
        <f>SUM(OSRRefP22_8x_0)</f>
        <v>761.55</v>
      </c>
      <c r="Q60" s="1"/>
      <c r="R60" s="5">
        <f t="shared" si="40"/>
        <v>5.0252270953276773E-3</v>
      </c>
      <c r="S60" s="1"/>
      <c r="T60" s="1">
        <f>SUM(OSRRefT22_8x_0)</f>
        <v>0</v>
      </c>
      <c r="U60" s="1"/>
      <c r="V60" s="5">
        <f t="shared" si="41"/>
        <v>0</v>
      </c>
      <c r="W60" s="1"/>
      <c r="X60" s="1">
        <f t="shared" si="42"/>
        <v>761.55</v>
      </c>
      <c r="Y60" s="1"/>
      <c r="Z60" s="5">
        <f t="shared" si="43"/>
        <v>0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7">
        <v>12</v>
      </c>
      <c r="E61" s="2"/>
      <c r="F61" s="6">
        <f t="shared" si="36"/>
        <v>8.779753303565091E-4</v>
      </c>
      <c r="G61" s="2"/>
      <c r="H61" s="7"/>
      <c r="I61" s="2"/>
      <c r="J61" s="6">
        <f t="shared" si="37"/>
        <v>0</v>
      </c>
      <c r="K61" s="2"/>
      <c r="L61" s="7">
        <f t="shared" si="38"/>
        <v>12</v>
      </c>
      <c r="M61" s="2"/>
      <c r="N61" s="6">
        <f t="shared" si="39"/>
        <v>0</v>
      </c>
      <c r="O61" s="11"/>
      <c r="P61" s="7">
        <v>761.55</v>
      </c>
      <c r="Q61" s="2"/>
      <c r="R61" s="6">
        <f t="shared" si="40"/>
        <v>5.0252270953276773E-3</v>
      </c>
      <c r="S61" s="2"/>
      <c r="T61" s="7"/>
      <c r="U61" s="2"/>
      <c r="V61" s="6">
        <f t="shared" si="41"/>
        <v>0</v>
      </c>
      <c r="W61" s="2"/>
      <c r="X61" s="7">
        <f t="shared" si="42"/>
        <v>761.55</v>
      </c>
      <c r="Y61" s="2"/>
      <c r="Z61" s="6">
        <f t="shared" si="43"/>
        <v>0</v>
      </c>
    </row>
    <row r="62" spans="1:26" s="27" customFormat="1" outlineLevel="1" collapsed="1" x14ac:dyDescent="0.25">
      <c r="A62" s="26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0</v>
      </c>
      <c r="E62" s="1"/>
      <c r="F62" s="5">
        <f t="shared" si="36"/>
        <v>0</v>
      </c>
      <c r="G62" s="1"/>
      <c r="H62" s="1">
        <f>SUM(OSRRefH22_9x_0)</f>
        <v>50</v>
      </c>
      <c r="I62" s="1"/>
      <c r="J62" s="5">
        <f t="shared" si="37"/>
        <v>1.4705882352941176E-3</v>
      </c>
      <c r="K62" s="1"/>
      <c r="L62" s="1">
        <f t="shared" si="38"/>
        <v>-50</v>
      </c>
      <c r="M62" s="1"/>
      <c r="N62" s="5">
        <f t="shared" si="39"/>
        <v>-1</v>
      </c>
      <c r="O62" s="13"/>
      <c r="P62" s="1">
        <f>SUM(OSRRefP22_9x_0)</f>
        <v>5425.2999999999993</v>
      </c>
      <c r="Q62" s="1"/>
      <c r="R62" s="5">
        <f t="shared" si="40"/>
        <v>3.5799835283673094E-2</v>
      </c>
      <c r="S62" s="1"/>
      <c r="T62" s="1">
        <f>SUM(OSRRefT22_9x_0)</f>
        <v>1150</v>
      </c>
      <c r="U62" s="1"/>
      <c r="V62" s="5">
        <f t="shared" si="41"/>
        <v>4.7717842323651456E-3</v>
      </c>
      <c r="W62" s="1"/>
      <c r="X62" s="1">
        <f t="shared" si="42"/>
        <v>4275.2999999999993</v>
      </c>
      <c r="Y62" s="1"/>
      <c r="Z62" s="5">
        <f t="shared" si="43"/>
        <v>3.7176521739130428</v>
      </c>
    </row>
    <row r="63" spans="1:26" s="24" customFormat="1" hidden="1" outlineLevel="2" x14ac:dyDescent="0.25">
      <c r="A63" s="25"/>
      <c r="B63" s="11" t="str">
        <f>CONCATENATE("          ", "6371", " - ", "COMPUTER SOFTWARE MAINTENANCE")</f>
        <v xml:space="preserve">          6371 - COMPUTER SOFTWARE MAINTENANCE</v>
      </c>
      <c r="C63" s="11"/>
      <c r="D63" s="7"/>
      <c r="E63" s="2"/>
      <c r="F63" s="6">
        <f t="shared" si="36"/>
        <v>0</v>
      </c>
      <c r="G63" s="2"/>
      <c r="H63" s="7">
        <v>50</v>
      </c>
      <c r="I63" s="2"/>
      <c r="J63" s="6">
        <f t="shared" si="37"/>
        <v>1.4705882352941176E-3</v>
      </c>
      <c r="K63" s="2"/>
      <c r="L63" s="7">
        <f t="shared" si="38"/>
        <v>-50</v>
      </c>
      <c r="M63" s="2"/>
      <c r="N63" s="6">
        <f t="shared" si="39"/>
        <v>-1</v>
      </c>
      <c r="O63" s="11"/>
      <c r="P63" s="7">
        <v>2186.54</v>
      </c>
      <c r="Q63" s="2"/>
      <c r="R63" s="6">
        <f t="shared" si="40"/>
        <v>1.4428284489551283E-2</v>
      </c>
      <c r="S63" s="2"/>
      <c r="T63" s="7">
        <v>350</v>
      </c>
      <c r="U63" s="2"/>
      <c r="V63" s="6">
        <f t="shared" si="41"/>
        <v>1.4522821576763486E-3</v>
      </c>
      <c r="W63" s="2"/>
      <c r="X63" s="7">
        <f t="shared" si="42"/>
        <v>1836.54</v>
      </c>
      <c r="Y63" s="2"/>
      <c r="Z63" s="6">
        <f t="shared" si="43"/>
        <v>5.2472571428571424</v>
      </c>
    </row>
    <row r="64" spans="1:26" s="24" customFormat="1" hidden="1" outlineLevel="2" x14ac:dyDescent="0.25">
      <c r="A64" s="25"/>
      <c r="B64" s="11" t="str">
        <f>CONCATENATE("          ", "6373", " - ", "MAINTENANCE CONTRACTS")</f>
        <v xml:space="preserve">          6373 - MAINTENANCE CONTRACTS</v>
      </c>
      <c r="C64" s="11"/>
      <c r="D64" s="7"/>
      <c r="E64" s="2"/>
      <c r="F64" s="6">
        <f t="shared" si="36"/>
        <v>0</v>
      </c>
      <c r="G64" s="2"/>
      <c r="H64" s="7"/>
      <c r="I64" s="2"/>
      <c r="J64" s="6">
        <f t="shared" si="37"/>
        <v>0</v>
      </c>
      <c r="K64" s="2"/>
      <c r="L64" s="7">
        <f t="shared" si="38"/>
        <v>0</v>
      </c>
      <c r="M64" s="2"/>
      <c r="N64" s="6">
        <f t="shared" si="39"/>
        <v>0</v>
      </c>
      <c r="O64" s="11"/>
      <c r="P64" s="7">
        <v>840.28</v>
      </c>
      <c r="Q64" s="2"/>
      <c r="R64" s="6">
        <f t="shared" si="40"/>
        <v>5.544741413777087E-3</v>
      </c>
      <c r="S64" s="2"/>
      <c r="T64" s="7"/>
      <c r="U64" s="2"/>
      <c r="V64" s="6">
        <f t="shared" si="41"/>
        <v>0</v>
      </c>
      <c r="W64" s="2"/>
      <c r="X64" s="7">
        <f t="shared" si="42"/>
        <v>840.28</v>
      </c>
      <c r="Y64" s="2"/>
      <c r="Z64" s="6">
        <f t="shared" si="43"/>
        <v>0</v>
      </c>
    </row>
    <row r="65" spans="1:26" s="24" customFormat="1" hidden="1" outlineLevel="2" x14ac:dyDescent="0.25">
      <c r="A65" s="25"/>
      <c r="B65" s="11" t="str">
        <f>CONCATENATE("          ", "6375", " - ", "OUTSIDE REPAIRS &amp; MAINTENANCE")</f>
        <v xml:space="preserve">          6375 - OUTSIDE REPAIRS &amp; MAINTENANCE</v>
      </c>
      <c r="C65" s="11"/>
      <c r="D65" s="7"/>
      <c r="E65" s="2"/>
      <c r="F65" s="6">
        <f t="shared" si="36"/>
        <v>0</v>
      </c>
      <c r="G65" s="2"/>
      <c r="H65" s="7"/>
      <c r="I65" s="2"/>
      <c r="J65" s="6">
        <f t="shared" si="37"/>
        <v>0</v>
      </c>
      <c r="K65" s="2"/>
      <c r="L65" s="7">
        <f t="shared" si="38"/>
        <v>0</v>
      </c>
      <c r="M65" s="2"/>
      <c r="N65" s="6">
        <f t="shared" si="39"/>
        <v>0</v>
      </c>
      <c r="O65" s="11"/>
      <c r="P65" s="7">
        <v>2398.48</v>
      </c>
      <c r="Q65" s="2"/>
      <c r="R65" s="6">
        <f t="shared" si="40"/>
        <v>1.5826809380344729E-2</v>
      </c>
      <c r="S65" s="2"/>
      <c r="T65" s="7">
        <v>800</v>
      </c>
      <c r="U65" s="2"/>
      <c r="V65" s="6">
        <f t="shared" si="41"/>
        <v>3.3195020746887966E-3</v>
      </c>
      <c r="W65" s="2"/>
      <c r="X65" s="7">
        <f t="shared" si="42"/>
        <v>1598.48</v>
      </c>
      <c r="Y65" s="2"/>
      <c r="Z65" s="6">
        <f t="shared" si="43"/>
        <v>1.9981</v>
      </c>
    </row>
    <row r="66" spans="1:26" s="27" customFormat="1" outlineLevel="1" collapsed="1" x14ac:dyDescent="0.25">
      <c r="A66" s="26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SUM(OSRRefD22_10x_0)</f>
        <v>686.05</v>
      </c>
      <c r="E66" s="1"/>
      <c r="F66" s="5">
        <f t="shared" ref="F66:F69" si="44">IF(D$12=0,0,D66/D$12)</f>
        <v>5.0194581282590252E-2</v>
      </c>
      <c r="G66" s="1"/>
      <c r="H66" s="1">
        <f>SUM(OSRRefH22_10x_0)</f>
        <v>546</v>
      </c>
      <c r="I66" s="1"/>
      <c r="J66" s="5">
        <f t="shared" ref="J66:J69" si="45">IF(H$12=0,0,H66/H$12)</f>
        <v>1.6058823529411764E-2</v>
      </c>
      <c r="K66" s="1"/>
      <c r="L66" s="1">
        <f t="shared" ref="L66:L69" si="46">+D66-H66</f>
        <v>140.04999999999995</v>
      </c>
      <c r="M66" s="1"/>
      <c r="N66" s="5">
        <f t="shared" ref="N66:N69" si="47">IF(H66=0,0,L66/H66)</f>
        <v>0.25650183150183142</v>
      </c>
      <c r="O66" s="13"/>
      <c r="P66" s="1">
        <f>SUM(OSRRefP22_10x_0)</f>
        <v>972.97</v>
      </c>
      <c r="Q66" s="1"/>
      <c r="R66" s="5">
        <f t="shared" ref="R66:R69" si="48">IF(P$12=0,0,P66/P$12)</f>
        <v>6.420320670922422E-3</v>
      </c>
      <c r="S66" s="1"/>
      <c r="T66" s="1">
        <f>SUM(OSRRefT22_10x_0)</f>
        <v>3822</v>
      </c>
      <c r="U66" s="1"/>
      <c r="V66" s="5">
        <f t="shared" ref="V66:V69" si="49">IF(T$12=0,0,T66/T$12)</f>
        <v>1.5858921161825724E-2</v>
      </c>
      <c r="W66" s="1"/>
      <c r="X66" s="1">
        <f t="shared" ref="X66:X69" si="50">+P66-T66</f>
        <v>-2849.0299999999997</v>
      </c>
      <c r="Y66" s="1"/>
      <c r="Z66" s="5">
        <f t="shared" ref="Z66:Z69" si="51">IF(T66=0,0,X66/T66)</f>
        <v>-0.74542909471480889</v>
      </c>
    </row>
    <row r="67" spans="1:26" s="24" customFormat="1" hidden="1" outlineLevel="2" x14ac:dyDescent="0.25">
      <c r="A67" s="25"/>
      <c r="B67" s="11" t="str">
        <f>CONCATENATE("          ", "6282", " - ", "JANITORIAL/EXTERMINATOR EXPENS")</f>
        <v xml:space="preserve">          6282 - JANITORIAL/EXTERMINATOR EXPENS</v>
      </c>
      <c r="C67" s="11"/>
      <c r="D67" s="7"/>
      <c r="E67" s="2"/>
      <c r="F67" s="6">
        <f t="shared" si="44"/>
        <v>0</v>
      </c>
      <c r="G67" s="2"/>
      <c r="H67" s="7">
        <v>50</v>
      </c>
      <c r="I67" s="2"/>
      <c r="J67" s="6">
        <f t="shared" si="45"/>
        <v>1.4705882352941176E-3</v>
      </c>
      <c r="K67" s="2"/>
      <c r="L67" s="7">
        <f t="shared" si="46"/>
        <v>-50</v>
      </c>
      <c r="M67" s="2"/>
      <c r="N67" s="6">
        <f t="shared" si="47"/>
        <v>-1</v>
      </c>
      <c r="O67" s="11"/>
      <c r="P67" s="7"/>
      <c r="Q67" s="2"/>
      <c r="R67" s="6">
        <f t="shared" si="48"/>
        <v>0</v>
      </c>
      <c r="S67" s="2"/>
      <c r="T67" s="7">
        <v>350</v>
      </c>
      <c r="U67" s="2"/>
      <c r="V67" s="6">
        <f t="shared" si="49"/>
        <v>1.4522821576763486E-3</v>
      </c>
      <c r="W67" s="2"/>
      <c r="X67" s="7">
        <f t="shared" si="50"/>
        <v>-350</v>
      </c>
      <c r="Y67" s="2"/>
      <c r="Z67" s="6">
        <f t="shared" si="51"/>
        <v>-1</v>
      </c>
    </row>
    <row r="68" spans="1:26" s="24" customFormat="1" hidden="1" outlineLevel="2" x14ac:dyDescent="0.25">
      <c r="A68" s="25"/>
      <c r="B68" s="11" t="str">
        <f>CONCATENATE("          ", "6285", " - ", "JANITORIAL SERVICES")</f>
        <v xml:space="preserve">          6285 - JANITORIAL SERVICES</v>
      </c>
      <c r="C68" s="11"/>
      <c r="D68" s="7">
        <v>637</v>
      </c>
      <c r="E68" s="2"/>
      <c r="F68" s="6">
        <f t="shared" si="44"/>
        <v>4.6605857119758023E-2</v>
      </c>
      <c r="G68" s="2"/>
      <c r="H68" s="7">
        <v>396</v>
      </c>
      <c r="I68" s="2"/>
      <c r="J68" s="6">
        <f t="shared" si="45"/>
        <v>1.1647058823529411E-2</v>
      </c>
      <c r="K68" s="2"/>
      <c r="L68" s="7">
        <f t="shared" si="46"/>
        <v>241</v>
      </c>
      <c r="M68" s="2"/>
      <c r="N68" s="6">
        <f t="shared" si="47"/>
        <v>0.60858585858585856</v>
      </c>
      <c r="O68" s="11"/>
      <c r="P68" s="7">
        <v>637</v>
      </c>
      <c r="Q68" s="2"/>
      <c r="R68" s="6">
        <f t="shared" si="48"/>
        <v>4.2033611184081549E-3</v>
      </c>
      <c r="S68" s="2"/>
      <c r="T68" s="7">
        <v>2772</v>
      </c>
      <c r="U68" s="2"/>
      <c r="V68" s="6">
        <f t="shared" si="49"/>
        <v>1.150207468879668E-2</v>
      </c>
      <c r="W68" s="2"/>
      <c r="X68" s="7">
        <f t="shared" si="50"/>
        <v>-2135</v>
      </c>
      <c r="Y68" s="2"/>
      <c r="Z68" s="6">
        <f t="shared" si="51"/>
        <v>-0.77020202020202022</v>
      </c>
    </row>
    <row r="69" spans="1:26" s="24" customFormat="1" hidden="1" outlineLevel="2" x14ac:dyDescent="0.25">
      <c r="A69" s="25"/>
      <c r="B69" s="11" t="str">
        <f>CONCATENATE("          ", "6286", " - ", "LAUNDRY EXPENSE")</f>
        <v xml:space="preserve">          6286 - LAUNDRY EXPENSE</v>
      </c>
      <c r="C69" s="11"/>
      <c r="D69" s="7">
        <v>49.05</v>
      </c>
      <c r="E69" s="2"/>
      <c r="F69" s="6">
        <f t="shared" si="44"/>
        <v>3.5887241628322309E-3</v>
      </c>
      <c r="G69" s="2"/>
      <c r="H69" s="7">
        <v>100</v>
      </c>
      <c r="I69" s="2"/>
      <c r="J69" s="6">
        <f t="shared" si="45"/>
        <v>2.9411764705882353E-3</v>
      </c>
      <c r="K69" s="2"/>
      <c r="L69" s="7">
        <f t="shared" si="46"/>
        <v>-50.95</v>
      </c>
      <c r="M69" s="2"/>
      <c r="N69" s="6">
        <f t="shared" si="47"/>
        <v>-0.50950000000000006</v>
      </c>
      <c r="O69" s="11"/>
      <c r="P69" s="7">
        <v>335.97</v>
      </c>
      <c r="Q69" s="2"/>
      <c r="R69" s="6">
        <f t="shared" si="48"/>
        <v>2.2169595525142671E-3</v>
      </c>
      <c r="S69" s="2"/>
      <c r="T69" s="7">
        <v>700</v>
      </c>
      <c r="U69" s="2"/>
      <c r="V69" s="6">
        <f t="shared" si="49"/>
        <v>2.9045643153526972E-3</v>
      </c>
      <c r="W69" s="2"/>
      <c r="X69" s="7">
        <f t="shared" si="50"/>
        <v>-364.03</v>
      </c>
      <c r="Y69" s="2"/>
      <c r="Z69" s="6">
        <f t="shared" si="51"/>
        <v>-0.52004285714285714</v>
      </c>
    </row>
    <row r="70" spans="1:26" s="27" customFormat="1" outlineLevel="1" collapsed="1" x14ac:dyDescent="0.25">
      <c r="A70" s="26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SUM(OSRRefD22_11x_0)</f>
        <v>387.4</v>
      </c>
      <c r="E70" s="1"/>
      <c r="F70" s="5">
        <f t="shared" ref="F70:F76" si="52">IF(D$12=0,0,D70/D$12)</f>
        <v>2.8343970248342634E-2</v>
      </c>
      <c r="G70" s="1"/>
      <c r="H70" s="1">
        <f>SUM(OSRRefH22_11x_0)</f>
        <v>311</v>
      </c>
      <c r="I70" s="1"/>
      <c r="J70" s="5">
        <f t="shared" ref="J70:J76" si="53">IF(H$12=0,0,H70/H$12)</f>
        <v>9.1470588235294109E-3</v>
      </c>
      <c r="K70" s="1"/>
      <c r="L70" s="1">
        <f t="shared" ref="L70:L76" si="54">+D70-H70</f>
        <v>76.399999999999977</v>
      </c>
      <c r="M70" s="1"/>
      <c r="N70" s="5">
        <f t="shared" ref="N70:N76" si="55">IF(H70=0,0,L70/H70)</f>
        <v>0.24565916398713819</v>
      </c>
      <c r="O70" s="13"/>
      <c r="P70" s="1">
        <f>SUM(OSRRefP22_11x_0)</f>
        <v>5851.15</v>
      </c>
      <c r="Q70" s="1"/>
      <c r="R70" s="5">
        <f t="shared" ref="R70:R76" si="56">IF(P$12=0,0,P70/P$12)</f>
        <v>3.8609884470916601E-2</v>
      </c>
      <c r="S70" s="1"/>
      <c r="T70" s="1">
        <f>SUM(OSRRefT22_11x_0)</f>
        <v>3277</v>
      </c>
      <c r="U70" s="1"/>
      <c r="V70" s="5">
        <f t="shared" ref="V70:V76" si="57">IF(T$12=0,0,T70/T$12)</f>
        <v>1.3597510373443984E-2</v>
      </c>
      <c r="W70" s="1"/>
      <c r="X70" s="1">
        <f t="shared" ref="X70:X76" si="58">+P70-T70</f>
        <v>2574.1499999999996</v>
      </c>
      <c r="Y70" s="1"/>
      <c r="Z70" s="5">
        <f t="shared" ref="Z70:Z76" si="59">IF(T70=0,0,X70/T70)</f>
        <v>0.78552029295086956</v>
      </c>
    </row>
    <row r="71" spans="1:26" s="24" customFormat="1" hidden="1" outlineLevel="2" x14ac:dyDescent="0.25">
      <c r="A71" s="25"/>
      <c r="B71" s="11" t="str">
        <f>CONCATENATE("          ", "6237", " - ", "JANITORIAL SUPPLIES")</f>
        <v xml:space="preserve">          6237 - JANITORIAL SUPPLIES</v>
      </c>
      <c r="C71" s="11"/>
      <c r="D71" s="7"/>
      <c r="E71" s="2"/>
      <c r="F71" s="6">
        <f t="shared" si="52"/>
        <v>0</v>
      </c>
      <c r="G71" s="2"/>
      <c r="H71" s="7">
        <v>11</v>
      </c>
      <c r="I71" s="2"/>
      <c r="J71" s="6">
        <f t="shared" si="53"/>
        <v>3.2352941176470591E-4</v>
      </c>
      <c r="K71" s="2"/>
      <c r="L71" s="7">
        <f t="shared" si="54"/>
        <v>-11</v>
      </c>
      <c r="M71" s="2"/>
      <c r="N71" s="6">
        <f t="shared" si="55"/>
        <v>-1</v>
      </c>
      <c r="O71" s="11"/>
      <c r="P71" s="7"/>
      <c r="Q71" s="2"/>
      <c r="R71" s="6">
        <f t="shared" si="56"/>
        <v>0</v>
      </c>
      <c r="S71" s="2"/>
      <c r="T71" s="7">
        <v>77</v>
      </c>
      <c r="U71" s="2"/>
      <c r="V71" s="6">
        <f t="shared" si="57"/>
        <v>3.195020746887967E-4</v>
      </c>
      <c r="W71" s="2"/>
      <c r="X71" s="7">
        <f t="shared" si="58"/>
        <v>-77</v>
      </c>
      <c r="Y71" s="2"/>
      <c r="Z71" s="6">
        <f t="shared" si="59"/>
        <v>-1</v>
      </c>
    </row>
    <row r="72" spans="1:26" s="24" customFormat="1" hidden="1" outlineLevel="2" x14ac:dyDescent="0.25">
      <c r="A72" s="25"/>
      <c r="B72" s="11" t="str">
        <f>CONCATENATE("          ", "6239", " - ", "KITCHEN SUPPLIES")</f>
        <v xml:space="preserve">          6239 - KITCHEN SUPPLIES</v>
      </c>
      <c r="C72" s="11"/>
      <c r="D72" s="7"/>
      <c r="E72" s="2"/>
      <c r="F72" s="6">
        <f t="shared" si="52"/>
        <v>0</v>
      </c>
      <c r="G72" s="2"/>
      <c r="H72" s="7"/>
      <c r="I72" s="2"/>
      <c r="J72" s="6">
        <f t="shared" si="53"/>
        <v>0</v>
      </c>
      <c r="K72" s="2"/>
      <c r="L72" s="7">
        <f t="shared" si="54"/>
        <v>0</v>
      </c>
      <c r="M72" s="2"/>
      <c r="N72" s="6">
        <f t="shared" si="55"/>
        <v>0</v>
      </c>
      <c r="O72" s="11"/>
      <c r="P72" s="7">
        <v>2898.22</v>
      </c>
      <c r="Q72" s="2"/>
      <c r="R72" s="6">
        <f t="shared" si="56"/>
        <v>1.9124435259957429E-2</v>
      </c>
      <c r="S72" s="2"/>
      <c r="T72" s="7">
        <v>300</v>
      </c>
      <c r="U72" s="2"/>
      <c r="V72" s="6">
        <f t="shared" si="57"/>
        <v>1.2448132780082987E-3</v>
      </c>
      <c r="W72" s="2"/>
      <c r="X72" s="7">
        <f t="shared" si="58"/>
        <v>2598.2199999999998</v>
      </c>
      <c r="Y72" s="2"/>
      <c r="Z72" s="6">
        <f t="shared" si="59"/>
        <v>8.660733333333333</v>
      </c>
    </row>
    <row r="73" spans="1:26" s="24" customFormat="1" hidden="1" outlineLevel="2" x14ac:dyDescent="0.25">
      <c r="A73" s="25"/>
      <c r="B73" s="11" t="str">
        <f>CONCATENATE("          ", "6241", " - ", "OFFICE EXPENSE")</f>
        <v xml:space="preserve">          6241 - OFFICE EXPENSE</v>
      </c>
      <c r="C73" s="11"/>
      <c r="D73" s="7"/>
      <c r="E73" s="2"/>
      <c r="F73" s="6">
        <f t="shared" si="52"/>
        <v>0</v>
      </c>
      <c r="G73" s="2"/>
      <c r="H73" s="7"/>
      <c r="I73" s="2"/>
      <c r="J73" s="6">
        <f t="shared" si="53"/>
        <v>0</v>
      </c>
      <c r="K73" s="2"/>
      <c r="L73" s="7">
        <f t="shared" si="54"/>
        <v>0</v>
      </c>
      <c r="M73" s="2"/>
      <c r="N73" s="6">
        <f t="shared" si="55"/>
        <v>0</v>
      </c>
      <c r="O73" s="11"/>
      <c r="P73" s="7">
        <v>649.99</v>
      </c>
      <c r="Q73" s="2"/>
      <c r="R73" s="6">
        <f t="shared" si="56"/>
        <v>4.2890780115449247E-3</v>
      </c>
      <c r="S73" s="2"/>
      <c r="T73" s="7"/>
      <c r="U73" s="2"/>
      <c r="V73" s="6">
        <f t="shared" si="57"/>
        <v>0</v>
      </c>
      <c r="W73" s="2"/>
      <c r="X73" s="7">
        <f t="shared" si="58"/>
        <v>649.99</v>
      </c>
      <c r="Y73" s="2"/>
      <c r="Z73" s="6">
        <f t="shared" si="59"/>
        <v>0</v>
      </c>
    </row>
    <row r="74" spans="1:26" s="24" customFormat="1" hidden="1" outlineLevel="2" x14ac:dyDescent="0.25">
      <c r="A74" s="25"/>
      <c r="B74" s="11" t="str">
        <f>CONCATENATE("          ", "6243", " - ", "PAPER SUPPLIES")</f>
        <v xml:space="preserve">          6243 - PAPER SUPPLIES</v>
      </c>
      <c r="C74" s="11"/>
      <c r="D74" s="7">
        <v>387.4</v>
      </c>
      <c r="E74" s="2"/>
      <c r="F74" s="6">
        <f t="shared" si="52"/>
        <v>2.8343970248342634E-2</v>
      </c>
      <c r="G74" s="2"/>
      <c r="H74" s="7">
        <v>300</v>
      </c>
      <c r="I74" s="2"/>
      <c r="J74" s="6">
        <f t="shared" si="53"/>
        <v>8.8235294117647058E-3</v>
      </c>
      <c r="K74" s="2"/>
      <c r="L74" s="7">
        <f t="shared" si="54"/>
        <v>87.399999999999977</v>
      </c>
      <c r="M74" s="2"/>
      <c r="N74" s="6">
        <f t="shared" si="55"/>
        <v>0.29133333333333328</v>
      </c>
      <c r="O74" s="11"/>
      <c r="P74" s="7">
        <v>1563.27</v>
      </c>
      <c r="Q74" s="2"/>
      <c r="R74" s="6">
        <f t="shared" si="56"/>
        <v>1.0315523289754972E-2</v>
      </c>
      <c r="S74" s="2"/>
      <c r="T74" s="7">
        <v>2300</v>
      </c>
      <c r="U74" s="2"/>
      <c r="V74" s="6">
        <f t="shared" si="57"/>
        <v>9.5435684647302912E-3</v>
      </c>
      <c r="W74" s="2"/>
      <c r="X74" s="7">
        <f t="shared" si="58"/>
        <v>-736.73</v>
      </c>
      <c r="Y74" s="2"/>
      <c r="Z74" s="6">
        <f t="shared" si="59"/>
        <v>-0.32031739130434783</v>
      </c>
    </row>
    <row r="75" spans="1:26" s="24" customFormat="1" hidden="1" outlineLevel="2" x14ac:dyDescent="0.25">
      <c r="A75" s="25"/>
      <c r="B75" s="11" t="str">
        <f>CONCATENATE("          ", "6247", " - ", "STORE SUPPLIES")</f>
        <v xml:space="preserve">          6247 - STORE SUPPLIES</v>
      </c>
      <c r="C75" s="11"/>
      <c r="D75" s="7"/>
      <c r="E75" s="2"/>
      <c r="F75" s="6">
        <f t="shared" si="52"/>
        <v>0</v>
      </c>
      <c r="G75" s="2"/>
      <c r="H75" s="7"/>
      <c r="I75" s="2"/>
      <c r="J75" s="6">
        <f t="shared" si="53"/>
        <v>0</v>
      </c>
      <c r="K75" s="2"/>
      <c r="L75" s="7">
        <f t="shared" si="54"/>
        <v>0</v>
      </c>
      <c r="M75" s="2"/>
      <c r="N75" s="6">
        <f t="shared" si="55"/>
        <v>0</v>
      </c>
      <c r="O75" s="11"/>
      <c r="P75" s="7">
        <v>102.64</v>
      </c>
      <c r="Q75" s="2"/>
      <c r="R75" s="6">
        <f t="shared" si="56"/>
        <v>6.7728883075889024E-4</v>
      </c>
      <c r="S75" s="2"/>
      <c r="T75" s="7"/>
      <c r="U75" s="2"/>
      <c r="V75" s="6">
        <f t="shared" si="57"/>
        <v>0</v>
      </c>
      <c r="W75" s="2"/>
      <c r="X75" s="7">
        <f t="shared" si="58"/>
        <v>102.64</v>
      </c>
      <c r="Y75" s="2"/>
      <c r="Z75" s="6">
        <f t="shared" si="59"/>
        <v>0</v>
      </c>
    </row>
    <row r="76" spans="1:26" s="24" customFormat="1" hidden="1" outlineLevel="2" x14ac:dyDescent="0.25">
      <c r="A76" s="25"/>
      <c r="B76" s="11" t="str">
        <f>CONCATENATE("          ", "6248", " - ", "UNIFORMS")</f>
        <v xml:space="preserve">          6248 - UNIFORMS</v>
      </c>
      <c r="C76" s="11"/>
      <c r="D76" s="7"/>
      <c r="E76" s="2"/>
      <c r="F76" s="6">
        <f t="shared" si="52"/>
        <v>0</v>
      </c>
      <c r="G76" s="2"/>
      <c r="H76" s="7"/>
      <c r="I76" s="2"/>
      <c r="J76" s="6">
        <f t="shared" si="53"/>
        <v>0</v>
      </c>
      <c r="K76" s="2"/>
      <c r="L76" s="7">
        <f t="shared" si="54"/>
        <v>0</v>
      </c>
      <c r="M76" s="2"/>
      <c r="N76" s="6">
        <f t="shared" si="55"/>
        <v>0</v>
      </c>
      <c r="O76" s="11"/>
      <c r="P76" s="7">
        <v>637.03</v>
      </c>
      <c r="Q76" s="2"/>
      <c r="R76" s="6">
        <f t="shared" si="56"/>
        <v>4.2035590789003879E-3</v>
      </c>
      <c r="S76" s="2"/>
      <c r="T76" s="7">
        <v>600</v>
      </c>
      <c r="U76" s="2"/>
      <c r="V76" s="6">
        <f t="shared" si="57"/>
        <v>2.4896265560165973E-3</v>
      </c>
      <c r="W76" s="2"/>
      <c r="X76" s="7">
        <f t="shared" si="58"/>
        <v>37.029999999999973</v>
      </c>
      <c r="Y76" s="2"/>
      <c r="Z76" s="6">
        <f t="shared" si="59"/>
        <v>6.1716666666666621E-2</v>
      </c>
    </row>
    <row r="77" spans="1:26" s="27" customFormat="1" outlineLevel="1" collapsed="1" x14ac:dyDescent="0.25">
      <c r="A77" s="26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SUM(OSRRefD22_12x_0)</f>
        <v>86</v>
      </c>
      <c r="E77" s="1"/>
      <c r="F77" s="5">
        <f t="shared" ref="F77:F79" si="60">IF(D$12=0,0,D77/D$12)</f>
        <v>6.2921565342216488E-3</v>
      </c>
      <c r="G77" s="1"/>
      <c r="H77" s="1">
        <f>SUM(OSRRefH22_12x_0)</f>
        <v>95</v>
      </c>
      <c r="I77" s="1"/>
      <c r="J77" s="5">
        <f t="shared" ref="J77:J79" si="61">IF(H$12=0,0,H77/H$12)</f>
        <v>2.7941176470588237E-3</v>
      </c>
      <c r="K77" s="1"/>
      <c r="L77" s="1">
        <f t="shared" ref="L77:L79" si="62">+D77-H77</f>
        <v>-9</v>
      </c>
      <c r="M77" s="1"/>
      <c r="N77" s="5">
        <f t="shared" ref="N77:N79" si="63">IF(H77=0,0,L77/H77)</f>
        <v>-9.4736842105263161E-2</v>
      </c>
      <c r="O77" s="13"/>
      <c r="P77" s="1">
        <f>SUM(OSRRefP22_12x_0)</f>
        <v>607.5</v>
      </c>
      <c r="Q77" s="1"/>
      <c r="R77" s="5">
        <f t="shared" ref="R77:R79" si="64">IF(P$12=0,0,P77/P$12)</f>
        <v>4.0086999677126445E-3</v>
      </c>
      <c r="S77" s="1"/>
      <c r="T77" s="1">
        <f>SUM(OSRRefT22_12x_0)</f>
        <v>665</v>
      </c>
      <c r="U77" s="1"/>
      <c r="V77" s="5">
        <f t="shared" ref="V77:V79" si="65">IF(T$12=0,0,T77/T$12)</f>
        <v>2.7593360995850622E-3</v>
      </c>
      <c r="W77" s="1"/>
      <c r="X77" s="1">
        <f t="shared" ref="X77:X79" si="66">+P77-T77</f>
        <v>-57.5</v>
      </c>
      <c r="Y77" s="1"/>
      <c r="Z77" s="5">
        <f t="shared" ref="Z77:Z79" si="67">IF(T77=0,0,X77/T77)</f>
        <v>-8.646616541353383E-2</v>
      </c>
    </row>
    <row r="78" spans="1:26" s="24" customFormat="1" hidden="1" outlineLevel="2" x14ac:dyDescent="0.25">
      <c r="A78" s="25"/>
      <c r="B78" s="11" t="str">
        <f>CONCATENATE("          ", "6303", " - ", "DATA PHONE LINES")</f>
        <v xml:space="preserve">          6303 - DATA PHONE LINES</v>
      </c>
      <c r="C78" s="11"/>
      <c r="D78" s="7"/>
      <c r="E78" s="2"/>
      <c r="F78" s="6">
        <f t="shared" si="60"/>
        <v>0</v>
      </c>
      <c r="G78" s="2"/>
      <c r="H78" s="7">
        <v>50</v>
      </c>
      <c r="I78" s="2"/>
      <c r="J78" s="6">
        <f t="shared" si="61"/>
        <v>1.4705882352941176E-3</v>
      </c>
      <c r="K78" s="2"/>
      <c r="L78" s="7">
        <f t="shared" si="62"/>
        <v>-50</v>
      </c>
      <c r="M78" s="2"/>
      <c r="N78" s="6">
        <f t="shared" si="63"/>
        <v>-1</v>
      </c>
      <c r="O78" s="11"/>
      <c r="P78" s="7"/>
      <c r="Q78" s="2"/>
      <c r="R78" s="6">
        <f t="shared" si="64"/>
        <v>0</v>
      </c>
      <c r="S78" s="2"/>
      <c r="T78" s="7">
        <v>350</v>
      </c>
      <c r="U78" s="2"/>
      <c r="V78" s="6">
        <f t="shared" si="65"/>
        <v>1.4522821576763486E-3</v>
      </c>
      <c r="W78" s="2"/>
      <c r="X78" s="7">
        <f t="shared" si="66"/>
        <v>-350</v>
      </c>
      <c r="Y78" s="2"/>
      <c r="Z78" s="6">
        <f t="shared" si="67"/>
        <v>-1</v>
      </c>
    </row>
    <row r="79" spans="1:26" s="24" customFormat="1" hidden="1" outlineLevel="2" x14ac:dyDescent="0.25">
      <c r="A79" s="25"/>
      <c r="B79" s="11" t="str">
        <f>CONCATENATE("          ", "6309", " - ", "TELEPHONE")</f>
        <v xml:space="preserve">          6309 - TELEPHONE</v>
      </c>
      <c r="C79" s="11"/>
      <c r="D79" s="7">
        <v>86</v>
      </c>
      <c r="E79" s="2"/>
      <c r="F79" s="6">
        <f t="shared" si="60"/>
        <v>6.2921565342216488E-3</v>
      </c>
      <c r="G79" s="2"/>
      <c r="H79" s="7">
        <v>45</v>
      </c>
      <c r="I79" s="2"/>
      <c r="J79" s="6">
        <f t="shared" si="61"/>
        <v>1.3235294117647058E-3</v>
      </c>
      <c r="K79" s="2"/>
      <c r="L79" s="7">
        <f t="shared" si="62"/>
        <v>41</v>
      </c>
      <c r="M79" s="2"/>
      <c r="N79" s="6">
        <f t="shared" si="63"/>
        <v>0.91111111111111109</v>
      </c>
      <c r="O79" s="11"/>
      <c r="P79" s="7">
        <v>607.5</v>
      </c>
      <c r="Q79" s="2"/>
      <c r="R79" s="6">
        <f t="shared" si="64"/>
        <v>4.0086999677126445E-3</v>
      </c>
      <c r="S79" s="2"/>
      <c r="T79" s="7">
        <v>315</v>
      </c>
      <c r="U79" s="2"/>
      <c r="V79" s="6">
        <f t="shared" si="65"/>
        <v>1.3070539419087136E-3</v>
      </c>
      <c r="W79" s="2"/>
      <c r="X79" s="7">
        <f t="shared" si="66"/>
        <v>292.5</v>
      </c>
      <c r="Y79" s="2"/>
      <c r="Z79" s="6">
        <f t="shared" si="67"/>
        <v>0.9285714285714286</v>
      </c>
    </row>
    <row r="80" spans="1:26" s="27" customFormat="1" outlineLevel="1" collapsed="1" x14ac:dyDescent="0.25">
      <c r="A80" s="26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SUM(OSRRefD22_13x_0)</f>
        <v>0</v>
      </c>
      <c r="E80" s="1"/>
      <c r="F80" s="5">
        <f t="shared" ref="F80:F83" si="68">IF(D$12=0,0,D80/D$12)</f>
        <v>0</v>
      </c>
      <c r="G80" s="1"/>
      <c r="H80" s="1">
        <f>SUM(OSRRefH22_13x_0)</f>
        <v>0</v>
      </c>
      <c r="I80" s="1"/>
      <c r="J80" s="5">
        <f t="shared" ref="J80:J83" si="69">IF(H$12=0,0,H80/H$12)</f>
        <v>0</v>
      </c>
      <c r="K80" s="1"/>
      <c r="L80" s="1">
        <f t="shared" ref="L80:L83" si="70">+D80-H80</f>
        <v>0</v>
      </c>
      <c r="M80" s="1"/>
      <c r="N80" s="5">
        <f t="shared" ref="N80:N83" si="71">IF(H80=0,0,L80/H80)</f>
        <v>0</v>
      </c>
      <c r="O80" s="13"/>
      <c r="P80" s="1">
        <f>SUM(OSRRefP22_13x_0)</f>
        <v>152.94999999999999</v>
      </c>
      <c r="Q80" s="1"/>
      <c r="R80" s="5">
        <f t="shared" ref="R80:R83" si="72">IF(P$12=0,0,P80/P$12)</f>
        <v>1.0092685762331669E-3</v>
      </c>
      <c r="S80" s="1"/>
      <c r="T80" s="1">
        <f>SUM(OSRRefT22_13x_0)</f>
        <v>2000</v>
      </c>
      <c r="U80" s="1"/>
      <c r="V80" s="5">
        <f t="shared" ref="V80:V83" si="73">IF(T$12=0,0,T80/T$12)</f>
        <v>8.2987551867219917E-3</v>
      </c>
      <c r="W80" s="1"/>
      <c r="X80" s="1">
        <f t="shared" ref="X80:X83" si="74">+P80-T80</f>
        <v>-1847.05</v>
      </c>
      <c r="Y80" s="1"/>
      <c r="Z80" s="5">
        <f t="shared" ref="Z80:Z83" si="75">IF(T80=0,0,X80/T80)</f>
        <v>-0.92352499999999993</v>
      </c>
    </row>
    <row r="81" spans="1:26" s="24" customFormat="1" hidden="1" outlineLevel="2" x14ac:dyDescent="0.25">
      <c r="A81" s="25"/>
      <c r="B81" s="11" t="str">
        <f>CONCATENATE("          ", "6376", " - ", "TRAINING")</f>
        <v xml:space="preserve">          6376 - TRAINING</v>
      </c>
      <c r="C81" s="11"/>
      <c r="D81" s="7"/>
      <c r="E81" s="2"/>
      <c r="F81" s="6">
        <f t="shared" si="68"/>
        <v>0</v>
      </c>
      <c r="G81" s="2"/>
      <c r="H81" s="7"/>
      <c r="I81" s="2"/>
      <c r="J81" s="6">
        <f t="shared" si="69"/>
        <v>0</v>
      </c>
      <c r="K81" s="2"/>
      <c r="L81" s="7">
        <f t="shared" si="70"/>
        <v>0</v>
      </c>
      <c r="M81" s="2"/>
      <c r="N81" s="6">
        <f t="shared" si="71"/>
        <v>0</v>
      </c>
      <c r="O81" s="11"/>
      <c r="P81" s="7">
        <v>152.94999999999999</v>
      </c>
      <c r="Q81" s="2"/>
      <c r="R81" s="6">
        <f t="shared" si="72"/>
        <v>1.0092685762331669E-3</v>
      </c>
      <c r="S81" s="2"/>
      <c r="T81" s="7">
        <v>2000</v>
      </c>
      <c r="U81" s="2"/>
      <c r="V81" s="6">
        <f t="shared" si="73"/>
        <v>8.2987551867219917E-3</v>
      </c>
      <c r="W81" s="2"/>
      <c r="X81" s="7">
        <f t="shared" si="74"/>
        <v>-1847.05</v>
      </c>
      <c r="Y81" s="2"/>
      <c r="Z81" s="6">
        <f t="shared" si="75"/>
        <v>-0.92352499999999993</v>
      </c>
    </row>
    <row r="82" spans="1:26" s="27" customFormat="1" outlineLevel="1" collapsed="1" x14ac:dyDescent="0.25">
      <c r="A82" s="26"/>
      <c r="B82" s="13" t="str">
        <f>CONCATENATE("     ","Travel                                            ")</f>
        <v xml:space="preserve">     Travel                                            </v>
      </c>
      <c r="C82" s="13"/>
      <c r="D82" s="1">
        <f>SUM(OSRRefD22_14x_0)</f>
        <v>0</v>
      </c>
      <c r="E82" s="1"/>
      <c r="F82" s="5">
        <f t="shared" si="68"/>
        <v>0</v>
      </c>
      <c r="G82" s="1"/>
      <c r="H82" s="1">
        <f>SUM(OSRRefH22_14x_0)</f>
        <v>0</v>
      </c>
      <c r="I82" s="1"/>
      <c r="J82" s="5">
        <f t="shared" si="69"/>
        <v>0</v>
      </c>
      <c r="K82" s="1"/>
      <c r="L82" s="1">
        <f t="shared" si="70"/>
        <v>0</v>
      </c>
      <c r="M82" s="1"/>
      <c r="N82" s="5">
        <f t="shared" si="71"/>
        <v>0</v>
      </c>
      <c r="O82" s="13"/>
      <c r="P82" s="1">
        <f>SUM(OSRRefP22_14x_0)</f>
        <v>0</v>
      </c>
      <c r="Q82" s="1"/>
      <c r="R82" s="5">
        <f t="shared" si="72"/>
        <v>0</v>
      </c>
      <c r="S82" s="1"/>
      <c r="T82" s="1">
        <f>SUM(OSRRefT22_14x_0)</f>
        <v>2000</v>
      </c>
      <c r="U82" s="1"/>
      <c r="V82" s="5">
        <f t="shared" si="73"/>
        <v>8.2987551867219917E-3</v>
      </c>
      <c r="W82" s="1"/>
      <c r="X82" s="1">
        <f t="shared" si="74"/>
        <v>-2000</v>
      </c>
      <c r="Y82" s="1"/>
      <c r="Z82" s="5">
        <f t="shared" si="75"/>
        <v>-1</v>
      </c>
    </row>
    <row r="83" spans="1:26" s="24" customFormat="1" hidden="1" outlineLevel="2" x14ac:dyDescent="0.25">
      <c r="A83" s="25"/>
      <c r="B83" s="11" t="str">
        <f>CONCATENATE("          ", "6292", " - ", "TRAVEL/CONFERENCE")</f>
        <v xml:space="preserve">          6292 - TRAVEL/CONFERENCE</v>
      </c>
      <c r="C83" s="11"/>
      <c r="D83" s="7"/>
      <c r="E83" s="2"/>
      <c r="F83" s="6">
        <f t="shared" si="68"/>
        <v>0</v>
      </c>
      <c r="G83" s="2"/>
      <c r="H83" s="7"/>
      <c r="I83" s="2"/>
      <c r="J83" s="6">
        <f t="shared" si="69"/>
        <v>0</v>
      </c>
      <c r="K83" s="2"/>
      <c r="L83" s="7">
        <f t="shared" si="70"/>
        <v>0</v>
      </c>
      <c r="M83" s="2"/>
      <c r="N83" s="6">
        <f t="shared" si="71"/>
        <v>0</v>
      </c>
      <c r="O83" s="11"/>
      <c r="P83" s="7"/>
      <c r="Q83" s="2"/>
      <c r="R83" s="6">
        <f t="shared" si="72"/>
        <v>0</v>
      </c>
      <c r="S83" s="2"/>
      <c r="T83" s="7">
        <v>2000</v>
      </c>
      <c r="U83" s="2"/>
      <c r="V83" s="6">
        <f t="shared" si="73"/>
        <v>8.2987551867219917E-3</v>
      </c>
      <c r="W83" s="2"/>
      <c r="X83" s="7">
        <f t="shared" si="74"/>
        <v>-2000</v>
      </c>
      <c r="Y83" s="2"/>
      <c r="Z83" s="6">
        <f t="shared" si="75"/>
        <v>-1</v>
      </c>
    </row>
    <row r="84" spans="1:26" s="53" customFormat="1" x14ac:dyDescent="0.25">
      <c r="A84" s="36"/>
      <c r="B84" s="36"/>
      <c r="C84" s="36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6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8" t="s">
        <v>0</v>
      </c>
      <c r="C85" s="10"/>
      <c r="D85" s="4">
        <f>SUM(0)</f>
        <v>0</v>
      </c>
      <c r="E85" s="4"/>
      <c r="F85" s="12">
        <f>IF(D$12=0,0,D85/D$12)</f>
        <v>0</v>
      </c>
      <c r="G85" s="4"/>
      <c r="H85" s="4">
        <f>SUM(0)</f>
        <v>0</v>
      </c>
      <c r="I85" s="4"/>
      <c r="J85" s="12">
        <f>IF(H$12=0,0,H85/H$12)</f>
        <v>0</v>
      </c>
      <c r="K85" s="4"/>
      <c r="L85" s="4">
        <f>+D85-H85</f>
        <v>0</v>
      </c>
      <c r="M85" s="4"/>
      <c r="N85" s="12">
        <f>IF(H85=0,0,L85/H85)</f>
        <v>0</v>
      </c>
      <c r="O85" s="10"/>
      <c r="P85" s="4">
        <f>SUM(0)</f>
        <v>0</v>
      </c>
      <c r="Q85" s="4"/>
      <c r="R85" s="12">
        <f>IF(P$12=0,0,P85/P$12)</f>
        <v>0</v>
      </c>
      <c r="S85" s="4"/>
      <c r="T85" s="4">
        <f>SUM(0)</f>
        <v>0</v>
      </c>
      <c r="U85" s="4"/>
      <c r="V85" s="12">
        <f>IF(T$12=0,0,T85/T$12)</f>
        <v>0</v>
      </c>
      <c r="W85" s="4"/>
      <c r="X85" s="4">
        <f>+P85-T85</f>
        <v>0</v>
      </c>
      <c r="Y85" s="4"/>
      <c r="Z85" s="12">
        <f>IF(T85=0,0,X85/T85)</f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9" t="s">
        <v>3</v>
      </c>
      <c r="C87" s="29"/>
      <c r="D87" s="21">
        <f>+D23-D25+D85</f>
        <v>-8131.84</v>
      </c>
      <c r="E87" s="14"/>
      <c r="F87" s="20">
        <f>IF(D$12=0,0,D87/D$12)</f>
        <v>-0.59496290920052297</v>
      </c>
      <c r="G87" s="14"/>
      <c r="H87" s="21">
        <f>+H23-H25+H85</f>
        <v>5825.5847865999967</v>
      </c>
      <c r="I87" s="14"/>
      <c r="J87" s="20">
        <f>IF(H$12=0,0,H87/H$12)</f>
        <v>0.17134072901764696</v>
      </c>
      <c r="K87" s="16"/>
      <c r="L87" s="21">
        <f>+D87-H87</f>
        <v>-13957.424786599997</v>
      </c>
      <c r="M87" s="16"/>
      <c r="N87" s="20">
        <f>IF(H87=0,0,L87/H87)</f>
        <v>-2.3958838979916401</v>
      </c>
      <c r="O87" s="28"/>
      <c r="P87" s="21">
        <f>+P23-P25+P85</f>
        <v>-45903.180000000051</v>
      </c>
      <c r="Q87" s="14"/>
      <c r="R87" s="20">
        <f>IF(P$12=0,0,P87/P$12)</f>
        <v>-0.30290053692824342</v>
      </c>
      <c r="S87" s="14"/>
      <c r="T87" s="21">
        <f>+T23-T25+T85</f>
        <v>40154.124316600006</v>
      </c>
      <c r="U87" s="14"/>
      <c r="V87" s="20">
        <f>IF(T$12=0,0,T87/T$12)</f>
        <v>0.16661462372033198</v>
      </c>
      <c r="W87" s="16"/>
      <c r="X87" s="21">
        <f>+P87-T87</f>
        <v>-86057.304316600057</v>
      </c>
      <c r="Y87" s="16"/>
      <c r="Z87" s="20">
        <f>IF(T87=0,0,X87/T87)</f>
        <v>-2.1431747244211063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14</v>
      </c>
      <c r="C89" s="10"/>
      <c r="D89" s="4">
        <v>912.2</v>
      </c>
      <c r="E89" s="4"/>
      <c r="F89" s="12">
        <f>IF(D$12=0,0,D89/D$12)</f>
        <v>6.6740758029267308E-2</v>
      </c>
      <c r="G89" s="4"/>
      <c r="H89" s="4">
        <v>3008</v>
      </c>
      <c r="I89" s="4"/>
      <c r="J89" s="12">
        <f>IF(H$12=0,0,H89/H$12)</f>
        <v>8.847058823529412E-2</v>
      </c>
      <c r="K89" s="4"/>
      <c r="L89" s="4">
        <f>+D89-H89</f>
        <v>-2095.8000000000002</v>
      </c>
      <c r="M89" s="4"/>
      <c r="N89" s="12">
        <f>IF(H89=0,0,L89/H89)</f>
        <v>-0.69674202127659579</v>
      </c>
      <c r="O89" s="10"/>
      <c r="P89" s="4">
        <v>15804.04</v>
      </c>
      <c r="Q89" s="4"/>
      <c r="R89" s="12">
        <f>IF(P$12=0,0,P89/P$12)</f>
        <v>0.10428585125552155</v>
      </c>
      <c r="S89" s="4"/>
      <c r="T89" s="4">
        <v>29673</v>
      </c>
      <c r="U89" s="4"/>
      <c r="V89" s="12">
        <f>IF(T$12=0,0,T89/T$12)</f>
        <v>0.12312448132780084</v>
      </c>
      <c r="W89" s="4"/>
      <c r="X89" s="4">
        <f>+P89-T89</f>
        <v>-13868.96</v>
      </c>
      <c r="Y89" s="4"/>
      <c r="Z89" s="12">
        <f>IF(T89=0,0,X89/T89)</f>
        <v>-0.46739325312573715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4</v>
      </c>
      <c r="C91" s="29"/>
      <c r="D91" s="34">
        <f>+D87-D89</f>
        <v>-9044.0400000000009</v>
      </c>
      <c r="E91" s="14"/>
      <c r="F91" s="32">
        <f>IF(D$12=0,0,D91/D$12)</f>
        <v>-0.66170366722979024</v>
      </c>
      <c r="G91" s="14"/>
      <c r="H91" s="34">
        <f>+H87-H89</f>
        <v>2817.5847865999967</v>
      </c>
      <c r="I91" s="14"/>
      <c r="J91" s="32">
        <f>IF(H$12=0,0,H91/H$12)</f>
        <v>8.2870140782352844E-2</v>
      </c>
      <c r="K91" s="16"/>
      <c r="L91" s="34">
        <f>D91-H91</f>
        <v>-11861.624786599998</v>
      </c>
      <c r="M91" s="16"/>
      <c r="N91" s="32">
        <f>IF(H91=0,0,L91/H91)</f>
        <v>-4.2098554914876294</v>
      </c>
      <c r="O91" s="28"/>
      <c r="P91" s="34">
        <f>+P87-P89</f>
        <v>-61707.220000000052</v>
      </c>
      <c r="Q91" s="14"/>
      <c r="R91" s="32">
        <f>IF(P$12=0,0,P91/P$12)</f>
        <v>-0.40718638818376501</v>
      </c>
      <c r="S91" s="14"/>
      <c r="T91" s="34">
        <f>+T87-T89</f>
        <v>10481.124316600006</v>
      </c>
      <c r="U91" s="14"/>
      <c r="V91" s="32">
        <f>IF(T$12=0,0,T91/T$12)</f>
        <v>4.3490142392531142E-2</v>
      </c>
      <c r="W91" s="16"/>
      <c r="X91" s="34">
        <f>P91-T91</f>
        <v>-72188.344316600065</v>
      </c>
      <c r="Y91" s="16"/>
      <c r="Z91" s="32">
        <f>IF(T91=0,0,X91/T91)</f>
        <v>-6.8874618920670709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5</v>
      </c>
      <c r="C94" s="29"/>
      <c r="D94" s="31">
        <f>SUM(D91:D93)</f>
        <v>-9044.0400000000009</v>
      </c>
      <c r="E94" s="14"/>
      <c r="F94" s="30">
        <f>IF(D$12=0,0,D94/D$12)</f>
        <v>-0.66170366722979024</v>
      </c>
      <c r="G94" s="14"/>
      <c r="H94" s="31">
        <f>SUM(H91:H93)</f>
        <v>2817.5847865999967</v>
      </c>
      <c r="I94" s="14"/>
      <c r="J94" s="30">
        <f>IF(H$12=0,0,H94/H$12)</f>
        <v>8.2870140782352844E-2</v>
      </c>
      <c r="K94" s="16"/>
      <c r="L94" s="31">
        <f>+D94-H94</f>
        <v>-11861.624786599998</v>
      </c>
      <c r="M94" s="16"/>
      <c r="N94" s="30">
        <f>IF(H94=0,0,L94/H94)</f>
        <v>-4.2098554914876294</v>
      </c>
      <c r="O94" s="28"/>
      <c r="P94" s="31">
        <f>SUM(P91:P93)</f>
        <v>-61707.220000000052</v>
      </c>
      <c r="Q94" s="14"/>
      <c r="R94" s="30">
        <f>IF(P$12=0,0,P94/P$12)</f>
        <v>-0.40718638818376501</v>
      </c>
      <c r="S94" s="14"/>
      <c r="T94" s="31">
        <f>SUM(T91:T93)</f>
        <v>10481.124316600006</v>
      </c>
      <c r="U94" s="14"/>
      <c r="V94" s="30">
        <f>IF(T$12=0,0,T94/T$12)</f>
        <v>4.3490142392531142E-2</v>
      </c>
      <c r="W94" s="16"/>
      <c r="X94" s="31">
        <f>+P94-T94</f>
        <v>-72188.344316600065</v>
      </c>
      <c r="Y94" s="16"/>
      <c r="Z94" s="30">
        <f>IF(T94=0,0,X94/T94)</f>
        <v>-6.8874618920670709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63">
        <v>43879.546458136574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7" t="s">
        <v>314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60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","411", " - ", "University Dining")</f>
        <v>Department 411 - University Dining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110462.60999999999</v>
      </c>
      <c r="E18" s="22"/>
      <c r="F18" s="35">
        <f t="shared" ref="F18:F29" si="0">IF(D$12=0,0,D18/D$12)</f>
        <v>0</v>
      </c>
      <c r="G18" s="22"/>
      <c r="H18" s="22">
        <f>SUM(OSRRefH22x_0)</f>
        <v>105857.66704590555</v>
      </c>
      <c r="I18" s="22"/>
      <c r="J18" s="35">
        <f t="shared" ref="J18:J29" si="1">IF(H$12=0,0,H18/H$12)</f>
        <v>0</v>
      </c>
      <c r="K18" s="4"/>
      <c r="L18" s="22">
        <f t="shared" ref="L18:L29" si="2">+D18-H18</f>
        <v>4604.9429540944402</v>
      </c>
      <c r="M18" s="4"/>
      <c r="N18" s="35">
        <f t="shared" ref="N18:N29" si="3">IF(H18=0,0,L18/H18)</f>
        <v>4.3501269984511287E-2</v>
      </c>
      <c r="O18" s="10"/>
      <c r="P18" s="22">
        <f>SUM(OSRRefP22x_0)</f>
        <v>714885.08000000007</v>
      </c>
      <c r="Q18" s="22"/>
      <c r="R18" s="35">
        <f t="shared" ref="R18:R29" si="4">IF(P$12=0,0,P18/P$12)</f>
        <v>0</v>
      </c>
      <c r="S18" s="22"/>
      <c r="T18" s="22">
        <f>SUM(OSRRefT22x_0)</f>
        <v>724547.94825520762</v>
      </c>
      <c r="U18" s="22"/>
      <c r="V18" s="35">
        <f t="shared" ref="V18:V29" si="5">IF(T$12=0,0,T18/T$12)</f>
        <v>0</v>
      </c>
      <c r="W18" s="4"/>
      <c r="X18" s="22">
        <f t="shared" ref="X18:X29" si="6">+P18-T18</f>
        <v>-9662.8682552075479</v>
      </c>
      <c r="Y18" s="4"/>
      <c r="Z18" s="35">
        <f t="shared" ref="Z18:Z29" si="7">IF(T18=0,0,X18/T18)</f>
        <v>-1.3336409658569614E-2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10145.91</v>
      </c>
      <c r="E19" s="1"/>
      <c r="F19" s="5">
        <f t="shared" si="0"/>
        <v>0</v>
      </c>
      <c r="G19" s="1"/>
      <c r="H19" s="1">
        <f>SUM(OSRRefH22_0x_0)</f>
        <v>10347.404899751698</v>
      </c>
      <c r="I19" s="1"/>
      <c r="J19" s="5">
        <f t="shared" si="1"/>
        <v>0</v>
      </c>
      <c r="K19" s="1"/>
      <c r="L19" s="1">
        <f t="shared" si="2"/>
        <v>-201.49489975169854</v>
      </c>
      <c r="M19" s="1"/>
      <c r="N19" s="5">
        <f t="shared" si="3"/>
        <v>-1.9472988802876914E-2</v>
      </c>
      <c r="O19" s="13"/>
      <c r="P19" s="1">
        <f>SUM(OSRRefP22_0x_0)</f>
        <v>77566.209999999977</v>
      </c>
      <c r="Q19" s="1"/>
      <c r="R19" s="5">
        <f t="shared" si="4"/>
        <v>0</v>
      </c>
      <c r="S19" s="1"/>
      <c r="T19" s="1">
        <f>SUM(OSRRefT22_0x_0)</f>
        <v>66082.909709053682</v>
      </c>
      <c r="U19" s="1"/>
      <c r="V19" s="5">
        <f t="shared" si="5"/>
        <v>0</v>
      </c>
      <c r="W19" s="1"/>
      <c r="X19" s="1">
        <f t="shared" si="6"/>
        <v>11483.300290946296</v>
      </c>
      <c r="Y19" s="1"/>
      <c r="Z19" s="5">
        <f t="shared" si="7"/>
        <v>0.17377110574434992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1700.63</v>
      </c>
      <c r="E20" s="2"/>
      <c r="F20" s="6">
        <f t="shared" si="0"/>
        <v>0</v>
      </c>
      <c r="G20" s="2"/>
      <c r="H20" s="7">
        <v>1884.05274770862</v>
      </c>
      <c r="I20" s="2"/>
      <c r="J20" s="6">
        <f t="shared" si="1"/>
        <v>0</v>
      </c>
      <c r="K20" s="2"/>
      <c r="L20" s="7">
        <f t="shared" si="2"/>
        <v>-183.42274770861991</v>
      </c>
      <c r="M20" s="2"/>
      <c r="N20" s="6">
        <f t="shared" si="3"/>
        <v>-9.735542061213423E-2</v>
      </c>
      <c r="O20" s="11"/>
      <c r="P20" s="7">
        <v>15867.729999999998</v>
      </c>
      <c r="Q20" s="2"/>
      <c r="R20" s="6">
        <f t="shared" si="4"/>
        <v>0</v>
      </c>
      <c r="S20" s="2"/>
      <c r="T20" s="7">
        <v>11358.814301050619</v>
      </c>
      <c r="U20" s="2"/>
      <c r="V20" s="6">
        <f t="shared" si="5"/>
        <v>0</v>
      </c>
      <c r="W20" s="2"/>
      <c r="X20" s="7">
        <f t="shared" si="6"/>
        <v>4508.9156989493786</v>
      </c>
      <c r="Y20" s="2"/>
      <c r="Z20" s="6">
        <f t="shared" si="7"/>
        <v>0.39695302515266334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772.42</v>
      </c>
      <c r="E21" s="2"/>
      <c r="F21" s="6">
        <f t="shared" si="0"/>
        <v>0</v>
      </c>
      <c r="G21" s="2"/>
      <c r="H21" s="7">
        <v>1263.1916639630799</v>
      </c>
      <c r="I21" s="2"/>
      <c r="J21" s="6">
        <f t="shared" si="1"/>
        <v>0</v>
      </c>
      <c r="K21" s="2"/>
      <c r="L21" s="7">
        <f t="shared" si="2"/>
        <v>-490.77166396307996</v>
      </c>
      <c r="M21" s="2"/>
      <c r="N21" s="6">
        <f t="shared" si="3"/>
        <v>-0.38851718069715196</v>
      </c>
      <c r="O21" s="11"/>
      <c r="P21" s="7">
        <v>5568.4</v>
      </c>
      <c r="Q21" s="2"/>
      <c r="R21" s="6">
        <f t="shared" si="4"/>
        <v>0</v>
      </c>
      <c r="S21" s="2"/>
      <c r="T21" s="7">
        <v>8185.2878702830794</v>
      </c>
      <c r="U21" s="2"/>
      <c r="V21" s="6">
        <f t="shared" si="5"/>
        <v>0</v>
      </c>
      <c r="W21" s="2"/>
      <c r="X21" s="7">
        <f t="shared" si="6"/>
        <v>-2616.8878702830798</v>
      </c>
      <c r="Y21" s="2"/>
      <c r="Z21" s="6">
        <f t="shared" si="7"/>
        <v>-0.31970627200342772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3028.71</v>
      </c>
      <c r="E22" s="2"/>
      <c r="F22" s="6">
        <f t="shared" si="0"/>
        <v>0</v>
      </c>
      <c r="G22" s="2"/>
      <c r="H22" s="7">
        <v>2919.4615384615399</v>
      </c>
      <c r="I22" s="2"/>
      <c r="J22" s="6">
        <f t="shared" si="1"/>
        <v>0</v>
      </c>
      <c r="K22" s="2"/>
      <c r="L22" s="7">
        <f t="shared" si="2"/>
        <v>109.24846153846011</v>
      </c>
      <c r="M22" s="2"/>
      <c r="N22" s="6">
        <f t="shared" si="3"/>
        <v>3.7420757252390607E-2</v>
      </c>
      <c r="O22" s="11"/>
      <c r="P22" s="7">
        <v>24957.99</v>
      </c>
      <c r="Q22" s="2"/>
      <c r="R22" s="6">
        <f t="shared" si="4"/>
        <v>0</v>
      </c>
      <c r="S22" s="2"/>
      <c r="T22" s="7">
        <v>19161.461538461539</v>
      </c>
      <c r="U22" s="2"/>
      <c r="V22" s="6">
        <f t="shared" si="5"/>
        <v>0</v>
      </c>
      <c r="W22" s="2"/>
      <c r="X22" s="7">
        <f t="shared" si="6"/>
        <v>5796.5284615384626</v>
      </c>
      <c r="Y22" s="2"/>
      <c r="Z22" s="6">
        <f t="shared" si="7"/>
        <v>0.30250972504907692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62.94</v>
      </c>
      <c r="E23" s="2"/>
      <c r="F23" s="6">
        <f t="shared" si="0"/>
        <v>0</v>
      </c>
      <c r="G23" s="2"/>
      <c r="H23" s="7">
        <v>84.64686408</v>
      </c>
      <c r="I23" s="2"/>
      <c r="J23" s="6">
        <f t="shared" si="1"/>
        <v>0</v>
      </c>
      <c r="K23" s="2"/>
      <c r="L23" s="7">
        <f t="shared" si="2"/>
        <v>-21.706864080000003</v>
      </c>
      <c r="M23" s="2"/>
      <c r="N23" s="6">
        <f t="shared" si="3"/>
        <v>-0.25644026291966093</v>
      </c>
      <c r="O23" s="11"/>
      <c r="P23" s="7">
        <v>547.53</v>
      </c>
      <c r="Q23" s="2"/>
      <c r="R23" s="6">
        <f t="shared" si="4"/>
        <v>0</v>
      </c>
      <c r="S23" s="2"/>
      <c r="T23" s="7">
        <v>548.49867171999995</v>
      </c>
      <c r="U23" s="2"/>
      <c r="V23" s="6">
        <f t="shared" si="5"/>
        <v>0</v>
      </c>
      <c r="W23" s="2"/>
      <c r="X23" s="7">
        <f t="shared" si="6"/>
        <v>-0.96867171999997481</v>
      </c>
      <c r="Y23" s="2"/>
      <c r="Z23" s="6">
        <f t="shared" si="7"/>
        <v>-1.76604205250376E-3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1863.26</v>
      </c>
      <c r="E24" s="2"/>
      <c r="F24" s="6">
        <f t="shared" si="0"/>
        <v>0</v>
      </c>
      <c r="G24" s="2"/>
      <c r="H24" s="7">
        <v>1370.86067307692</v>
      </c>
      <c r="I24" s="2"/>
      <c r="J24" s="6">
        <f t="shared" si="1"/>
        <v>0</v>
      </c>
      <c r="K24" s="2"/>
      <c r="L24" s="7">
        <f t="shared" si="2"/>
        <v>492.39932692308003</v>
      </c>
      <c r="M24" s="2"/>
      <c r="N24" s="6">
        <f t="shared" si="3"/>
        <v>0.35918991374804077</v>
      </c>
      <c r="O24" s="11"/>
      <c r="P24" s="7">
        <v>10323.620000000001</v>
      </c>
      <c r="Q24" s="2"/>
      <c r="R24" s="6">
        <f t="shared" si="4"/>
        <v>0</v>
      </c>
      <c r="S24" s="2"/>
      <c r="T24" s="7">
        <v>8499.3361730769193</v>
      </c>
      <c r="U24" s="2"/>
      <c r="V24" s="6">
        <f t="shared" si="5"/>
        <v>0</v>
      </c>
      <c r="W24" s="2"/>
      <c r="X24" s="7">
        <f t="shared" si="6"/>
        <v>1824.2838269230815</v>
      </c>
      <c r="Y24" s="2"/>
      <c r="Z24" s="6">
        <f t="shared" si="7"/>
        <v>0.21463838937231453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7">
        <v>84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84</v>
      </c>
      <c r="M26" s="2"/>
      <c r="N26" s="6">
        <f t="shared" si="3"/>
        <v>0</v>
      </c>
      <c r="O26" s="11"/>
      <c r="P26" s="7">
        <v>448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448</v>
      </c>
      <c r="Y26" s="2"/>
      <c r="Z26" s="6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7">
        <v>1432.54</v>
      </c>
      <c r="E27" s="2"/>
      <c r="F27" s="6">
        <f t="shared" si="0"/>
        <v>0</v>
      </c>
      <c r="G27" s="2"/>
      <c r="H27" s="7">
        <v>1332.8992307692299</v>
      </c>
      <c r="I27" s="2"/>
      <c r="J27" s="6">
        <f t="shared" si="1"/>
        <v>0</v>
      </c>
      <c r="K27" s="2"/>
      <c r="L27" s="7">
        <f t="shared" si="2"/>
        <v>99.640769230770047</v>
      </c>
      <c r="M27" s="2"/>
      <c r="N27" s="6">
        <f t="shared" si="3"/>
        <v>7.4754915398417873E-2</v>
      </c>
      <c r="O27" s="11"/>
      <c r="P27" s="7">
        <v>10549.47</v>
      </c>
      <c r="Q27" s="2"/>
      <c r="R27" s="6">
        <f t="shared" si="4"/>
        <v>0</v>
      </c>
      <c r="S27" s="2"/>
      <c r="T27" s="7">
        <v>8263.9752307692088</v>
      </c>
      <c r="U27" s="2"/>
      <c r="V27" s="6">
        <f t="shared" si="5"/>
        <v>0</v>
      </c>
      <c r="W27" s="2"/>
      <c r="X27" s="7">
        <f t="shared" si="6"/>
        <v>2285.4947692307906</v>
      </c>
      <c r="Y27" s="2"/>
      <c r="Z27" s="6">
        <f t="shared" si="7"/>
        <v>0.27656118337833613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7">
        <v>732.14</v>
      </c>
      <c r="E28" s="2"/>
      <c r="F28" s="6">
        <f t="shared" si="0"/>
        <v>0</v>
      </c>
      <c r="G28" s="2"/>
      <c r="H28" s="7">
        <v>817.29218169230796</v>
      </c>
      <c r="I28" s="2"/>
      <c r="J28" s="6">
        <f t="shared" si="1"/>
        <v>0</v>
      </c>
      <c r="K28" s="2"/>
      <c r="L28" s="7">
        <f t="shared" si="2"/>
        <v>-85.152181692307977</v>
      </c>
      <c r="M28" s="2"/>
      <c r="N28" s="6">
        <f t="shared" si="3"/>
        <v>-0.10418817602780624</v>
      </c>
      <c r="O28" s="11"/>
      <c r="P28" s="7">
        <v>6634.54</v>
      </c>
      <c r="Q28" s="2"/>
      <c r="R28" s="6">
        <f t="shared" si="4"/>
        <v>0</v>
      </c>
      <c r="S28" s="2"/>
      <c r="T28" s="7">
        <v>5340.5359236923077</v>
      </c>
      <c r="U28" s="2"/>
      <c r="V28" s="6">
        <f t="shared" si="5"/>
        <v>0</v>
      </c>
      <c r="W28" s="2"/>
      <c r="X28" s="7">
        <f t="shared" si="6"/>
        <v>1294.0040763076922</v>
      </c>
      <c r="Y28" s="2"/>
      <c r="Z28" s="6">
        <f t="shared" si="7"/>
        <v>0.24229854359130523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7">
        <v>469.27</v>
      </c>
      <c r="E29" s="2"/>
      <c r="F29" s="6">
        <f t="shared" si="0"/>
        <v>0</v>
      </c>
      <c r="G29" s="2"/>
      <c r="H29" s="7">
        <v>675</v>
      </c>
      <c r="I29" s="2"/>
      <c r="J29" s="6">
        <f t="shared" si="1"/>
        <v>0</v>
      </c>
      <c r="K29" s="2"/>
      <c r="L29" s="7">
        <f t="shared" si="2"/>
        <v>-205.73000000000002</v>
      </c>
      <c r="M29" s="2"/>
      <c r="N29" s="6">
        <f t="shared" si="3"/>
        <v>-0.30478518518518521</v>
      </c>
      <c r="O29" s="11"/>
      <c r="P29" s="7">
        <v>2668.93</v>
      </c>
      <c r="Q29" s="2"/>
      <c r="R29" s="6">
        <f t="shared" si="4"/>
        <v>0</v>
      </c>
      <c r="S29" s="2"/>
      <c r="T29" s="7">
        <v>4725</v>
      </c>
      <c r="U29" s="2"/>
      <c r="V29" s="6">
        <f t="shared" si="5"/>
        <v>0</v>
      </c>
      <c r="W29" s="2"/>
      <c r="X29" s="7">
        <f t="shared" si="6"/>
        <v>-2056.0700000000002</v>
      </c>
      <c r="Y29" s="2"/>
      <c r="Z29" s="6">
        <f t="shared" si="7"/>
        <v>-0.43514708994709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28853.05</v>
      </c>
      <c r="E30" s="1"/>
      <c r="F30" s="5">
        <f t="shared" ref="F30:F40" si="8">IF(D$12=0,0,D30/D$12)</f>
        <v>0</v>
      </c>
      <c r="G30" s="1"/>
      <c r="H30" s="1">
        <f>SUM(OSRRefH22_1x_0)</f>
        <v>30818.262146153851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-1965.2121461538518</v>
      </c>
      <c r="M30" s="1"/>
      <c r="N30" s="5">
        <f t="shared" ref="N30:N40" si="11">IF(H30=0,0,L30/H30)</f>
        <v>-6.3767779533899255E-2</v>
      </c>
      <c r="O30" s="13"/>
      <c r="P30" s="1">
        <f>SUM(OSRRefP22_1x_0)</f>
        <v>193017.95</v>
      </c>
      <c r="Q30" s="1"/>
      <c r="R30" s="5">
        <f t="shared" ref="R30:R40" si="12">IF(P$12=0,0,P30/P$12)</f>
        <v>0</v>
      </c>
      <c r="S30" s="1"/>
      <c r="T30" s="1">
        <f>SUM(OSRRefT22_1x_0)</f>
        <v>200184.03854615387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-7166.0885461538564</v>
      </c>
      <c r="Y30" s="1"/>
      <c r="Z30" s="5">
        <f t="shared" ref="Z30:Z40" si="15">IF(T30=0,0,X30/T30)</f>
        <v>-3.5797502129529986E-2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7">
        <v>9694.7999999999993</v>
      </c>
      <c r="E31" s="2"/>
      <c r="F31" s="6">
        <f t="shared" si="8"/>
        <v>0</v>
      </c>
      <c r="G31" s="2"/>
      <c r="H31" s="7">
        <v>9893.9423076923104</v>
      </c>
      <c r="I31" s="2"/>
      <c r="J31" s="6">
        <f t="shared" si="9"/>
        <v>0</v>
      </c>
      <c r="K31" s="2"/>
      <c r="L31" s="7">
        <f t="shared" si="10"/>
        <v>-199.14230769231108</v>
      </c>
      <c r="M31" s="2"/>
      <c r="N31" s="6">
        <f t="shared" si="11"/>
        <v>-2.0127700516050367E-2</v>
      </c>
      <c r="O31" s="11"/>
      <c r="P31" s="7">
        <v>58171.14</v>
      </c>
      <c r="Q31" s="2"/>
      <c r="R31" s="6">
        <f t="shared" si="12"/>
        <v>0</v>
      </c>
      <c r="S31" s="2"/>
      <c r="T31" s="7">
        <v>61342.442307692334</v>
      </c>
      <c r="U31" s="2"/>
      <c r="V31" s="6">
        <f t="shared" si="13"/>
        <v>0</v>
      </c>
      <c r="W31" s="2"/>
      <c r="X31" s="7">
        <f t="shared" si="14"/>
        <v>-3171.3023076923346</v>
      </c>
      <c r="Y31" s="2"/>
      <c r="Z31" s="6">
        <f t="shared" si="15"/>
        <v>-5.1698337861820896E-2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>
        <v>5230.32</v>
      </c>
      <c r="E32" s="2"/>
      <c r="F32" s="6">
        <f t="shared" si="8"/>
        <v>0</v>
      </c>
      <c r="G32" s="2"/>
      <c r="H32" s="7">
        <v>4452.2740384615399</v>
      </c>
      <c r="I32" s="2"/>
      <c r="J32" s="6">
        <f t="shared" si="9"/>
        <v>0</v>
      </c>
      <c r="K32" s="2"/>
      <c r="L32" s="7">
        <f t="shared" si="10"/>
        <v>778.04596153845978</v>
      </c>
      <c r="M32" s="2"/>
      <c r="N32" s="6">
        <f t="shared" si="11"/>
        <v>0.1747524871149462</v>
      </c>
      <c r="O32" s="11"/>
      <c r="P32" s="7">
        <v>31692.969999999998</v>
      </c>
      <c r="Q32" s="2"/>
      <c r="R32" s="6">
        <f t="shared" si="12"/>
        <v>0</v>
      </c>
      <c r="S32" s="2"/>
      <c r="T32" s="7">
        <v>27604.09903846154</v>
      </c>
      <c r="U32" s="2"/>
      <c r="V32" s="6">
        <f t="shared" si="13"/>
        <v>0</v>
      </c>
      <c r="W32" s="2"/>
      <c r="X32" s="7">
        <f t="shared" si="14"/>
        <v>4088.8709615384578</v>
      </c>
      <c r="Y32" s="2"/>
      <c r="Z32" s="6">
        <f t="shared" si="15"/>
        <v>0.14812549961660851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7">
        <v>2184</v>
      </c>
      <c r="E34" s="2"/>
      <c r="F34" s="6">
        <f t="shared" si="8"/>
        <v>0</v>
      </c>
      <c r="G34" s="2"/>
      <c r="H34" s="7">
        <v>6770.0457999999999</v>
      </c>
      <c r="I34" s="2"/>
      <c r="J34" s="6">
        <f t="shared" si="9"/>
        <v>0</v>
      </c>
      <c r="K34" s="2"/>
      <c r="L34" s="7">
        <f t="shared" si="10"/>
        <v>-4586.0457999999999</v>
      </c>
      <c r="M34" s="2"/>
      <c r="N34" s="6">
        <f t="shared" si="11"/>
        <v>-0.67740247783848084</v>
      </c>
      <c r="O34" s="11"/>
      <c r="P34" s="7">
        <v>15911.84</v>
      </c>
      <c r="Q34" s="2"/>
      <c r="R34" s="6">
        <f t="shared" si="12"/>
        <v>0</v>
      </c>
      <c r="S34" s="2"/>
      <c r="T34" s="7">
        <v>41895.497200000005</v>
      </c>
      <c r="U34" s="2"/>
      <c r="V34" s="6">
        <f t="shared" si="13"/>
        <v>0</v>
      </c>
      <c r="W34" s="2"/>
      <c r="X34" s="7">
        <f t="shared" si="14"/>
        <v>-25983.657200000005</v>
      </c>
      <c r="Y34" s="2"/>
      <c r="Z34" s="6">
        <f t="shared" si="15"/>
        <v>-0.62020166692281198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7">
        <v>6420.37</v>
      </c>
      <c r="E35" s="2"/>
      <c r="F35" s="6">
        <f t="shared" si="8"/>
        <v>0</v>
      </c>
      <c r="G35" s="2"/>
      <c r="H35" s="7">
        <v>7938</v>
      </c>
      <c r="I35" s="2"/>
      <c r="J35" s="6">
        <f t="shared" si="9"/>
        <v>0</v>
      </c>
      <c r="K35" s="2"/>
      <c r="L35" s="7">
        <f t="shared" si="10"/>
        <v>-1517.63</v>
      </c>
      <c r="M35" s="2"/>
      <c r="N35" s="6">
        <f t="shared" si="11"/>
        <v>-0.1911854371378181</v>
      </c>
      <c r="O35" s="11"/>
      <c r="P35" s="7">
        <v>70067.12</v>
      </c>
      <c r="Q35" s="2"/>
      <c r="R35" s="6">
        <f t="shared" si="12"/>
        <v>0</v>
      </c>
      <c r="S35" s="2"/>
      <c r="T35" s="7">
        <v>57498</v>
      </c>
      <c r="U35" s="2"/>
      <c r="V35" s="6">
        <f t="shared" si="13"/>
        <v>0</v>
      </c>
      <c r="W35" s="2"/>
      <c r="X35" s="7">
        <f t="shared" si="14"/>
        <v>12569.119999999995</v>
      </c>
      <c r="Y35" s="2"/>
      <c r="Z35" s="6">
        <f t="shared" si="15"/>
        <v>0.21860099481721096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1236.8800000000001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1236.8800000000001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7">
        <v>5323.56</v>
      </c>
      <c r="E37" s="2"/>
      <c r="F37" s="6">
        <f t="shared" si="8"/>
        <v>0</v>
      </c>
      <c r="G37" s="2"/>
      <c r="H37" s="7">
        <v>1764</v>
      </c>
      <c r="I37" s="2"/>
      <c r="J37" s="6">
        <f t="shared" si="9"/>
        <v>0</v>
      </c>
      <c r="K37" s="2"/>
      <c r="L37" s="7">
        <f t="shared" si="10"/>
        <v>3559.5600000000004</v>
      </c>
      <c r="M37" s="2"/>
      <c r="N37" s="6">
        <f t="shared" si="11"/>
        <v>2.0178911564625852</v>
      </c>
      <c r="O37" s="11"/>
      <c r="P37" s="7">
        <v>15938</v>
      </c>
      <c r="Q37" s="2"/>
      <c r="R37" s="6">
        <f t="shared" si="12"/>
        <v>0</v>
      </c>
      <c r="S37" s="2"/>
      <c r="T37" s="7">
        <v>6804</v>
      </c>
      <c r="U37" s="2"/>
      <c r="V37" s="6">
        <f t="shared" si="13"/>
        <v>0</v>
      </c>
      <c r="W37" s="2"/>
      <c r="X37" s="7">
        <f t="shared" si="14"/>
        <v>9134</v>
      </c>
      <c r="Y37" s="2"/>
      <c r="Z37" s="6">
        <f t="shared" si="15"/>
        <v>1.3424456202233981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5040</v>
      </c>
      <c r="U38" s="2"/>
      <c r="V38" s="6">
        <f t="shared" si="13"/>
        <v>0</v>
      </c>
      <c r="W38" s="2"/>
      <c r="X38" s="7">
        <f t="shared" si="14"/>
        <v>-5040</v>
      </c>
      <c r="Y38" s="2"/>
      <c r="Z38" s="6">
        <f t="shared" si="15"/>
        <v>-1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7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210.61</v>
      </c>
      <c r="E41" s="1"/>
      <c r="F41" s="5">
        <f t="shared" ref="F41:F47" si="16">IF(D$12=0,0,D41/D$12)</f>
        <v>0</v>
      </c>
      <c r="G41" s="1"/>
      <c r="H41" s="1">
        <f>SUM(OSRRefH22_2x_0)</f>
        <v>50</v>
      </c>
      <c r="I41" s="1"/>
      <c r="J41" s="5">
        <f t="shared" ref="J41:J47" si="17">IF(H$12=0,0,H41/H$12)</f>
        <v>0</v>
      </c>
      <c r="K41" s="1"/>
      <c r="L41" s="1">
        <f t="shared" ref="L41:L47" si="18">+D41-H41</f>
        <v>160.61000000000001</v>
      </c>
      <c r="M41" s="1"/>
      <c r="N41" s="5">
        <f t="shared" ref="N41:N47" si="19">IF(H41=0,0,L41/H41)</f>
        <v>3.2122000000000002</v>
      </c>
      <c r="O41" s="13"/>
      <c r="P41" s="1">
        <f>SUM(OSRRefP22_2x_0)</f>
        <v>3328.01</v>
      </c>
      <c r="Q41" s="1"/>
      <c r="R41" s="5">
        <f t="shared" ref="R41:R47" si="20">IF(P$12=0,0,P41/P$12)</f>
        <v>0</v>
      </c>
      <c r="S41" s="1"/>
      <c r="T41" s="1">
        <f>SUM(OSRRefT22_2x_0)</f>
        <v>1450</v>
      </c>
      <c r="U41" s="1"/>
      <c r="V41" s="5">
        <f t="shared" ref="V41:V47" si="21">IF(T$12=0,0,T41/T$12)</f>
        <v>0</v>
      </c>
      <c r="W41" s="1"/>
      <c r="X41" s="1">
        <f t="shared" ref="X41:X47" si="22">+P41-T41</f>
        <v>1878.0100000000002</v>
      </c>
      <c r="Y41" s="1"/>
      <c r="Z41" s="5">
        <f t="shared" ref="Z41:Z47" si="23">IF(T41=0,0,X41/T41)</f>
        <v>1.2951793103448277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7">
        <v>210.61</v>
      </c>
      <c r="E42" s="2"/>
      <c r="F42" s="6">
        <f t="shared" si="16"/>
        <v>0</v>
      </c>
      <c r="G42" s="2"/>
      <c r="H42" s="7">
        <v>50</v>
      </c>
      <c r="I42" s="2"/>
      <c r="J42" s="6">
        <f t="shared" si="17"/>
        <v>0</v>
      </c>
      <c r="K42" s="2"/>
      <c r="L42" s="7">
        <f t="shared" si="18"/>
        <v>160.61000000000001</v>
      </c>
      <c r="M42" s="2"/>
      <c r="N42" s="6">
        <f t="shared" si="19"/>
        <v>3.2122000000000002</v>
      </c>
      <c r="O42" s="11"/>
      <c r="P42" s="7">
        <v>3328.01</v>
      </c>
      <c r="Q42" s="2"/>
      <c r="R42" s="6">
        <f t="shared" si="20"/>
        <v>0</v>
      </c>
      <c r="S42" s="2"/>
      <c r="T42" s="7">
        <v>1450</v>
      </c>
      <c r="U42" s="2"/>
      <c r="V42" s="6">
        <f t="shared" si="21"/>
        <v>0</v>
      </c>
      <c r="W42" s="2"/>
      <c r="X42" s="7">
        <f t="shared" si="22"/>
        <v>1878.0100000000002</v>
      </c>
      <c r="Y42" s="2"/>
      <c r="Z42" s="6">
        <f t="shared" si="23"/>
        <v>1.2951793103448277</v>
      </c>
    </row>
    <row r="43" spans="1:26" s="27" customFormat="1" outlineLevel="1" collapsed="1" x14ac:dyDescent="0.25">
      <c r="A43" s="26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7262.6799999999994</v>
      </c>
      <c r="E43" s="1"/>
      <c r="F43" s="5">
        <f t="shared" si="16"/>
        <v>0</v>
      </c>
      <c r="G43" s="1"/>
      <c r="H43" s="1">
        <f>SUM(OSRRefH22_3x_0)</f>
        <v>8207</v>
      </c>
      <c r="I43" s="1"/>
      <c r="J43" s="5">
        <f t="shared" si="17"/>
        <v>0</v>
      </c>
      <c r="K43" s="1"/>
      <c r="L43" s="1">
        <f t="shared" si="18"/>
        <v>-944.32000000000062</v>
      </c>
      <c r="M43" s="1"/>
      <c r="N43" s="5">
        <f t="shared" si="19"/>
        <v>-0.11506275130985752</v>
      </c>
      <c r="O43" s="13"/>
      <c r="P43" s="1">
        <f>SUM(OSRRefP22_3x_0)</f>
        <v>48633.56</v>
      </c>
      <c r="Q43" s="1"/>
      <c r="R43" s="5">
        <f t="shared" si="20"/>
        <v>0</v>
      </c>
      <c r="S43" s="1"/>
      <c r="T43" s="1">
        <f>SUM(OSRRefT22_3x_0)</f>
        <v>48521</v>
      </c>
      <c r="U43" s="1"/>
      <c r="V43" s="5">
        <f t="shared" si="21"/>
        <v>0</v>
      </c>
      <c r="W43" s="1"/>
      <c r="X43" s="1">
        <f t="shared" si="22"/>
        <v>112.55999999999767</v>
      </c>
      <c r="Y43" s="1"/>
      <c r="Z43" s="5">
        <f t="shared" si="23"/>
        <v>2.3198202840006938E-3</v>
      </c>
    </row>
    <row r="44" spans="1:26" s="24" customFormat="1" hidden="1" outlineLevel="2" x14ac:dyDescent="0.25">
      <c r="A44" s="25"/>
      <c r="B44" s="11" t="str">
        <f>CONCATENATE("          ", "6321", " - ", "BUILDING DEPRECIATION")</f>
        <v xml:space="preserve">          6321 - BUILDING DEPRECIATION</v>
      </c>
      <c r="C44" s="11"/>
      <c r="D44" s="7">
        <v>2266.9499999999998</v>
      </c>
      <c r="E44" s="2"/>
      <c r="F44" s="6">
        <f t="shared" si="16"/>
        <v>0</v>
      </c>
      <c r="G44" s="2"/>
      <c r="H44" s="7">
        <v>723</v>
      </c>
      <c r="I44" s="2"/>
      <c r="J44" s="6">
        <f t="shared" si="17"/>
        <v>0</v>
      </c>
      <c r="K44" s="2"/>
      <c r="L44" s="7">
        <f t="shared" si="18"/>
        <v>1543.9499999999998</v>
      </c>
      <c r="M44" s="2"/>
      <c r="N44" s="6">
        <f t="shared" si="19"/>
        <v>2.1354771784232365</v>
      </c>
      <c r="O44" s="11"/>
      <c r="P44" s="7">
        <v>15868.649999999998</v>
      </c>
      <c r="Q44" s="2"/>
      <c r="R44" s="6">
        <f t="shared" si="20"/>
        <v>0</v>
      </c>
      <c r="S44" s="2"/>
      <c r="T44" s="7">
        <v>5307</v>
      </c>
      <c r="U44" s="2"/>
      <c r="V44" s="6">
        <f t="shared" si="21"/>
        <v>0</v>
      </c>
      <c r="W44" s="2"/>
      <c r="X44" s="7">
        <f t="shared" si="22"/>
        <v>10561.649999999998</v>
      </c>
      <c r="Y44" s="2"/>
      <c r="Z44" s="6">
        <f t="shared" si="23"/>
        <v>1.9901356698699826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4571.4799999999996</v>
      </c>
      <c r="E45" s="2"/>
      <c r="F45" s="6">
        <f t="shared" si="16"/>
        <v>0</v>
      </c>
      <c r="G45" s="2"/>
      <c r="H45" s="7">
        <v>4902</v>
      </c>
      <c r="I45" s="2"/>
      <c r="J45" s="6">
        <f t="shared" si="17"/>
        <v>0</v>
      </c>
      <c r="K45" s="2"/>
      <c r="L45" s="7">
        <f t="shared" si="18"/>
        <v>-330.52000000000044</v>
      </c>
      <c r="M45" s="2"/>
      <c r="N45" s="6">
        <f t="shared" si="19"/>
        <v>-6.7425540595675321E-2</v>
      </c>
      <c r="O45" s="11"/>
      <c r="P45" s="7">
        <v>29795.16</v>
      </c>
      <c r="Q45" s="2"/>
      <c r="R45" s="6">
        <f t="shared" si="20"/>
        <v>0</v>
      </c>
      <c r="S45" s="2"/>
      <c r="T45" s="7">
        <v>34314</v>
      </c>
      <c r="U45" s="2"/>
      <c r="V45" s="6">
        <f t="shared" si="21"/>
        <v>0</v>
      </c>
      <c r="W45" s="2"/>
      <c r="X45" s="7">
        <f t="shared" si="22"/>
        <v>-4518.84</v>
      </c>
      <c r="Y45" s="2"/>
      <c r="Z45" s="6">
        <f t="shared" si="23"/>
        <v>-0.13169085504458822</v>
      </c>
    </row>
    <row r="46" spans="1:26" s="24" customFormat="1" hidden="1" outlineLevel="2" x14ac:dyDescent="0.25">
      <c r="A46" s="25"/>
      <c r="B46" s="11" t="str">
        <f>CONCATENATE("          ", "6324", " - ", "FURNITURE + FIXT DEPRECIATION")</f>
        <v xml:space="preserve">          6324 - FURNITURE + FIXT DEPRECIATION</v>
      </c>
      <c r="C46" s="11"/>
      <c r="D46" s="7"/>
      <c r="E46" s="2"/>
      <c r="F46" s="6">
        <f t="shared" si="16"/>
        <v>0</v>
      </c>
      <c r="G46" s="2"/>
      <c r="H46" s="7">
        <v>1158</v>
      </c>
      <c r="I46" s="2"/>
      <c r="J46" s="6">
        <f t="shared" si="17"/>
        <v>0</v>
      </c>
      <c r="K46" s="2"/>
      <c r="L46" s="7">
        <f t="shared" si="18"/>
        <v>-1158</v>
      </c>
      <c r="M46" s="2"/>
      <c r="N46" s="6">
        <f t="shared" si="19"/>
        <v>-1</v>
      </c>
      <c r="O46" s="11"/>
      <c r="P46" s="7"/>
      <c r="Q46" s="2"/>
      <c r="R46" s="6">
        <f t="shared" si="20"/>
        <v>0</v>
      </c>
      <c r="S46" s="2"/>
      <c r="T46" s="7">
        <v>1932</v>
      </c>
      <c r="U46" s="2"/>
      <c r="V46" s="6">
        <f t="shared" si="21"/>
        <v>0</v>
      </c>
      <c r="W46" s="2"/>
      <c r="X46" s="7">
        <f t="shared" si="22"/>
        <v>-1932</v>
      </c>
      <c r="Y46" s="2"/>
      <c r="Z46" s="6">
        <f t="shared" si="23"/>
        <v>-1</v>
      </c>
    </row>
    <row r="47" spans="1:26" s="24" customFormat="1" hidden="1" outlineLevel="2" x14ac:dyDescent="0.25">
      <c r="A47" s="25"/>
      <c r="B47" s="11" t="str">
        <f>CONCATENATE("          ", "6326", " - ", "VEHICLES DEPRECIATION EXPENSE")</f>
        <v xml:space="preserve">          6326 - VEHICLES DEPRECIATION EXPENSE</v>
      </c>
      <c r="C47" s="11"/>
      <c r="D47" s="7">
        <v>424.25</v>
      </c>
      <c r="E47" s="2"/>
      <c r="F47" s="6">
        <f t="shared" si="16"/>
        <v>0</v>
      </c>
      <c r="G47" s="2"/>
      <c r="H47" s="7">
        <v>1424</v>
      </c>
      <c r="I47" s="2"/>
      <c r="J47" s="6">
        <f t="shared" si="17"/>
        <v>0</v>
      </c>
      <c r="K47" s="2"/>
      <c r="L47" s="7">
        <f t="shared" si="18"/>
        <v>-999.75</v>
      </c>
      <c r="M47" s="2"/>
      <c r="N47" s="6">
        <f t="shared" si="19"/>
        <v>-0.70207162921348309</v>
      </c>
      <c r="O47" s="11"/>
      <c r="P47" s="7">
        <v>2969.75</v>
      </c>
      <c r="Q47" s="2"/>
      <c r="R47" s="6">
        <f t="shared" si="20"/>
        <v>0</v>
      </c>
      <c r="S47" s="2"/>
      <c r="T47" s="7">
        <v>6968</v>
      </c>
      <c r="U47" s="2"/>
      <c r="V47" s="6">
        <f t="shared" si="21"/>
        <v>0</v>
      </c>
      <c r="W47" s="2"/>
      <c r="X47" s="7">
        <f t="shared" si="22"/>
        <v>-3998.25</v>
      </c>
      <c r="Y47" s="2"/>
      <c r="Z47" s="6">
        <f t="shared" si="23"/>
        <v>-0.5738016647531573</v>
      </c>
    </row>
    <row r="48" spans="1:26" s="27" customFormat="1" outlineLevel="1" collapsed="1" x14ac:dyDescent="0.25">
      <c r="A48" s="26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SUM(OSRRefD22_4x_0)</f>
        <v>0</v>
      </c>
      <c r="E48" s="1"/>
      <c r="F48" s="5">
        <f t="shared" ref="F48:F63" si="24">IF(D$12=0,0,D48/D$12)</f>
        <v>0</v>
      </c>
      <c r="G48" s="1"/>
      <c r="H48" s="1">
        <f>SUM(OSRRefH22_4x_0)</f>
        <v>500</v>
      </c>
      <c r="I48" s="1"/>
      <c r="J48" s="5">
        <f t="shared" ref="J48:J63" si="25">IF(H$12=0,0,H48/H$12)</f>
        <v>0</v>
      </c>
      <c r="K48" s="1"/>
      <c r="L48" s="1">
        <f t="shared" ref="L48:L63" si="26">+D48-H48</f>
        <v>-500</v>
      </c>
      <c r="M48" s="1"/>
      <c r="N48" s="5">
        <f t="shared" ref="N48:N63" si="27">IF(H48=0,0,L48/H48)</f>
        <v>-1</v>
      </c>
      <c r="O48" s="13"/>
      <c r="P48" s="1">
        <f>SUM(OSRRefP22_4x_0)</f>
        <v>163.68</v>
      </c>
      <c r="Q48" s="1"/>
      <c r="R48" s="5">
        <f t="shared" ref="R48:R63" si="28">IF(P$12=0,0,P48/P$12)</f>
        <v>0</v>
      </c>
      <c r="S48" s="1"/>
      <c r="T48" s="1">
        <f>SUM(OSRRefT22_4x_0)</f>
        <v>1500</v>
      </c>
      <c r="U48" s="1"/>
      <c r="V48" s="5">
        <f t="shared" ref="V48:V63" si="29">IF(T$12=0,0,T48/T$12)</f>
        <v>0</v>
      </c>
      <c r="W48" s="1"/>
      <c r="X48" s="1">
        <f t="shared" ref="X48:X63" si="30">+P48-T48</f>
        <v>-1336.32</v>
      </c>
      <c r="Y48" s="1"/>
      <c r="Z48" s="5">
        <f t="shared" ref="Z48:Z63" si="31">IF(T48=0,0,X48/T48)</f>
        <v>-0.89088000000000001</v>
      </c>
    </row>
    <row r="49" spans="1:26" s="24" customFormat="1" hidden="1" outlineLevel="2" x14ac:dyDescent="0.25">
      <c r="A49" s="25"/>
      <c r="B49" s="11" t="str">
        <f>CONCATENATE("          ", "6399", " - ", "DONATION-ON CAMPUS")</f>
        <v xml:space="preserve">          6399 - DONATION-ON CAMPUS</v>
      </c>
      <c r="C49" s="11"/>
      <c r="D49" s="7"/>
      <c r="E49" s="2"/>
      <c r="F49" s="6">
        <f t="shared" si="24"/>
        <v>0</v>
      </c>
      <c r="G49" s="2"/>
      <c r="H49" s="7">
        <v>500</v>
      </c>
      <c r="I49" s="2"/>
      <c r="J49" s="6">
        <f t="shared" si="25"/>
        <v>0</v>
      </c>
      <c r="K49" s="2"/>
      <c r="L49" s="7">
        <f t="shared" si="26"/>
        <v>-500</v>
      </c>
      <c r="M49" s="2"/>
      <c r="N49" s="6">
        <f t="shared" si="27"/>
        <v>-1</v>
      </c>
      <c r="O49" s="11"/>
      <c r="P49" s="7">
        <v>163.68</v>
      </c>
      <c r="Q49" s="2"/>
      <c r="R49" s="6">
        <f t="shared" si="28"/>
        <v>0</v>
      </c>
      <c r="S49" s="2"/>
      <c r="T49" s="7">
        <v>1500</v>
      </c>
      <c r="U49" s="2"/>
      <c r="V49" s="6">
        <f t="shared" si="29"/>
        <v>0</v>
      </c>
      <c r="W49" s="2"/>
      <c r="X49" s="7">
        <f t="shared" si="30"/>
        <v>-1336.32</v>
      </c>
      <c r="Y49" s="2"/>
      <c r="Z49" s="6">
        <f t="shared" si="31"/>
        <v>-0.89088000000000001</v>
      </c>
    </row>
    <row r="50" spans="1:26" s="27" customFormat="1" outlineLevel="1" collapsed="1" x14ac:dyDescent="0.25">
      <c r="A50" s="26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SUM(OSRRefD22_5x_0)</f>
        <v>0</v>
      </c>
      <c r="E50" s="1"/>
      <c r="F50" s="5">
        <f t="shared" si="24"/>
        <v>0</v>
      </c>
      <c r="G50" s="1"/>
      <c r="H50" s="1">
        <f>SUM(OSRRefH22_5x_0)</f>
        <v>50</v>
      </c>
      <c r="I50" s="1"/>
      <c r="J50" s="5">
        <f t="shared" si="25"/>
        <v>0</v>
      </c>
      <c r="K50" s="1"/>
      <c r="L50" s="1">
        <f t="shared" si="26"/>
        <v>-50</v>
      </c>
      <c r="M50" s="1"/>
      <c r="N50" s="5">
        <f t="shared" si="27"/>
        <v>-1</v>
      </c>
      <c r="O50" s="13"/>
      <c r="P50" s="1">
        <f>SUM(OSRRefP22_5x_0)</f>
        <v>366.16</v>
      </c>
      <c r="Q50" s="1"/>
      <c r="R50" s="5">
        <f t="shared" si="28"/>
        <v>0</v>
      </c>
      <c r="S50" s="1"/>
      <c r="T50" s="1">
        <f>SUM(OSRRefT22_5x_0)</f>
        <v>950</v>
      </c>
      <c r="U50" s="1"/>
      <c r="V50" s="5">
        <f t="shared" si="29"/>
        <v>0</v>
      </c>
      <c r="W50" s="1"/>
      <c r="X50" s="1">
        <f t="shared" si="30"/>
        <v>-583.83999999999992</v>
      </c>
      <c r="Y50" s="1"/>
      <c r="Z50" s="5">
        <f t="shared" si="31"/>
        <v>-0.61456842105263154</v>
      </c>
    </row>
    <row r="51" spans="1:26" s="24" customFormat="1" hidden="1" outlineLevel="2" x14ac:dyDescent="0.25">
      <c r="A51" s="25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24"/>
        <v>0</v>
      </c>
      <c r="G51" s="2"/>
      <c r="H51" s="7">
        <v>50</v>
      </c>
      <c r="I51" s="2"/>
      <c r="J51" s="6">
        <f t="shared" si="25"/>
        <v>0</v>
      </c>
      <c r="K51" s="2"/>
      <c r="L51" s="7">
        <f t="shared" si="26"/>
        <v>-50</v>
      </c>
      <c r="M51" s="2"/>
      <c r="N51" s="6">
        <f t="shared" si="27"/>
        <v>-1</v>
      </c>
      <c r="O51" s="11"/>
      <c r="P51" s="7">
        <v>366.16</v>
      </c>
      <c r="Q51" s="2"/>
      <c r="R51" s="6">
        <f t="shared" si="28"/>
        <v>0</v>
      </c>
      <c r="S51" s="2"/>
      <c r="T51" s="7">
        <v>950</v>
      </c>
      <c r="U51" s="2"/>
      <c r="V51" s="6">
        <f t="shared" si="29"/>
        <v>0</v>
      </c>
      <c r="W51" s="2"/>
      <c r="X51" s="7">
        <f t="shared" si="30"/>
        <v>-583.83999999999992</v>
      </c>
      <c r="Y51" s="2"/>
      <c r="Z51" s="6">
        <f t="shared" si="31"/>
        <v>-0.61456842105263154</v>
      </c>
    </row>
    <row r="52" spans="1:26" s="27" customFormat="1" outlineLevel="1" collapsed="1" x14ac:dyDescent="0.25">
      <c r="A52" s="26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SUM(OSRRefD22_6x_0)</f>
        <v>916.05</v>
      </c>
      <c r="E52" s="1"/>
      <c r="F52" s="5">
        <f t="shared" si="24"/>
        <v>0</v>
      </c>
      <c r="G52" s="1"/>
      <c r="H52" s="1">
        <f>SUM(OSRRefH22_6x_0)</f>
        <v>1000</v>
      </c>
      <c r="I52" s="1"/>
      <c r="J52" s="5">
        <f t="shared" si="25"/>
        <v>0</v>
      </c>
      <c r="K52" s="1"/>
      <c r="L52" s="1">
        <f t="shared" si="26"/>
        <v>-83.950000000000045</v>
      </c>
      <c r="M52" s="1"/>
      <c r="N52" s="5">
        <f t="shared" si="27"/>
        <v>-8.3950000000000052E-2</v>
      </c>
      <c r="O52" s="13"/>
      <c r="P52" s="1">
        <f>SUM(OSRRefP22_6x_0)</f>
        <v>7512.24</v>
      </c>
      <c r="Q52" s="1"/>
      <c r="R52" s="5">
        <f t="shared" si="28"/>
        <v>0</v>
      </c>
      <c r="S52" s="1"/>
      <c r="T52" s="1">
        <f>SUM(OSRRefT22_6x_0)</f>
        <v>7400</v>
      </c>
      <c r="U52" s="1"/>
      <c r="V52" s="5">
        <f t="shared" si="29"/>
        <v>0</v>
      </c>
      <c r="W52" s="1"/>
      <c r="X52" s="1">
        <f t="shared" si="30"/>
        <v>112.23999999999978</v>
      </c>
      <c r="Y52" s="1"/>
      <c r="Z52" s="5">
        <f t="shared" si="31"/>
        <v>1.5167567567567538E-2</v>
      </c>
    </row>
    <row r="53" spans="1:26" s="24" customFormat="1" hidden="1" outlineLevel="2" x14ac:dyDescent="0.25">
      <c r="A53" s="25"/>
      <c r="B53" s="11" t="str">
        <f>CONCATENATE("          ", "6351", " - ", "EQUIPMENT RENTAL")</f>
        <v xml:space="preserve">          6351 - EQUIPMENT RENTAL</v>
      </c>
      <c r="C53" s="11"/>
      <c r="D53" s="7">
        <v>916.05</v>
      </c>
      <c r="E53" s="2"/>
      <c r="F53" s="6">
        <f t="shared" si="24"/>
        <v>0</v>
      </c>
      <c r="G53" s="2"/>
      <c r="H53" s="7">
        <v>1000</v>
      </c>
      <c r="I53" s="2"/>
      <c r="J53" s="6">
        <f t="shared" si="25"/>
        <v>0</v>
      </c>
      <c r="K53" s="2"/>
      <c r="L53" s="7">
        <f t="shared" si="26"/>
        <v>-83.950000000000045</v>
      </c>
      <c r="M53" s="2"/>
      <c r="N53" s="6">
        <f t="shared" si="27"/>
        <v>-8.3950000000000052E-2</v>
      </c>
      <c r="O53" s="11"/>
      <c r="P53" s="7">
        <v>7512.24</v>
      </c>
      <c r="Q53" s="2"/>
      <c r="R53" s="6">
        <f t="shared" si="28"/>
        <v>0</v>
      </c>
      <c r="S53" s="2"/>
      <c r="T53" s="7">
        <v>7400</v>
      </c>
      <c r="U53" s="2"/>
      <c r="V53" s="6">
        <f t="shared" si="29"/>
        <v>0</v>
      </c>
      <c r="W53" s="2"/>
      <c r="X53" s="7">
        <f t="shared" si="30"/>
        <v>112.23999999999978</v>
      </c>
      <c r="Y53" s="2"/>
      <c r="Z53" s="6">
        <f t="shared" si="31"/>
        <v>1.5167567567567538E-2</v>
      </c>
    </row>
    <row r="54" spans="1:26" s="27" customFormat="1" outlineLevel="1" collapsed="1" x14ac:dyDescent="0.25">
      <c r="A54" s="26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SUM(OSRRefD22_7x_0)</f>
        <v>2621.58</v>
      </c>
      <c r="E54" s="1"/>
      <c r="F54" s="5">
        <f t="shared" si="24"/>
        <v>0</v>
      </c>
      <c r="G54" s="1"/>
      <c r="H54" s="1">
        <f>SUM(OSRRefH22_7x_0)</f>
        <v>0</v>
      </c>
      <c r="I54" s="1"/>
      <c r="J54" s="5">
        <f t="shared" si="25"/>
        <v>0</v>
      </c>
      <c r="K54" s="1"/>
      <c r="L54" s="1">
        <f t="shared" si="26"/>
        <v>2621.58</v>
      </c>
      <c r="M54" s="1"/>
      <c r="N54" s="5">
        <f t="shared" si="27"/>
        <v>0</v>
      </c>
      <c r="O54" s="13"/>
      <c r="P54" s="1">
        <f>SUM(OSRRefP22_7x_0)</f>
        <v>22691.710000000003</v>
      </c>
      <c r="Q54" s="1"/>
      <c r="R54" s="5">
        <f t="shared" si="28"/>
        <v>0</v>
      </c>
      <c r="S54" s="1"/>
      <c r="T54" s="1">
        <f>SUM(OSRRefT22_7x_0)</f>
        <v>4000</v>
      </c>
      <c r="U54" s="1"/>
      <c r="V54" s="5">
        <f t="shared" si="29"/>
        <v>0</v>
      </c>
      <c r="W54" s="1"/>
      <c r="X54" s="1">
        <f t="shared" si="30"/>
        <v>18691.710000000003</v>
      </c>
      <c r="Y54" s="1"/>
      <c r="Z54" s="5">
        <f t="shared" si="31"/>
        <v>4.672927500000001</v>
      </c>
    </row>
    <row r="55" spans="1:26" s="24" customFormat="1" hidden="1" outlineLevel="2" x14ac:dyDescent="0.25">
      <c r="A55" s="25"/>
      <c r="B55" s="11" t="str">
        <f>CONCATENATE("          ", "6279", " - ", "GENERAL EXPENSE")</f>
        <v xml:space="preserve">          6279 - GENERAL EXPENSE</v>
      </c>
      <c r="C55" s="11"/>
      <c r="D55" s="7">
        <v>2621.58</v>
      </c>
      <c r="E55" s="2"/>
      <c r="F55" s="6">
        <f t="shared" si="24"/>
        <v>0</v>
      </c>
      <c r="G55" s="2"/>
      <c r="H55" s="7"/>
      <c r="I55" s="2"/>
      <c r="J55" s="6">
        <f t="shared" si="25"/>
        <v>0</v>
      </c>
      <c r="K55" s="2"/>
      <c r="L55" s="7">
        <f t="shared" si="26"/>
        <v>2621.58</v>
      </c>
      <c r="M55" s="2"/>
      <c r="N55" s="6">
        <f t="shared" si="27"/>
        <v>0</v>
      </c>
      <c r="O55" s="11"/>
      <c r="P55" s="7">
        <v>22691.710000000003</v>
      </c>
      <c r="Q55" s="2"/>
      <c r="R55" s="6">
        <f t="shared" si="28"/>
        <v>0</v>
      </c>
      <c r="S55" s="2"/>
      <c r="T55" s="7">
        <v>4000</v>
      </c>
      <c r="U55" s="2"/>
      <c r="V55" s="6">
        <f t="shared" si="29"/>
        <v>0</v>
      </c>
      <c r="W55" s="2"/>
      <c r="X55" s="7">
        <f t="shared" si="30"/>
        <v>18691.710000000003</v>
      </c>
      <c r="Y55" s="2"/>
      <c r="Z55" s="6">
        <f t="shared" si="31"/>
        <v>4.672927500000001</v>
      </c>
    </row>
    <row r="56" spans="1:26" s="27" customFormat="1" outlineLevel="1" collapsed="1" x14ac:dyDescent="0.25">
      <c r="A56" s="26"/>
      <c r="B56" s="13" t="str">
        <f>CONCATENATE("     ","Insurance                                         ")</f>
        <v xml:space="preserve">     Insurance                                         </v>
      </c>
      <c r="C56" s="13"/>
      <c r="D56" s="1">
        <f>SUM(OSRRefD22_8x_0)</f>
        <v>3598.85</v>
      </c>
      <c r="E56" s="1"/>
      <c r="F56" s="5">
        <f t="shared" si="24"/>
        <v>0</v>
      </c>
      <c r="G56" s="1"/>
      <c r="H56" s="1">
        <f>SUM(OSRRefH22_8x_0)</f>
        <v>3400</v>
      </c>
      <c r="I56" s="1"/>
      <c r="J56" s="5">
        <f t="shared" si="25"/>
        <v>0</v>
      </c>
      <c r="K56" s="1"/>
      <c r="L56" s="1">
        <f t="shared" si="26"/>
        <v>198.84999999999991</v>
      </c>
      <c r="M56" s="1"/>
      <c r="N56" s="5">
        <f t="shared" si="27"/>
        <v>5.8485294117647031E-2</v>
      </c>
      <c r="O56" s="13"/>
      <c r="P56" s="1">
        <f>SUM(OSRRefP22_8x_0)</f>
        <v>25191.95</v>
      </c>
      <c r="Q56" s="1"/>
      <c r="R56" s="5">
        <f t="shared" si="28"/>
        <v>0</v>
      </c>
      <c r="S56" s="1"/>
      <c r="T56" s="1">
        <f>SUM(OSRRefT22_8x_0)</f>
        <v>23800</v>
      </c>
      <c r="U56" s="1"/>
      <c r="V56" s="5">
        <f t="shared" si="29"/>
        <v>0</v>
      </c>
      <c r="W56" s="1"/>
      <c r="X56" s="1">
        <f t="shared" si="30"/>
        <v>1391.9500000000007</v>
      </c>
      <c r="Y56" s="1"/>
      <c r="Z56" s="5">
        <f t="shared" si="31"/>
        <v>5.8485294117647087E-2</v>
      </c>
    </row>
    <row r="57" spans="1:26" s="24" customFormat="1" hidden="1" outlineLevel="2" x14ac:dyDescent="0.25">
      <c r="A57" s="25"/>
      <c r="B57" s="11" t="str">
        <f>CONCATENATE("          ", "6314", " - ", "LIABILITY INSURANCE")</f>
        <v xml:space="preserve">          6314 - LIABILITY INSURANCE</v>
      </c>
      <c r="C57" s="11"/>
      <c r="D57" s="7">
        <v>3598.85</v>
      </c>
      <c r="E57" s="2"/>
      <c r="F57" s="6">
        <f t="shared" si="24"/>
        <v>0</v>
      </c>
      <c r="G57" s="2"/>
      <c r="H57" s="7">
        <v>3400</v>
      </c>
      <c r="I57" s="2"/>
      <c r="J57" s="6">
        <f t="shared" si="25"/>
        <v>0</v>
      </c>
      <c r="K57" s="2"/>
      <c r="L57" s="7">
        <f t="shared" si="26"/>
        <v>198.84999999999991</v>
      </c>
      <c r="M57" s="2"/>
      <c r="N57" s="6">
        <f t="shared" si="27"/>
        <v>5.8485294117647031E-2</v>
      </c>
      <c r="O57" s="11"/>
      <c r="P57" s="7">
        <v>25191.95</v>
      </c>
      <c r="Q57" s="2"/>
      <c r="R57" s="6">
        <f t="shared" si="28"/>
        <v>0</v>
      </c>
      <c r="S57" s="2"/>
      <c r="T57" s="7">
        <v>23800</v>
      </c>
      <c r="U57" s="2"/>
      <c r="V57" s="6">
        <f t="shared" si="29"/>
        <v>0</v>
      </c>
      <c r="W57" s="2"/>
      <c r="X57" s="7">
        <f t="shared" si="30"/>
        <v>1391.9500000000007</v>
      </c>
      <c r="Y57" s="2"/>
      <c r="Z57" s="6">
        <f t="shared" si="31"/>
        <v>5.8485294117647087E-2</v>
      </c>
    </row>
    <row r="58" spans="1:26" s="27" customFormat="1" outlineLevel="1" collapsed="1" x14ac:dyDescent="0.25">
      <c r="A58" s="26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SUM(OSRRefD22_9x_0)</f>
        <v>0</v>
      </c>
      <c r="E58" s="1"/>
      <c r="F58" s="5">
        <f t="shared" si="24"/>
        <v>0</v>
      </c>
      <c r="G58" s="1"/>
      <c r="H58" s="1">
        <f>SUM(OSRRefH22_9x_0)</f>
        <v>0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3"/>
      <c r="P58" s="1">
        <f>SUM(OSRRefP22_9x_0)</f>
        <v>125</v>
      </c>
      <c r="Q58" s="1"/>
      <c r="R58" s="5">
        <f t="shared" si="28"/>
        <v>0</v>
      </c>
      <c r="S58" s="1"/>
      <c r="T58" s="1">
        <f>SUM(OSRRefT22_9x_0)</f>
        <v>0</v>
      </c>
      <c r="U58" s="1"/>
      <c r="V58" s="5">
        <f t="shared" si="29"/>
        <v>0</v>
      </c>
      <c r="W58" s="1"/>
      <c r="X58" s="1">
        <f t="shared" si="30"/>
        <v>125</v>
      </c>
      <c r="Y58" s="1"/>
      <c r="Z58" s="5">
        <f t="shared" si="31"/>
        <v>0</v>
      </c>
    </row>
    <row r="59" spans="1:26" s="24" customFormat="1" hidden="1" outlineLevel="2" x14ac:dyDescent="0.25">
      <c r="A59" s="25"/>
      <c r="B59" s="11" t="str">
        <f>CONCATENATE("          ", "6336", " - ", "PROFESSIONAL SERVICES")</f>
        <v xml:space="preserve">          6336 - PROFESSIONAL SERVICES</v>
      </c>
      <c r="C59" s="11"/>
      <c r="D59" s="7"/>
      <c r="E59" s="2"/>
      <c r="F59" s="6">
        <f t="shared" si="24"/>
        <v>0</v>
      </c>
      <c r="G59" s="2"/>
      <c r="H59" s="7"/>
      <c r="I59" s="2"/>
      <c r="J59" s="6">
        <f t="shared" si="25"/>
        <v>0</v>
      </c>
      <c r="K59" s="2"/>
      <c r="L59" s="7">
        <f t="shared" si="26"/>
        <v>0</v>
      </c>
      <c r="M59" s="2"/>
      <c r="N59" s="6">
        <f t="shared" si="27"/>
        <v>0</v>
      </c>
      <c r="O59" s="11"/>
      <c r="P59" s="7">
        <v>125</v>
      </c>
      <c r="Q59" s="2"/>
      <c r="R59" s="6">
        <f t="shared" si="28"/>
        <v>0</v>
      </c>
      <c r="S59" s="2"/>
      <c r="T59" s="7"/>
      <c r="U59" s="2"/>
      <c r="V59" s="6">
        <f t="shared" si="29"/>
        <v>0</v>
      </c>
      <c r="W59" s="2"/>
      <c r="X59" s="7">
        <f t="shared" si="30"/>
        <v>125</v>
      </c>
      <c r="Y59" s="2"/>
      <c r="Z59" s="6">
        <f t="shared" si="31"/>
        <v>0</v>
      </c>
    </row>
    <row r="60" spans="1:26" s="27" customFormat="1" outlineLevel="1" collapsed="1" x14ac:dyDescent="0.25">
      <c r="A60" s="26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SUM(OSRRefD22_10x_0)</f>
        <v>22064.329999999998</v>
      </c>
      <c r="E60" s="1"/>
      <c r="F60" s="5">
        <f t="shared" si="24"/>
        <v>0</v>
      </c>
      <c r="G60" s="1"/>
      <c r="H60" s="1">
        <f>SUM(OSRRefH22_10x_0)</f>
        <v>11200</v>
      </c>
      <c r="I60" s="1"/>
      <c r="J60" s="5">
        <f t="shared" si="25"/>
        <v>0</v>
      </c>
      <c r="K60" s="1"/>
      <c r="L60" s="1">
        <f t="shared" si="26"/>
        <v>10864.329999999998</v>
      </c>
      <c r="M60" s="1"/>
      <c r="N60" s="5">
        <f t="shared" si="27"/>
        <v>0.97002946428571413</v>
      </c>
      <c r="O60" s="13"/>
      <c r="P60" s="1">
        <f>SUM(OSRRefP22_10x_0)</f>
        <v>85720.47</v>
      </c>
      <c r="Q60" s="1"/>
      <c r="R60" s="5">
        <f t="shared" si="28"/>
        <v>0</v>
      </c>
      <c r="S60" s="1"/>
      <c r="T60" s="1">
        <f>SUM(OSRRefT22_10x_0)</f>
        <v>109400</v>
      </c>
      <c r="U60" s="1"/>
      <c r="V60" s="5">
        <f t="shared" si="29"/>
        <v>0</v>
      </c>
      <c r="W60" s="1"/>
      <c r="X60" s="1">
        <f t="shared" si="30"/>
        <v>-23679.53</v>
      </c>
      <c r="Y60" s="1"/>
      <c r="Z60" s="5">
        <f t="shared" si="31"/>
        <v>-0.21644908592321754</v>
      </c>
    </row>
    <row r="61" spans="1:26" s="24" customFormat="1" hidden="1" outlineLevel="2" x14ac:dyDescent="0.25">
      <c r="A61" s="25"/>
      <c r="B61" s="11" t="str">
        <f>CONCATENATE("          ", "6371", " - ", "COMPUTER SOFTWARE MAINTENANCE")</f>
        <v xml:space="preserve">          6371 - COMPUTER SOFTWARE MAINTENANCE</v>
      </c>
      <c r="C61" s="11"/>
      <c r="D61" s="7"/>
      <c r="E61" s="2"/>
      <c r="F61" s="6">
        <f t="shared" si="24"/>
        <v>0</v>
      </c>
      <c r="G61" s="2"/>
      <c r="H61" s="7"/>
      <c r="I61" s="2"/>
      <c r="J61" s="6">
        <f t="shared" si="25"/>
        <v>0</v>
      </c>
      <c r="K61" s="2"/>
      <c r="L61" s="7">
        <f t="shared" si="26"/>
        <v>0</v>
      </c>
      <c r="M61" s="2"/>
      <c r="N61" s="6">
        <f t="shared" si="27"/>
        <v>0</v>
      </c>
      <c r="O61" s="11"/>
      <c r="P61" s="7"/>
      <c r="Q61" s="2"/>
      <c r="R61" s="6">
        <f t="shared" si="28"/>
        <v>0</v>
      </c>
      <c r="S61" s="2"/>
      <c r="T61" s="7">
        <v>1000</v>
      </c>
      <c r="U61" s="2"/>
      <c r="V61" s="6">
        <f t="shared" si="29"/>
        <v>0</v>
      </c>
      <c r="W61" s="2"/>
      <c r="X61" s="7">
        <f t="shared" si="30"/>
        <v>-1000</v>
      </c>
      <c r="Y61" s="2"/>
      <c r="Z61" s="6">
        <f t="shared" si="31"/>
        <v>-1</v>
      </c>
    </row>
    <row r="62" spans="1:26" s="24" customFormat="1" hidden="1" outlineLevel="2" x14ac:dyDescent="0.25">
      <c r="A62" s="25"/>
      <c r="B62" s="11" t="str">
        <f>CONCATENATE("          ", "6373", " - ", "MAINTENANCE CONTRACTS")</f>
        <v xml:space="preserve">          6373 - MAINTENANCE CONTRACTS</v>
      </c>
      <c r="C62" s="11"/>
      <c r="D62" s="7">
        <v>5000</v>
      </c>
      <c r="E62" s="2"/>
      <c r="F62" s="6">
        <f t="shared" si="24"/>
        <v>0</v>
      </c>
      <c r="G62" s="2"/>
      <c r="H62" s="7">
        <v>1200</v>
      </c>
      <c r="I62" s="2"/>
      <c r="J62" s="6">
        <f t="shared" si="25"/>
        <v>0</v>
      </c>
      <c r="K62" s="2"/>
      <c r="L62" s="7">
        <f t="shared" si="26"/>
        <v>3800</v>
      </c>
      <c r="M62" s="2"/>
      <c r="N62" s="6">
        <f t="shared" si="27"/>
        <v>3.1666666666666665</v>
      </c>
      <c r="O62" s="11"/>
      <c r="P62" s="7">
        <v>43499.58</v>
      </c>
      <c r="Q62" s="2"/>
      <c r="R62" s="6">
        <f t="shared" si="28"/>
        <v>0</v>
      </c>
      <c r="S62" s="2"/>
      <c r="T62" s="7">
        <v>8400</v>
      </c>
      <c r="U62" s="2"/>
      <c r="V62" s="6">
        <f t="shared" si="29"/>
        <v>0</v>
      </c>
      <c r="W62" s="2"/>
      <c r="X62" s="7">
        <f t="shared" si="30"/>
        <v>35099.58</v>
      </c>
      <c r="Y62" s="2"/>
      <c r="Z62" s="6">
        <f t="shared" si="31"/>
        <v>4.1785214285714289</v>
      </c>
    </row>
    <row r="63" spans="1:26" s="24" customFormat="1" hidden="1" outlineLevel="2" x14ac:dyDescent="0.25">
      <c r="A63" s="25"/>
      <c r="B63" s="11" t="str">
        <f>CONCATENATE("          ", "6375", " - ", "OUTSIDE REPAIRS &amp; MAINTENANCE")</f>
        <v xml:space="preserve">          6375 - OUTSIDE REPAIRS &amp; MAINTENANCE</v>
      </c>
      <c r="C63" s="11"/>
      <c r="D63" s="7">
        <v>17064.329999999998</v>
      </c>
      <c r="E63" s="2"/>
      <c r="F63" s="6">
        <f t="shared" si="24"/>
        <v>0</v>
      </c>
      <c r="G63" s="2"/>
      <c r="H63" s="7">
        <v>10000</v>
      </c>
      <c r="I63" s="2"/>
      <c r="J63" s="6">
        <f t="shared" si="25"/>
        <v>0</v>
      </c>
      <c r="K63" s="2"/>
      <c r="L63" s="7">
        <f t="shared" si="26"/>
        <v>7064.3299999999981</v>
      </c>
      <c r="M63" s="2"/>
      <c r="N63" s="6">
        <f t="shared" si="27"/>
        <v>0.70643299999999976</v>
      </c>
      <c r="O63" s="11"/>
      <c r="P63" s="7">
        <v>42220.89</v>
      </c>
      <c r="Q63" s="2"/>
      <c r="R63" s="6">
        <f t="shared" si="28"/>
        <v>0</v>
      </c>
      <c r="S63" s="2"/>
      <c r="T63" s="7">
        <v>100000</v>
      </c>
      <c r="U63" s="2"/>
      <c r="V63" s="6">
        <f t="shared" si="29"/>
        <v>0</v>
      </c>
      <c r="W63" s="2"/>
      <c r="X63" s="7">
        <f t="shared" si="30"/>
        <v>-57779.11</v>
      </c>
      <c r="Y63" s="2"/>
      <c r="Z63" s="6">
        <f t="shared" si="31"/>
        <v>-0.5777911</v>
      </c>
    </row>
    <row r="64" spans="1:26" s="27" customFormat="1" outlineLevel="1" collapsed="1" x14ac:dyDescent="0.25">
      <c r="A64" s="26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SUM(OSRRefD22_11x_0)</f>
        <v>15575.48</v>
      </c>
      <c r="E64" s="1"/>
      <c r="F64" s="5">
        <f t="shared" ref="F64:F69" si="32">IF(D$12=0,0,D64/D$12)</f>
        <v>0</v>
      </c>
      <c r="G64" s="1"/>
      <c r="H64" s="1">
        <f>SUM(OSRRefH22_11x_0)</f>
        <v>13685</v>
      </c>
      <c r="I64" s="1"/>
      <c r="J64" s="5">
        <f t="shared" ref="J64:J69" si="33">IF(H$12=0,0,H64/H$12)</f>
        <v>0</v>
      </c>
      <c r="K64" s="1"/>
      <c r="L64" s="1">
        <f t="shared" ref="L64:L69" si="34">+D64-H64</f>
        <v>1890.4799999999996</v>
      </c>
      <c r="M64" s="1"/>
      <c r="N64" s="5">
        <f t="shared" ref="N64:N69" si="35">IF(H64=0,0,L64/H64)</f>
        <v>0.13814249177932039</v>
      </c>
      <c r="O64" s="13"/>
      <c r="P64" s="1">
        <f>SUM(OSRRefP22_11x_0)</f>
        <v>99045.51999999999</v>
      </c>
      <c r="Q64" s="1"/>
      <c r="R64" s="5">
        <f t="shared" ref="R64:R69" si="36">IF(P$12=0,0,P64/P$12)</f>
        <v>0</v>
      </c>
      <c r="S64" s="1"/>
      <c r="T64" s="1">
        <f>SUM(OSRRefT22_11x_0)</f>
        <v>95760</v>
      </c>
      <c r="U64" s="1"/>
      <c r="V64" s="5">
        <f t="shared" ref="V64:V69" si="37">IF(T$12=0,0,T64/T$12)</f>
        <v>0</v>
      </c>
      <c r="W64" s="1"/>
      <c r="X64" s="1">
        <f t="shared" ref="X64:X69" si="38">+P64-T64</f>
        <v>3285.5199999999895</v>
      </c>
      <c r="Y64" s="1"/>
      <c r="Z64" s="5">
        <f t="shared" ref="Z64:Z69" si="39">IF(T64=0,0,X64/T64)</f>
        <v>3.4309941520467728E-2</v>
      </c>
    </row>
    <row r="65" spans="1:26" s="24" customFormat="1" hidden="1" outlineLevel="2" x14ac:dyDescent="0.25">
      <c r="A65" s="25"/>
      <c r="B65" s="11" t="str">
        <f>CONCATENATE("          ", "6282", " - ", "JANITORIAL/EXTERMINATOR EXPENS")</f>
        <v xml:space="preserve">          6282 - JANITORIAL/EXTERMINATOR EXPENS</v>
      </c>
      <c r="C65" s="11"/>
      <c r="D65" s="7">
        <v>626.26</v>
      </c>
      <c r="E65" s="2"/>
      <c r="F65" s="6">
        <f t="shared" si="32"/>
        <v>0</v>
      </c>
      <c r="G65" s="2"/>
      <c r="H65" s="7">
        <v>650</v>
      </c>
      <c r="I65" s="2"/>
      <c r="J65" s="6">
        <f t="shared" si="33"/>
        <v>0</v>
      </c>
      <c r="K65" s="2"/>
      <c r="L65" s="7">
        <f t="shared" si="34"/>
        <v>-23.740000000000009</v>
      </c>
      <c r="M65" s="2"/>
      <c r="N65" s="6">
        <f t="shared" si="35"/>
        <v>-3.6523076923076936E-2</v>
      </c>
      <c r="O65" s="11"/>
      <c r="P65" s="7">
        <v>5010.08</v>
      </c>
      <c r="Q65" s="2"/>
      <c r="R65" s="6">
        <f t="shared" si="36"/>
        <v>0</v>
      </c>
      <c r="S65" s="2"/>
      <c r="T65" s="7">
        <v>4550</v>
      </c>
      <c r="U65" s="2"/>
      <c r="V65" s="6">
        <f t="shared" si="37"/>
        <v>0</v>
      </c>
      <c r="W65" s="2"/>
      <c r="X65" s="7">
        <f t="shared" si="38"/>
        <v>460.07999999999993</v>
      </c>
      <c r="Y65" s="2"/>
      <c r="Z65" s="6">
        <f t="shared" si="39"/>
        <v>0.1011164835164835</v>
      </c>
    </row>
    <row r="66" spans="1:26" s="24" customFormat="1" hidden="1" outlineLevel="2" x14ac:dyDescent="0.25">
      <c r="A66" s="25"/>
      <c r="B66" s="11" t="str">
        <f>CONCATENATE("          ", "6283", " - ", "PLANT SERVICE")</f>
        <v xml:space="preserve">          6283 - PLANT SERVICE</v>
      </c>
      <c r="C66" s="11"/>
      <c r="D66" s="7"/>
      <c r="E66" s="2"/>
      <c r="F66" s="6">
        <f t="shared" si="32"/>
        <v>0</v>
      </c>
      <c r="G66" s="2"/>
      <c r="H66" s="7">
        <v>35</v>
      </c>
      <c r="I66" s="2"/>
      <c r="J66" s="6">
        <f t="shared" si="33"/>
        <v>0</v>
      </c>
      <c r="K66" s="2"/>
      <c r="L66" s="7">
        <f t="shared" si="34"/>
        <v>-35</v>
      </c>
      <c r="M66" s="2"/>
      <c r="N66" s="6">
        <f t="shared" si="35"/>
        <v>-1</v>
      </c>
      <c r="O66" s="11"/>
      <c r="P66" s="7">
        <v>142.12</v>
      </c>
      <c r="Q66" s="2"/>
      <c r="R66" s="6">
        <f t="shared" si="36"/>
        <v>0</v>
      </c>
      <c r="S66" s="2"/>
      <c r="T66" s="7">
        <v>210</v>
      </c>
      <c r="U66" s="2"/>
      <c r="V66" s="6">
        <f t="shared" si="37"/>
        <v>0</v>
      </c>
      <c r="W66" s="2"/>
      <c r="X66" s="7">
        <f t="shared" si="38"/>
        <v>-67.88</v>
      </c>
      <c r="Y66" s="2"/>
      <c r="Z66" s="6">
        <f t="shared" si="39"/>
        <v>-0.32323809523809521</v>
      </c>
    </row>
    <row r="67" spans="1:26" s="24" customFormat="1" hidden="1" outlineLevel="2" x14ac:dyDescent="0.25">
      <c r="A67" s="25"/>
      <c r="B67" s="11" t="str">
        <f>CONCATENATE("          ", "6284", " - ", "TRASH REMOVAL EXPENSE")</f>
        <v xml:space="preserve">          6284 - TRASH REMOVAL EXPENSE</v>
      </c>
      <c r="C67" s="11"/>
      <c r="D67" s="7">
        <v>4254</v>
      </c>
      <c r="E67" s="2"/>
      <c r="F67" s="6">
        <f t="shared" si="32"/>
        <v>0</v>
      </c>
      <c r="G67" s="2"/>
      <c r="H67" s="7">
        <v>3000</v>
      </c>
      <c r="I67" s="2"/>
      <c r="J67" s="6">
        <f t="shared" si="33"/>
        <v>0</v>
      </c>
      <c r="K67" s="2"/>
      <c r="L67" s="7">
        <f t="shared" si="34"/>
        <v>1254</v>
      </c>
      <c r="M67" s="2"/>
      <c r="N67" s="6">
        <f t="shared" si="35"/>
        <v>0.41799999999999998</v>
      </c>
      <c r="O67" s="11"/>
      <c r="P67" s="7">
        <v>21995</v>
      </c>
      <c r="Q67" s="2"/>
      <c r="R67" s="6">
        <f t="shared" si="36"/>
        <v>0</v>
      </c>
      <c r="S67" s="2"/>
      <c r="T67" s="7">
        <v>21000</v>
      </c>
      <c r="U67" s="2"/>
      <c r="V67" s="6">
        <f t="shared" si="37"/>
        <v>0</v>
      </c>
      <c r="W67" s="2"/>
      <c r="X67" s="7">
        <f t="shared" si="38"/>
        <v>995</v>
      </c>
      <c r="Y67" s="2"/>
      <c r="Z67" s="6">
        <f t="shared" si="39"/>
        <v>4.7380952380952378E-2</v>
      </c>
    </row>
    <row r="68" spans="1:26" s="24" customFormat="1" hidden="1" outlineLevel="2" x14ac:dyDescent="0.25">
      <c r="A68" s="25"/>
      <c r="B68" s="11" t="str">
        <f>CONCATENATE("          ", "6285", " - ", "JANITORIAL SERVICES")</f>
        <v xml:space="preserve">          6285 - JANITORIAL SERVICES</v>
      </c>
      <c r="C68" s="11"/>
      <c r="D68" s="7">
        <v>10551.47</v>
      </c>
      <c r="E68" s="2"/>
      <c r="F68" s="6">
        <f t="shared" si="32"/>
        <v>0</v>
      </c>
      <c r="G68" s="2"/>
      <c r="H68" s="7">
        <v>9500</v>
      </c>
      <c r="I68" s="2"/>
      <c r="J68" s="6">
        <f t="shared" si="33"/>
        <v>0</v>
      </c>
      <c r="K68" s="2"/>
      <c r="L68" s="7">
        <f t="shared" si="34"/>
        <v>1051.4699999999993</v>
      </c>
      <c r="M68" s="2"/>
      <c r="N68" s="6">
        <f t="shared" si="35"/>
        <v>0.11068105263157887</v>
      </c>
      <c r="O68" s="11"/>
      <c r="P68" s="7">
        <v>71302.53</v>
      </c>
      <c r="Q68" s="2"/>
      <c r="R68" s="6">
        <f t="shared" si="36"/>
        <v>0</v>
      </c>
      <c r="S68" s="2"/>
      <c r="T68" s="7">
        <v>66500</v>
      </c>
      <c r="U68" s="2"/>
      <c r="V68" s="6">
        <f t="shared" si="37"/>
        <v>0</v>
      </c>
      <c r="W68" s="2"/>
      <c r="X68" s="7">
        <f t="shared" si="38"/>
        <v>4802.5299999999988</v>
      </c>
      <c r="Y68" s="2"/>
      <c r="Z68" s="6">
        <f t="shared" si="39"/>
        <v>7.221849624060149E-2</v>
      </c>
    </row>
    <row r="69" spans="1:26" s="24" customFormat="1" hidden="1" outlineLevel="2" x14ac:dyDescent="0.25">
      <c r="A69" s="25"/>
      <c r="B69" s="11" t="str">
        <f>CONCATENATE("          ", "6286", " - ", "LAUNDRY EXPENSE")</f>
        <v xml:space="preserve">          6286 - LAUNDRY EXPENSE</v>
      </c>
      <c r="C69" s="11"/>
      <c r="D69" s="7">
        <v>143.75</v>
      </c>
      <c r="E69" s="2"/>
      <c r="F69" s="6">
        <f t="shared" si="32"/>
        <v>0</v>
      </c>
      <c r="G69" s="2"/>
      <c r="H69" s="7">
        <v>500</v>
      </c>
      <c r="I69" s="2"/>
      <c r="J69" s="6">
        <f t="shared" si="33"/>
        <v>0</v>
      </c>
      <c r="K69" s="2"/>
      <c r="L69" s="7">
        <f t="shared" si="34"/>
        <v>-356.25</v>
      </c>
      <c r="M69" s="2"/>
      <c r="N69" s="6">
        <f t="shared" si="35"/>
        <v>-0.71250000000000002</v>
      </c>
      <c r="O69" s="11"/>
      <c r="P69" s="7">
        <v>595.79</v>
      </c>
      <c r="Q69" s="2"/>
      <c r="R69" s="6">
        <f t="shared" si="36"/>
        <v>0</v>
      </c>
      <c r="S69" s="2"/>
      <c r="T69" s="7">
        <v>3500</v>
      </c>
      <c r="U69" s="2"/>
      <c r="V69" s="6">
        <f t="shared" si="37"/>
        <v>0</v>
      </c>
      <c r="W69" s="2"/>
      <c r="X69" s="7">
        <f t="shared" si="38"/>
        <v>-2904.21</v>
      </c>
      <c r="Y69" s="2"/>
      <c r="Z69" s="6">
        <f t="shared" si="39"/>
        <v>-0.82977428571428569</v>
      </c>
    </row>
    <row r="70" spans="1:26" s="27" customFormat="1" outlineLevel="1" collapsed="1" x14ac:dyDescent="0.25">
      <c r="A70" s="26"/>
      <c r="B70" s="13" t="str">
        <f>CONCATENATE("     ","Subscriptions &amp; Dues                              ")</f>
        <v xml:space="preserve">     Subscriptions &amp; Dues                              </v>
      </c>
      <c r="C70" s="13"/>
      <c r="D70" s="1">
        <f>SUM(OSRRefD22_12x_0)</f>
        <v>0</v>
      </c>
      <c r="E70" s="1"/>
      <c r="F70" s="5">
        <f t="shared" ref="F70:F79" si="40">IF(D$12=0,0,D70/D$12)</f>
        <v>0</v>
      </c>
      <c r="G70" s="1"/>
      <c r="H70" s="1">
        <f>SUM(OSRRefH22_12x_0)</f>
        <v>0</v>
      </c>
      <c r="I70" s="1"/>
      <c r="J70" s="5">
        <f t="shared" ref="J70:J79" si="41">IF(H$12=0,0,H70/H$12)</f>
        <v>0</v>
      </c>
      <c r="K70" s="1"/>
      <c r="L70" s="1">
        <f t="shared" ref="L70:L79" si="42">+D70-H70</f>
        <v>0</v>
      </c>
      <c r="M70" s="1"/>
      <c r="N70" s="5">
        <f t="shared" ref="N70:N79" si="43">IF(H70=0,0,L70/H70)</f>
        <v>0</v>
      </c>
      <c r="O70" s="13"/>
      <c r="P70" s="1">
        <f>SUM(OSRRefP22_12x_0)</f>
        <v>795</v>
      </c>
      <c r="Q70" s="1"/>
      <c r="R70" s="5">
        <f t="shared" ref="R70:R79" si="44">IF(P$12=0,0,P70/P$12)</f>
        <v>0</v>
      </c>
      <c r="S70" s="1"/>
      <c r="T70" s="1">
        <f>SUM(OSRRefT22_12x_0)</f>
        <v>0</v>
      </c>
      <c r="U70" s="1"/>
      <c r="V70" s="5">
        <f t="shared" ref="V70:V79" si="45">IF(T$12=0,0,T70/T$12)</f>
        <v>0</v>
      </c>
      <c r="W70" s="1"/>
      <c r="X70" s="1">
        <f t="shared" ref="X70:X79" si="46">+P70-T70</f>
        <v>795</v>
      </c>
      <c r="Y70" s="1"/>
      <c r="Z70" s="5">
        <f t="shared" ref="Z70:Z79" si="47">IF(T70=0,0,X70/T70)</f>
        <v>0</v>
      </c>
    </row>
    <row r="71" spans="1:26" s="24" customFormat="1" hidden="1" outlineLevel="2" x14ac:dyDescent="0.25">
      <c r="A71" s="25"/>
      <c r="B71" s="11" t="str">
        <f>CONCATENATE("          ", "6258", " - ", "MEMBERSHIP DUES")</f>
        <v xml:space="preserve">          6258 - MEMBERSHIP DUES</v>
      </c>
      <c r="C71" s="11"/>
      <c r="D71" s="7"/>
      <c r="E71" s="2"/>
      <c r="F71" s="6">
        <f t="shared" si="40"/>
        <v>0</v>
      </c>
      <c r="G71" s="2"/>
      <c r="H71" s="7"/>
      <c r="I71" s="2"/>
      <c r="J71" s="6">
        <f t="shared" si="41"/>
        <v>0</v>
      </c>
      <c r="K71" s="2"/>
      <c r="L71" s="7">
        <f t="shared" si="42"/>
        <v>0</v>
      </c>
      <c r="M71" s="2"/>
      <c r="N71" s="6">
        <f t="shared" si="43"/>
        <v>0</v>
      </c>
      <c r="O71" s="11"/>
      <c r="P71" s="7">
        <v>795</v>
      </c>
      <c r="Q71" s="2"/>
      <c r="R71" s="6">
        <f t="shared" si="44"/>
        <v>0</v>
      </c>
      <c r="S71" s="2"/>
      <c r="T71" s="7"/>
      <c r="U71" s="2"/>
      <c r="V71" s="6">
        <f t="shared" si="45"/>
        <v>0</v>
      </c>
      <c r="W71" s="2"/>
      <c r="X71" s="7">
        <f t="shared" si="46"/>
        <v>795</v>
      </c>
      <c r="Y71" s="2"/>
      <c r="Z71" s="6">
        <f t="shared" si="47"/>
        <v>0</v>
      </c>
    </row>
    <row r="72" spans="1:26" s="27" customFormat="1" outlineLevel="1" collapsed="1" x14ac:dyDescent="0.25">
      <c r="A72" s="26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SUM(OSRRefD22_13x_0)</f>
        <v>5597.5599999999986</v>
      </c>
      <c r="E72" s="1"/>
      <c r="F72" s="5">
        <f t="shared" si="40"/>
        <v>0</v>
      </c>
      <c r="G72" s="1"/>
      <c r="H72" s="1">
        <f>SUM(OSRRefH22_13x_0)</f>
        <v>6100</v>
      </c>
      <c r="I72" s="1"/>
      <c r="J72" s="5">
        <f t="shared" si="41"/>
        <v>0</v>
      </c>
      <c r="K72" s="1"/>
      <c r="L72" s="1">
        <f t="shared" si="42"/>
        <v>-502.44000000000142</v>
      </c>
      <c r="M72" s="1"/>
      <c r="N72" s="5">
        <f t="shared" si="43"/>
        <v>-8.2367213114754326E-2</v>
      </c>
      <c r="O72" s="13"/>
      <c r="P72" s="1">
        <f>SUM(OSRRefP22_13x_0)</f>
        <v>51269.640000000007</v>
      </c>
      <c r="Q72" s="1"/>
      <c r="R72" s="5">
        <f t="shared" si="44"/>
        <v>0</v>
      </c>
      <c r="S72" s="1"/>
      <c r="T72" s="1">
        <f>SUM(OSRRefT22_13x_0)</f>
        <v>38500</v>
      </c>
      <c r="U72" s="1"/>
      <c r="V72" s="5">
        <f t="shared" si="45"/>
        <v>0</v>
      </c>
      <c r="W72" s="1"/>
      <c r="X72" s="1">
        <f t="shared" si="46"/>
        <v>12769.640000000007</v>
      </c>
      <c r="Y72" s="1"/>
      <c r="Z72" s="5">
        <f t="shared" si="47"/>
        <v>0.33167896103896122</v>
      </c>
    </row>
    <row r="73" spans="1:26" s="24" customFormat="1" hidden="1" outlineLevel="2" x14ac:dyDescent="0.25">
      <c r="A73" s="25"/>
      <c r="B73" s="11" t="str">
        <f>CONCATENATE("          ", "6234", " - ", "EXPENDABLE SUPPLIES &amp; EQUIPMEN")</f>
        <v xml:space="preserve">          6234 - EXPENDABLE SUPPLIES &amp; EQUIPMEN</v>
      </c>
      <c r="C73" s="11"/>
      <c r="D73" s="7"/>
      <c r="E73" s="2"/>
      <c r="F73" s="6">
        <f t="shared" si="40"/>
        <v>0</v>
      </c>
      <c r="G73" s="2"/>
      <c r="H73" s="7"/>
      <c r="I73" s="2"/>
      <c r="J73" s="6">
        <f t="shared" si="41"/>
        <v>0</v>
      </c>
      <c r="K73" s="2"/>
      <c r="L73" s="7">
        <f t="shared" si="42"/>
        <v>0</v>
      </c>
      <c r="M73" s="2"/>
      <c r="N73" s="6">
        <f t="shared" si="43"/>
        <v>0</v>
      </c>
      <c r="O73" s="11"/>
      <c r="P73" s="7">
        <v>8091.25</v>
      </c>
      <c r="Q73" s="2"/>
      <c r="R73" s="6">
        <f t="shared" si="44"/>
        <v>0</v>
      </c>
      <c r="S73" s="2"/>
      <c r="T73" s="7"/>
      <c r="U73" s="2"/>
      <c r="V73" s="6">
        <f t="shared" si="45"/>
        <v>0</v>
      </c>
      <c r="W73" s="2"/>
      <c r="X73" s="7">
        <f t="shared" si="46"/>
        <v>8091.25</v>
      </c>
      <c r="Y73" s="2"/>
      <c r="Z73" s="6">
        <f t="shared" si="47"/>
        <v>0</v>
      </c>
    </row>
    <row r="74" spans="1:26" s="24" customFormat="1" hidden="1" outlineLevel="2" x14ac:dyDescent="0.25">
      <c r="A74" s="25"/>
      <c r="B74" s="11" t="str">
        <f>CONCATENATE("          ", "6237", " - ", "JANITORIAL SUPPLIES")</f>
        <v xml:space="preserve">          6237 - JANITORIAL SUPPLIES</v>
      </c>
      <c r="C74" s="11"/>
      <c r="D74" s="7">
        <v>4198.7299999999996</v>
      </c>
      <c r="E74" s="2"/>
      <c r="F74" s="6">
        <f t="shared" si="40"/>
        <v>0</v>
      </c>
      <c r="G74" s="2"/>
      <c r="H74" s="7">
        <v>4000</v>
      </c>
      <c r="I74" s="2"/>
      <c r="J74" s="6">
        <f t="shared" si="41"/>
        <v>0</v>
      </c>
      <c r="K74" s="2"/>
      <c r="L74" s="7">
        <f t="shared" si="42"/>
        <v>198.72999999999956</v>
      </c>
      <c r="M74" s="2"/>
      <c r="N74" s="6">
        <f t="shared" si="43"/>
        <v>4.9682499999999893E-2</v>
      </c>
      <c r="O74" s="11"/>
      <c r="P74" s="7">
        <v>26479.350000000002</v>
      </c>
      <c r="Q74" s="2"/>
      <c r="R74" s="6">
        <f t="shared" si="44"/>
        <v>0</v>
      </c>
      <c r="S74" s="2"/>
      <c r="T74" s="7">
        <v>24000</v>
      </c>
      <c r="U74" s="2"/>
      <c r="V74" s="6">
        <f t="shared" si="45"/>
        <v>0</v>
      </c>
      <c r="W74" s="2"/>
      <c r="X74" s="7">
        <f t="shared" si="46"/>
        <v>2479.3500000000022</v>
      </c>
      <c r="Y74" s="2"/>
      <c r="Z74" s="6">
        <f t="shared" si="47"/>
        <v>0.10330625000000009</v>
      </c>
    </row>
    <row r="75" spans="1:26" s="24" customFormat="1" hidden="1" outlineLevel="2" x14ac:dyDescent="0.25">
      <c r="A75" s="25"/>
      <c r="B75" s="11" t="str">
        <f>CONCATENATE("          ", "6239", " - ", "KITCHEN SUPPLIES")</f>
        <v xml:space="preserve">          6239 - KITCHEN SUPPLIES</v>
      </c>
      <c r="C75" s="11"/>
      <c r="D75" s="7">
        <v>1335.61</v>
      </c>
      <c r="E75" s="2"/>
      <c r="F75" s="6">
        <f t="shared" si="40"/>
        <v>0</v>
      </c>
      <c r="G75" s="2"/>
      <c r="H75" s="7"/>
      <c r="I75" s="2"/>
      <c r="J75" s="6">
        <f t="shared" si="41"/>
        <v>0</v>
      </c>
      <c r="K75" s="2"/>
      <c r="L75" s="7">
        <f t="shared" si="42"/>
        <v>1335.61</v>
      </c>
      <c r="M75" s="2"/>
      <c r="N75" s="6">
        <f t="shared" si="43"/>
        <v>0</v>
      </c>
      <c r="O75" s="11"/>
      <c r="P75" s="7">
        <v>15338.670000000002</v>
      </c>
      <c r="Q75" s="2"/>
      <c r="R75" s="6">
        <f t="shared" si="44"/>
        <v>0</v>
      </c>
      <c r="S75" s="2"/>
      <c r="T75" s="7">
        <v>6000</v>
      </c>
      <c r="U75" s="2"/>
      <c r="V75" s="6">
        <f t="shared" si="45"/>
        <v>0</v>
      </c>
      <c r="W75" s="2"/>
      <c r="X75" s="7">
        <f t="shared" si="46"/>
        <v>9338.6700000000019</v>
      </c>
      <c r="Y75" s="2"/>
      <c r="Z75" s="6">
        <f t="shared" si="47"/>
        <v>1.5564450000000003</v>
      </c>
    </row>
    <row r="76" spans="1:26" s="24" customFormat="1" hidden="1" outlineLevel="2" x14ac:dyDescent="0.25">
      <c r="A76" s="25"/>
      <c r="B76" s="11" t="str">
        <f>CONCATENATE("          ", "6241", " - ", "OFFICE EXPENSE")</f>
        <v xml:space="preserve">          6241 - OFFICE EXPENSE</v>
      </c>
      <c r="C76" s="11"/>
      <c r="D76" s="7">
        <v>47.23</v>
      </c>
      <c r="E76" s="2"/>
      <c r="F76" s="6">
        <f t="shared" si="40"/>
        <v>0</v>
      </c>
      <c r="G76" s="2"/>
      <c r="H76" s="7">
        <v>200</v>
      </c>
      <c r="I76" s="2"/>
      <c r="J76" s="6">
        <f t="shared" si="41"/>
        <v>0</v>
      </c>
      <c r="K76" s="2"/>
      <c r="L76" s="7">
        <f t="shared" si="42"/>
        <v>-152.77000000000001</v>
      </c>
      <c r="M76" s="2"/>
      <c r="N76" s="6">
        <f t="shared" si="43"/>
        <v>-0.76385000000000003</v>
      </c>
      <c r="O76" s="11"/>
      <c r="P76" s="7">
        <v>1045.48</v>
      </c>
      <c r="Q76" s="2"/>
      <c r="R76" s="6">
        <f t="shared" si="44"/>
        <v>0</v>
      </c>
      <c r="S76" s="2"/>
      <c r="T76" s="7">
        <v>1700</v>
      </c>
      <c r="U76" s="2"/>
      <c r="V76" s="6">
        <f t="shared" si="45"/>
        <v>0</v>
      </c>
      <c r="W76" s="2"/>
      <c r="X76" s="7">
        <f t="shared" si="46"/>
        <v>-654.52</v>
      </c>
      <c r="Y76" s="2"/>
      <c r="Z76" s="6">
        <f t="shared" si="47"/>
        <v>-0.38501176470588233</v>
      </c>
    </row>
    <row r="77" spans="1:26" s="24" customFormat="1" hidden="1" outlineLevel="2" x14ac:dyDescent="0.25">
      <c r="A77" s="25"/>
      <c r="B77" s="11" t="str">
        <f>CONCATENATE("          ", "6243", " - ", "PAPER SUPPLIES")</f>
        <v xml:space="preserve">          6243 - PAPER SUPPLIES</v>
      </c>
      <c r="C77" s="11"/>
      <c r="D77" s="7"/>
      <c r="E77" s="2"/>
      <c r="F77" s="6">
        <f t="shared" si="40"/>
        <v>0</v>
      </c>
      <c r="G77" s="2"/>
      <c r="H77" s="7">
        <v>400</v>
      </c>
      <c r="I77" s="2"/>
      <c r="J77" s="6">
        <f t="shared" si="41"/>
        <v>0</v>
      </c>
      <c r="K77" s="2"/>
      <c r="L77" s="7">
        <f t="shared" si="42"/>
        <v>-400</v>
      </c>
      <c r="M77" s="2"/>
      <c r="N77" s="6">
        <f t="shared" si="43"/>
        <v>-1</v>
      </c>
      <c r="O77" s="11"/>
      <c r="P77" s="7"/>
      <c r="Q77" s="2"/>
      <c r="R77" s="6">
        <f t="shared" si="44"/>
        <v>0</v>
      </c>
      <c r="S77" s="2"/>
      <c r="T77" s="7">
        <v>2800</v>
      </c>
      <c r="U77" s="2"/>
      <c r="V77" s="6">
        <f t="shared" si="45"/>
        <v>0</v>
      </c>
      <c r="W77" s="2"/>
      <c r="X77" s="7">
        <f t="shared" si="46"/>
        <v>-2800</v>
      </c>
      <c r="Y77" s="2"/>
      <c r="Z77" s="6">
        <f t="shared" si="47"/>
        <v>-1</v>
      </c>
    </row>
    <row r="78" spans="1:26" s="24" customFormat="1" hidden="1" outlineLevel="2" x14ac:dyDescent="0.25">
      <c r="A78" s="25"/>
      <c r="B78" s="11" t="str">
        <f>CONCATENATE("          ", "6245", " - ", "PRINTING")</f>
        <v xml:space="preserve">          6245 - PRINTING</v>
      </c>
      <c r="C78" s="11"/>
      <c r="D78" s="7">
        <v>15.99</v>
      </c>
      <c r="E78" s="2"/>
      <c r="F78" s="6">
        <f t="shared" si="40"/>
        <v>0</v>
      </c>
      <c r="G78" s="2"/>
      <c r="H78" s="7">
        <v>500</v>
      </c>
      <c r="I78" s="2"/>
      <c r="J78" s="6">
        <f t="shared" si="41"/>
        <v>0</v>
      </c>
      <c r="K78" s="2"/>
      <c r="L78" s="7">
        <f t="shared" si="42"/>
        <v>-484.01</v>
      </c>
      <c r="M78" s="2"/>
      <c r="N78" s="6">
        <f t="shared" si="43"/>
        <v>-0.96801999999999999</v>
      </c>
      <c r="O78" s="11"/>
      <c r="P78" s="7">
        <v>15.99</v>
      </c>
      <c r="Q78" s="2"/>
      <c r="R78" s="6">
        <f t="shared" si="44"/>
        <v>0</v>
      </c>
      <c r="S78" s="2"/>
      <c r="T78" s="7">
        <v>1500</v>
      </c>
      <c r="U78" s="2"/>
      <c r="V78" s="6">
        <f t="shared" si="45"/>
        <v>0</v>
      </c>
      <c r="W78" s="2"/>
      <c r="X78" s="7">
        <f t="shared" si="46"/>
        <v>-1484.01</v>
      </c>
      <c r="Y78" s="2"/>
      <c r="Z78" s="6">
        <f t="shared" si="47"/>
        <v>-0.98934</v>
      </c>
    </row>
    <row r="79" spans="1:26" s="24" customFormat="1" hidden="1" outlineLevel="2" x14ac:dyDescent="0.25">
      <c r="A79" s="25"/>
      <c r="B79" s="11" t="str">
        <f>CONCATENATE("          ", "6248", " - ", "UNIFORMS")</f>
        <v xml:space="preserve">          6248 - UNIFORMS</v>
      </c>
      <c r="C79" s="11"/>
      <c r="D79" s="7"/>
      <c r="E79" s="2"/>
      <c r="F79" s="6">
        <f t="shared" si="40"/>
        <v>0</v>
      </c>
      <c r="G79" s="2"/>
      <c r="H79" s="7">
        <v>1000</v>
      </c>
      <c r="I79" s="2"/>
      <c r="J79" s="6">
        <f t="shared" si="41"/>
        <v>0</v>
      </c>
      <c r="K79" s="2"/>
      <c r="L79" s="7">
        <f t="shared" si="42"/>
        <v>-1000</v>
      </c>
      <c r="M79" s="2"/>
      <c r="N79" s="6">
        <f t="shared" si="43"/>
        <v>-1</v>
      </c>
      <c r="O79" s="11"/>
      <c r="P79" s="7">
        <v>298.89999999999998</v>
      </c>
      <c r="Q79" s="2"/>
      <c r="R79" s="6">
        <f t="shared" si="44"/>
        <v>0</v>
      </c>
      <c r="S79" s="2"/>
      <c r="T79" s="7">
        <v>2500</v>
      </c>
      <c r="U79" s="2"/>
      <c r="V79" s="6">
        <f t="shared" si="45"/>
        <v>0</v>
      </c>
      <c r="W79" s="2"/>
      <c r="X79" s="7">
        <f t="shared" si="46"/>
        <v>-2201.1</v>
      </c>
      <c r="Y79" s="2"/>
      <c r="Z79" s="6">
        <f t="shared" si="47"/>
        <v>-0.88044</v>
      </c>
    </row>
    <row r="80" spans="1:26" s="27" customFormat="1" outlineLevel="1" collapsed="1" x14ac:dyDescent="0.25">
      <c r="A80" s="26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SUM(OSRRefD22_14x_0)</f>
        <v>567.98</v>
      </c>
      <c r="E80" s="1"/>
      <c r="F80" s="5">
        <f t="shared" ref="F80:F87" si="48">IF(D$12=0,0,D80/D$12)</f>
        <v>0</v>
      </c>
      <c r="G80" s="1"/>
      <c r="H80" s="1">
        <f>SUM(OSRRefH22_14x_0)</f>
        <v>500</v>
      </c>
      <c r="I80" s="1"/>
      <c r="J80" s="5">
        <f t="shared" ref="J80:J87" si="49">IF(H$12=0,0,H80/H$12)</f>
        <v>0</v>
      </c>
      <c r="K80" s="1"/>
      <c r="L80" s="1">
        <f t="shared" ref="L80:L87" si="50">+D80-H80</f>
        <v>67.980000000000018</v>
      </c>
      <c r="M80" s="1"/>
      <c r="N80" s="5">
        <f t="shared" ref="N80:N87" si="51">IF(H80=0,0,L80/H80)</f>
        <v>0.13596000000000003</v>
      </c>
      <c r="O80" s="13"/>
      <c r="P80" s="1">
        <f>SUM(OSRRefP22_14x_0)</f>
        <v>2903.78</v>
      </c>
      <c r="Q80" s="1"/>
      <c r="R80" s="5">
        <f t="shared" ref="R80:R87" si="52">IF(P$12=0,0,P80/P$12)</f>
        <v>0</v>
      </c>
      <c r="S80" s="1"/>
      <c r="T80" s="1">
        <f>SUM(OSRRefT22_14x_0)</f>
        <v>3500</v>
      </c>
      <c r="U80" s="1"/>
      <c r="V80" s="5">
        <f t="shared" ref="V80:V87" si="53">IF(T$12=0,0,T80/T$12)</f>
        <v>0</v>
      </c>
      <c r="W80" s="1"/>
      <c r="X80" s="1">
        <f t="shared" ref="X80:X87" si="54">+P80-T80</f>
        <v>-596.2199999999998</v>
      </c>
      <c r="Y80" s="1"/>
      <c r="Z80" s="5">
        <f t="shared" ref="Z80:Z87" si="55">IF(T80=0,0,X80/T80)</f>
        <v>-0.17034857142857138</v>
      </c>
    </row>
    <row r="81" spans="1:26" s="24" customFormat="1" hidden="1" outlineLevel="2" x14ac:dyDescent="0.25">
      <c r="A81" s="25"/>
      <c r="B81" s="11" t="str">
        <f>CONCATENATE("          ", "6309", " - ", "TELEPHONE")</f>
        <v xml:space="preserve">          6309 - TELEPHONE</v>
      </c>
      <c r="C81" s="11"/>
      <c r="D81" s="7">
        <v>567.98</v>
      </c>
      <c r="E81" s="2"/>
      <c r="F81" s="6">
        <f t="shared" si="48"/>
        <v>0</v>
      </c>
      <c r="G81" s="2"/>
      <c r="H81" s="7">
        <v>500</v>
      </c>
      <c r="I81" s="2"/>
      <c r="J81" s="6">
        <f t="shared" si="49"/>
        <v>0</v>
      </c>
      <c r="K81" s="2"/>
      <c r="L81" s="7">
        <f t="shared" si="50"/>
        <v>67.980000000000018</v>
      </c>
      <c r="M81" s="2"/>
      <c r="N81" s="6">
        <f t="shared" si="51"/>
        <v>0.13596000000000003</v>
      </c>
      <c r="O81" s="11"/>
      <c r="P81" s="7">
        <v>2903.78</v>
      </c>
      <c r="Q81" s="2"/>
      <c r="R81" s="6">
        <f t="shared" si="52"/>
        <v>0</v>
      </c>
      <c r="S81" s="2"/>
      <c r="T81" s="7">
        <v>3500</v>
      </c>
      <c r="U81" s="2"/>
      <c r="V81" s="6">
        <f t="shared" si="53"/>
        <v>0</v>
      </c>
      <c r="W81" s="2"/>
      <c r="X81" s="7">
        <f t="shared" si="54"/>
        <v>-596.2199999999998</v>
      </c>
      <c r="Y81" s="2"/>
      <c r="Z81" s="6">
        <f t="shared" si="55"/>
        <v>-0.17034857142857138</v>
      </c>
    </row>
    <row r="82" spans="1:26" s="27" customFormat="1" outlineLevel="1" collapsed="1" x14ac:dyDescent="0.25">
      <c r="A82" s="26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SUM(OSRRefD22_15x_0)</f>
        <v>0</v>
      </c>
      <c r="E82" s="1"/>
      <c r="F82" s="5">
        <f t="shared" si="48"/>
        <v>0</v>
      </c>
      <c r="G82" s="1"/>
      <c r="H82" s="1">
        <f>SUM(OSRRefH22_15x_0)</f>
        <v>0</v>
      </c>
      <c r="I82" s="1"/>
      <c r="J82" s="5">
        <f t="shared" si="49"/>
        <v>0</v>
      </c>
      <c r="K82" s="1"/>
      <c r="L82" s="1">
        <f t="shared" si="50"/>
        <v>0</v>
      </c>
      <c r="M82" s="1"/>
      <c r="N82" s="5">
        <f t="shared" si="51"/>
        <v>0</v>
      </c>
      <c r="O82" s="13"/>
      <c r="P82" s="1">
        <f>SUM(OSRRefP22_15x_0)</f>
        <v>240</v>
      </c>
      <c r="Q82" s="1"/>
      <c r="R82" s="5">
        <f t="shared" si="52"/>
        <v>0</v>
      </c>
      <c r="S82" s="1"/>
      <c r="T82" s="1">
        <f>SUM(OSRRefT22_15x_0)</f>
        <v>1500</v>
      </c>
      <c r="U82" s="1"/>
      <c r="V82" s="5">
        <f t="shared" si="53"/>
        <v>0</v>
      </c>
      <c r="W82" s="1"/>
      <c r="X82" s="1">
        <f t="shared" si="54"/>
        <v>-1260</v>
      </c>
      <c r="Y82" s="1"/>
      <c r="Z82" s="5">
        <f t="shared" si="55"/>
        <v>-0.84</v>
      </c>
    </row>
    <row r="83" spans="1:26" s="24" customFormat="1" hidden="1" outlineLevel="2" x14ac:dyDescent="0.25">
      <c r="A83" s="25"/>
      <c r="B83" s="11" t="str">
        <f>CONCATENATE("          ", "6376", " - ", "TRAINING")</f>
        <v xml:space="preserve">          6376 - TRAINING</v>
      </c>
      <c r="C83" s="11"/>
      <c r="D83" s="7"/>
      <c r="E83" s="2"/>
      <c r="F83" s="6">
        <f t="shared" si="48"/>
        <v>0</v>
      </c>
      <c r="G83" s="2"/>
      <c r="H83" s="7"/>
      <c r="I83" s="2"/>
      <c r="J83" s="6">
        <f t="shared" si="49"/>
        <v>0</v>
      </c>
      <c r="K83" s="2"/>
      <c r="L83" s="7">
        <f t="shared" si="50"/>
        <v>0</v>
      </c>
      <c r="M83" s="2"/>
      <c r="N83" s="6">
        <f t="shared" si="51"/>
        <v>0</v>
      </c>
      <c r="O83" s="11"/>
      <c r="P83" s="7">
        <v>240</v>
      </c>
      <c r="Q83" s="2"/>
      <c r="R83" s="6">
        <f t="shared" si="52"/>
        <v>0</v>
      </c>
      <c r="S83" s="2"/>
      <c r="T83" s="7">
        <v>1500</v>
      </c>
      <c r="U83" s="2"/>
      <c r="V83" s="6">
        <f t="shared" si="53"/>
        <v>0</v>
      </c>
      <c r="W83" s="2"/>
      <c r="X83" s="7">
        <f t="shared" si="54"/>
        <v>-1260</v>
      </c>
      <c r="Y83" s="2"/>
      <c r="Z83" s="6">
        <f t="shared" si="55"/>
        <v>-0.84</v>
      </c>
    </row>
    <row r="84" spans="1:26" s="27" customFormat="1" outlineLevel="1" collapsed="1" x14ac:dyDescent="0.25">
      <c r="A84" s="26"/>
      <c r="B84" s="13" t="str">
        <f>CONCATENATE("     ","Travel                                            ")</f>
        <v xml:space="preserve">     Travel                                            </v>
      </c>
      <c r="C84" s="13"/>
      <c r="D84" s="1">
        <f>SUM(OSRRefD22_16x_0)</f>
        <v>125.53</v>
      </c>
      <c r="E84" s="1"/>
      <c r="F84" s="5">
        <f t="shared" si="48"/>
        <v>0</v>
      </c>
      <c r="G84" s="1"/>
      <c r="H84" s="1">
        <f>SUM(OSRRefH22_16x_0)</f>
        <v>0</v>
      </c>
      <c r="I84" s="1"/>
      <c r="J84" s="5">
        <f t="shared" si="49"/>
        <v>0</v>
      </c>
      <c r="K84" s="1"/>
      <c r="L84" s="1">
        <f t="shared" si="50"/>
        <v>125.53</v>
      </c>
      <c r="M84" s="1"/>
      <c r="N84" s="5">
        <f t="shared" si="51"/>
        <v>0</v>
      </c>
      <c r="O84" s="13"/>
      <c r="P84" s="1">
        <f>SUM(OSRRefP22_16x_0)</f>
        <v>1800.2</v>
      </c>
      <c r="Q84" s="1"/>
      <c r="R84" s="5">
        <f t="shared" si="52"/>
        <v>0</v>
      </c>
      <c r="S84" s="1"/>
      <c r="T84" s="1">
        <f>SUM(OSRRefT22_16x_0)</f>
        <v>2000</v>
      </c>
      <c r="U84" s="1"/>
      <c r="V84" s="5">
        <f t="shared" si="53"/>
        <v>0</v>
      </c>
      <c r="W84" s="1"/>
      <c r="X84" s="1">
        <f t="shared" si="54"/>
        <v>-199.79999999999995</v>
      </c>
      <c r="Y84" s="1"/>
      <c r="Z84" s="5">
        <f t="shared" si="55"/>
        <v>-9.9899999999999975E-2</v>
      </c>
    </row>
    <row r="85" spans="1:26" s="24" customFormat="1" hidden="1" outlineLevel="2" x14ac:dyDescent="0.25">
      <c r="A85" s="25"/>
      <c r="B85" s="11" t="str">
        <f>CONCATENATE("          ", "6292", " - ", "TRAVEL/CONFERENCE")</f>
        <v xml:space="preserve">          6292 - TRAVEL/CONFERENCE</v>
      </c>
      <c r="C85" s="11"/>
      <c r="D85" s="7">
        <v>21.44</v>
      </c>
      <c r="E85" s="2"/>
      <c r="F85" s="6">
        <f t="shared" si="48"/>
        <v>0</v>
      </c>
      <c r="G85" s="2"/>
      <c r="H85" s="7"/>
      <c r="I85" s="2"/>
      <c r="J85" s="6">
        <f t="shared" si="49"/>
        <v>0</v>
      </c>
      <c r="K85" s="2"/>
      <c r="L85" s="7">
        <f t="shared" si="50"/>
        <v>21.44</v>
      </c>
      <c r="M85" s="2"/>
      <c r="N85" s="6">
        <f t="shared" si="51"/>
        <v>0</v>
      </c>
      <c r="O85" s="11"/>
      <c r="P85" s="7">
        <v>877.89</v>
      </c>
      <c r="Q85" s="2"/>
      <c r="R85" s="6">
        <f t="shared" si="52"/>
        <v>0</v>
      </c>
      <c r="S85" s="2"/>
      <c r="T85" s="7">
        <v>2000</v>
      </c>
      <c r="U85" s="2"/>
      <c r="V85" s="6">
        <f t="shared" si="53"/>
        <v>0</v>
      </c>
      <c r="W85" s="2"/>
      <c r="X85" s="7">
        <f t="shared" si="54"/>
        <v>-1122.1100000000001</v>
      </c>
      <c r="Y85" s="2"/>
      <c r="Z85" s="6">
        <f t="shared" si="55"/>
        <v>-0.56105500000000008</v>
      </c>
    </row>
    <row r="86" spans="1:26" s="24" customFormat="1" hidden="1" outlineLevel="2" x14ac:dyDescent="0.25">
      <c r="A86" s="25"/>
      <c r="B86" s="11" t="str">
        <f>CONCATENATE("          ", "6294", " - ", "TRAVEL OPERATIONAL")</f>
        <v xml:space="preserve">          6294 - TRAVEL OPERATIONAL</v>
      </c>
      <c r="C86" s="11"/>
      <c r="D86" s="7"/>
      <c r="E86" s="2"/>
      <c r="F86" s="6">
        <f t="shared" si="48"/>
        <v>0</v>
      </c>
      <c r="G86" s="2"/>
      <c r="H86" s="7"/>
      <c r="I86" s="2"/>
      <c r="J86" s="6">
        <f t="shared" si="49"/>
        <v>0</v>
      </c>
      <c r="K86" s="2"/>
      <c r="L86" s="7">
        <f t="shared" si="50"/>
        <v>0</v>
      </c>
      <c r="M86" s="2"/>
      <c r="N86" s="6">
        <f t="shared" si="51"/>
        <v>0</v>
      </c>
      <c r="O86" s="11"/>
      <c r="P86" s="7">
        <v>45.49</v>
      </c>
      <c r="Q86" s="2"/>
      <c r="R86" s="6">
        <f t="shared" si="52"/>
        <v>0</v>
      </c>
      <c r="S86" s="2"/>
      <c r="T86" s="7"/>
      <c r="U86" s="2"/>
      <c r="V86" s="6">
        <f t="shared" si="53"/>
        <v>0</v>
      </c>
      <c r="W86" s="2"/>
      <c r="X86" s="7">
        <f t="shared" si="54"/>
        <v>45.49</v>
      </c>
      <c r="Y86" s="2"/>
      <c r="Z86" s="6">
        <f t="shared" si="55"/>
        <v>0</v>
      </c>
    </row>
    <row r="87" spans="1:26" s="24" customFormat="1" hidden="1" outlineLevel="2" x14ac:dyDescent="0.25">
      <c r="A87" s="25"/>
      <c r="B87" s="11" t="str">
        <f>CONCATENATE("          ", "6298", " - ", "VEHICLE MILEAGE")</f>
        <v xml:space="preserve">          6298 - VEHICLE MILEAGE</v>
      </c>
      <c r="C87" s="11"/>
      <c r="D87" s="7">
        <v>104.09</v>
      </c>
      <c r="E87" s="2"/>
      <c r="F87" s="6">
        <f t="shared" si="48"/>
        <v>0</v>
      </c>
      <c r="G87" s="2"/>
      <c r="H87" s="7"/>
      <c r="I87" s="2"/>
      <c r="J87" s="6">
        <f t="shared" si="49"/>
        <v>0</v>
      </c>
      <c r="K87" s="2"/>
      <c r="L87" s="7">
        <f t="shared" si="50"/>
        <v>104.09</v>
      </c>
      <c r="M87" s="2"/>
      <c r="N87" s="6">
        <f t="shared" si="51"/>
        <v>0</v>
      </c>
      <c r="O87" s="11"/>
      <c r="P87" s="7">
        <v>876.82</v>
      </c>
      <c r="Q87" s="2"/>
      <c r="R87" s="6">
        <f t="shared" si="52"/>
        <v>0</v>
      </c>
      <c r="S87" s="2"/>
      <c r="T87" s="7"/>
      <c r="U87" s="2"/>
      <c r="V87" s="6">
        <f t="shared" si="53"/>
        <v>0</v>
      </c>
      <c r="W87" s="2"/>
      <c r="X87" s="7">
        <f t="shared" si="54"/>
        <v>876.82</v>
      </c>
      <c r="Y87" s="2"/>
      <c r="Z87" s="6">
        <f t="shared" si="55"/>
        <v>0</v>
      </c>
    </row>
    <row r="88" spans="1:26" s="27" customFormat="1" outlineLevel="1" collapsed="1" x14ac:dyDescent="0.25">
      <c r="A88" s="26"/>
      <c r="B88" s="13" t="str">
        <f>CONCATENATE("     ","Utilities                                         ")</f>
        <v xml:space="preserve">     Utilities                                         </v>
      </c>
      <c r="C88" s="13"/>
      <c r="D88" s="1">
        <f>SUM(OSRRefD22_17x_0)</f>
        <v>12923</v>
      </c>
      <c r="E88" s="1"/>
      <c r="F88" s="5">
        <f t="shared" ref="F88:F89" si="56">IF(D$12=0,0,D88/D$12)</f>
        <v>0</v>
      </c>
      <c r="G88" s="1"/>
      <c r="H88" s="1">
        <f>SUM(OSRRefH22_17x_0)</f>
        <v>20000</v>
      </c>
      <c r="I88" s="1"/>
      <c r="J88" s="5">
        <f t="shared" ref="J88:J89" si="57">IF(H$12=0,0,H88/H$12)</f>
        <v>0</v>
      </c>
      <c r="K88" s="1"/>
      <c r="L88" s="1">
        <f t="shared" ref="L88:L89" si="58">+D88-H88</f>
        <v>-7077</v>
      </c>
      <c r="M88" s="1"/>
      <c r="N88" s="5">
        <f t="shared" ref="N88:N89" si="59">IF(H88=0,0,L88/H88)</f>
        <v>-0.35385</v>
      </c>
      <c r="O88" s="13"/>
      <c r="P88" s="1">
        <f>SUM(OSRRefP22_17x_0)</f>
        <v>94514</v>
      </c>
      <c r="Q88" s="1"/>
      <c r="R88" s="5">
        <f t="shared" ref="R88:R89" si="60">IF(P$12=0,0,P88/P$12)</f>
        <v>0</v>
      </c>
      <c r="S88" s="1"/>
      <c r="T88" s="1">
        <f>SUM(OSRRefT22_17x_0)</f>
        <v>120000</v>
      </c>
      <c r="U88" s="1"/>
      <c r="V88" s="5">
        <f t="shared" ref="V88:V89" si="61">IF(T$12=0,0,T88/T$12)</f>
        <v>0</v>
      </c>
      <c r="W88" s="1"/>
      <c r="X88" s="1">
        <f t="shared" ref="X88:X89" si="62">+P88-T88</f>
        <v>-25486</v>
      </c>
      <c r="Y88" s="1"/>
      <c r="Z88" s="5">
        <f t="shared" ref="Z88:Z89" si="63">IF(T88=0,0,X88/T88)</f>
        <v>-0.21238333333333334</v>
      </c>
    </row>
    <row r="89" spans="1:26" s="24" customFormat="1" hidden="1" outlineLevel="2" x14ac:dyDescent="0.25">
      <c r="A89" s="25"/>
      <c r="B89" s="11" t="str">
        <f>CONCATENATE("          ", "6274", " - ", "UTILITIES")</f>
        <v xml:space="preserve">          6274 - UTILITIES</v>
      </c>
      <c r="C89" s="11"/>
      <c r="D89" s="7">
        <v>12923</v>
      </c>
      <c r="E89" s="2"/>
      <c r="F89" s="6">
        <f t="shared" si="56"/>
        <v>0</v>
      </c>
      <c r="G89" s="2"/>
      <c r="H89" s="7">
        <v>20000</v>
      </c>
      <c r="I89" s="2"/>
      <c r="J89" s="6">
        <f t="shared" si="57"/>
        <v>0</v>
      </c>
      <c r="K89" s="2"/>
      <c r="L89" s="7">
        <f t="shared" si="58"/>
        <v>-7077</v>
      </c>
      <c r="M89" s="2"/>
      <c r="N89" s="6">
        <f t="shared" si="59"/>
        <v>-0.35385</v>
      </c>
      <c r="O89" s="11"/>
      <c r="P89" s="7">
        <v>94514</v>
      </c>
      <c r="Q89" s="2"/>
      <c r="R89" s="6">
        <f t="shared" si="60"/>
        <v>0</v>
      </c>
      <c r="S89" s="2"/>
      <c r="T89" s="7">
        <v>120000</v>
      </c>
      <c r="U89" s="2"/>
      <c r="V89" s="6">
        <f t="shared" si="61"/>
        <v>0</v>
      </c>
      <c r="W89" s="2"/>
      <c r="X89" s="7">
        <f t="shared" si="62"/>
        <v>-25486</v>
      </c>
      <c r="Y89" s="2"/>
      <c r="Z89" s="6">
        <f t="shared" si="63"/>
        <v>-0.21238333333333334</v>
      </c>
    </row>
    <row r="90" spans="1:26" s="53" customFormat="1" x14ac:dyDescent="0.25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collapsed="1" x14ac:dyDescent="0.25">
      <c r="A91" s="10"/>
      <c r="B91" s="28" t="s">
        <v>0</v>
      </c>
      <c r="C91" s="10"/>
      <c r="D91" s="4">
        <f>SUM(OSRRefD25x_0)</f>
        <v>12372.470000000001</v>
      </c>
      <c r="E91" s="4"/>
      <c r="F91" s="12">
        <f t="shared" ref="F91:F93" si="64">IF(D$12=0,0,D91/D$12)</f>
        <v>0</v>
      </c>
      <c r="G91" s="4"/>
      <c r="H91" s="4">
        <f>SUM(OSRRefH25x_0)</f>
        <v>4391</v>
      </c>
      <c r="I91" s="4"/>
      <c r="J91" s="12">
        <f t="shared" ref="J91:J93" si="65">IF(H$12=0,0,H91/H$12)</f>
        <v>0</v>
      </c>
      <c r="K91" s="4"/>
      <c r="L91" s="4">
        <f t="shared" ref="L91:L93" si="66">+D91-H91</f>
        <v>7981.4700000000012</v>
      </c>
      <c r="M91" s="4"/>
      <c r="N91" s="12">
        <f t="shared" ref="N91:N93" si="67">IF(H91=0,0,L91/H91)</f>
        <v>1.817688453655204</v>
      </c>
      <c r="O91" s="10"/>
      <c r="P91" s="4">
        <f>SUM(OSRRefP25x_0)</f>
        <v>79311.429999999993</v>
      </c>
      <c r="Q91" s="4"/>
      <c r="R91" s="12">
        <f t="shared" ref="R91:R93" si="68">IF(P$12=0,0,P91/P$12)</f>
        <v>0</v>
      </c>
      <c r="S91" s="4"/>
      <c r="T91" s="4">
        <f>SUM(OSRRefT25x_0)</f>
        <v>38410</v>
      </c>
      <c r="U91" s="4"/>
      <c r="V91" s="12">
        <f t="shared" ref="V91:V93" si="69">IF(T$12=0,0,T91/T$12)</f>
        <v>0</v>
      </c>
      <c r="W91" s="4"/>
      <c r="X91" s="4">
        <f t="shared" ref="X91:X93" si="70">+P91-T91</f>
        <v>40901.429999999993</v>
      </c>
      <c r="Y91" s="4"/>
      <c r="Z91" s="12">
        <f t="shared" ref="Z91:Z93" si="71">IF(T91=0,0,X91/T91)</f>
        <v>1.0648640978911741</v>
      </c>
    </row>
    <row r="92" spans="1:26" s="24" customFormat="1" hidden="1" outlineLevel="1" x14ac:dyDescent="0.25">
      <c r="A92" s="44"/>
      <c r="B92" s="11" t="str">
        <f>CONCATENATE("          ", "9150", " - ", "MISC. INCOME")</f>
        <v xml:space="preserve">          9150 - MISC. INCOME</v>
      </c>
      <c r="C92" s="11"/>
      <c r="D92" s="2">
        <f>--11333.37</f>
        <v>11333.37</v>
      </c>
      <c r="E92" s="2"/>
      <c r="F92" s="19">
        <f t="shared" si="64"/>
        <v>0</v>
      </c>
      <c r="G92" s="2"/>
      <c r="H92" s="2">
        <v>4391</v>
      </c>
      <c r="I92" s="2"/>
      <c r="J92" s="19">
        <f t="shared" si="65"/>
        <v>0</v>
      </c>
      <c r="K92" s="2"/>
      <c r="L92" s="2">
        <f t="shared" si="66"/>
        <v>6942.3700000000008</v>
      </c>
      <c r="M92" s="2"/>
      <c r="N92" s="19">
        <f t="shared" si="67"/>
        <v>1.5810453199726715</v>
      </c>
      <c r="O92" s="11"/>
      <c r="P92" s="2">
        <f>--77261.4</f>
        <v>77261.399999999994</v>
      </c>
      <c r="Q92" s="2"/>
      <c r="R92" s="19">
        <f t="shared" si="68"/>
        <v>0</v>
      </c>
      <c r="S92" s="2"/>
      <c r="T92" s="2">
        <v>38410</v>
      </c>
      <c r="U92" s="2"/>
      <c r="V92" s="19">
        <f t="shared" si="69"/>
        <v>0</v>
      </c>
      <c r="W92" s="2"/>
      <c r="X92" s="2">
        <f t="shared" si="70"/>
        <v>38851.399999999994</v>
      </c>
      <c r="Y92" s="2"/>
      <c r="Z92" s="19">
        <f t="shared" si="71"/>
        <v>1.0114917990106742</v>
      </c>
    </row>
    <row r="93" spans="1:26" s="24" customFormat="1" hidden="1" outlineLevel="1" x14ac:dyDescent="0.25">
      <c r="A93" s="44"/>
      <c r="B93" s="11" t="str">
        <f>CONCATENATE("          ", "9160", " - ", "MISC. INCOME")</f>
        <v xml:space="preserve">          9160 - MISC. INCOME</v>
      </c>
      <c r="C93" s="11"/>
      <c r="D93" s="2">
        <f>--1039.1</f>
        <v>1039.0999999999999</v>
      </c>
      <c r="E93" s="2"/>
      <c r="F93" s="19">
        <f t="shared" si="64"/>
        <v>0</v>
      </c>
      <c r="G93" s="2"/>
      <c r="H93" s="2"/>
      <c r="I93" s="2"/>
      <c r="J93" s="19">
        <f t="shared" si="65"/>
        <v>0</v>
      </c>
      <c r="K93" s="2"/>
      <c r="L93" s="2">
        <f t="shared" si="66"/>
        <v>1039.0999999999999</v>
      </c>
      <c r="M93" s="2"/>
      <c r="N93" s="19">
        <f t="shared" si="67"/>
        <v>0</v>
      </c>
      <c r="O93" s="11"/>
      <c r="P93" s="2">
        <f>--2050.03</f>
        <v>2050.0300000000002</v>
      </c>
      <c r="Q93" s="2"/>
      <c r="R93" s="19">
        <f t="shared" si="68"/>
        <v>0</v>
      </c>
      <c r="S93" s="2"/>
      <c r="T93" s="2"/>
      <c r="U93" s="2"/>
      <c r="V93" s="19">
        <f t="shared" si="69"/>
        <v>0</v>
      </c>
      <c r="W93" s="2"/>
      <c r="X93" s="2">
        <f t="shared" si="70"/>
        <v>2050.0300000000002</v>
      </c>
      <c r="Y93" s="2"/>
      <c r="Z93" s="19">
        <f t="shared" si="71"/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9" t="s">
        <v>3</v>
      </c>
      <c r="C95" s="29"/>
      <c r="D95" s="21">
        <f>+D16-D18+D91</f>
        <v>-98090.139999999985</v>
      </c>
      <c r="E95" s="14"/>
      <c r="F95" s="20">
        <f>IF(D$12=0,0,D95/D$12)</f>
        <v>0</v>
      </c>
      <c r="G95" s="14"/>
      <c r="H95" s="21">
        <f>+H16-H18+H91</f>
        <v>-101466.66704590555</v>
      </c>
      <c r="I95" s="14"/>
      <c r="J95" s="20">
        <f>IF(H$12=0,0,H95/H$12)</f>
        <v>0</v>
      </c>
      <c r="K95" s="16"/>
      <c r="L95" s="21">
        <f>+D95-H95</f>
        <v>3376.527045905561</v>
      </c>
      <c r="M95" s="16"/>
      <c r="N95" s="20">
        <f>IF(H95=0,0,L95/H95)</f>
        <v>-3.3277204664443671E-2</v>
      </c>
      <c r="O95" s="28"/>
      <c r="P95" s="21">
        <f>+P16-P18+P91</f>
        <v>-635573.65000000014</v>
      </c>
      <c r="Q95" s="14"/>
      <c r="R95" s="20">
        <f>IF(P$12=0,0,P95/P$12)</f>
        <v>0</v>
      </c>
      <c r="S95" s="14"/>
      <c r="T95" s="21">
        <f>+T16-T18+T91</f>
        <v>-686137.94825520762</v>
      </c>
      <c r="U95" s="14"/>
      <c r="V95" s="20">
        <f>IF(T$12=0,0,T95/T$12)</f>
        <v>0</v>
      </c>
      <c r="W95" s="16"/>
      <c r="X95" s="21">
        <f>+P95-T95</f>
        <v>50564.298255207483</v>
      </c>
      <c r="Y95" s="16"/>
      <c r="Z95" s="20">
        <f>IF(T95=0,0,X95/T95)</f>
        <v>-7.369407038888949E-2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2"/>
      <c r="B97" s="10" t="s">
        <v>14</v>
      </c>
      <c r="C97" s="10"/>
      <c r="D97" s="4"/>
      <c r="E97" s="4"/>
      <c r="F97" s="12">
        <f>IF(D$12=0,0,D97/D$12)</f>
        <v>0</v>
      </c>
      <c r="G97" s="4"/>
      <c r="H97" s="4"/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/>
      <c r="Q97" s="4"/>
      <c r="R97" s="12">
        <f>IF(P$12=0,0,P97/P$12)</f>
        <v>0</v>
      </c>
      <c r="S97" s="4"/>
      <c r="T97" s="4"/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4</v>
      </c>
      <c r="C99" s="29"/>
      <c r="D99" s="34">
        <f>+D95-D97</f>
        <v>-98090.139999999985</v>
      </c>
      <c r="E99" s="14"/>
      <c r="F99" s="32">
        <f>IF(D$12=0,0,D99/D$12)</f>
        <v>0</v>
      </c>
      <c r="G99" s="14"/>
      <c r="H99" s="34">
        <f>+H95-H97</f>
        <v>-101466.66704590555</v>
      </c>
      <c r="I99" s="14"/>
      <c r="J99" s="32">
        <f>IF(H$12=0,0,H99/H$12)</f>
        <v>0</v>
      </c>
      <c r="K99" s="16"/>
      <c r="L99" s="34">
        <f>D99-H99</f>
        <v>3376.527045905561</v>
      </c>
      <c r="M99" s="16"/>
      <c r="N99" s="32">
        <f>IF(H99=0,0,L99/H99)</f>
        <v>-3.3277204664443671E-2</v>
      </c>
      <c r="O99" s="28"/>
      <c r="P99" s="34">
        <f>+P95-P97</f>
        <v>-635573.65000000014</v>
      </c>
      <c r="Q99" s="14"/>
      <c r="R99" s="32">
        <f>IF(P$12=0,0,P99/P$12)</f>
        <v>0</v>
      </c>
      <c r="S99" s="14"/>
      <c r="T99" s="34">
        <f>+T95-T97</f>
        <v>-686137.94825520762</v>
      </c>
      <c r="U99" s="14"/>
      <c r="V99" s="32">
        <f>IF(T$12=0,0,T99/T$12)</f>
        <v>0</v>
      </c>
      <c r="W99" s="16"/>
      <c r="X99" s="34">
        <f>P99-T99</f>
        <v>50564.298255207483</v>
      </c>
      <c r="Y99" s="16"/>
      <c r="Z99" s="32">
        <f>IF(T99=0,0,X99/T99)</f>
        <v>-7.369407038888949E-2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9" t="s">
        <v>5</v>
      </c>
      <c r="C102" s="29"/>
      <c r="D102" s="31">
        <f>SUM(D99:D101)</f>
        <v>-98090.139999999985</v>
      </c>
      <c r="E102" s="14"/>
      <c r="F102" s="30">
        <f>IF(D$12=0,0,D102/D$12)</f>
        <v>0</v>
      </c>
      <c r="G102" s="14"/>
      <c r="H102" s="31">
        <f>SUM(H99:H101)</f>
        <v>-101466.66704590555</v>
      </c>
      <c r="I102" s="14"/>
      <c r="J102" s="30">
        <f>IF(H$12=0,0,H102/H$12)</f>
        <v>0</v>
      </c>
      <c r="K102" s="16"/>
      <c r="L102" s="31">
        <f>+D102-H102</f>
        <v>3376.527045905561</v>
      </c>
      <c r="M102" s="16"/>
      <c r="N102" s="30">
        <f>IF(H102=0,0,L102/H102)</f>
        <v>-3.3277204664443671E-2</v>
      </c>
      <c r="O102" s="28"/>
      <c r="P102" s="31">
        <f>SUM(P99:P101)</f>
        <v>-635573.65000000014</v>
      </c>
      <c r="Q102" s="14"/>
      <c r="R102" s="30">
        <f>IF(P$12=0,0,P102/P$12)</f>
        <v>0</v>
      </c>
      <c r="S102" s="14"/>
      <c r="T102" s="31">
        <f>SUM(T99:T101)</f>
        <v>-686137.94825520762</v>
      </c>
      <c r="U102" s="14"/>
      <c r="V102" s="30">
        <f>IF(T$12=0,0,T102/T$12)</f>
        <v>0</v>
      </c>
      <c r="W102" s="16"/>
      <c r="X102" s="31">
        <f>+P102-T102</f>
        <v>50564.298255207483</v>
      </c>
      <c r="Y102" s="16"/>
      <c r="Z102" s="30">
        <f>IF(T102=0,0,X102/T102)</f>
        <v>-7.369407038888949E-2</v>
      </c>
    </row>
    <row r="103" spans="1:26" ht="15.75" thickTop="1" x14ac:dyDescent="0.25">
      <c r="A103" s="9"/>
      <c r="C103" s="9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A104" s="9"/>
      <c r="B104" s="63">
        <v>43879.546501192126</v>
      </c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57" t="s">
        <v>314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60"/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","412", " - ", "Chartroom")</f>
        <v>Department 412 - Chartroom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19774.169999999998</v>
      </c>
      <c r="E12" s="4"/>
      <c r="F12" s="12"/>
      <c r="G12" s="4"/>
      <c r="H12" s="4">
        <f>SUM(OSRRefH13x_0)</f>
        <v>57000</v>
      </c>
      <c r="I12" s="4"/>
      <c r="J12" s="12"/>
      <c r="K12" s="4"/>
      <c r="L12" s="4">
        <f t="shared" ref="L12:L16" si="0">+D12-H12</f>
        <v>-37225.83</v>
      </c>
      <c r="M12" s="4"/>
      <c r="N12" s="12">
        <f t="shared" ref="N12:N16" si="1">IF(H12=0,0,L12/H12)</f>
        <v>-0.65308473684210533</v>
      </c>
      <c r="O12" s="10"/>
      <c r="P12" s="4">
        <f>SUM(OSRRefP13x_0)</f>
        <v>347686.35000000003</v>
      </c>
      <c r="Q12" s="4"/>
      <c r="R12" s="12"/>
      <c r="S12" s="4"/>
      <c r="T12" s="4">
        <f>SUM(OSRRefT13x_0)</f>
        <v>624000</v>
      </c>
      <c r="U12" s="4"/>
      <c r="V12" s="12"/>
      <c r="W12" s="4"/>
      <c r="X12" s="4">
        <f t="shared" ref="X12:X16" si="2">+P12-T12</f>
        <v>-276313.64999999997</v>
      </c>
      <c r="Y12" s="4"/>
      <c r="Z12" s="12">
        <f t="shared" ref="Z12:Z16" si="3">IF(T12=0,0,X12/T12)</f>
        <v>-0.44281033653846147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53000</v>
      </c>
      <c r="I13" s="2"/>
      <c r="J13" s="19"/>
      <c r="K13" s="2"/>
      <c r="L13" s="2">
        <f t="shared" si="0"/>
        <v>-53000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591000</v>
      </c>
      <c r="U13" s="2"/>
      <c r="V13" s="19"/>
      <c r="W13" s="2"/>
      <c r="X13" s="2">
        <f t="shared" si="2"/>
        <v>-591000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--15004.96</f>
        <v>15004.96</v>
      </c>
      <c r="E14" s="2"/>
      <c r="F14" s="19"/>
      <c r="G14" s="2"/>
      <c r="H14" s="2"/>
      <c r="I14" s="2"/>
      <c r="J14" s="19"/>
      <c r="K14" s="2"/>
      <c r="L14" s="2">
        <f t="shared" si="0"/>
        <v>15004.96</v>
      </c>
      <c r="M14" s="2"/>
      <c r="N14" s="19">
        <f t="shared" si="1"/>
        <v>0</v>
      </c>
      <c r="O14" s="11"/>
      <c r="P14" s="2">
        <f>--308630.96</f>
        <v>308630.96000000002</v>
      </c>
      <c r="Q14" s="2"/>
      <c r="R14" s="19"/>
      <c r="S14" s="2"/>
      <c r="T14" s="2"/>
      <c r="U14" s="2"/>
      <c r="V14" s="19"/>
      <c r="W14" s="2"/>
      <c r="X14" s="2">
        <f t="shared" si="2"/>
        <v>308630.96000000002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4000</v>
      </c>
      <c r="I15" s="2"/>
      <c r="J15" s="19"/>
      <c r="K15" s="2"/>
      <c r="L15" s="2">
        <f t="shared" si="0"/>
        <v>-4000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33000</v>
      </c>
      <c r="U15" s="2"/>
      <c r="V15" s="19"/>
      <c r="W15" s="2"/>
      <c r="X15" s="2">
        <f t="shared" si="2"/>
        <v>-33000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"4152", " - ", "NON-TAXABLE SALES-FOOD")</f>
        <v xml:space="preserve">          4152 - NON-TAXABLE SALES-FOOD</v>
      </c>
      <c r="C16" s="11"/>
      <c r="D16" s="2">
        <f>--4769.21</f>
        <v>4769.21</v>
      </c>
      <c r="E16" s="2"/>
      <c r="F16" s="19"/>
      <c r="G16" s="2"/>
      <c r="H16" s="2"/>
      <c r="I16" s="2"/>
      <c r="J16" s="19"/>
      <c r="K16" s="2"/>
      <c r="L16" s="2">
        <f t="shared" si="0"/>
        <v>4769.21</v>
      </c>
      <c r="M16" s="2"/>
      <c r="N16" s="19">
        <f t="shared" si="1"/>
        <v>0</v>
      </c>
      <c r="O16" s="11"/>
      <c r="P16" s="2">
        <f>--39055.39</f>
        <v>39055.39</v>
      </c>
      <c r="Q16" s="2"/>
      <c r="R16" s="19"/>
      <c r="S16" s="2"/>
      <c r="T16" s="2"/>
      <c r="U16" s="2"/>
      <c r="V16" s="19"/>
      <c r="W16" s="2"/>
      <c r="X16" s="2">
        <f t="shared" si="2"/>
        <v>39055.39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21572.38</v>
      </c>
      <c r="E18" s="4"/>
      <c r="F18" s="12">
        <f t="shared" ref="F18:F20" si="4">IF(D$12=0,0,D18/D$12)</f>
        <v>1.0909373187344906</v>
      </c>
      <c r="G18" s="4"/>
      <c r="H18" s="4">
        <f>SUM(OSRRefH16x_0)</f>
        <v>17670</v>
      </c>
      <c r="I18" s="4"/>
      <c r="J18" s="12">
        <f t="shared" ref="J18:J20" si="5">IF(H$12=0,0,H18/H$12)</f>
        <v>0.31</v>
      </c>
      <c r="K18" s="4"/>
      <c r="L18" s="4">
        <f t="shared" ref="L18:L20" si="6">+D18-H18</f>
        <v>3902.380000000001</v>
      </c>
      <c r="M18" s="4"/>
      <c r="N18" s="12">
        <f t="shared" ref="N18:N20" si="7">IF(H18=0,0,L18/H18)</f>
        <v>0.22084776457272218</v>
      </c>
      <c r="O18" s="10"/>
      <c r="P18" s="4">
        <f>SUM(OSRRefP16x_0)</f>
        <v>161759.05000000002</v>
      </c>
      <c r="Q18" s="4"/>
      <c r="R18" s="12">
        <f t="shared" ref="R18:R20" si="8">IF(P$12=0,0,P18/P$12)</f>
        <v>0.4652441776906111</v>
      </c>
      <c r="S18" s="4"/>
      <c r="T18" s="4">
        <f>SUM(OSRRefT16x_0)</f>
        <v>193440</v>
      </c>
      <c r="U18" s="4"/>
      <c r="V18" s="12">
        <f t="shared" ref="V18:V20" si="9">IF(T$12=0,0,T18/T$12)</f>
        <v>0.31</v>
      </c>
      <c r="W18" s="4"/>
      <c r="X18" s="4">
        <f t="shared" ref="X18:X20" si="10">+P18-T18</f>
        <v>-31680.949999999983</v>
      </c>
      <c r="Y18" s="4"/>
      <c r="Z18" s="12">
        <f t="shared" ref="Z18:Z20" si="11">IF(T18=0,0,X18/T18)</f>
        <v>-0.16377662324234896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17670</v>
      </c>
      <c r="I19" s="2"/>
      <c r="J19" s="19">
        <f t="shared" si="5"/>
        <v>0.31</v>
      </c>
      <c r="K19" s="2"/>
      <c r="L19" s="2">
        <f t="shared" si="6"/>
        <v>-17670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193440</v>
      </c>
      <c r="U19" s="2"/>
      <c r="V19" s="19">
        <f t="shared" si="9"/>
        <v>0.31</v>
      </c>
      <c r="W19" s="2"/>
      <c r="X19" s="2">
        <f t="shared" si="10"/>
        <v>-193440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21572.38</v>
      </c>
      <c r="E20" s="2"/>
      <c r="F20" s="19">
        <f t="shared" si="4"/>
        <v>1.0909373187344906</v>
      </c>
      <c r="G20" s="2"/>
      <c r="H20" s="2"/>
      <c r="I20" s="2"/>
      <c r="J20" s="19">
        <f t="shared" si="5"/>
        <v>0</v>
      </c>
      <c r="K20" s="2"/>
      <c r="L20" s="2">
        <f t="shared" si="6"/>
        <v>21572.38</v>
      </c>
      <c r="M20" s="2"/>
      <c r="N20" s="19">
        <f t="shared" si="7"/>
        <v>0</v>
      </c>
      <c r="O20" s="11"/>
      <c r="P20" s="2">
        <v>161759.05000000002</v>
      </c>
      <c r="Q20" s="2"/>
      <c r="R20" s="19">
        <f t="shared" si="8"/>
        <v>0.4652441776906111</v>
      </c>
      <c r="S20" s="2"/>
      <c r="T20" s="2"/>
      <c r="U20" s="2"/>
      <c r="V20" s="19">
        <f t="shared" si="9"/>
        <v>0</v>
      </c>
      <c r="W20" s="2"/>
      <c r="X20" s="2">
        <f t="shared" si="10"/>
        <v>161759.05000000002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1">
        <f>D12-D18</f>
        <v>-1798.2100000000028</v>
      </c>
      <c r="E22" s="14"/>
      <c r="F22" s="20">
        <f>IF(D$12=0,0,D22/D$12)</f>
        <v>-9.0937318734490652E-2</v>
      </c>
      <c r="G22" s="14"/>
      <c r="H22" s="21">
        <f>H12-H18</f>
        <v>39330</v>
      </c>
      <c r="I22" s="14"/>
      <c r="J22" s="20">
        <f>IF(H$12=0,0,H22/H$12)</f>
        <v>0.69</v>
      </c>
      <c r="K22" s="16"/>
      <c r="L22" s="21">
        <f>+D22-H22</f>
        <v>-41128.210000000006</v>
      </c>
      <c r="M22" s="16"/>
      <c r="N22" s="20">
        <f>IF(H22=0,0,L22/H22)</f>
        <v>-1.0457210780574626</v>
      </c>
      <c r="O22" s="28"/>
      <c r="P22" s="21">
        <f>P12-P18</f>
        <v>185927.30000000002</v>
      </c>
      <c r="Q22" s="14"/>
      <c r="R22" s="20">
        <f>IF(P$12=0,0,P22/P$12)</f>
        <v>0.5347558223093889</v>
      </c>
      <c r="S22" s="14"/>
      <c r="T22" s="21">
        <f>T12-T18</f>
        <v>430560</v>
      </c>
      <c r="U22" s="14"/>
      <c r="V22" s="20">
        <f>IF(T$12=0,0,T22/T$12)</f>
        <v>0.69</v>
      </c>
      <c r="W22" s="16"/>
      <c r="X22" s="21">
        <f>+P22-T22</f>
        <v>-244632.69999999998</v>
      </c>
      <c r="Y22" s="16"/>
      <c r="Z22" s="20">
        <f>IF(T22=0,0,X22/T22)</f>
        <v>-0.56817330917874387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2">
        <f>SUM(OSRRefD22x_0)</f>
        <v>25374.129999999997</v>
      </c>
      <c r="E24" s="22"/>
      <c r="F24" s="35">
        <f t="shared" ref="F24:F34" si="12">IF(D$12=0,0,D24/D$12)</f>
        <v>1.2831957042950475</v>
      </c>
      <c r="G24" s="22"/>
      <c r="H24" s="22">
        <f>SUM(OSRRefH22x_0)</f>
        <v>51472.1415273538</v>
      </c>
      <c r="I24" s="22"/>
      <c r="J24" s="35">
        <f t="shared" ref="J24:J34" si="13">IF(H$12=0,0,H24/H$12)</f>
        <v>0.90302002679568072</v>
      </c>
      <c r="K24" s="4"/>
      <c r="L24" s="22">
        <f t="shared" ref="L24:L34" si="14">+D24-H24</f>
        <v>-26098.011527353803</v>
      </c>
      <c r="M24" s="4"/>
      <c r="N24" s="35">
        <f t="shared" ref="N24:N34" si="15">IF(H24=0,0,L24/H24)</f>
        <v>-0.50703177977323044</v>
      </c>
      <c r="O24" s="10"/>
      <c r="P24" s="22">
        <f>SUM(OSRRefP22x_0)</f>
        <v>283085.58999999997</v>
      </c>
      <c r="Q24" s="22"/>
      <c r="R24" s="35">
        <f t="shared" ref="R24:R34" si="16">IF(P$12=0,0,P24/P$12)</f>
        <v>0.8141981702761697</v>
      </c>
      <c r="S24" s="22"/>
      <c r="T24" s="22">
        <f>SUM(OSRRefT22x_0)</f>
        <v>434070.1922966885</v>
      </c>
      <c r="U24" s="22"/>
      <c r="V24" s="35">
        <f t="shared" ref="V24:V34" si="17">IF(T$12=0,0,T24/T$12)</f>
        <v>0.69562530816777002</v>
      </c>
      <c r="W24" s="4"/>
      <c r="X24" s="22">
        <f t="shared" ref="X24:X34" si="18">+P24-T24</f>
        <v>-150984.60229668854</v>
      </c>
      <c r="Y24" s="4"/>
      <c r="Z24" s="35">
        <f t="shared" ref="Z24:Z34" si="19">IF(T24=0,0,X24/T24)</f>
        <v>-0.34783453223963839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3907.45</v>
      </c>
      <c r="E25" s="1"/>
      <c r="F25" s="5">
        <f t="shared" si="12"/>
        <v>0.19760374266024819</v>
      </c>
      <c r="G25" s="1"/>
      <c r="H25" s="1">
        <f>SUM(OSRRefH22_0x_0)</f>
        <v>13637.4076812</v>
      </c>
      <c r="I25" s="1"/>
      <c r="J25" s="5">
        <f t="shared" si="13"/>
        <v>0.23925276633684212</v>
      </c>
      <c r="K25" s="1"/>
      <c r="L25" s="1">
        <f t="shared" si="14"/>
        <v>-9729.9576812000014</v>
      </c>
      <c r="M25" s="1"/>
      <c r="N25" s="5">
        <f t="shared" si="15"/>
        <v>-0.71347560391652309</v>
      </c>
      <c r="O25" s="13"/>
      <c r="P25" s="1">
        <f>SUM(OSRRefP22_0x_0)</f>
        <v>73093.040000000008</v>
      </c>
      <c r="Q25" s="1"/>
      <c r="R25" s="5">
        <f t="shared" si="16"/>
        <v>0.21022694736218434</v>
      </c>
      <c r="S25" s="1"/>
      <c r="T25" s="1">
        <f>SUM(OSRRefT22_0x_0)</f>
        <v>100223.48120053465</v>
      </c>
      <c r="U25" s="1"/>
      <c r="V25" s="5">
        <f t="shared" si="17"/>
        <v>0.160614553205985</v>
      </c>
      <c r="W25" s="1"/>
      <c r="X25" s="1">
        <f t="shared" si="18"/>
        <v>-27130.441200534638</v>
      </c>
      <c r="Y25" s="1"/>
      <c r="Z25" s="5">
        <f t="shared" si="19"/>
        <v>-0.2706994496254827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7">
        <v>929.64</v>
      </c>
      <c r="E26" s="2"/>
      <c r="F26" s="6">
        <f t="shared" si="12"/>
        <v>4.7012845545476752E-2</v>
      </c>
      <c r="G26" s="2"/>
      <c r="H26" s="7">
        <v>2588.9093513538501</v>
      </c>
      <c r="I26" s="2"/>
      <c r="J26" s="6">
        <f t="shared" si="13"/>
        <v>4.5419462304453512E-2</v>
      </c>
      <c r="K26" s="2"/>
      <c r="L26" s="7">
        <f t="shared" si="14"/>
        <v>-1659.2693513538502</v>
      </c>
      <c r="M26" s="2"/>
      <c r="N26" s="6">
        <f t="shared" si="15"/>
        <v>-0.64091442617956018</v>
      </c>
      <c r="O26" s="11"/>
      <c r="P26" s="7">
        <v>11014.29</v>
      </c>
      <c r="Q26" s="2"/>
      <c r="R26" s="6">
        <f t="shared" si="16"/>
        <v>3.1678810514131489E-2</v>
      </c>
      <c r="S26" s="2"/>
      <c r="T26" s="7">
        <v>22086.037684303868</v>
      </c>
      <c r="U26" s="2"/>
      <c r="V26" s="6">
        <f t="shared" si="17"/>
        <v>3.5394291160743378E-2</v>
      </c>
      <c r="W26" s="2"/>
      <c r="X26" s="7">
        <f t="shared" si="18"/>
        <v>-11071.747684303868</v>
      </c>
      <c r="Y26" s="2"/>
      <c r="Z26" s="6">
        <f t="shared" si="19"/>
        <v>-0.50130076940746826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7">
        <v>467.8</v>
      </c>
      <c r="E27" s="2"/>
      <c r="F27" s="6">
        <f t="shared" si="12"/>
        <v>2.3657124420392868E-2</v>
      </c>
      <c r="G27" s="2"/>
      <c r="H27" s="7">
        <v>1417.4682227692301</v>
      </c>
      <c r="I27" s="2"/>
      <c r="J27" s="6">
        <f t="shared" si="13"/>
        <v>2.4867863557354916E-2</v>
      </c>
      <c r="K27" s="2"/>
      <c r="L27" s="7">
        <f t="shared" si="14"/>
        <v>-949.66822276923017</v>
      </c>
      <c r="M27" s="2"/>
      <c r="N27" s="6">
        <f t="shared" si="15"/>
        <v>-0.66997496488063435</v>
      </c>
      <c r="O27" s="11"/>
      <c r="P27" s="7">
        <v>3538.59</v>
      </c>
      <c r="Q27" s="2"/>
      <c r="R27" s="6">
        <f t="shared" si="16"/>
        <v>1.0177535011081108E-2</v>
      </c>
      <c r="S27" s="2"/>
      <c r="T27" s="7">
        <v>11837.77140476921</v>
      </c>
      <c r="U27" s="2"/>
      <c r="V27" s="6">
        <f t="shared" si="17"/>
        <v>1.8970787507642965E-2</v>
      </c>
      <c r="W27" s="2"/>
      <c r="X27" s="7">
        <f t="shared" si="18"/>
        <v>-8299.1814047692096</v>
      </c>
      <c r="Y27" s="2"/>
      <c r="Z27" s="6">
        <f t="shared" si="19"/>
        <v>-0.70107633616118226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7">
        <v>1037.1400000000001</v>
      </c>
      <c r="E28" s="2"/>
      <c r="F28" s="6">
        <f t="shared" si="12"/>
        <v>5.2449230486033054E-2</v>
      </c>
      <c r="G28" s="2"/>
      <c r="H28" s="7">
        <v>5639.1538461538503</v>
      </c>
      <c r="I28" s="2"/>
      <c r="J28" s="6">
        <f t="shared" si="13"/>
        <v>9.8932523616734214E-2</v>
      </c>
      <c r="K28" s="2"/>
      <c r="L28" s="7">
        <f t="shared" si="14"/>
        <v>-4602.01384615385</v>
      </c>
      <c r="M28" s="2"/>
      <c r="N28" s="6">
        <f t="shared" si="15"/>
        <v>-0.81608233641162753</v>
      </c>
      <c r="O28" s="11"/>
      <c r="P28" s="7">
        <v>32754.080000000002</v>
      </c>
      <c r="Q28" s="2"/>
      <c r="R28" s="6">
        <f t="shared" si="16"/>
        <v>9.4205826602050957E-2</v>
      </c>
      <c r="S28" s="2"/>
      <c r="T28" s="7">
        <v>38903.788461538483</v>
      </c>
      <c r="U28" s="2"/>
      <c r="V28" s="6">
        <f t="shared" si="17"/>
        <v>6.2345814842209107E-2</v>
      </c>
      <c r="W28" s="2"/>
      <c r="X28" s="7">
        <f t="shared" si="18"/>
        <v>-6149.7084615384811</v>
      </c>
      <c r="Y28" s="2"/>
      <c r="Z28" s="6">
        <f t="shared" si="19"/>
        <v>-0.15807479694730187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7">
        <v>34.909999999999997</v>
      </c>
      <c r="E29" s="2"/>
      <c r="F29" s="6">
        <f t="shared" si="12"/>
        <v>1.7654344025564664E-3</v>
      </c>
      <c r="G29" s="2"/>
      <c r="H29" s="7">
        <v>94.984983999999997</v>
      </c>
      <c r="I29" s="2"/>
      <c r="J29" s="6">
        <f t="shared" si="13"/>
        <v>1.6664032280701755E-3</v>
      </c>
      <c r="K29" s="2"/>
      <c r="L29" s="7">
        <f t="shared" si="14"/>
        <v>-60.074984000000001</v>
      </c>
      <c r="M29" s="2"/>
      <c r="N29" s="6">
        <f t="shared" si="15"/>
        <v>-0.63246822255610424</v>
      </c>
      <c r="O29" s="11"/>
      <c r="P29" s="7">
        <v>412.63</v>
      </c>
      <c r="Q29" s="2"/>
      <c r="R29" s="6">
        <f t="shared" si="16"/>
        <v>1.1867880346755056E-3</v>
      </c>
      <c r="S29" s="2"/>
      <c r="T29" s="7">
        <v>793.25272299999995</v>
      </c>
      <c r="U29" s="2"/>
      <c r="V29" s="6">
        <f t="shared" si="17"/>
        <v>1.2712383381410257E-3</v>
      </c>
      <c r="W29" s="2"/>
      <c r="X29" s="7">
        <f t="shared" si="18"/>
        <v>-380.62272299999995</v>
      </c>
      <c r="Y29" s="2"/>
      <c r="Z29" s="6">
        <f t="shared" si="19"/>
        <v>-0.47982529648372851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7">
        <v>322.38</v>
      </c>
      <c r="E30" s="2"/>
      <c r="F30" s="6">
        <f t="shared" si="12"/>
        <v>1.6303086298944534E-2</v>
      </c>
      <c r="G30" s="2"/>
      <c r="H30" s="7">
        <v>1555.94176923077</v>
      </c>
      <c r="I30" s="2"/>
      <c r="J30" s="6">
        <f t="shared" si="13"/>
        <v>2.7297224021592455E-2</v>
      </c>
      <c r="K30" s="2"/>
      <c r="L30" s="7">
        <f t="shared" si="14"/>
        <v>-1233.5617692307701</v>
      </c>
      <c r="M30" s="2"/>
      <c r="N30" s="6">
        <f t="shared" si="15"/>
        <v>-0.79280715617051734</v>
      </c>
      <c r="O30" s="11"/>
      <c r="P30" s="7">
        <v>5785.71</v>
      </c>
      <c r="Q30" s="2"/>
      <c r="R30" s="6">
        <f t="shared" si="16"/>
        <v>1.6640601507651939E-2</v>
      </c>
      <c r="S30" s="2"/>
      <c r="T30" s="7">
        <v>9646.8389692307901</v>
      </c>
      <c r="U30" s="2"/>
      <c r="V30" s="6">
        <f t="shared" si="17"/>
        <v>1.5459677835305753E-2</v>
      </c>
      <c r="W30" s="2"/>
      <c r="X30" s="7">
        <f t="shared" si="18"/>
        <v>-3861.1289692307901</v>
      </c>
      <c r="Y30" s="2"/>
      <c r="Z30" s="6">
        <f t="shared" si="19"/>
        <v>-0.40024810008191364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7">
        <v>411.6</v>
      </c>
      <c r="E32" s="2"/>
      <c r="F32" s="6">
        <f t="shared" si="12"/>
        <v>2.0815032944492742E-2</v>
      </c>
      <c r="G32" s="2"/>
      <c r="H32" s="7">
        <v>1244.9689230769202</v>
      </c>
      <c r="I32" s="2"/>
      <c r="J32" s="6">
        <f t="shared" si="13"/>
        <v>2.1841560053981055E-2</v>
      </c>
      <c r="K32" s="2"/>
      <c r="L32" s="7">
        <f t="shared" si="14"/>
        <v>-833.36892307692017</v>
      </c>
      <c r="M32" s="2"/>
      <c r="N32" s="6">
        <f t="shared" si="15"/>
        <v>-0.6693893378617537</v>
      </c>
      <c r="O32" s="11"/>
      <c r="P32" s="7">
        <v>6982.48</v>
      </c>
      <c r="Q32" s="2"/>
      <c r="R32" s="6">
        <f t="shared" si="16"/>
        <v>2.0082698098444183E-2</v>
      </c>
      <c r="S32" s="2"/>
      <c r="T32" s="7">
        <v>7802.8759230769183</v>
      </c>
      <c r="U32" s="2"/>
      <c r="V32" s="6">
        <f t="shared" si="17"/>
        <v>1.2504608851084805E-2</v>
      </c>
      <c r="W32" s="2"/>
      <c r="X32" s="7">
        <f t="shared" si="18"/>
        <v>-820.39592307691873</v>
      </c>
      <c r="Y32" s="2"/>
      <c r="Z32" s="6">
        <f t="shared" si="19"/>
        <v>-0.10514019845562415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7">
        <v>423.1</v>
      </c>
      <c r="E33" s="2"/>
      <c r="F33" s="6">
        <f t="shared" si="12"/>
        <v>2.139659970557551E-2</v>
      </c>
      <c r="G33" s="2"/>
      <c r="H33" s="7">
        <v>1095.9805846153799</v>
      </c>
      <c r="I33" s="2"/>
      <c r="J33" s="6">
        <f t="shared" si="13"/>
        <v>1.9227729554655789E-2</v>
      </c>
      <c r="K33" s="2"/>
      <c r="L33" s="7">
        <f t="shared" si="14"/>
        <v>-672.88058461537992</v>
      </c>
      <c r="M33" s="2"/>
      <c r="N33" s="6">
        <f t="shared" si="15"/>
        <v>-0.61395301528221735</v>
      </c>
      <c r="O33" s="11"/>
      <c r="P33" s="7">
        <v>9312.07</v>
      </c>
      <c r="Q33" s="2"/>
      <c r="R33" s="6">
        <f t="shared" si="16"/>
        <v>2.6782961137243377E-2</v>
      </c>
      <c r="S33" s="2"/>
      <c r="T33" s="7">
        <v>9152.9160346153785</v>
      </c>
      <c r="U33" s="2"/>
      <c r="V33" s="6">
        <f t="shared" si="17"/>
        <v>1.4668134670857978E-2</v>
      </c>
      <c r="W33" s="2"/>
      <c r="X33" s="7">
        <f t="shared" si="18"/>
        <v>159.15396538462119</v>
      </c>
      <c r="Y33" s="2"/>
      <c r="Z33" s="6">
        <f t="shared" si="19"/>
        <v>1.7388334469880137E-2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7">
        <v>280.88</v>
      </c>
      <c r="E34" s="2"/>
      <c r="F34" s="6">
        <f t="shared" si="12"/>
        <v>1.4204388856776291E-2</v>
      </c>
      <c r="G34" s="2"/>
      <c r="H34" s="7"/>
      <c r="I34" s="2"/>
      <c r="J34" s="6">
        <f t="shared" si="13"/>
        <v>0</v>
      </c>
      <c r="K34" s="2"/>
      <c r="L34" s="7">
        <f t="shared" si="14"/>
        <v>280.88</v>
      </c>
      <c r="M34" s="2"/>
      <c r="N34" s="6">
        <f t="shared" si="15"/>
        <v>0</v>
      </c>
      <c r="O34" s="11"/>
      <c r="P34" s="7">
        <v>3293.19</v>
      </c>
      <c r="Q34" s="2"/>
      <c r="R34" s="6">
        <f t="shared" si="16"/>
        <v>9.4717264569057699E-3</v>
      </c>
      <c r="S34" s="2"/>
      <c r="T34" s="7"/>
      <c r="U34" s="2"/>
      <c r="V34" s="6">
        <f t="shared" si="17"/>
        <v>0</v>
      </c>
      <c r="W34" s="2"/>
      <c r="X34" s="7">
        <f t="shared" si="18"/>
        <v>3293.19</v>
      </c>
      <c r="Y34" s="2"/>
      <c r="Z34" s="6">
        <f t="shared" si="19"/>
        <v>0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17535.96</v>
      </c>
      <c r="E35" s="1"/>
      <c r="F35" s="5">
        <f t="shared" ref="F35:F45" si="20">IF(D$12=0,0,D35/D$12)</f>
        <v>0.88681143127625583</v>
      </c>
      <c r="G35" s="1"/>
      <c r="H35" s="1">
        <f>SUM(OSRRefH22_1x_0)</f>
        <v>32002.733846153802</v>
      </c>
      <c r="I35" s="1"/>
      <c r="J35" s="5">
        <f t="shared" ref="J35:J45" si="21">IF(H$12=0,0,H35/H$12)</f>
        <v>0.56145147098515447</v>
      </c>
      <c r="K35" s="1"/>
      <c r="L35" s="1">
        <f t="shared" ref="L35:L45" si="22">+D35-H35</f>
        <v>-14466.773846153803</v>
      </c>
      <c r="M35" s="1"/>
      <c r="N35" s="5">
        <f t="shared" ref="N35:N45" si="23">IF(H35=0,0,L35/H35)</f>
        <v>-0.45204806300923162</v>
      </c>
      <c r="O35" s="13"/>
      <c r="P35" s="1">
        <f>SUM(OSRRefP22_1x_0)</f>
        <v>167079.95000000001</v>
      </c>
      <c r="Q35" s="1"/>
      <c r="R35" s="5">
        <f t="shared" ref="R35:R45" si="24">IF(P$12=0,0,P35/P$12)</f>
        <v>0.48054791337077224</v>
      </c>
      <c r="S35" s="1"/>
      <c r="T35" s="1">
        <f>SUM(OSRRefT22_1x_0)</f>
        <v>272487.21109615383</v>
      </c>
      <c r="U35" s="1"/>
      <c r="V35" s="5">
        <f t="shared" ref="V35:V45" si="25">IF(T$12=0,0,T35/T$12)</f>
        <v>0.43667822291050296</v>
      </c>
      <c r="W35" s="1"/>
      <c r="X35" s="1">
        <f t="shared" ref="X35:X45" si="26">+P35-T35</f>
        <v>-105407.26109615382</v>
      </c>
      <c r="Y35" s="1"/>
      <c r="Z35" s="5">
        <f t="shared" ref="Z35:Z45" si="27">IF(T35=0,0,X35/T35)</f>
        <v>-0.38683379183971417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7">
        <v>3692.1</v>
      </c>
      <c r="E37" s="2"/>
      <c r="F37" s="6">
        <f t="shared" si="20"/>
        <v>0.18671327292118964</v>
      </c>
      <c r="G37" s="2"/>
      <c r="H37" s="7">
        <v>16457.458846153801</v>
      </c>
      <c r="I37" s="2"/>
      <c r="J37" s="6">
        <f t="shared" si="21"/>
        <v>0.28872734817813683</v>
      </c>
      <c r="K37" s="2"/>
      <c r="L37" s="7">
        <f t="shared" si="22"/>
        <v>-12765.3588461538</v>
      </c>
      <c r="M37" s="2"/>
      <c r="N37" s="6">
        <f t="shared" si="23"/>
        <v>-0.77565795336241328</v>
      </c>
      <c r="O37" s="11"/>
      <c r="P37" s="7">
        <v>53976.11</v>
      </c>
      <c r="Q37" s="2"/>
      <c r="R37" s="6">
        <f t="shared" si="24"/>
        <v>0.15524368442994668</v>
      </c>
      <c r="S37" s="2"/>
      <c r="T37" s="7">
        <v>102036.2448461538</v>
      </c>
      <c r="U37" s="2"/>
      <c r="V37" s="6">
        <f t="shared" si="25"/>
        <v>0.1635196231508875</v>
      </c>
      <c r="W37" s="2"/>
      <c r="X37" s="7">
        <f t="shared" si="26"/>
        <v>-48060.1348461538</v>
      </c>
      <c r="Y37" s="2"/>
      <c r="Z37" s="6">
        <f t="shared" si="27"/>
        <v>-0.47101042299838614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7">
        <v>5330.79</v>
      </c>
      <c r="E39" s="2"/>
      <c r="F39" s="6">
        <f t="shared" si="20"/>
        <v>0.26958350211412163</v>
      </c>
      <c r="G39" s="2"/>
      <c r="H39" s="7">
        <v>15545.275000000001</v>
      </c>
      <c r="I39" s="2"/>
      <c r="J39" s="6">
        <f t="shared" si="21"/>
        <v>0.27272412280701758</v>
      </c>
      <c r="K39" s="2"/>
      <c r="L39" s="7">
        <f t="shared" si="22"/>
        <v>-10214.485000000001</v>
      </c>
      <c r="M39" s="2"/>
      <c r="N39" s="6">
        <f t="shared" si="23"/>
        <v>-0.65707972358160271</v>
      </c>
      <c r="O39" s="11"/>
      <c r="P39" s="7">
        <v>36972.720000000001</v>
      </c>
      <c r="Q39" s="2"/>
      <c r="R39" s="6">
        <f t="shared" si="24"/>
        <v>0.10633929114559716</v>
      </c>
      <c r="S39" s="2"/>
      <c r="T39" s="7">
        <v>170450.96625</v>
      </c>
      <c r="U39" s="2"/>
      <c r="V39" s="6">
        <f t="shared" si="25"/>
        <v>0.27315859975961537</v>
      </c>
      <c r="W39" s="2"/>
      <c r="X39" s="7">
        <f t="shared" si="26"/>
        <v>-133478.24625</v>
      </c>
      <c r="Y39" s="2"/>
      <c r="Z39" s="6">
        <f t="shared" si="27"/>
        <v>-0.78308882129906965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7">
        <v>3580.26</v>
      </c>
      <c r="E40" s="2"/>
      <c r="F40" s="6">
        <f t="shared" si="20"/>
        <v>0.18105740974210299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3580.26</v>
      </c>
      <c r="M40" s="2"/>
      <c r="N40" s="6">
        <f t="shared" si="23"/>
        <v>0</v>
      </c>
      <c r="O40" s="11"/>
      <c r="P40" s="7">
        <v>36319.089999999997</v>
      </c>
      <c r="Q40" s="2"/>
      <c r="R40" s="6">
        <f t="shared" si="24"/>
        <v>0.10445934964084726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36319.089999999997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>
        <v>1299.6300000000001</v>
      </c>
      <c r="Q41" s="2"/>
      <c r="R41" s="6">
        <f t="shared" si="24"/>
        <v>3.7379379432065712E-3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1299.6300000000001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7">
        <v>4932.8100000000004</v>
      </c>
      <c r="E42" s="2"/>
      <c r="F42" s="6">
        <f t="shared" si="20"/>
        <v>0.24945724649884171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4932.8100000000004</v>
      </c>
      <c r="M42" s="2"/>
      <c r="N42" s="6">
        <f t="shared" si="23"/>
        <v>0</v>
      </c>
      <c r="O42" s="11"/>
      <c r="P42" s="7">
        <v>35107.18</v>
      </c>
      <c r="Q42" s="2"/>
      <c r="R42" s="6">
        <f t="shared" si="24"/>
        <v>0.10097370805612586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35107.18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>
        <v>3405.22</v>
      </c>
      <c r="Q43" s="2"/>
      <c r="R43" s="6">
        <f t="shared" si="24"/>
        <v>9.7939421550486509E-3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3405.22</v>
      </c>
      <c r="Y43" s="2"/>
      <c r="Z43" s="6">
        <f t="shared" si="27"/>
        <v>0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66</v>
      </c>
      <c r="E46" s="1"/>
      <c r="F46" s="5">
        <f t="shared" ref="F46:F55" si="28">IF(D$12=0,0,D46/D$12)</f>
        <v>3.3376874983880489E-3</v>
      </c>
      <c r="G46" s="1"/>
      <c r="H46" s="1">
        <f>SUM(OSRRefH22_2x_0)</f>
        <v>0</v>
      </c>
      <c r="I46" s="1"/>
      <c r="J46" s="5">
        <f t="shared" ref="J46:J55" si="29">IF(H$12=0,0,H46/H$12)</f>
        <v>0</v>
      </c>
      <c r="K46" s="1"/>
      <c r="L46" s="1">
        <f t="shared" ref="L46:L55" si="30">+D46-H46</f>
        <v>66</v>
      </c>
      <c r="M46" s="1"/>
      <c r="N46" s="5">
        <f t="shared" ref="N46:N55" si="31">IF(H46=0,0,L46/H46)</f>
        <v>0</v>
      </c>
      <c r="O46" s="13"/>
      <c r="P46" s="1">
        <f>SUM(OSRRefP22_2x_0)</f>
        <v>405.52</v>
      </c>
      <c r="Q46" s="1"/>
      <c r="R46" s="5">
        <f t="shared" ref="R46:R55" si="32">IF(P$12=0,0,P46/P$12)</f>
        <v>1.1663385692305722E-3</v>
      </c>
      <c r="S46" s="1"/>
      <c r="T46" s="1">
        <f>SUM(OSRRefT22_2x_0)</f>
        <v>1050</v>
      </c>
      <c r="U46" s="1"/>
      <c r="V46" s="5">
        <f t="shared" ref="V46:V55" si="33">IF(T$12=0,0,T46/T$12)</f>
        <v>1.6826923076923078E-3</v>
      </c>
      <c r="W46" s="1"/>
      <c r="X46" s="1">
        <f t="shared" ref="X46:X55" si="34">+P46-T46</f>
        <v>-644.48</v>
      </c>
      <c r="Y46" s="1"/>
      <c r="Z46" s="5">
        <f t="shared" ref="Z46:Z55" si="35">IF(T46=0,0,X46/T46)</f>
        <v>-0.61379047619047622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7">
        <v>66</v>
      </c>
      <c r="E47" s="2"/>
      <c r="F47" s="6">
        <f t="shared" si="28"/>
        <v>3.3376874983880489E-3</v>
      </c>
      <c r="G47" s="2"/>
      <c r="H47" s="7"/>
      <c r="I47" s="2"/>
      <c r="J47" s="6">
        <f t="shared" si="29"/>
        <v>0</v>
      </c>
      <c r="K47" s="2"/>
      <c r="L47" s="7">
        <f t="shared" si="30"/>
        <v>66</v>
      </c>
      <c r="M47" s="2"/>
      <c r="N47" s="6">
        <f t="shared" si="31"/>
        <v>0</v>
      </c>
      <c r="O47" s="11"/>
      <c r="P47" s="7">
        <v>405.52</v>
      </c>
      <c r="Q47" s="2"/>
      <c r="R47" s="6">
        <f t="shared" si="32"/>
        <v>1.1663385692305722E-3</v>
      </c>
      <c r="S47" s="2"/>
      <c r="T47" s="7">
        <v>1050</v>
      </c>
      <c r="U47" s="2"/>
      <c r="V47" s="6">
        <f t="shared" si="33"/>
        <v>1.6826923076923078E-3</v>
      </c>
      <c r="W47" s="2"/>
      <c r="X47" s="7">
        <f t="shared" si="34"/>
        <v>-644.48</v>
      </c>
      <c r="Y47" s="2"/>
      <c r="Z47" s="6">
        <f t="shared" si="35"/>
        <v>-0.61379047619047622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-0.91</v>
      </c>
      <c r="E48" s="1"/>
      <c r="F48" s="5">
        <f t="shared" si="28"/>
        <v>-4.60196306595928E-5</v>
      </c>
      <c r="G48" s="1"/>
      <c r="H48" s="1">
        <f>SUM(OSRRefH22_3x_0)</f>
        <v>-1</v>
      </c>
      <c r="I48" s="1"/>
      <c r="J48" s="5">
        <f t="shared" si="29"/>
        <v>-1.7543859649122806E-5</v>
      </c>
      <c r="K48" s="1"/>
      <c r="L48" s="1">
        <f t="shared" si="30"/>
        <v>8.9999999999999969E-2</v>
      </c>
      <c r="M48" s="1"/>
      <c r="N48" s="5">
        <f t="shared" si="31"/>
        <v>-8.9999999999999969E-2</v>
      </c>
      <c r="O48" s="13"/>
      <c r="P48" s="1">
        <f>SUM(OSRRefP22_3x_0)</f>
        <v>-0.68</v>
      </c>
      <c r="Q48" s="1"/>
      <c r="R48" s="5">
        <f t="shared" si="32"/>
        <v>-1.9557857246912338E-6</v>
      </c>
      <c r="S48" s="1"/>
      <c r="T48" s="1">
        <f>SUM(OSRRefT22_3x_0)</f>
        <v>-7</v>
      </c>
      <c r="U48" s="1"/>
      <c r="V48" s="5">
        <f t="shared" si="33"/>
        <v>-1.1217948717948719E-5</v>
      </c>
      <c r="W48" s="1"/>
      <c r="X48" s="1">
        <f t="shared" si="34"/>
        <v>6.32</v>
      </c>
      <c r="Y48" s="1"/>
      <c r="Z48" s="5">
        <f t="shared" si="35"/>
        <v>-0.90285714285714291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7">
        <v>-0.91</v>
      </c>
      <c r="E49" s="2"/>
      <c r="F49" s="6">
        <f t="shared" si="28"/>
        <v>-4.60196306595928E-5</v>
      </c>
      <c r="G49" s="2"/>
      <c r="H49" s="7">
        <v>-1</v>
      </c>
      <c r="I49" s="2"/>
      <c r="J49" s="6">
        <f t="shared" si="29"/>
        <v>-1.7543859649122806E-5</v>
      </c>
      <c r="K49" s="2"/>
      <c r="L49" s="7">
        <f t="shared" si="30"/>
        <v>8.9999999999999969E-2</v>
      </c>
      <c r="M49" s="2"/>
      <c r="N49" s="6">
        <f t="shared" si="31"/>
        <v>-8.9999999999999969E-2</v>
      </c>
      <c r="O49" s="11"/>
      <c r="P49" s="7">
        <v>-0.68</v>
      </c>
      <c r="Q49" s="2"/>
      <c r="R49" s="6">
        <f t="shared" si="32"/>
        <v>-1.9557857246912338E-6</v>
      </c>
      <c r="S49" s="2"/>
      <c r="T49" s="7">
        <v>-7</v>
      </c>
      <c r="U49" s="2"/>
      <c r="V49" s="6">
        <f t="shared" si="33"/>
        <v>-1.1217948717948719E-5</v>
      </c>
      <c r="W49" s="2"/>
      <c r="X49" s="7">
        <f t="shared" si="34"/>
        <v>6.32</v>
      </c>
      <c r="Y49" s="2"/>
      <c r="Z49" s="6">
        <f t="shared" si="35"/>
        <v>-0.90285714285714291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339.44</v>
      </c>
      <c r="E50" s="1"/>
      <c r="F50" s="5">
        <f t="shared" si="28"/>
        <v>1.7165827946255142E-2</v>
      </c>
      <c r="G50" s="1"/>
      <c r="H50" s="1">
        <f>SUM(OSRRefH22_4x_0)</f>
        <v>750</v>
      </c>
      <c r="I50" s="1"/>
      <c r="J50" s="5">
        <f t="shared" si="29"/>
        <v>1.3157894736842105E-2</v>
      </c>
      <c r="K50" s="1"/>
      <c r="L50" s="1">
        <f t="shared" si="30"/>
        <v>-410.56</v>
      </c>
      <c r="M50" s="1"/>
      <c r="N50" s="5">
        <f t="shared" si="31"/>
        <v>-0.54741333333333331</v>
      </c>
      <c r="O50" s="13"/>
      <c r="P50" s="1">
        <f>SUM(OSRRefP22_4x_0)</f>
        <v>4899.1099999999997</v>
      </c>
      <c r="Q50" s="1"/>
      <c r="R50" s="5">
        <f t="shared" si="32"/>
        <v>1.4090602061311866E-2</v>
      </c>
      <c r="S50" s="1"/>
      <c r="T50" s="1">
        <f>SUM(OSRRefT22_4x_0)</f>
        <v>7700</v>
      </c>
      <c r="U50" s="1"/>
      <c r="V50" s="5">
        <f t="shared" si="33"/>
        <v>1.2339743589743589E-2</v>
      </c>
      <c r="W50" s="1"/>
      <c r="X50" s="1">
        <f t="shared" si="34"/>
        <v>-2800.8900000000003</v>
      </c>
      <c r="Y50" s="1"/>
      <c r="Z50" s="5">
        <f t="shared" si="35"/>
        <v>-0.3637519480519481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7">
        <v>339.44</v>
      </c>
      <c r="E51" s="2"/>
      <c r="F51" s="6">
        <f t="shared" si="28"/>
        <v>1.7165827946255142E-2</v>
      </c>
      <c r="G51" s="2"/>
      <c r="H51" s="7">
        <v>750</v>
      </c>
      <c r="I51" s="2"/>
      <c r="J51" s="6">
        <f t="shared" si="29"/>
        <v>1.3157894736842105E-2</v>
      </c>
      <c r="K51" s="2"/>
      <c r="L51" s="7">
        <f t="shared" si="30"/>
        <v>-410.56</v>
      </c>
      <c r="M51" s="2"/>
      <c r="N51" s="6">
        <f t="shared" si="31"/>
        <v>-0.54741333333333331</v>
      </c>
      <c r="O51" s="11"/>
      <c r="P51" s="7">
        <v>4899.1099999999997</v>
      </c>
      <c r="Q51" s="2"/>
      <c r="R51" s="6">
        <f t="shared" si="32"/>
        <v>1.4090602061311866E-2</v>
      </c>
      <c r="S51" s="2"/>
      <c r="T51" s="7">
        <v>7700</v>
      </c>
      <c r="U51" s="2"/>
      <c r="V51" s="6">
        <f t="shared" si="33"/>
        <v>1.2339743589743589E-2</v>
      </c>
      <c r="W51" s="2"/>
      <c r="X51" s="7">
        <f t="shared" si="34"/>
        <v>-2800.8900000000003</v>
      </c>
      <c r="Y51" s="2"/>
      <c r="Z51" s="6">
        <f t="shared" si="35"/>
        <v>-0.3637519480519481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297.99</v>
      </c>
      <c r="E52" s="1"/>
      <c r="F52" s="5">
        <f t="shared" si="28"/>
        <v>1.5069659055222041E-2</v>
      </c>
      <c r="G52" s="1"/>
      <c r="H52" s="1">
        <f>SUM(OSRRefH22_5x_0)</f>
        <v>1621</v>
      </c>
      <c r="I52" s="1"/>
      <c r="J52" s="5">
        <f t="shared" si="29"/>
        <v>2.8438596491228069E-2</v>
      </c>
      <c r="K52" s="1"/>
      <c r="L52" s="1">
        <f t="shared" si="30"/>
        <v>-1323.01</v>
      </c>
      <c r="M52" s="1"/>
      <c r="N52" s="5">
        <f t="shared" si="31"/>
        <v>-0.81616903146206043</v>
      </c>
      <c r="O52" s="13"/>
      <c r="P52" s="1">
        <f>SUM(OSRRefP22_5x_0)</f>
        <v>2085.9299999999998</v>
      </c>
      <c r="Q52" s="1"/>
      <c r="R52" s="5">
        <f t="shared" si="32"/>
        <v>5.9994589951546835E-3</v>
      </c>
      <c r="S52" s="1"/>
      <c r="T52" s="1">
        <f>SUM(OSRRefT22_5x_0)</f>
        <v>7711</v>
      </c>
      <c r="U52" s="1"/>
      <c r="V52" s="5">
        <f t="shared" si="33"/>
        <v>1.2357371794871794E-2</v>
      </c>
      <c r="W52" s="1"/>
      <c r="X52" s="1">
        <f t="shared" si="34"/>
        <v>-5625.07</v>
      </c>
      <c r="Y52" s="1"/>
      <c r="Z52" s="5">
        <f t="shared" si="35"/>
        <v>-0.72948644793152639</v>
      </c>
    </row>
    <row r="53" spans="1:26" s="24" customFormat="1" hidden="1" outlineLevel="2" x14ac:dyDescent="0.25">
      <c r="A53" s="25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297.99</v>
      </c>
      <c r="E53" s="2"/>
      <c r="F53" s="6">
        <f t="shared" si="28"/>
        <v>1.5069659055222041E-2</v>
      </c>
      <c r="G53" s="2"/>
      <c r="H53" s="7">
        <v>298</v>
      </c>
      <c r="I53" s="2"/>
      <c r="J53" s="6">
        <f t="shared" si="29"/>
        <v>5.2280701754385964E-3</v>
      </c>
      <c r="K53" s="2"/>
      <c r="L53" s="7">
        <f t="shared" si="30"/>
        <v>-9.9999999999909051E-3</v>
      </c>
      <c r="M53" s="2"/>
      <c r="N53" s="6">
        <f t="shared" si="31"/>
        <v>-3.3557046979835255E-5</v>
      </c>
      <c r="O53" s="11"/>
      <c r="P53" s="7">
        <v>2085.9299999999998</v>
      </c>
      <c r="Q53" s="2"/>
      <c r="R53" s="6">
        <f t="shared" si="32"/>
        <v>5.9994589951546835E-3</v>
      </c>
      <c r="S53" s="2"/>
      <c r="T53" s="7">
        <v>2086</v>
      </c>
      <c r="U53" s="2"/>
      <c r="V53" s="6">
        <f t="shared" si="33"/>
        <v>3.3429487179487179E-3</v>
      </c>
      <c r="W53" s="2"/>
      <c r="X53" s="7">
        <f t="shared" si="34"/>
        <v>-7.0000000000163709E-2</v>
      </c>
      <c r="Y53" s="2"/>
      <c r="Z53" s="6">
        <f t="shared" si="35"/>
        <v>-3.3557046979944251E-5</v>
      </c>
    </row>
    <row r="54" spans="1:26" s="24" customFormat="1" hidden="1" outlineLevel="2" x14ac:dyDescent="0.25">
      <c r="A54" s="25"/>
      <c r="B54" s="11" t="str">
        <f>CONCATENATE("          ", "6324", " - ", "FURNITURE + FIXT DEPRECIATION")</f>
        <v xml:space="preserve">          6324 - FURNITURE + FIXT DEPRECIATION</v>
      </c>
      <c r="C54" s="11"/>
      <c r="D54" s="7"/>
      <c r="E54" s="2"/>
      <c r="F54" s="6">
        <f t="shared" si="28"/>
        <v>0</v>
      </c>
      <c r="G54" s="2"/>
      <c r="H54" s="7">
        <v>573</v>
      </c>
      <c r="I54" s="2"/>
      <c r="J54" s="6">
        <f t="shared" si="29"/>
        <v>1.0052631578947369E-2</v>
      </c>
      <c r="K54" s="2"/>
      <c r="L54" s="7">
        <f t="shared" si="30"/>
        <v>-573</v>
      </c>
      <c r="M54" s="2"/>
      <c r="N54" s="6">
        <f t="shared" si="31"/>
        <v>-1</v>
      </c>
      <c r="O54" s="11"/>
      <c r="P54" s="7"/>
      <c r="Q54" s="2"/>
      <c r="R54" s="6">
        <f t="shared" si="32"/>
        <v>0</v>
      </c>
      <c r="S54" s="2"/>
      <c r="T54" s="7">
        <v>2625</v>
      </c>
      <c r="U54" s="2"/>
      <c r="V54" s="6">
        <f t="shared" si="33"/>
        <v>4.206730769230769E-3</v>
      </c>
      <c r="W54" s="2"/>
      <c r="X54" s="7">
        <f t="shared" si="34"/>
        <v>-2625</v>
      </c>
      <c r="Y54" s="2"/>
      <c r="Z54" s="6">
        <f t="shared" si="35"/>
        <v>-1</v>
      </c>
    </row>
    <row r="55" spans="1:26" s="24" customFormat="1" hidden="1" outlineLevel="2" x14ac:dyDescent="0.25">
      <c r="A55" s="25"/>
      <c r="B55" s="11" t="str">
        <f>CONCATENATE("          ", "6326", " - ", "VEHICLES DEPRECIATION EXPENSE")</f>
        <v xml:space="preserve">          6326 - VEHICLES DEPRECIATION EXPENSE</v>
      </c>
      <c r="C55" s="11"/>
      <c r="D55" s="7"/>
      <c r="E55" s="2"/>
      <c r="F55" s="6">
        <f t="shared" si="28"/>
        <v>0</v>
      </c>
      <c r="G55" s="2"/>
      <c r="H55" s="7">
        <v>750</v>
      </c>
      <c r="I55" s="2"/>
      <c r="J55" s="6">
        <f t="shared" si="29"/>
        <v>1.3157894736842105E-2</v>
      </c>
      <c r="K55" s="2"/>
      <c r="L55" s="7">
        <f t="shared" si="30"/>
        <v>-750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3000</v>
      </c>
      <c r="U55" s="2"/>
      <c r="V55" s="6">
        <f t="shared" si="33"/>
        <v>4.807692307692308E-3</v>
      </c>
      <c r="W55" s="2"/>
      <c r="X55" s="7">
        <f t="shared" si="34"/>
        <v>-3000</v>
      </c>
      <c r="Y55" s="2"/>
      <c r="Z55" s="6">
        <f t="shared" si="35"/>
        <v>-1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4" si="36">IF(D$12=0,0,D56/D$12)</f>
        <v>0</v>
      </c>
      <c r="G56" s="1"/>
      <c r="H56" s="1">
        <f>SUM(OSRRefH22_6x_0)</f>
        <v>0</v>
      </c>
      <c r="I56" s="1"/>
      <c r="J56" s="5">
        <f t="shared" ref="J56:J64" si="37">IF(H$12=0,0,H56/H$12)</f>
        <v>0</v>
      </c>
      <c r="K56" s="1"/>
      <c r="L56" s="1">
        <f t="shared" ref="L56:L64" si="38">+D56-H56</f>
        <v>0</v>
      </c>
      <c r="M56" s="1"/>
      <c r="N56" s="5">
        <f t="shared" ref="N56:N64" si="39">IF(H56=0,0,L56/H56)</f>
        <v>0</v>
      </c>
      <c r="O56" s="13"/>
      <c r="P56" s="1">
        <f>SUM(OSRRefP22_6x_0)</f>
        <v>60</v>
      </c>
      <c r="Q56" s="1"/>
      <c r="R56" s="5">
        <f t="shared" ref="R56:R64" si="40">IF(P$12=0,0,P56/P$12)</f>
        <v>1.7256932864922651E-4</v>
      </c>
      <c r="S56" s="1"/>
      <c r="T56" s="1">
        <f>SUM(OSRRefT22_6x_0)</f>
        <v>300</v>
      </c>
      <c r="U56" s="1"/>
      <c r="V56" s="5">
        <f t="shared" ref="V56:V64" si="41">IF(T$12=0,0,T56/T$12)</f>
        <v>4.807692307692308E-4</v>
      </c>
      <c r="W56" s="1"/>
      <c r="X56" s="1">
        <f t="shared" ref="X56:X64" si="42">+P56-T56</f>
        <v>-240</v>
      </c>
      <c r="Y56" s="1"/>
      <c r="Z56" s="5">
        <f t="shared" ref="Z56:Z64" si="43">IF(T56=0,0,X56/T56)</f>
        <v>-0.8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6"/>
        <v>0</v>
      </c>
      <c r="G57" s="2"/>
      <c r="H57" s="7"/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>
        <v>60</v>
      </c>
      <c r="Q57" s="2"/>
      <c r="R57" s="6">
        <f t="shared" si="40"/>
        <v>1.7256932864922651E-4</v>
      </c>
      <c r="S57" s="2"/>
      <c r="T57" s="7">
        <v>300</v>
      </c>
      <c r="U57" s="2"/>
      <c r="V57" s="6">
        <f t="shared" si="41"/>
        <v>4.807692307692308E-4</v>
      </c>
      <c r="W57" s="2"/>
      <c r="X57" s="7">
        <f t="shared" si="42"/>
        <v>-240</v>
      </c>
      <c r="Y57" s="2"/>
      <c r="Z57" s="6">
        <f t="shared" si="43"/>
        <v>-0.8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142.66</v>
      </c>
      <c r="E58" s="1"/>
      <c r="F58" s="5">
        <f t="shared" si="36"/>
        <v>7.2144620987884701E-3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142.66</v>
      </c>
      <c r="M58" s="1"/>
      <c r="N58" s="5">
        <f t="shared" si="39"/>
        <v>0</v>
      </c>
      <c r="O58" s="13"/>
      <c r="P58" s="1">
        <f>SUM(OSRRefP22_7x_0)</f>
        <v>742.48</v>
      </c>
      <c r="Q58" s="1"/>
      <c r="R58" s="5">
        <f t="shared" si="40"/>
        <v>2.1354879189246284E-3</v>
      </c>
      <c r="S58" s="1"/>
      <c r="T58" s="1">
        <f>SUM(OSRRefT22_7x_0)</f>
        <v>600</v>
      </c>
      <c r="U58" s="1"/>
      <c r="V58" s="5">
        <f t="shared" si="41"/>
        <v>9.6153846153846159E-4</v>
      </c>
      <c r="W58" s="1"/>
      <c r="X58" s="1">
        <f t="shared" si="42"/>
        <v>142.48000000000002</v>
      </c>
      <c r="Y58" s="1"/>
      <c r="Z58" s="5">
        <f t="shared" si="43"/>
        <v>0.23746666666666669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7">
        <v>142.66</v>
      </c>
      <c r="E59" s="2"/>
      <c r="F59" s="6">
        <f t="shared" si="36"/>
        <v>7.2144620987884701E-3</v>
      </c>
      <c r="G59" s="2"/>
      <c r="H59" s="7">
        <v>0</v>
      </c>
      <c r="I59" s="2"/>
      <c r="J59" s="6">
        <f t="shared" si="37"/>
        <v>0</v>
      </c>
      <c r="K59" s="2"/>
      <c r="L59" s="7">
        <f t="shared" si="38"/>
        <v>142.66</v>
      </c>
      <c r="M59" s="2"/>
      <c r="N59" s="6">
        <f t="shared" si="39"/>
        <v>0</v>
      </c>
      <c r="O59" s="11"/>
      <c r="P59" s="7">
        <v>742.48</v>
      </c>
      <c r="Q59" s="2"/>
      <c r="R59" s="6">
        <f t="shared" si="40"/>
        <v>2.1354879189246284E-3</v>
      </c>
      <c r="S59" s="2"/>
      <c r="T59" s="7">
        <v>600</v>
      </c>
      <c r="U59" s="2"/>
      <c r="V59" s="6">
        <f t="shared" si="41"/>
        <v>9.6153846153846159E-4</v>
      </c>
      <c r="W59" s="2"/>
      <c r="X59" s="7">
        <f t="shared" si="42"/>
        <v>142.48000000000002</v>
      </c>
      <c r="Y59" s="2"/>
      <c r="Z59" s="6">
        <f t="shared" si="43"/>
        <v>0.23746666666666669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407</v>
      </c>
      <c r="E60" s="1"/>
      <c r="F60" s="5">
        <f t="shared" si="36"/>
        <v>2.0582406240059636E-2</v>
      </c>
      <c r="G60" s="1"/>
      <c r="H60" s="1">
        <f>SUM(OSRRefH22_8x_0)</f>
        <v>75</v>
      </c>
      <c r="I60" s="1"/>
      <c r="J60" s="5">
        <f t="shared" si="37"/>
        <v>1.3157894736842105E-3</v>
      </c>
      <c r="K60" s="1"/>
      <c r="L60" s="1">
        <f t="shared" si="38"/>
        <v>332</v>
      </c>
      <c r="M60" s="1"/>
      <c r="N60" s="5">
        <f t="shared" si="39"/>
        <v>4.4266666666666667</v>
      </c>
      <c r="O60" s="13"/>
      <c r="P60" s="1">
        <f>SUM(OSRRefP22_8x_0)</f>
        <v>2898.74</v>
      </c>
      <c r="Q60" s="1"/>
      <c r="R60" s="5">
        <f t="shared" si="40"/>
        <v>8.3372269288109792E-3</v>
      </c>
      <c r="S60" s="1"/>
      <c r="T60" s="1">
        <f>SUM(OSRRefT22_8x_0)</f>
        <v>3850</v>
      </c>
      <c r="U60" s="1"/>
      <c r="V60" s="5">
        <f t="shared" si="41"/>
        <v>6.1698717948717946E-3</v>
      </c>
      <c r="W60" s="1"/>
      <c r="X60" s="1">
        <f t="shared" si="42"/>
        <v>-951.26000000000022</v>
      </c>
      <c r="Y60" s="1"/>
      <c r="Z60" s="5">
        <f t="shared" si="43"/>
        <v>-0.24708051948051954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7">
        <v>407</v>
      </c>
      <c r="E61" s="2"/>
      <c r="F61" s="6">
        <f t="shared" si="36"/>
        <v>2.0582406240059636E-2</v>
      </c>
      <c r="G61" s="2"/>
      <c r="H61" s="7">
        <v>75</v>
      </c>
      <c r="I61" s="2"/>
      <c r="J61" s="6">
        <f t="shared" si="37"/>
        <v>1.3157894736842105E-3</v>
      </c>
      <c r="K61" s="2"/>
      <c r="L61" s="7">
        <f t="shared" si="38"/>
        <v>332</v>
      </c>
      <c r="M61" s="2"/>
      <c r="N61" s="6">
        <f t="shared" si="39"/>
        <v>4.4266666666666667</v>
      </c>
      <c r="O61" s="11"/>
      <c r="P61" s="7">
        <v>2898.74</v>
      </c>
      <c r="Q61" s="2"/>
      <c r="R61" s="6">
        <f t="shared" si="40"/>
        <v>8.3372269288109792E-3</v>
      </c>
      <c r="S61" s="2"/>
      <c r="T61" s="7">
        <v>3850</v>
      </c>
      <c r="U61" s="2"/>
      <c r="V61" s="6">
        <f t="shared" si="41"/>
        <v>6.1698717948717946E-3</v>
      </c>
      <c r="W61" s="2"/>
      <c r="X61" s="7">
        <f t="shared" si="42"/>
        <v>-951.26000000000022</v>
      </c>
      <c r="Y61" s="2"/>
      <c r="Z61" s="6">
        <f t="shared" si="43"/>
        <v>-0.24708051948051954</v>
      </c>
    </row>
    <row r="62" spans="1:26" s="27" customFormat="1" outlineLevel="1" collapsed="1" x14ac:dyDescent="0.25">
      <c r="A62" s="26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253.19</v>
      </c>
      <c r="E62" s="1"/>
      <c r="F62" s="5">
        <f t="shared" si="36"/>
        <v>1.2804077238134396E-2</v>
      </c>
      <c r="G62" s="1"/>
      <c r="H62" s="1">
        <f>SUM(OSRRefH22_9x_0)</f>
        <v>200</v>
      </c>
      <c r="I62" s="1"/>
      <c r="J62" s="5">
        <f t="shared" si="37"/>
        <v>3.5087719298245615E-3</v>
      </c>
      <c r="K62" s="1"/>
      <c r="L62" s="1">
        <f t="shared" si="38"/>
        <v>53.19</v>
      </c>
      <c r="M62" s="1"/>
      <c r="N62" s="5">
        <f t="shared" si="39"/>
        <v>0.26594999999999996</v>
      </c>
      <c r="O62" s="13"/>
      <c r="P62" s="1">
        <f>SUM(OSRRefP22_9x_0)</f>
        <v>5294.83</v>
      </c>
      <c r="Q62" s="1"/>
      <c r="R62" s="5">
        <f t="shared" si="40"/>
        <v>1.5228754306863067E-2</v>
      </c>
      <c r="S62" s="1"/>
      <c r="T62" s="1">
        <f>SUM(OSRRefT22_9x_0)</f>
        <v>4020</v>
      </c>
      <c r="U62" s="1"/>
      <c r="V62" s="5">
        <f t="shared" si="41"/>
        <v>6.4423076923076925E-3</v>
      </c>
      <c r="W62" s="1"/>
      <c r="X62" s="1">
        <f t="shared" si="42"/>
        <v>1274.83</v>
      </c>
      <c r="Y62" s="1"/>
      <c r="Z62" s="5">
        <f t="shared" si="43"/>
        <v>0.31712189054726364</v>
      </c>
    </row>
    <row r="63" spans="1:26" s="24" customFormat="1" hidden="1" outlineLevel="2" x14ac:dyDescent="0.25">
      <c r="A63" s="25"/>
      <c r="B63" s="11" t="str">
        <f>CONCATENATE("          ", "6373", " - ", "MAINTENANCE CONTRACTS")</f>
        <v xml:space="preserve">          6373 - MAINTENANCE CONTRACTS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1071.28</v>
      </c>
      <c r="Q63" s="2"/>
      <c r="R63" s="6">
        <f t="shared" si="40"/>
        <v>3.0811678399223896E-3</v>
      </c>
      <c r="S63" s="2"/>
      <c r="T63" s="7">
        <v>120</v>
      </c>
      <c r="U63" s="2"/>
      <c r="V63" s="6">
        <f t="shared" si="41"/>
        <v>1.9230769230769231E-4</v>
      </c>
      <c r="W63" s="2"/>
      <c r="X63" s="7">
        <f t="shared" si="42"/>
        <v>951.28</v>
      </c>
      <c r="Y63" s="2"/>
      <c r="Z63" s="6">
        <f t="shared" si="43"/>
        <v>7.9273333333333333</v>
      </c>
    </row>
    <row r="64" spans="1:26" s="24" customFormat="1" hidden="1" outlineLevel="2" x14ac:dyDescent="0.25">
      <c r="A64" s="25"/>
      <c r="B64" s="11" t="str">
        <f>CONCATENATE("          ", "6375", " - ", "OUTSIDE REPAIRS &amp; MAINTENANCE")</f>
        <v xml:space="preserve">          6375 - OUTSIDE REPAIRS &amp; MAINTENANCE</v>
      </c>
      <c r="C64" s="11"/>
      <c r="D64" s="7">
        <v>253.19</v>
      </c>
      <c r="E64" s="2"/>
      <c r="F64" s="6">
        <f t="shared" si="36"/>
        <v>1.2804077238134396E-2</v>
      </c>
      <c r="G64" s="2"/>
      <c r="H64" s="7">
        <v>200</v>
      </c>
      <c r="I64" s="2"/>
      <c r="J64" s="6">
        <f t="shared" si="37"/>
        <v>3.5087719298245615E-3</v>
      </c>
      <c r="K64" s="2"/>
      <c r="L64" s="7">
        <f t="shared" si="38"/>
        <v>53.19</v>
      </c>
      <c r="M64" s="2"/>
      <c r="N64" s="6">
        <f t="shared" si="39"/>
        <v>0.26594999999999996</v>
      </c>
      <c r="O64" s="11"/>
      <c r="P64" s="7">
        <v>4223.55</v>
      </c>
      <c r="Q64" s="2"/>
      <c r="R64" s="6">
        <f t="shared" si="40"/>
        <v>1.2147586466940677E-2</v>
      </c>
      <c r="S64" s="2"/>
      <c r="T64" s="7">
        <v>3900</v>
      </c>
      <c r="U64" s="2"/>
      <c r="V64" s="6">
        <f t="shared" si="41"/>
        <v>6.2500000000000003E-3</v>
      </c>
      <c r="W64" s="2"/>
      <c r="X64" s="7">
        <f t="shared" si="42"/>
        <v>323.55000000000018</v>
      </c>
      <c r="Y64" s="2"/>
      <c r="Z64" s="6">
        <f t="shared" si="43"/>
        <v>8.2961538461538503E-2</v>
      </c>
    </row>
    <row r="65" spans="1:26" s="27" customFormat="1" outlineLevel="1" collapsed="1" x14ac:dyDescent="0.25">
      <c r="A65" s="26"/>
      <c r="B65" s="13" t="str">
        <f>CONCATENATE("     ","Royalty &amp; Commissions                             ")</f>
        <v xml:space="preserve">     Royalty &amp; Commissions                             </v>
      </c>
      <c r="C65" s="13"/>
      <c r="D65" s="1">
        <f>SUM(OSRRefD22_10x_0)</f>
        <v>0</v>
      </c>
      <c r="E65" s="1"/>
      <c r="F65" s="5">
        <f t="shared" ref="F65:F70" si="44">IF(D$12=0,0,D65/D$12)</f>
        <v>0</v>
      </c>
      <c r="G65" s="1"/>
      <c r="H65" s="1">
        <f>SUM(OSRRefH22_10x_0)</f>
        <v>0</v>
      </c>
      <c r="I65" s="1"/>
      <c r="J65" s="5">
        <f t="shared" ref="J65:J70" si="45">IF(H$12=0,0,H65/H$12)</f>
        <v>0</v>
      </c>
      <c r="K65" s="1"/>
      <c r="L65" s="1">
        <f t="shared" ref="L65:L70" si="46">+D65-H65</f>
        <v>0</v>
      </c>
      <c r="M65" s="1"/>
      <c r="N65" s="5">
        <f t="shared" ref="N65:N70" si="47">IF(H65=0,0,L65/H65)</f>
        <v>0</v>
      </c>
      <c r="O65" s="13"/>
      <c r="P65" s="1">
        <f>SUM(OSRRefP22_10x_0)</f>
        <v>0</v>
      </c>
      <c r="Q65" s="1"/>
      <c r="R65" s="5">
        <f t="shared" ref="R65:R70" si="48">IF(P$12=0,0,P65/P$12)</f>
        <v>0</v>
      </c>
      <c r="S65" s="1"/>
      <c r="T65" s="1">
        <f>SUM(OSRRefT22_10x_0)</f>
        <v>4000</v>
      </c>
      <c r="U65" s="1"/>
      <c r="V65" s="5">
        <f t="shared" ref="V65:V70" si="49">IF(T$12=0,0,T65/T$12)</f>
        <v>6.41025641025641E-3</v>
      </c>
      <c r="W65" s="1"/>
      <c r="X65" s="1">
        <f t="shared" ref="X65:X70" si="50">+P65-T65</f>
        <v>-4000</v>
      </c>
      <c r="Y65" s="1"/>
      <c r="Z65" s="5">
        <f t="shared" ref="Z65:Z70" si="51">IF(T65=0,0,X65/T65)</f>
        <v>-1</v>
      </c>
    </row>
    <row r="66" spans="1:26" s="24" customFormat="1" hidden="1" outlineLevel="2" x14ac:dyDescent="0.25">
      <c r="A66" s="25"/>
      <c r="B66" s="11" t="str">
        <f>CONCATENATE("          ", "6254", " - ", "ROYALTY &amp; COMMISSIONS")</f>
        <v xml:space="preserve">          6254 - ROYALTY &amp; COMMISSIONS</v>
      </c>
      <c r="C66" s="11"/>
      <c r="D66" s="7"/>
      <c r="E66" s="2"/>
      <c r="F66" s="6">
        <f t="shared" si="44"/>
        <v>0</v>
      </c>
      <c r="G66" s="2"/>
      <c r="H66" s="7"/>
      <c r="I66" s="2"/>
      <c r="J66" s="6">
        <f t="shared" si="45"/>
        <v>0</v>
      </c>
      <c r="K66" s="2"/>
      <c r="L66" s="7">
        <f t="shared" si="46"/>
        <v>0</v>
      </c>
      <c r="M66" s="2"/>
      <c r="N66" s="6">
        <f t="shared" si="47"/>
        <v>0</v>
      </c>
      <c r="O66" s="11"/>
      <c r="P66" s="7"/>
      <c r="Q66" s="2"/>
      <c r="R66" s="6">
        <f t="shared" si="48"/>
        <v>0</v>
      </c>
      <c r="S66" s="2"/>
      <c r="T66" s="7">
        <v>4000</v>
      </c>
      <c r="U66" s="2"/>
      <c r="V66" s="6">
        <f t="shared" si="49"/>
        <v>6.41025641025641E-3</v>
      </c>
      <c r="W66" s="2"/>
      <c r="X66" s="7">
        <f t="shared" si="50"/>
        <v>-4000</v>
      </c>
      <c r="Y66" s="2"/>
      <c r="Z66" s="6">
        <f t="shared" si="51"/>
        <v>-1</v>
      </c>
    </row>
    <row r="67" spans="1:26" s="27" customFormat="1" outlineLevel="1" collapsed="1" x14ac:dyDescent="0.25">
      <c r="A67" s="26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SUM(OSRRefD22_11x_0)</f>
        <v>1648.93</v>
      </c>
      <c r="E67" s="1"/>
      <c r="F67" s="5">
        <f t="shared" si="44"/>
        <v>8.3388076465409175E-2</v>
      </c>
      <c r="G67" s="1"/>
      <c r="H67" s="1">
        <f>SUM(OSRRefH22_11x_0)</f>
        <v>2060</v>
      </c>
      <c r="I67" s="1"/>
      <c r="J67" s="5">
        <f t="shared" si="45"/>
        <v>3.614035087719298E-2</v>
      </c>
      <c r="K67" s="1"/>
      <c r="L67" s="1">
        <f t="shared" si="46"/>
        <v>-411.06999999999994</v>
      </c>
      <c r="M67" s="1"/>
      <c r="N67" s="5">
        <f t="shared" si="47"/>
        <v>-0.19954854368932035</v>
      </c>
      <c r="O67" s="13"/>
      <c r="P67" s="1">
        <f>SUM(OSRRefP22_11x_0)</f>
        <v>15582.59</v>
      </c>
      <c r="Q67" s="1"/>
      <c r="R67" s="5">
        <f t="shared" si="48"/>
        <v>4.4817951581935841E-2</v>
      </c>
      <c r="S67" s="1"/>
      <c r="T67" s="1">
        <f>SUM(OSRRefT22_11x_0)</f>
        <v>18370</v>
      </c>
      <c r="U67" s="1"/>
      <c r="V67" s="5">
        <f t="shared" si="49"/>
        <v>2.9439102564102565E-2</v>
      </c>
      <c r="W67" s="1"/>
      <c r="X67" s="1">
        <f t="shared" si="50"/>
        <v>-2787.41</v>
      </c>
      <c r="Y67" s="1"/>
      <c r="Z67" s="5">
        <f t="shared" si="51"/>
        <v>-0.1517370713119216</v>
      </c>
    </row>
    <row r="68" spans="1:26" s="24" customFormat="1" hidden="1" outlineLevel="2" x14ac:dyDescent="0.25">
      <c r="A68" s="25"/>
      <c r="B68" s="11" t="str">
        <f>CONCATENATE("          ", "6283", " - ", "PLANT SERVICE")</f>
        <v xml:space="preserve">          6283 - PLANT SERVICE</v>
      </c>
      <c r="C68" s="11"/>
      <c r="D68" s="7"/>
      <c r="E68" s="2"/>
      <c r="F68" s="6">
        <f t="shared" si="44"/>
        <v>0</v>
      </c>
      <c r="G68" s="2"/>
      <c r="H68" s="7">
        <v>60</v>
      </c>
      <c r="I68" s="2"/>
      <c r="J68" s="6">
        <f t="shared" si="45"/>
        <v>1.0526315789473684E-3</v>
      </c>
      <c r="K68" s="2"/>
      <c r="L68" s="7">
        <f t="shared" si="46"/>
        <v>-60</v>
      </c>
      <c r="M68" s="2"/>
      <c r="N68" s="6">
        <f t="shared" si="47"/>
        <v>-1</v>
      </c>
      <c r="O68" s="11"/>
      <c r="P68" s="7">
        <v>251.8</v>
      </c>
      <c r="Q68" s="2"/>
      <c r="R68" s="6">
        <f t="shared" si="48"/>
        <v>7.2421594923125399E-4</v>
      </c>
      <c r="S68" s="2"/>
      <c r="T68" s="7">
        <v>420</v>
      </c>
      <c r="U68" s="2"/>
      <c r="V68" s="6">
        <f t="shared" si="49"/>
        <v>6.7307692307692305E-4</v>
      </c>
      <c r="W68" s="2"/>
      <c r="X68" s="7">
        <f t="shared" si="50"/>
        <v>-168.2</v>
      </c>
      <c r="Y68" s="2"/>
      <c r="Z68" s="6">
        <f t="shared" si="51"/>
        <v>-0.40047619047619043</v>
      </c>
    </row>
    <row r="69" spans="1:26" s="24" customFormat="1" hidden="1" outlineLevel="2" x14ac:dyDescent="0.25">
      <c r="A69" s="25"/>
      <c r="B69" s="11" t="str">
        <f>CONCATENATE("          ", "6285", " - ", "JANITORIAL SERVICES")</f>
        <v xml:space="preserve">          6285 - JANITORIAL SERVICES</v>
      </c>
      <c r="C69" s="11"/>
      <c r="D69" s="7"/>
      <c r="E69" s="2"/>
      <c r="F69" s="6">
        <f t="shared" si="44"/>
        <v>0</v>
      </c>
      <c r="G69" s="2"/>
      <c r="H69" s="7"/>
      <c r="I69" s="2"/>
      <c r="J69" s="6">
        <f t="shared" si="45"/>
        <v>0</v>
      </c>
      <c r="K69" s="2"/>
      <c r="L69" s="7">
        <f t="shared" si="46"/>
        <v>0</v>
      </c>
      <c r="M69" s="2"/>
      <c r="N69" s="6">
        <f t="shared" si="47"/>
        <v>0</v>
      </c>
      <c r="O69" s="11"/>
      <c r="P69" s="7"/>
      <c r="Q69" s="2"/>
      <c r="R69" s="6">
        <f t="shared" si="48"/>
        <v>0</v>
      </c>
      <c r="S69" s="2"/>
      <c r="T69" s="7">
        <v>250</v>
      </c>
      <c r="U69" s="2"/>
      <c r="V69" s="6">
        <f t="shared" si="49"/>
        <v>4.0064102564102563E-4</v>
      </c>
      <c r="W69" s="2"/>
      <c r="X69" s="7">
        <f t="shared" si="50"/>
        <v>-250</v>
      </c>
      <c r="Y69" s="2"/>
      <c r="Z69" s="6">
        <f t="shared" si="51"/>
        <v>-1</v>
      </c>
    </row>
    <row r="70" spans="1:26" s="24" customFormat="1" hidden="1" outlineLevel="2" x14ac:dyDescent="0.25">
      <c r="A70" s="25"/>
      <c r="B70" s="11" t="str">
        <f>CONCATENATE("          ", "6286", " - ", "LAUNDRY EXPENSE")</f>
        <v xml:space="preserve">          6286 - LAUNDRY EXPENSE</v>
      </c>
      <c r="C70" s="11"/>
      <c r="D70" s="7">
        <v>1648.93</v>
      </c>
      <c r="E70" s="2"/>
      <c r="F70" s="6">
        <f t="shared" si="44"/>
        <v>8.3388076465409175E-2</v>
      </c>
      <c r="G70" s="2"/>
      <c r="H70" s="7">
        <v>2000</v>
      </c>
      <c r="I70" s="2"/>
      <c r="J70" s="6">
        <f t="shared" si="45"/>
        <v>3.5087719298245612E-2</v>
      </c>
      <c r="K70" s="2"/>
      <c r="L70" s="7">
        <f t="shared" si="46"/>
        <v>-351.06999999999994</v>
      </c>
      <c r="M70" s="2"/>
      <c r="N70" s="6">
        <f t="shared" si="47"/>
        <v>-0.17553499999999997</v>
      </c>
      <c r="O70" s="11"/>
      <c r="P70" s="7">
        <v>15330.79</v>
      </c>
      <c r="Q70" s="2"/>
      <c r="R70" s="6">
        <f t="shared" si="48"/>
        <v>4.4093735632704592E-2</v>
      </c>
      <c r="S70" s="2"/>
      <c r="T70" s="7">
        <v>17700</v>
      </c>
      <c r="U70" s="2"/>
      <c r="V70" s="6">
        <f t="shared" si="49"/>
        <v>2.8365384615384615E-2</v>
      </c>
      <c r="W70" s="2"/>
      <c r="X70" s="7">
        <f t="shared" si="50"/>
        <v>-2369.2099999999991</v>
      </c>
      <c r="Y70" s="2"/>
      <c r="Z70" s="6">
        <f t="shared" si="51"/>
        <v>-0.13385367231638412</v>
      </c>
    </row>
    <row r="71" spans="1:26" s="27" customFormat="1" outlineLevel="1" collapsed="1" x14ac:dyDescent="0.25">
      <c r="A71" s="26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SUM(OSRRefD22_12x_0)</f>
        <v>548.05999999999995</v>
      </c>
      <c r="E71" s="1"/>
      <c r="F71" s="5">
        <f t="shared" ref="F71:F77" si="52">IF(D$12=0,0,D71/D$12)</f>
        <v>2.7715954702523544E-2</v>
      </c>
      <c r="G71" s="1"/>
      <c r="H71" s="1">
        <f>SUM(OSRRefH22_12x_0)</f>
        <v>832</v>
      </c>
      <c r="I71" s="1"/>
      <c r="J71" s="5">
        <f t="shared" ref="J71:J77" si="53">IF(H$12=0,0,H71/H$12)</f>
        <v>1.4596491228070175E-2</v>
      </c>
      <c r="K71" s="1"/>
      <c r="L71" s="1">
        <f t="shared" ref="L71:L77" si="54">+D71-H71</f>
        <v>-283.94000000000005</v>
      </c>
      <c r="M71" s="1"/>
      <c r="N71" s="5">
        <f t="shared" ref="N71:N77" si="55">IF(H71=0,0,L71/H71)</f>
        <v>-0.34127403846153853</v>
      </c>
      <c r="O71" s="13"/>
      <c r="P71" s="1">
        <f>SUM(OSRRefP22_12x_0)</f>
        <v>9361.7300000000014</v>
      </c>
      <c r="Q71" s="1"/>
      <c r="R71" s="5">
        <f t="shared" ref="R71:R77" si="56">IF(P$12=0,0,P71/P$12)</f>
        <v>2.6925791018255391E-2</v>
      </c>
      <c r="S71" s="1"/>
      <c r="T71" s="1">
        <f>SUM(OSRRefT22_12x_0)</f>
        <v>12190.5</v>
      </c>
      <c r="U71" s="1"/>
      <c r="V71" s="5">
        <f t="shared" ref="V71:V77" si="57">IF(T$12=0,0,T71/T$12)</f>
        <v>1.9536057692307693E-2</v>
      </c>
      <c r="W71" s="1"/>
      <c r="X71" s="1">
        <f t="shared" ref="X71:X77" si="58">+P71-T71</f>
        <v>-2828.7699999999986</v>
      </c>
      <c r="Y71" s="1"/>
      <c r="Z71" s="5">
        <f t="shared" ref="Z71:Z77" si="59">IF(T71=0,0,X71/T71)</f>
        <v>-0.23204708584553535</v>
      </c>
    </row>
    <row r="72" spans="1:26" s="24" customFormat="1" hidden="1" outlineLevel="2" x14ac:dyDescent="0.25">
      <c r="A72" s="25"/>
      <c r="B72" s="11" t="str">
        <f>CONCATENATE("          ", "6234", " - ", "EXPENDABLE SUPPLIES &amp; EQUIPMEN")</f>
        <v xml:space="preserve">          6234 - EXPENDABLE SUPPLIES &amp; EQUIPMEN</v>
      </c>
      <c r="C72" s="11"/>
      <c r="D72" s="7"/>
      <c r="E72" s="2"/>
      <c r="F72" s="6">
        <f t="shared" si="52"/>
        <v>0</v>
      </c>
      <c r="G72" s="2"/>
      <c r="H72" s="7">
        <v>150</v>
      </c>
      <c r="I72" s="2"/>
      <c r="J72" s="6">
        <f t="shared" si="53"/>
        <v>2.631578947368421E-3</v>
      </c>
      <c r="K72" s="2"/>
      <c r="L72" s="7">
        <f t="shared" si="54"/>
        <v>-150</v>
      </c>
      <c r="M72" s="2"/>
      <c r="N72" s="6">
        <f t="shared" si="55"/>
        <v>-1</v>
      </c>
      <c r="O72" s="11"/>
      <c r="P72" s="7">
        <v>287.29000000000002</v>
      </c>
      <c r="Q72" s="2"/>
      <c r="R72" s="6">
        <f t="shared" si="56"/>
        <v>8.2629070712727148E-4</v>
      </c>
      <c r="S72" s="2"/>
      <c r="T72" s="7">
        <v>3550</v>
      </c>
      <c r="U72" s="2"/>
      <c r="V72" s="6">
        <f t="shared" si="57"/>
        <v>5.6891025641025638E-3</v>
      </c>
      <c r="W72" s="2"/>
      <c r="X72" s="7">
        <f t="shared" si="58"/>
        <v>-3262.71</v>
      </c>
      <c r="Y72" s="2"/>
      <c r="Z72" s="6">
        <f t="shared" si="59"/>
        <v>-0.91907323943661978</v>
      </c>
    </row>
    <row r="73" spans="1:26" s="24" customFormat="1" hidden="1" outlineLevel="2" x14ac:dyDescent="0.25">
      <c r="A73" s="25"/>
      <c r="B73" s="11" t="str">
        <f>CONCATENATE("          ", "6239", " - ", "KITCHEN SUPPLIES")</f>
        <v xml:space="preserve">          6239 - KITCHEN SUPPLIES</v>
      </c>
      <c r="C73" s="11"/>
      <c r="D73" s="7">
        <v>160.26</v>
      </c>
      <c r="E73" s="2"/>
      <c r="F73" s="6">
        <f t="shared" si="52"/>
        <v>8.1045120983586159E-3</v>
      </c>
      <c r="G73" s="2"/>
      <c r="H73" s="7">
        <v>157</v>
      </c>
      <c r="I73" s="2"/>
      <c r="J73" s="6">
        <f t="shared" si="53"/>
        <v>2.7543859649122805E-3</v>
      </c>
      <c r="K73" s="2"/>
      <c r="L73" s="7">
        <f t="shared" si="54"/>
        <v>3.2599999999999909</v>
      </c>
      <c r="M73" s="2"/>
      <c r="N73" s="6">
        <f t="shared" si="55"/>
        <v>2.0764331210191025E-2</v>
      </c>
      <c r="O73" s="11"/>
      <c r="P73" s="7">
        <v>3509.53</v>
      </c>
      <c r="Q73" s="2"/>
      <c r="R73" s="6">
        <f t="shared" si="56"/>
        <v>1.0093953932905332E-2</v>
      </c>
      <c r="S73" s="2"/>
      <c r="T73" s="7">
        <v>1373.71</v>
      </c>
      <c r="U73" s="2"/>
      <c r="V73" s="6">
        <f t="shared" si="57"/>
        <v>2.2014583333333335E-3</v>
      </c>
      <c r="W73" s="2"/>
      <c r="X73" s="7">
        <f t="shared" si="58"/>
        <v>2135.8200000000002</v>
      </c>
      <c r="Y73" s="2"/>
      <c r="Z73" s="6">
        <f t="shared" si="59"/>
        <v>1.5547823048532805</v>
      </c>
    </row>
    <row r="74" spans="1:26" s="24" customFormat="1" hidden="1" outlineLevel="2" x14ac:dyDescent="0.25">
      <c r="A74" s="25"/>
      <c r="B74" s="11" t="str">
        <f>CONCATENATE("          ", "6241", " - ", "OFFICE EXPENSE")</f>
        <v xml:space="preserve">          6241 - OFFICE EXPENSE</v>
      </c>
      <c r="C74" s="11"/>
      <c r="D74" s="7">
        <v>6.97</v>
      </c>
      <c r="E74" s="2"/>
      <c r="F74" s="6">
        <f t="shared" si="52"/>
        <v>3.5248002823885907E-4</v>
      </c>
      <c r="G74" s="2"/>
      <c r="H74" s="7">
        <v>0</v>
      </c>
      <c r="I74" s="2"/>
      <c r="J74" s="6">
        <f t="shared" si="53"/>
        <v>0</v>
      </c>
      <c r="K74" s="2"/>
      <c r="L74" s="7">
        <f t="shared" si="54"/>
        <v>6.97</v>
      </c>
      <c r="M74" s="2"/>
      <c r="N74" s="6">
        <f t="shared" si="55"/>
        <v>0</v>
      </c>
      <c r="O74" s="11"/>
      <c r="P74" s="7">
        <v>649.69000000000005</v>
      </c>
      <c r="Q74" s="2"/>
      <c r="R74" s="6">
        <f t="shared" si="56"/>
        <v>1.8686094521685997E-3</v>
      </c>
      <c r="S74" s="2"/>
      <c r="T74" s="7">
        <v>1281.25</v>
      </c>
      <c r="U74" s="2"/>
      <c r="V74" s="6">
        <f t="shared" si="57"/>
        <v>2.0532852564102565E-3</v>
      </c>
      <c r="W74" s="2"/>
      <c r="X74" s="7">
        <f t="shared" si="58"/>
        <v>-631.55999999999995</v>
      </c>
      <c r="Y74" s="2"/>
      <c r="Z74" s="6">
        <f t="shared" si="59"/>
        <v>-0.49292487804878043</v>
      </c>
    </row>
    <row r="75" spans="1:26" s="24" customFormat="1" hidden="1" outlineLevel="2" x14ac:dyDescent="0.25">
      <c r="A75" s="25"/>
      <c r="B75" s="11" t="str">
        <f>CONCATENATE("          ", "6243", " - ", "PAPER SUPPLIES")</f>
        <v xml:space="preserve">          6243 - PAPER SUPPLIES</v>
      </c>
      <c r="C75" s="11"/>
      <c r="D75" s="7">
        <v>265.07</v>
      </c>
      <c r="E75" s="2"/>
      <c r="F75" s="6">
        <f t="shared" si="52"/>
        <v>1.3404860987844243E-2</v>
      </c>
      <c r="G75" s="2"/>
      <c r="H75" s="7">
        <v>500</v>
      </c>
      <c r="I75" s="2"/>
      <c r="J75" s="6">
        <f t="shared" si="53"/>
        <v>8.771929824561403E-3</v>
      </c>
      <c r="K75" s="2"/>
      <c r="L75" s="7">
        <f t="shared" si="54"/>
        <v>-234.93</v>
      </c>
      <c r="M75" s="2"/>
      <c r="N75" s="6">
        <f t="shared" si="55"/>
        <v>-0.46986</v>
      </c>
      <c r="O75" s="11"/>
      <c r="P75" s="7">
        <v>3828.8</v>
      </c>
      <c r="Q75" s="2"/>
      <c r="R75" s="6">
        <f t="shared" si="56"/>
        <v>1.1012224092202641E-2</v>
      </c>
      <c r="S75" s="2"/>
      <c r="T75" s="7">
        <v>4024.52</v>
      </c>
      <c r="U75" s="2"/>
      <c r="V75" s="6">
        <f t="shared" si="57"/>
        <v>6.4495512820512821E-3</v>
      </c>
      <c r="W75" s="2"/>
      <c r="X75" s="7">
        <f t="shared" si="58"/>
        <v>-195.7199999999998</v>
      </c>
      <c r="Y75" s="2"/>
      <c r="Z75" s="6">
        <f t="shared" si="59"/>
        <v>-4.8631886535537107E-2</v>
      </c>
    </row>
    <row r="76" spans="1:26" s="24" customFormat="1" hidden="1" outlineLevel="2" x14ac:dyDescent="0.25">
      <c r="A76" s="25"/>
      <c r="B76" s="11" t="str">
        <f>CONCATENATE("          ", "6247", " - ", "STORE SUPPLIES")</f>
        <v xml:space="preserve">          6247 - STORE SUPPLIES</v>
      </c>
      <c r="C76" s="11"/>
      <c r="D76" s="7"/>
      <c r="E76" s="2"/>
      <c r="F76" s="6">
        <f t="shared" si="52"/>
        <v>0</v>
      </c>
      <c r="G76" s="2"/>
      <c r="H76" s="7">
        <v>25</v>
      </c>
      <c r="I76" s="2"/>
      <c r="J76" s="6">
        <f t="shared" si="53"/>
        <v>4.3859649122807018E-4</v>
      </c>
      <c r="K76" s="2"/>
      <c r="L76" s="7">
        <f t="shared" si="54"/>
        <v>-25</v>
      </c>
      <c r="M76" s="2"/>
      <c r="N76" s="6">
        <f t="shared" si="55"/>
        <v>-1</v>
      </c>
      <c r="O76" s="11"/>
      <c r="P76" s="7">
        <v>366.09</v>
      </c>
      <c r="Q76" s="2"/>
      <c r="R76" s="6">
        <f t="shared" si="56"/>
        <v>1.0529317587532555E-3</v>
      </c>
      <c r="S76" s="2"/>
      <c r="T76" s="7">
        <v>911.02</v>
      </c>
      <c r="U76" s="2"/>
      <c r="V76" s="6">
        <f t="shared" si="57"/>
        <v>1.4599679487179488E-3</v>
      </c>
      <c r="W76" s="2"/>
      <c r="X76" s="7">
        <f t="shared" si="58"/>
        <v>-544.93000000000006</v>
      </c>
      <c r="Y76" s="2"/>
      <c r="Z76" s="6">
        <f t="shared" si="59"/>
        <v>-0.59815371781080551</v>
      </c>
    </row>
    <row r="77" spans="1:26" s="24" customFormat="1" hidden="1" outlineLevel="2" x14ac:dyDescent="0.25">
      <c r="A77" s="25"/>
      <c r="B77" s="11" t="str">
        <f>CONCATENATE("          ", "6248", " - ", "UNIFORMS")</f>
        <v xml:space="preserve">          6248 - UNIFORMS</v>
      </c>
      <c r="C77" s="11"/>
      <c r="D77" s="7">
        <v>115.76</v>
      </c>
      <c r="E77" s="2"/>
      <c r="F77" s="6">
        <f t="shared" si="52"/>
        <v>5.8541015880818267E-3</v>
      </c>
      <c r="G77" s="2"/>
      <c r="H77" s="7"/>
      <c r="I77" s="2"/>
      <c r="J77" s="6">
        <f t="shared" si="53"/>
        <v>0</v>
      </c>
      <c r="K77" s="2"/>
      <c r="L77" s="7">
        <f t="shared" si="54"/>
        <v>115.76</v>
      </c>
      <c r="M77" s="2"/>
      <c r="N77" s="6">
        <f t="shared" si="55"/>
        <v>0</v>
      </c>
      <c r="O77" s="11"/>
      <c r="P77" s="7">
        <v>720.33</v>
      </c>
      <c r="Q77" s="2"/>
      <c r="R77" s="6">
        <f t="shared" si="56"/>
        <v>2.0717810750982891E-3</v>
      </c>
      <c r="S77" s="2"/>
      <c r="T77" s="7">
        <v>1050</v>
      </c>
      <c r="U77" s="2"/>
      <c r="V77" s="6">
        <f t="shared" si="57"/>
        <v>1.6826923076923078E-3</v>
      </c>
      <c r="W77" s="2"/>
      <c r="X77" s="7">
        <f t="shared" si="58"/>
        <v>-329.66999999999996</v>
      </c>
      <c r="Y77" s="2"/>
      <c r="Z77" s="6">
        <f t="shared" si="59"/>
        <v>-0.31397142857142851</v>
      </c>
    </row>
    <row r="78" spans="1:26" s="27" customFormat="1" outlineLevel="1" collapsed="1" x14ac:dyDescent="0.25">
      <c r="A78" s="26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SUM(OSRRefD22_13x_0)</f>
        <v>228.36</v>
      </c>
      <c r="E78" s="1"/>
      <c r="F78" s="5">
        <f t="shared" ref="F78:F81" si="60">IF(D$12=0,0,D78/D$12)</f>
        <v>1.154839874442265E-2</v>
      </c>
      <c r="G78" s="1"/>
      <c r="H78" s="1">
        <f>SUM(OSRRefH22_13x_0)</f>
        <v>195</v>
      </c>
      <c r="I78" s="1"/>
      <c r="J78" s="5">
        <f t="shared" ref="J78:J81" si="61">IF(H$12=0,0,H78/H$12)</f>
        <v>3.4210526315789475E-3</v>
      </c>
      <c r="K78" s="1"/>
      <c r="L78" s="1">
        <f t="shared" ref="L78:L81" si="62">+D78-H78</f>
        <v>33.360000000000014</v>
      </c>
      <c r="M78" s="1"/>
      <c r="N78" s="5">
        <f t="shared" ref="N78:N81" si="63">IF(H78=0,0,L78/H78)</f>
        <v>0.17107692307692315</v>
      </c>
      <c r="O78" s="13"/>
      <c r="P78" s="1">
        <f>SUM(OSRRefP22_13x_0)</f>
        <v>1407.35</v>
      </c>
      <c r="Q78" s="1"/>
      <c r="R78" s="5">
        <f t="shared" ref="R78:R81" si="64">IF(P$12=0,0,P78/P$12)</f>
        <v>4.0477574112414818E-3</v>
      </c>
      <c r="S78" s="1"/>
      <c r="T78" s="1">
        <f>SUM(OSRRefT22_13x_0)</f>
        <v>975</v>
      </c>
      <c r="U78" s="1"/>
      <c r="V78" s="5">
        <f t="shared" ref="V78:V81" si="65">IF(T$12=0,0,T78/T$12)</f>
        <v>1.5625000000000001E-3</v>
      </c>
      <c r="W78" s="1"/>
      <c r="X78" s="1">
        <f t="shared" ref="X78:X81" si="66">+P78-T78</f>
        <v>432.34999999999991</v>
      </c>
      <c r="Y78" s="1"/>
      <c r="Z78" s="5">
        <f t="shared" ref="Z78:Z81" si="67">IF(T78=0,0,X78/T78)</f>
        <v>0.44343589743589734</v>
      </c>
    </row>
    <row r="79" spans="1:26" s="24" customFormat="1" hidden="1" outlineLevel="2" x14ac:dyDescent="0.25">
      <c r="A79" s="25"/>
      <c r="B79" s="11" t="str">
        <f>CONCATENATE("          ", "6309", " - ", "TELEPHONE")</f>
        <v xml:space="preserve">          6309 - TELEPHONE</v>
      </c>
      <c r="C79" s="11"/>
      <c r="D79" s="7">
        <v>228.36</v>
      </c>
      <c r="E79" s="2"/>
      <c r="F79" s="6">
        <f t="shared" si="60"/>
        <v>1.154839874442265E-2</v>
      </c>
      <c r="G79" s="2"/>
      <c r="H79" s="7">
        <v>195</v>
      </c>
      <c r="I79" s="2"/>
      <c r="J79" s="6">
        <f t="shared" si="61"/>
        <v>3.4210526315789475E-3</v>
      </c>
      <c r="K79" s="2"/>
      <c r="L79" s="7">
        <f t="shared" si="62"/>
        <v>33.360000000000014</v>
      </c>
      <c r="M79" s="2"/>
      <c r="N79" s="6">
        <f t="shared" si="63"/>
        <v>0.17107692307692315</v>
      </c>
      <c r="O79" s="11"/>
      <c r="P79" s="7">
        <v>1407.35</v>
      </c>
      <c r="Q79" s="2"/>
      <c r="R79" s="6">
        <f t="shared" si="64"/>
        <v>4.0477574112414818E-3</v>
      </c>
      <c r="S79" s="2"/>
      <c r="T79" s="7">
        <v>975</v>
      </c>
      <c r="U79" s="2"/>
      <c r="V79" s="6">
        <f t="shared" si="65"/>
        <v>1.5625000000000001E-3</v>
      </c>
      <c r="W79" s="2"/>
      <c r="X79" s="7">
        <f t="shared" si="66"/>
        <v>432.34999999999991</v>
      </c>
      <c r="Y79" s="2"/>
      <c r="Z79" s="6">
        <f t="shared" si="67"/>
        <v>0.44343589743589734</v>
      </c>
    </row>
    <row r="80" spans="1:26" s="27" customFormat="1" outlineLevel="1" collapsed="1" x14ac:dyDescent="0.25">
      <c r="A80" s="26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SUM(OSRRefD22_14x_0)</f>
        <v>0</v>
      </c>
      <c r="E80" s="1"/>
      <c r="F80" s="5">
        <f t="shared" si="60"/>
        <v>0</v>
      </c>
      <c r="G80" s="1"/>
      <c r="H80" s="1">
        <f>SUM(OSRRefH22_14x_0)</f>
        <v>100</v>
      </c>
      <c r="I80" s="1"/>
      <c r="J80" s="5">
        <f t="shared" si="61"/>
        <v>1.7543859649122807E-3</v>
      </c>
      <c r="K80" s="1"/>
      <c r="L80" s="1">
        <f t="shared" si="62"/>
        <v>-100</v>
      </c>
      <c r="M80" s="1"/>
      <c r="N80" s="5">
        <f t="shared" si="63"/>
        <v>-1</v>
      </c>
      <c r="O80" s="13"/>
      <c r="P80" s="1">
        <f>SUM(OSRRefP22_14x_0)</f>
        <v>175</v>
      </c>
      <c r="Q80" s="1"/>
      <c r="R80" s="5">
        <f t="shared" si="64"/>
        <v>5.0332720856024397E-4</v>
      </c>
      <c r="S80" s="1"/>
      <c r="T80" s="1">
        <f>SUM(OSRRefT22_14x_0)</f>
        <v>600</v>
      </c>
      <c r="U80" s="1"/>
      <c r="V80" s="5">
        <f t="shared" si="65"/>
        <v>9.6153846153846159E-4</v>
      </c>
      <c r="W80" s="1"/>
      <c r="X80" s="1">
        <f t="shared" si="66"/>
        <v>-425</v>
      </c>
      <c r="Y80" s="1"/>
      <c r="Z80" s="5">
        <f t="shared" si="67"/>
        <v>-0.70833333333333337</v>
      </c>
    </row>
    <row r="81" spans="1:26" s="24" customFormat="1" hidden="1" outlineLevel="2" x14ac:dyDescent="0.25">
      <c r="A81" s="25"/>
      <c r="B81" s="11" t="str">
        <f>CONCATENATE("          ", "6376", " - ", "TRAINING")</f>
        <v xml:space="preserve">          6376 - TRAINING</v>
      </c>
      <c r="C81" s="11"/>
      <c r="D81" s="7"/>
      <c r="E81" s="2"/>
      <c r="F81" s="6">
        <f t="shared" si="60"/>
        <v>0</v>
      </c>
      <c r="G81" s="2"/>
      <c r="H81" s="7">
        <v>100</v>
      </c>
      <c r="I81" s="2"/>
      <c r="J81" s="6">
        <f t="shared" si="61"/>
        <v>1.7543859649122807E-3</v>
      </c>
      <c r="K81" s="2"/>
      <c r="L81" s="7">
        <f t="shared" si="62"/>
        <v>-100</v>
      </c>
      <c r="M81" s="2"/>
      <c r="N81" s="6">
        <f t="shared" si="63"/>
        <v>-1</v>
      </c>
      <c r="O81" s="11"/>
      <c r="P81" s="7">
        <v>175</v>
      </c>
      <c r="Q81" s="2"/>
      <c r="R81" s="6">
        <f t="shared" si="64"/>
        <v>5.0332720856024397E-4</v>
      </c>
      <c r="S81" s="2"/>
      <c r="T81" s="7">
        <v>600</v>
      </c>
      <c r="U81" s="2"/>
      <c r="V81" s="6">
        <f t="shared" si="65"/>
        <v>9.6153846153846159E-4</v>
      </c>
      <c r="W81" s="2"/>
      <c r="X81" s="7">
        <f t="shared" si="66"/>
        <v>-425</v>
      </c>
      <c r="Y81" s="2"/>
      <c r="Z81" s="6">
        <f t="shared" si="67"/>
        <v>-0.70833333333333337</v>
      </c>
    </row>
    <row r="82" spans="1:26" s="53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8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1">
        <f>+D22-D24+D83</f>
        <v>-27172.34</v>
      </c>
      <c r="E85" s="14"/>
      <c r="F85" s="20">
        <f>IF(D$12=0,0,D85/D$12)</f>
        <v>-1.3741330230295381</v>
      </c>
      <c r="G85" s="14"/>
      <c r="H85" s="21">
        <f>+H22-H24+H83</f>
        <v>-12142.1415273538</v>
      </c>
      <c r="I85" s="14"/>
      <c r="J85" s="20">
        <f>IF(H$12=0,0,H85/H$12)</f>
        <v>-0.21302002679568072</v>
      </c>
      <c r="K85" s="16"/>
      <c r="L85" s="21">
        <f>+D85-H85</f>
        <v>-15030.1984726462</v>
      </c>
      <c r="M85" s="16"/>
      <c r="N85" s="20">
        <f>IF(H85=0,0,L85/H85)</f>
        <v>1.2378540011896739</v>
      </c>
      <c r="O85" s="28"/>
      <c r="P85" s="21">
        <f>+P22-P24+P83</f>
        <v>-97158.28999999995</v>
      </c>
      <c r="Q85" s="14"/>
      <c r="R85" s="20">
        <f>IF(P$12=0,0,P85/P$12)</f>
        <v>-0.2794423479667808</v>
      </c>
      <c r="S85" s="14"/>
      <c r="T85" s="21">
        <f>+T22-T24+T83</f>
        <v>-3510.1922966885031</v>
      </c>
      <c r="U85" s="14"/>
      <c r="V85" s="20">
        <f>IF(T$12=0,0,T85/T$12)</f>
        <v>-5.6253081677700373E-3</v>
      </c>
      <c r="W85" s="16"/>
      <c r="X85" s="21">
        <f>+P85-T85</f>
        <v>-93648.097703311447</v>
      </c>
      <c r="Y85" s="16"/>
      <c r="Z85" s="20">
        <f>IF(T85=0,0,X85/T85)</f>
        <v>26.678908101889053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14</v>
      </c>
      <c r="C87" s="10"/>
      <c r="D87" s="4">
        <v>841.72</v>
      </c>
      <c r="E87" s="4"/>
      <c r="F87" s="12">
        <f>IF(D$12=0,0,D87/D$12)</f>
        <v>4.2566641229442252E-2</v>
      </c>
      <c r="G87" s="4"/>
      <c r="H87" s="4">
        <v>3791</v>
      </c>
      <c r="I87" s="4"/>
      <c r="J87" s="12">
        <f>IF(H$12=0,0,H87/H$12)</f>
        <v>6.6508771929824559E-2</v>
      </c>
      <c r="K87" s="4"/>
      <c r="L87" s="4">
        <f>+D87-H87</f>
        <v>-2949.2799999999997</v>
      </c>
      <c r="M87" s="4"/>
      <c r="N87" s="12">
        <f>IF(H87=0,0,L87/H87)</f>
        <v>-0.77796887364811385</v>
      </c>
      <c r="O87" s="10"/>
      <c r="P87" s="4">
        <v>36258.76</v>
      </c>
      <c r="Q87" s="4"/>
      <c r="R87" s="12">
        <f>IF(P$12=0,0,P87/P$12)</f>
        <v>0.10428583118089048</v>
      </c>
      <c r="S87" s="4"/>
      <c r="T87" s="4">
        <v>76829</v>
      </c>
      <c r="U87" s="4"/>
      <c r="V87" s="12">
        <f>IF(T$12=0,0,T87/T$12)</f>
        <v>0.12312339743589744</v>
      </c>
      <c r="W87" s="4"/>
      <c r="X87" s="4">
        <f>+P87-T87</f>
        <v>-40570.239999999998</v>
      </c>
      <c r="Y87" s="4"/>
      <c r="Z87" s="12">
        <f>IF(T87=0,0,X87/T87)</f>
        <v>-0.52805893607882437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4">
        <f>+D85-D87</f>
        <v>-28014.06</v>
      </c>
      <c r="E89" s="14"/>
      <c r="F89" s="32">
        <f>IF(D$12=0,0,D89/D$12)</f>
        <v>-1.4166996642589804</v>
      </c>
      <c r="G89" s="14"/>
      <c r="H89" s="34">
        <f>+H85-H87</f>
        <v>-15933.1415273538</v>
      </c>
      <c r="I89" s="14"/>
      <c r="J89" s="32">
        <f>IF(H$12=0,0,H89/H$12)</f>
        <v>-0.27952879872550529</v>
      </c>
      <c r="K89" s="16"/>
      <c r="L89" s="34">
        <f>D89-H89</f>
        <v>-12080.918472646201</v>
      </c>
      <c r="M89" s="16"/>
      <c r="N89" s="32">
        <f>IF(H89=0,0,L89/H89)</f>
        <v>0.75822576808885078</v>
      </c>
      <c r="O89" s="28"/>
      <c r="P89" s="34">
        <f>+P85-P87</f>
        <v>-133417.04999999996</v>
      </c>
      <c r="Q89" s="14"/>
      <c r="R89" s="32">
        <f>IF(P$12=0,0,P89/P$12)</f>
        <v>-0.38372817914767132</v>
      </c>
      <c r="S89" s="14"/>
      <c r="T89" s="34">
        <f>+T85-T87</f>
        <v>-80339.192296688503</v>
      </c>
      <c r="U89" s="14"/>
      <c r="V89" s="32">
        <f>IF(T$12=0,0,T89/T$12)</f>
        <v>-0.12874870560366747</v>
      </c>
      <c r="W89" s="16"/>
      <c r="X89" s="34">
        <f>P89-T89</f>
        <v>-53077.857703311456</v>
      </c>
      <c r="Y89" s="16"/>
      <c r="Z89" s="32">
        <f>IF(T89=0,0,X89/T89)</f>
        <v>0.66067203547799758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1">
        <f>SUM(D89:D91)</f>
        <v>-28014.06</v>
      </c>
      <c r="E92" s="14"/>
      <c r="F92" s="30">
        <f>IF(D$12=0,0,D92/D$12)</f>
        <v>-1.4166996642589804</v>
      </c>
      <c r="G92" s="14"/>
      <c r="H92" s="31">
        <f>SUM(H89:H91)</f>
        <v>-15933.1415273538</v>
      </c>
      <c r="I92" s="14"/>
      <c r="J92" s="30">
        <f>IF(H$12=0,0,H92/H$12)</f>
        <v>-0.27952879872550529</v>
      </c>
      <c r="K92" s="16"/>
      <c r="L92" s="31">
        <f>+D92-H92</f>
        <v>-12080.918472646201</v>
      </c>
      <c r="M92" s="16"/>
      <c r="N92" s="30">
        <f>IF(H92=0,0,L92/H92)</f>
        <v>0.75822576808885078</v>
      </c>
      <c r="O92" s="28"/>
      <c r="P92" s="31">
        <f>SUM(P89:P91)</f>
        <v>-133417.04999999996</v>
      </c>
      <c r="Q92" s="14"/>
      <c r="R92" s="30">
        <f>IF(P$12=0,0,P92/P$12)</f>
        <v>-0.38372817914767132</v>
      </c>
      <c r="S92" s="14"/>
      <c r="T92" s="31">
        <f>SUM(T89:T91)</f>
        <v>-80339.192296688503</v>
      </c>
      <c r="U92" s="14"/>
      <c r="V92" s="30">
        <f>IF(T$12=0,0,T92/T$12)</f>
        <v>-0.12874870560366747</v>
      </c>
      <c r="W92" s="16"/>
      <c r="X92" s="31">
        <f>+P92-T92</f>
        <v>-53077.857703311456</v>
      </c>
      <c r="Y92" s="16"/>
      <c r="Z92" s="30">
        <f>IF(T92=0,0,X92/T92)</f>
        <v>0.66067203547799758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3">
        <v>43879.546516585651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7" t="s">
        <v>314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60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25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","420", " - ", "Catering")</f>
        <v>Department 420 - Catering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28422.46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28422.46</v>
      </c>
      <c r="M12" s="4"/>
      <c r="N12" s="12">
        <f t="shared" ref="N12:N14" si="1">IF(H12=0,0,L12/H12)</f>
        <v>0</v>
      </c>
      <c r="O12" s="10"/>
      <c r="P12" s="4">
        <f>SUM(OSRRefP13x_0)</f>
        <v>135611.56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135611.56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--28397.57</f>
        <v>28397.57</v>
      </c>
      <c r="E13" s="2"/>
      <c r="F13" s="19"/>
      <c r="G13" s="2"/>
      <c r="H13" s="2"/>
      <c r="I13" s="2"/>
      <c r="J13" s="19"/>
      <c r="K13" s="2"/>
      <c r="L13" s="2">
        <f t="shared" si="0"/>
        <v>28397.57</v>
      </c>
      <c r="M13" s="2"/>
      <c r="N13" s="19">
        <f t="shared" si="1"/>
        <v>0</v>
      </c>
      <c r="O13" s="11"/>
      <c r="P13" s="2">
        <f>--135238.05</f>
        <v>135238.04999999999</v>
      </c>
      <c r="Q13" s="2"/>
      <c r="R13" s="19"/>
      <c r="S13" s="2"/>
      <c r="T13" s="2"/>
      <c r="U13" s="2"/>
      <c r="V13" s="19"/>
      <c r="W13" s="2"/>
      <c r="X13" s="2">
        <f t="shared" si="2"/>
        <v>135238.04999999999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--24.89</f>
        <v>24.89</v>
      </c>
      <c r="E14" s="2"/>
      <c r="F14" s="19"/>
      <c r="G14" s="2"/>
      <c r="H14" s="2"/>
      <c r="I14" s="2"/>
      <c r="J14" s="19"/>
      <c r="K14" s="2"/>
      <c r="L14" s="2">
        <f t="shared" si="0"/>
        <v>24.89</v>
      </c>
      <c r="M14" s="2"/>
      <c r="N14" s="19">
        <f t="shared" si="1"/>
        <v>0</v>
      </c>
      <c r="O14" s="11"/>
      <c r="P14" s="2">
        <f>--373.51</f>
        <v>373.51</v>
      </c>
      <c r="Q14" s="2"/>
      <c r="R14" s="19"/>
      <c r="S14" s="2"/>
      <c r="T14" s="2"/>
      <c r="U14" s="2"/>
      <c r="V14" s="19"/>
      <c r="W14" s="2"/>
      <c r="X14" s="2">
        <f t="shared" si="2"/>
        <v>373.51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127.98</v>
      </c>
      <c r="E16" s="4"/>
      <c r="F16" s="12">
        <f t="shared" ref="F16:F17" si="4">IF(D$12=0,0,D16/D$12)</f>
        <v>4.5027770291522972E-3</v>
      </c>
      <c r="G16" s="4"/>
      <c r="H16" s="4">
        <f>SUM(OSRRefH16x_0)</f>
        <v>0</v>
      </c>
      <c r="I16" s="4"/>
      <c r="J16" s="12">
        <f t="shared" ref="J16:J17" si="5">IF(H$12=0,0,H16/H$12)</f>
        <v>0</v>
      </c>
      <c r="K16" s="4"/>
      <c r="L16" s="4">
        <f t="shared" ref="L16:L17" si="6">+D16-H16</f>
        <v>127.98</v>
      </c>
      <c r="M16" s="4"/>
      <c r="N16" s="12">
        <f t="shared" ref="N16:N17" si="7">IF(H16=0,0,L16/H16)</f>
        <v>0</v>
      </c>
      <c r="O16" s="10"/>
      <c r="P16" s="4">
        <f>SUM(OSRRefP16x_0)</f>
        <v>303.2</v>
      </c>
      <c r="Q16" s="4"/>
      <c r="R16" s="12">
        <f t="shared" ref="R16:R17" si="8">IF(P$12=0,0,P16/P$12)</f>
        <v>2.2357975971959913E-3</v>
      </c>
      <c r="S16" s="4"/>
      <c r="T16" s="4">
        <f>SUM(OSRRefT16x_0)</f>
        <v>0</v>
      </c>
      <c r="U16" s="4"/>
      <c r="V16" s="12">
        <f t="shared" ref="V16:V17" si="9">IF(T$12=0,0,T16/T$12)</f>
        <v>0</v>
      </c>
      <c r="W16" s="4"/>
      <c r="X16" s="4">
        <f t="shared" ref="X16:X17" si="10">+P16-T16</f>
        <v>303.2</v>
      </c>
      <c r="Y16" s="4"/>
      <c r="Z16" s="12">
        <f t="shared" ref="Z16:Z17" si="11">IF(T16=0,0,X16/T16)</f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127.98</v>
      </c>
      <c r="E17" s="2"/>
      <c r="F17" s="19">
        <f t="shared" si="4"/>
        <v>4.5027770291522972E-3</v>
      </c>
      <c r="G17" s="2"/>
      <c r="H17" s="2"/>
      <c r="I17" s="2"/>
      <c r="J17" s="19">
        <f t="shared" si="5"/>
        <v>0</v>
      </c>
      <c r="K17" s="2"/>
      <c r="L17" s="2">
        <f t="shared" si="6"/>
        <v>127.98</v>
      </c>
      <c r="M17" s="2"/>
      <c r="N17" s="19">
        <f t="shared" si="7"/>
        <v>0</v>
      </c>
      <c r="O17" s="11"/>
      <c r="P17" s="2">
        <v>303.2</v>
      </c>
      <c r="Q17" s="2"/>
      <c r="R17" s="19">
        <f t="shared" si="8"/>
        <v>2.2357975971959913E-3</v>
      </c>
      <c r="S17" s="2"/>
      <c r="T17" s="2"/>
      <c r="U17" s="2"/>
      <c r="V17" s="19">
        <f t="shared" si="9"/>
        <v>0</v>
      </c>
      <c r="W17" s="2"/>
      <c r="X17" s="2">
        <f t="shared" si="10"/>
        <v>303.2</v>
      </c>
      <c r="Y17" s="2"/>
      <c r="Z17" s="19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9" t="s">
        <v>6</v>
      </c>
      <c r="C19" s="29"/>
      <c r="D19" s="21">
        <f>D12-D16</f>
        <v>28294.48</v>
      </c>
      <c r="E19" s="14"/>
      <c r="F19" s="20">
        <f>IF(D$12=0,0,D19/D$12)</f>
        <v>0.99549722297084775</v>
      </c>
      <c r="G19" s="14"/>
      <c r="H19" s="21">
        <f>H12-H16</f>
        <v>0</v>
      </c>
      <c r="I19" s="14"/>
      <c r="J19" s="20">
        <f>IF(H$12=0,0,H19/H$12)</f>
        <v>0</v>
      </c>
      <c r="K19" s="16"/>
      <c r="L19" s="21">
        <f>+D19-H19</f>
        <v>28294.48</v>
      </c>
      <c r="M19" s="16"/>
      <c r="N19" s="20">
        <f>IF(H19=0,0,L19/H19)</f>
        <v>0</v>
      </c>
      <c r="O19" s="28"/>
      <c r="P19" s="21">
        <f>P12-P16</f>
        <v>135308.35999999999</v>
      </c>
      <c r="Q19" s="14"/>
      <c r="R19" s="20">
        <f>IF(P$12=0,0,P19/P$12)</f>
        <v>0.99776420240280395</v>
      </c>
      <c r="S19" s="14"/>
      <c r="T19" s="21">
        <f>T12-T16</f>
        <v>0</v>
      </c>
      <c r="U19" s="14"/>
      <c r="V19" s="20">
        <f>IF(T$12=0,0,T19/T$12)</f>
        <v>0</v>
      </c>
      <c r="W19" s="16"/>
      <c r="X19" s="21">
        <f>+P19-T19</f>
        <v>135308.35999999999</v>
      </c>
      <c r="Y19" s="16"/>
      <c r="Z19" s="20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8" t="s">
        <v>9</v>
      </c>
      <c r="C21" s="10"/>
      <c r="D21" s="22">
        <f>SUM(OSRRefD22x_0)</f>
        <v>40639.26</v>
      </c>
      <c r="E21" s="22"/>
      <c r="F21" s="35">
        <f t="shared" ref="F21:F30" si="12">IF(D$12=0,0,D21/D$12)</f>
        <v>1.429829085870822</v>
      </c>
      <c r="G21" s="22"/>
      <c r="H21" s="22">
        <f>SUM(OSRRefH22x_0)</f>
        <v>0</v>
      </c>
      <c r="I21" s="22"/>
      <c r="J21" s="35">
        <f t="shared" ref="J21:J30" si="13">IF(H$12=0,0,H21/H$12)</f>
        <v>0</v>
      </c>
      <c r="K21" s="4"/>
      <c r="L21" s="22">
        <f t="shared" ref="L21:L30" si="14">+D21-H21</f>
        <v>40639.26</v>
      </c>
      <c r="M21" s="4"/>
      <c r="N21" s="35">
        <f t="shared" ref="N21:N30" si="15">IF(H21=0,0,L21/H21)</f>
        <v>0</v>
      </c>
      <c r="O21" s="10"/>
      <c r="P21" s="22">
        <f>SUM(OSRRefP22x_0)</f>
        <v>151540.42000000001</v>
      </c>
      <c r="Q21" s="22"/>
      <c r="R21" s="35">
        <f t="shared" ref="R21:R30" si="16">IF(P$12=0,0,P21/P$12)</f>
        <v>1.1174594555213435</v>
      </c>
      <c r="S21" s="22"/>
      <c r="T21" s="22">
        <f>SUM(OSRRefT22x_0)</f>
        <v>0</v>
      </c>
      <c r="U21" s="22"/>
      <c r="V21" s="35">
        <f t="shared" ref="V21:V30" si="17">IF(T$12=0,0,T21/T$12)</f>
        <v>0</v>
      </c>
      <c r="W21" s="4"/>
      <c r="X21" s="22">
        <f t="shared" ref="X21:X30" si="18">+P21-T21</f>
        <v>151540.42000000001</v>
      </c>
      <c r="Y21" s="4"/>
      <c r="Z21" s="35">
        <f t="shared" ref="Z21:Z30" si="19">IF(T21=0,0,X21/T21)</f>
        <v>0</v>
      </c>
    </row>
    <row r="22" spans="1:26" s="27" customFormat="1" outlineLevel="1" collapsed="1" x14ac:dyDescent="0.25">
      <c r="A22" s="26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13497.560000000001</v>
      </c>
      <c r="E22" s="1"/>
      <c r="F22" s="5">
        <f t="shared" si="12"/>
        <v>0.47489063226757999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13497.560000000001</v>
      </c>
      <c r="M22" s="1"/>
      <c r="N22" s="5">
        <f t="shared" si="15"/>
        <v>0</v>
      </c>
      <c r="O22" s="13"/>
      <c r="P22" s="1">
        <f>SUM(OSRRefP22_0x_0)</f>
        <v>35293.46</v>
      </c>
      <c r="Q22" s="1"/>
      <c r="R22" s="5">
        <f t="shared" si="16"/>
        <v>0.26025406683619007</v>
      </c>
      <c r="S22" s="1"/>
      <c r="T22" s="1">
        <f>SUM(OSRRefT22_0x_0)</f>
        <v>0</v>
      </c>
      <c r="U22" s="1"/>
      <c r="V22" s="5">
        <f t="shared" si="17"/>
        <v>0</v>
      </c>
      <c r="W22" s="1"/>
      <c r="X22" s="1">
        <f t="shared" si="18"/>
        <v>35293.46</v>
      </c>
      <c r="Y22" s="1"/>
      <c r="Z22" s="5">
        <f t="shared" si="19"/>
        <v>0</v>
      </c>
    </row>
    <row r="23" spans="1:26" s="24" customFormat="1" hidden="1" outlineLevel="2" x14ac:dyDescent="0.25">
      <c r="A23" s="25"/>
      <c r="B23" s="11" t="str">
        <f>CONCATENATE("          ", "6111", " - ", "F.I.C.A.")</f>
        <v xml:space="preserve">          6111 - F.I.C.A.</v>
      </c>
      <c r="C23" s="11"/>
      <c r="D23" s="7">
        <v>1571.92</v>
      </c>
      <c r="E23" s="2"/>
      <c r="F23" s="6">
        <f t="shared" si="12"/>
        <v>5.5305557647015779E-2</v>
      </c>
      <c r="G23" s="2"/>
      <c r="H23" s="7"/>
      <c r="I23" s="2"/>
      <c r="J23" s="6">
        <f t="shared" si="13"/>
        <v>0</v>
      </c>
      <c r="K23" s="2"/>
      <c r="L23" s="7">
        <f t="shared" si="14"/>
        <v>1571.92</v>
      </c>
      <c r="M23" s="2"/>
      <c r="N23" s="6">
        <f t="shared" si="15"/>
        <v>0</v>
      </c>
      <c r="O23" s="11"/>
      <c r="P23" s="7">
        <v>8245.5300000000007</v>
      </c>
      <c r="Q23" s="2"/>
      <c r="R23" s="6">
        <f t="shared" si="16"/>
        <v>6.0802559899760765E-2</v>
      </c>
      <c r="S23" s="2"/>
      <c r="T23" s="7"/>
      <c r="U23" s="2"/>
      <c r="V23" s="6">
        <f t="shared" si="17"/>
        <v>0</v>
      </c>
      <c r="W23" s="2"/>
      <c r="X23" s="7">
        <f t="shared" si="18"/>
        <v>8245.5300000000007</v>
      </c>
      <c r="Y23" s="2"/>
      <c r="Z23" s="6">
        <f t="shared" si="19"/>
        <v>0</v>
      </c>
    </row>
    <row r="24" spans="1:26" s="24" customFormat="1" hidden="1" outlineLevel="2" x14ac:dyDescent="0.25">
      <c r="A24" s="25"/>
      <c r="B24" s="11" t="str">
        <f>CONCATENATE("          ", "6112", " - ", "COMPENSATION INSURANCE")</f>
        <v xml:space="preserve">          6112 - COMPENSATION INSURANCE</v>
      </c>
      <c r="C24" s="11"/>
      <c r="D24" s="7">
        <v>923.92</v>
      </c>
      <c r="E24" s="2"/>
      <c r="F24" s="6">
        <f t="shared" si="12"/>
        <v>3.2506686613333259E-2</v>
      </c>
      <c r="G24" s="2"/>
      <c r="H24" s="7"/>
      <c r="I24" s="2"/>
      <c r="J24" s="6">
        <f t="shared" si="13"/>
        <v>0</v>
      </c>
      <c r="K24" s="2"/>
      <c r="L24" s="7">
        <f t="shared" si="14"/>
        <v>923.92</v>
      </c>
      <c r="M24" s="2"/>
      <c r="N24" s="6">
        <f t="shared" si="15"/>
        <v>0</v>
      </c>
      <c r="O24" s="11"/>
      <c r="P24" s="7">
        <v>4993.8100000000004</v>
      </c>
      <c r="Q24" s="2"/>
      <c r="R24" s="6">
        <f t="shared" si="16"/>
        <v>3.6824368070096682E-2</v>
      </c>
      <c r="S24" s="2"/>
      <c r="T24" s="7"/>
      <c r="U24" s="2"/>
      <c r="V24" s="6">
        <f t="shared" si="17"/>
        <v>0</v>
      </c>
      <c r="W24" s="2"/>
      <c r="X24" s="7">
        <f t="shared" si="18"/>
        <v>4993.8100000000004</v>
      </c>
      <c r="Y24" s="2"/>
      <c r="Z24" s="6">
        <f t="shared" si="19"/>
        <v>0</v>
      </c>
    </row>
    <row r="25" spans="1:26" s="24" customFormat="1" hidden="1" outlineLevel="2" x14ac:dyDescent="0.25">
      <c r="A25" s="25"/>
      <c r="B25" s="11" t="str">
        <f>CONCATENATE("          ", "6113", " - ", "GROUP INSURANCE")</f>
        <v xml:space="preserve">          6113 - GROUP INSURANCE</v>
      </c>
      <c r="C25" s="11"/>
      <c r="D25" s="7">
        <v>6448.79</v>
      </c>
      <c r="E25" s="2"/>
      <c r="F25" s="6">
        <f t="shared" si="12"/>
        <v>0.22689063508225538</v>
      </c>
      <c r="G25" s="2"/>
      <c r="H25" s="7"/>
      <c r="I25" s="2"/>
      <c r="J25" s="6">
        <f t="shared" si="13"/>
        <v>0</v>
      </c>
      <c r="K25" s="2"/>
      <c r="L25" s="7">
        <f t="shared" si="14"/>
        <v>6448.79</v>
      </c>
      <c r="M25" s="2"/>
      <c r="N25" s="6">
        <f t="shared" si="15"/>
        <v>0</v>
      </c>
      <c r="O25" s="11"/>
      <c r="P25" s="7">
        <v>6877.53</v>
      </c>
      <c r="Q25" s="2"/>
      <c r="R25" s="6">
        <f t="shared" si="16"/>
        <v>5.0714924302913411E-2</v>
      </c>
      <c r="S25" s="2"/>
      <c r="T25" s="7"/>
      <c r="U25" s="2"/>
      <c r="V25" s="6">
        <f t="shared" si="17"/>
        <v>0</v>
      </c>
      <c r="W25" s="2"/>
      <c r="X25" s="7">
        <f t="shared" si="18"/>
        <v>6877.53</v>
      </c>
      <c r="Y25" s="2"/>
      <c r="Z25" s="6">
        <f t="shared" si="19"/>
        <v>0</v>
      </c>
    </row>
    <row r="26" spans="1:26" s="24" customFormat="1" hidden="1" outlineLevel="2" x14ac:dyDescent="0.25">
      <c r="A26" s="25"/>
      <c r="B26" s="11" t="str">
        <f>CONCATENATE("          ", "6114", " - ", "STATE UNEMPLOYMENT INSURANCE")</f>
        <v xml:space="preserve">          6114 - STATE UNEMPLOYMENT INSURANCE</v>
      </c>
      <c r="C26" s="11"/>
      <c r="D26" s="7">
        <v>61.91</v>
      </c>
      <c r="E26" s="2"/>
      <c r="F26" s="6">
        <f t="shared" si="12"/>
        <v>2.1782069532334638E-3</v>
      </c>
      <c r="G26" s="2"/>
      <c r="H26" s="7"/>
      <c r="I26" s="2"/>
      <c r="J26" s="6">
        <f t="shared" si="13"/>
        <v>0</v>
      </c>
      <c r="K26" s="2"/>
      <c r="L26" s="7">
        <f t="shared" si="14"/>
        <v>61.91</v>
      </c>
      <c r="M26" s="2"/>
      <c r="N26" s="6">
        <f t="shared" si="15"/>
        <v>0</v>
      </c>
      <c r="O26" s="11"/>
      <c r="P26" s="7">
        <v>334.64</v>
      </c>
      <c r="Q26" s="2"/>
      <c r="R26" s="6">
        <f t="shared" si="16"/>
        <v>2.4676362398603777E-3</v>
      </c>
      <c r="S26" s="2"/>
      <c r="T26" s="7"/>
      <c r="U26" s="2"/>
      <c r="V26" s="6">
        <f t="shared" si="17"/>
        <v>0</v>
      </c>
      <c r="W26" s="2"/>
      <c r="X26" s="7">
        <f t="shared" si="18"/>
        <v>334.64</v>
      </c>
      <c r="Y26" s="2"/>
      <c r="Z26" s="6">
        <f t="shared" si="19"/>
        <v>0</v>
      </c>
    </row>
    <row r="27" spans="1:26" s="24" customFormat="1" hidden="1" outlineLevel="2" x14ac:dyDescent="0.25">
      <c r="A27" s="25"/>
      <c r="B27" s="11" t="str">
        <f>CONCATENATE("          ", "6115", " - ", "P.E.R.S.")</f>
        <v xml:space="preserve">          6115 - P.E.R.S.</v>
      </c>
      <c r="C27" s="11"/>
      <c r="D27" s="7">
        <v>2079.09</v>
      </c>
      <c r="E27" s="2"/>
      <c r="F27" s="6">
        <f t="shared" si="12"/>
        <v>7.31495444095972E-2</v>
      </c>
      <c r="G27" s="2"/>
      <c r="H27" s="7"/>
      <c r="I27" s="2"/>
      <c r="J27" s="6">
        <f t="shared" si="13"/>
        <v>0</v>
      </c>
      <c r="K27" s="2"/>
      <c r="L27" s="7">
        <f t="shared" si="14"/>
        <v>2079.09</v>
      </c>
      <c r="M27" s="2"/>
      <c r="N27" s="6">
        <f t="shared" si="15"/>
        <v>0</v>
      </c>
      <c r="O27" s="11"/>
      <c r="P27" s="7">
        <v>5924.36</v>
      </c>
      <c r="Q27" s="2"/>
      <c r="R27" s="6">
        <f t="shared" si="16"/>
        <v>4.3686246216767949E-2</v>
      </c>
      <c r="S27" s="2"/>
      <c r="T27" s="7"/>
      <c r="U27" s="2"/>
      <c r="V27" s="6">
        <f t="shared" si="17"/>
        <v>0</v>
      </c>
      <c r="W27" s="2"/>
      <c r="X27" s="7">
        <f t="shared" si="18"/>
        <v>5924.36</v>
      </c>
      <c r="Y27" s="2"/>
      <c r="Z27" s="6">
        <f t="shared" si="19"/>
        <v>0</v>
      </c>
    </row>
    <row r="28" spans="1:26" s="24" customFormat="1" hidden="1" outlineLevel="2" x14ac:dyDescent="0.25">
      <c r="A28" s="25"/>
      <c r="B28" s="11" t="str">
        <f>CONCATENATE("          ", "6118", " - ", "VACATION")</f>
        <v xml:space="preserve">          6118 - VACATION</v>
      </c>
      <c r="C28" s="11"/>
      <c r="D28" s="7">
        <v>1091.78</v>
      </c>
      <c r="E28" s="2"/>
      <c r="F28" s="6">
        <f t="shared" si="12"/>
        <v>3.8412579347459723E-2</v>
      </c>
      <c r="G28" s="2"/>
      <c r="H28" s="7"/>
      <c r="I28" s="2"/>
      <c r="J28" s="6">
        <f t="shared" si="13"/>
        <v>0</v>
      </c>
      <c r="K28" s="2"/>
      <c r="L28" s="7">
        <f t="shared" si="14"/>
        <v>1091.78</v>
      </c>
      <c r="M28" s="2"/>
      <c r="N28" s="6">
        <f t="shared" si="15"/>
        <v>0</v>
      </c>
      <c r="O28" s="11"/>
      <c r="P28" s="7">
        <v>4610.75</v>
      </c>
      <c r="Q28" s="2"/>
      <c r="R28" s="6">
        <f t="shared" si="16"/>
        <v>3.3999682622926838E-2</v>
      </c>
      <c r="S28" s="2"/>
      <c r="T28" s="7"/>
      <c r="U28" s="2"/>
      <c r="V28" s="6">
        <f t="shared" si="17"/>
        <v>0</v>
      </c>
      <c r="W28" s="2"/>
      <c r="X28" s="7">
        <f t="shared" si="18"/>
        <v>4610.75</v>
      </c>
      <c r="Y28" s="2"/>
      <c r="Z28" s="6">
        <f t="shared" si="19"/>
        <v>0</v>
      </c>
    </row>
    <row r="29" spans="1:26" s="24" customFormat="1" hidden="1" outlineLevel="2" x14ac:dyDescent="0.25">
      <c r="A29" s="25"/>
      <c r="B29" s="11" t="str">
        <f>CONCATENATE("          ", "6119", " - ", "SICK LEAVE")</f>
        <v xml:space="preserve">          6119 - SICK LEAVE</v>
      </c>
      <c r="C29" s="11"/>
      <c r="D29" s="7">
        <v>853.34</v>
      </c>
      <c r="E29" s="2"/>
      <c r="F29" s="6">
        <f t="shared" si="12"/>
        <v>3.0023439209695434E-2</v>
      </c>
      <c r="G29" s="2"/>
      <c r="H29" s="7"/>
      <c r="I29" s="2"/>
      <c r="J29" s="6">
        <f t="shared" si="13"/>
        <v>0</v>
      </c>
      <c r="K29" s="2"/>
      <c r="L29" s="7">
        <f t="shared" si="14"/>
        <v>853.34</v>
      </c>
      <c r="M29" s="2"/>
      <c r="N29" s="6">
        <f t="shared" si="15"/>
        <v>0</v>
      </c>
      <c r="O29" s="11"/>
      <c r="P29" s="7">
        <v>3840.03</v>
      </c>
      <c r="Q29" s="2"/>
      <c r="R29" s="6">
        <f t="shared" si="16"/>
        <v>2.8316391316492488E-2</v>
      </c>
      <c r="S29" s="2"/>
      <c r="T29" s="7"/>
      <c r="U29" s="2"/>
      <c r="V29" s="6">
        <f t="shared" si="17"/>
        <v>0</v>
      </c>
      <c r="W29" s="2"/>
      <c r="X29" s="7">
        <f t="shared" si="18"/>
        <v>3840.03</v>
      </c>
      <c r="Y29" s="2"/>
      <c r="Z29" s="6">
        <f t="shared" si="19"/>
        <v>0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7">
        <v>466.81</v>
      </c>
      <c r="E30" s="2"/>
      <c r="F30" s="6">
        <f t="shared" si="12"/>
        <v>1.6423983004989717E-2</v>
      </c>
      <c r="G30" s="2"/>
      <c r="H30" s="7"/>
      <c r="I30" s="2"/>
      <c r="J30" s="6">
        <f t="shared" si="13"/>
        <v>0</v>
      </c>
      <c r="K30" s="2"/>
      <c r="L30" s="7">
        <f t="shared" si="14"/>
        <v>466.81</v>
      </c>
      <c r="M30" s="2"/>
      <c r="N30" s="6">
        <f t="shared" si="15"/>
        <v>0</v>
      </c>
      <c r="O30" s="11"/>
      <c r="P30" s="7">
        <v>466.81</v>
      </c>
      <c r="Q30" s="2"/>
      <c r="R30" s="6">
        <f t="shared" si="16"/>
        <v>3.442258167371572E-3</v>
      </c>
      <c r="S30" s="2"/>
      <c r="T30" s="7"/>
      <c r="U30" s="2"/>
      <c r="V30" s="6">
        <f t="shared" si="17"/>
        <v>0</v>
      </c>
      <c r="W30" s="2"/>
      <c r="X30" s="7">
        <f t="shared" si="18"/>
        <v>466.81</v>
      </c>
      <c r="Y30" s="2"/>
      <c r="Z30" s="6">
        <f t="shared" si="19"/>
        <v>0</v>
      </c>
    </row>
    <row r="31" spans="1:26" s="27" customFormat="1" outlineLevel="1" collapsed="1" x14ac:dyDescent="0.25">
      <c r="A31" s="26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26579.940000000002</v>
      </c>
      <c r="E31" s="1"/>
      <c r="F31" s="5">
        <f t="shared" ref="F31:F35" si="20">IF(D$12=0,0,D31/D$12)</f>
        <v>0.93517380268984474</v>
      </c>
      <c r="G31" s="1"/>
      <c r="H31" s="1">
        <f>SUM(OSRRefH22_1x_0)</f>
        <v>0</v>
      </c>
      <c r="I31" s="1"/>
      <c r="J31" s="5">
        <f t="shared" ref="J31:J35" si="21">IF(H$12=0,0,H31/H$12)</f>
        <v>0</v>
      </c>
      <c r="K31" s="1"/>
      <c r="L31" s="1">
        <f t="shared" ref="L31:L35" si="22">+D31-H31</f>
        <v>26579.940000000002</v>
      </c>
      <c r="M31" s="1"/>
      <c r="N31" s="5">
        <f t="shared" ref="N31:N35" si="23">IF(H31=0,0,L31/H31)</f>
        <v>0</v>
      </c>
      <c r="O31" s="13"/>
      <c r="P31" s="1">
        <f>SUM(OSRRefP22_1x_0)</f>
        <v>111881.41</v>
      </c>
      <c r="Q31" s="1"/>
      <c r="R31" s="5">
        <f t="shared" ref="R31:R35" si="24">IF(P$12=0,0,P31/P$12)</f>
        <v>0.82501381150692465</v>
      </c>
      <c r="S31" s="1"/>
      <c r="T31" s="1">
        <f>SUM(OSRRefT22_1x_0)</f>
        <v>0</v>
      </c>
      <c r="U31" s="1"/>
      <c r="V31" s="5">
        <f t="shared" ref="V31:V35" si="25">IF(T$12=0,0,T31/T$12)</f>
        <v>0</v>
      </c>
      <c r="W31" s="1"/>
      <c r="X31" s="1">
        <f t="shared" ref="X31:X35" si="26">+P31-T31</f>
        <v>111881.41</v>
      </c>
      <c r="Y31" s="1"/>
      <c r="Z31" s="5">
        <f t="shared" ref="Z31:Z35" si="27">IF(T31=0,0,X31/T31)</f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>
        <v>20655.550000000003</v>
      </c>
      <c r="E32" s="2"/>
      <c r="F32" s="6">
        <f t="shared" si="20"/>
        <v>0.72673336509225461</v>
      </c>
      <c r="G32" s="2"/>
      <c r="H32" s="7"/>
      <c r="I32" s="2"/>
      <c r="J32" s="6">
        <f t="shared" si="21"/>
        <v>0</v>
      </c>
      <c r="K32" s="2"/>
      <c r="L32" s="7">
        <f t="shared" si="22"/>
        <v>20655.550000000003</v>
      </c>
      <c r="M32" s="2"/>
      <c r="N32" s="6">
        <f t="shared" si="23"/>
        <v>0</v>
      </c>
      <c r="O32" s="11"/>
      <c r="P32" s="7">
        <v>80310.37000000001</v>
      </c>
      <c r="Q32" s="2"/>
      <c r="R32" s="6">
        <f t="shared" si="24"/>
        <v>0.59220887953799817</v>
      </c>
      <c r="S32" s="2"/>
      <c r="T32" s="7"/>
      <c r="U32" s="2"/>
      <c r="V32" s="6">
        <f t="shared" si="25"/>
        <v>0</v>
      </c>
      <c r="W32" s="2"/>
      <c r="X32" s="7">
        <f t="shared" si="26"/>
        <v>80310.37000000001</v>
      </c>
      <c r="Y32" s="2"/>
      <c r="Z32" s="6">
        <f t="shared" si="27"/>
        <v>0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7">
        <v>2058.96</v>
      </c>
      <c r="E33" s="2"/>
      <c r="F33" s="6">
        <f t="shared" si="20"/>
        <v>7.2441301702949004E-2</v>
      </c>
      <c r="G33" s="2"/>
      <c r="H33" s="7"/>
      <c r="I33" s="2"/>
      <c r="J33" s="6">
        <f t="shared" si="21"/>
        <v>0</v>
      </c>
      <c r="K33" s="2"/>
      <c r="L33" s="7">
        <f t="shared" si="22"/>
        <v>2058.96</v>
      </c>
      <c r="M33" s="2"/>
      <c r="N33" s="6">
        <f t="shared" si="23"/>
        <v>0</v>
      </c>
      <c r="O33" s="11"/>
      <c r="P33" s="7">
        <v>11445.94</v>
      </c>
      <c r="Q33" s="2"/>
      <c r="R33" s="6">
        <f t="shared" si="24"/>
        <v>8.4402391654516767E-2</v>
      </c>
      <c r="S33" s="2"/>
      <c r="T33" s="7"/>
      <c r="U33" s="2"/>
      <c r="V33" s="6">
        <f t="shared" si="25"/>
        <v>0</v>
      </c>
      <c r="W33" s="2"/>
      <c r="X33" s="7">
        <f t="shared" si="26"/>
        <v>11445.94</v>
      </c>
      <c r="Y33" s="2"/>
      <c r="Z33" s="6">
        <f t="shared" si="27"/>
        <v>0</v>
      </c>
    </row>
    <row r="34" spans="1:26" s="24" customFormat="1" hidden="1" outlineLevel="2" x14ac:dyDescent="0.25">
      <c r="A34" s="25"/>
      <c r="B34" s="11" t="str">
        <f>CONCATENATE("          ", "6007", " - ", "STUDENT HOURLY")</f>
        <v xml:space="preserve">          6007 - STUDENT HOURLY</v>
      </c>
      <c r="C34" s="11"/>
      <c r="D34" s="7">
        <v>3865.43</v>
      </c>
      <c r="E34" s="2"/>
      <c r="F34" s="6">
        <f t="shared" si="20"/>
        <v>0.13599913589464108</v>
      </c>
      <c r="G34" s="2"/>
      <c r="H34" s="7"/>
      <c r="I34" s="2"/>
      <c r="J34" s="6">
        <f t="shared" si="21"/>
        <v>0</v>
      </c>
      <c r="K34" s="2"/>
      <c r="L34" s="7">
        <f t="shared" si="22"/>
        <v>3865.43</v>
      </c>
      <c r="M34" s="2"/>
      <c r="N34" s="6">
        <f t="shared" si="23"/>
        <v>0</v>
      </c>
      <c r="O34" s="11"/>
      <c r="P34" s="7">
        <v>16317.649999999998</v>
      </c>
      <c r="Q34" s="2"/>
      <c r="R34" s="6">
        <f t="shared" si="24"/>
        <v>0.12032639400357903</v>
      </c>
      <c r="S34" s="2"/>
      <c r="T34" s="7"/>
      <c r="U34" s="2"/>
      <c r="V34" s="6">
        <f t="shared" si="25"/>
        <v>0</v>
      </c>
      <c r="W34" s="2"/>
      <c r="X34" s="7">
        <f t="shared" si="26"/>
        <v>16317.649999999998</v>
      </c>
      <c r="Y34" s="2"/>
      <c r="Z34" s="6">
        <f t="shared" si="27"/>
        <v>0</v>
      </c>
    </row>
    <row r="35" spans="1:26" s="24" customFormat="1" hidden="1" outlineLevel="2" x14ac:dyDescent="0.25">
      <c r="A35" s="25"/>
      <c r="B35" s="11" t="str">
        <f>CONCATENATE("          ", "6008", " - ", "STUDENT HOURLY-FICA EXEMPT")</f>
        <v xml:space="preserve">          6008 - STUDENT HOURLY-FICA EXEMPT</v>
      </c>
      <c r="C35" s="11"/>
      <c r="D35" s="7"/>
      <c r="E35" s="2"/>
      <c r="F35" s="6">
        <f t="shared" si="20"/>
        <v>0</v>
      </c>
      <c r="G35" s="2"/>
      <c r="H35" s="7"/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>
        <v>3807.45</v>
      </c>
      <c r="Q35" s="2"/>
      <c r="R35" s="6">
        <f t="shared" si="24"/>
        <v>2.8076146310830729E-2</v>
      </c>
      <c r="S35" s="2"/>
      <c r="T35" s="7"/>
      <c r="U35" s="2"/>
      <c r="V35" s="6">
        <f t="shared" si="25"/>
        <v>0</v>
      </c>
      <c r="W35" s="2"/>
      <c r="X35" s="7">
        <f t="shared" si="26"/>
        <v>3807.45</v>
      </c>
      <c r="Y35" s="2"/>
      <c r="Z35" s="6">
        <f t="shared" si="27"/>
        <v>0</v>
      </c>
    </row>
    <row r="36" spans="1:26" s="27" customFormat="1" outlineLevel="1" collapsed="1" x14ac:dyDescent="0.25">
      <c r="A36" s="26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500</v>
      </c>
      <c r="E36" s="1"/>
      <c r="F36" s="5">
        <f t="shared" ref="F36:F44" si="28">IF(D$12=0,0,D36/D$12)</f>
        <v>1.759172147660688E-2</v>
      </c>
      <c r="G36" s="1"/>
      <c r="H36" s="1">
        <f>SUM(OSRRefH22_2x_0)</f>
        <v>0</v>
      </c>
      <c r="I36" s="1"/>
      <c r="J36" s="5">
        <f t="shared" ref="J36:J44" si="29">IF(H$12=0,0,H36/H$12)</f>
        <v>0</v>
      </c>
      <c r="K36" s="1"/>
      <c r="L36" s="1">
        <f t="shared" ref="L36:L44" si="30">+D36-H36</f>
        <v>500</v>
      </c>
      <c r="M36" s="1"/>
      <c r="N36" s="5">
        <f t="shared" ref="N36:N44" si="31">IF(H36=0,0,L36/H36)</f>
        <v>0</v>
      </c>
      <c r="O36" s="13"/>
      <c r="P36" s="1">
        <f>SUM(OSRRefP22_2x_0)</f>
        <v>500</v>
      </c>
      <c r="Q36" s="1"/>
      <c r="R36" s="5">
        <f t="shared" ref="R36:R44" si="32">IF(P$12=0,0,P36/P$12)</f>
        <v>3.6870013146371888E-3</v>
      </c>
      <c r="S36" s="1"/>
      <c r="T36" s="1">
        <f>SUM(OSRRefT22_2x_0)</f>
        <v>0</v>
      </c>
      <c r="U36" s="1"/>
      <c r="V36" s="5">
        <f t="shared" ref="V36:V44" si="33">IF(T$12=0,0,T36/T$12)</f>
        <v>0</v>
      </c>
      <c r="W36" s="1"/>
      <c r="X36" s="1">
        <f t="shared" ref="X36:X44" si="34">+P36-T36</f>
        <v>500</v>
      </c>
      <c r="Y36" s="1"/>
      <c r="Z36" s="5">
        <f t="shared" ref="Z36:Z44" si="35">IF(T36=0,0,X36/T36)</f>
        <v>0</v>
      </c>
    </row>
    <row r="37" spans="1:26" s="24" customFormat="1" hidden="1" outlineLevel="2" x14ac:dyDescent="0.25">
      <c r="A37" s="25"/>
      <c r="B37" s="11" t="str">
        <f>CONCATENATE("          ", "6362", " - ", "ADVERTISING EXPENSE")</f>
        <v xml:space="preserve">          6362 - ADVERTISING EXPENSE</v>
      </c>
      <c r="C37" s="11"/>
      <c r="D37" s="7">
        <v>500</v>
      </c>
      <c r="E37" s="2"/>
      <c r="F37" s="6">
        <f t="shared" si="28"/>
        <v>1.759172147660688E-2</v>
      </c>
      <c r="G37" s="2"/>
      <c r="H37" s="7"/>
      <c r="I37" s="2"/>
      <c r="J37" s="6">
        <f t="shared" si="29"/>
        <v>0</v>
      </c>
      <c r="K37" s="2"/>
      <c r="L37" s="7">
        <f t="shared" si="30"/>
        <v>500</v>
      </c>
      <c r="M37" s="2"/>
      <c r="N37" s="6">
        <f t="shared" si="31"/>
        <v>0</v>
      </c>
      <c r="O37" s="11"/>
      <c r="P37" s="7">
        <v>500</v>
      </c>
      <c r="Q37" s="2"/>
      <c r="R37" s="6">
        <f t="shared" si="32"/>
        <v>3.6870013146371888E-3</v>
      </c>
      <c r="S37" s="2"/>
      <c r="T37" s="7"/>
      <c r="U37" s="2"/>
      <c r="V37" s="6">
        <f t="shared" si="33"/>
        <v>0</v>
      </c>
      <c r="W37" s="2"/>
      <c r="X37" s="7">
        <f t="shared" si="34"/>
        <v>500</v>
      </c>
      <c r="Y37" s="2"/>
      <c r="Z37" s="6">
        <f t="shared" si="35"/>
        <v>0</v>
      </c>
    </row>
    <row r="38" spans="1:26" s="27" customFormat="1" outlineLevel="1" collapsed="1" x14ac:dyDescent="0.25">
      <c r="A38" s="26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61.76</v>
      </c>
      <c r="E38" s="1"/>
      <c r="F38" s="5">
        <f t="shared" si="28"/>
        <v>2.1729294367904819E-3</v>
      </c>
      <c r="G38" s="1"/>
      <c r="H38" s="1">
        <f>SUM(OSRRefH22_3x_0)</f>
        <v>0</v>
      </c>
      <c r="I38" s="1"/>
      <c r="J38" s="5">
        <f t="shared" si="29"/>
        <v>0</v>
      </c>
      <c r="K38" s="1"/>
      <c r="L38" s="1">
        <f t="shared" si="30"/>
        <v>61.76</v>
      </c>
      <c r="M38" s="1"/>
      <c r="N38" s="5">
        <f t="shared" si="31"/>
        <v>0</v>
      </c>
      <c r="O38" s="13"/>
      <c r="P38" s="1">
        <f>SUM(OSRRefP22_3x_0)</f>
        <v>307.72000000000003</v>
      </c>
      <c r="Q38" s="1"/>
      <c r="R38" s="5">
        <f t="shared" si="32"/>
        <v>2.2691280890803117E-3</v>
      </c>
      <c r="S38" s="1"/>
      <c r="T38" s="1">
        <f>SUM(OSRRefT22_3x_0)</f>
        <v>0</v>
      </c>
      <c r="U38" s="1"/>
      <c r="V38" s="5">
        <f t="shared" si="33"/>
        <v>0</v>
      </c>
      <c r="W38" s="1"/>
      <c r="X38" s="1">
        <f t="shared" si="34"/>
        <v>307.72000000000003</v>
      </c>
      <c r="Y38" s="1"/>
      <c r="Z38" s="5">
        <f t="shared" si="35"/>
        <v>0</v>
      </c>
    </row>
    <row r="39" spans="1:26" s="24" customFormat="1" hidden="1" outlineLevel="2" x14ac:dyDescent="0.25">
      <c r="A39" s="25"/>
      <c r="B39" s="11" t="str">
        <f>CONCATENATE("          ", "6381", " - ", "BANK/CREDIT CARD FEES")</f>
        <v xml:space="preserve">          6381 - BANK/CREDIT CARD FEES</v>
      </c>
      <c r="C39" s="11"/>
      <c r="D39" s="7">
        <v>61.76</v>
      </c>
      <c r="E39" s="2"/>
      <c r="F39" s="6">
        <f t="shared" si="28"/>
        <v>2.1729294367904819E-3</v>
      </c>
      <c r="G39" s="2"/>
      <c r="H39" s="7"/>
      <c r="I39" s="2"/>
      <c r="J39" s="6">
        <f t="shared" si="29"/>
        <v>0</v>
      </c>
      <c r="K39" s="2"/>
      <c r="L39" s="7">
        <f t="shared" si="30"/>
        <v>61.76</v>
      </c>
      <c r="M39" s="2"/>
      <c r="N39" s="6">
        <f t="shared" si="31"/>
        <v>0</v>
      </c>
      <c r="O39" s="11"/>
      <c r="P39" s="7">
        <v>307.72000000000003</v>
      </c>
      <c r="Q39" s="2"/>
      <c r="R39" s="6">
        <f t="shared" si="32"/>
        <v>2.2691280890803117E-3</v>
      </c>
      <c r="S39" s="2"/>
      <c r="T39" s="7"/>
      <c r="U39" s="2"/>
      <c r="V39" s="6">
        <f t="shared" si="33"/>
        <v>0</v>
      </c>
      <c r="W39" s="2"/>
      <c r="X39" s="7">
        <f t="shared" si="34"/>
        <v>307.72000000000003</v>
      </c>
      <c r="Y39" s="2"/>
      <c r="Z39" s="6">
        <f t="shared" si="35"/>
        <v>0</v>
      </c>
    </row>
    <row r="40" spans="1:26" s="27" customFormat="1" outlineLevel="1" collapsed="1" x14ac:dyDescent="0.25">
      <c r="A40" s="26"/>
      <c r="B40" s="13" t="str">
        <f>CONCATENATE("     ","Repair and Maintenance                            ")</f>
        <v xml:space="preserve">     Repair and Maintenance                            </v>
      </c>
      <c r="C40" s="13"/>
      <c r="D40" s="1">
        <f>SUM(OSRRefD22_4x_0)</f>
        <v>0</v>
      </c>
      <c r="E40" s="1"/>
      <c r="F40" s="5">
        <f t="shared" si="28"/>
        <v>0</v>
      </c>
      <c r="G40" s="1"/>
      <c r="H40" s="1">
        <f>SUM(OSRRefH22_4x_0)</f>
        <v>0</v>
      </c>
      <c r="I40" s="1"/>
      <c r="J40" s="5">
        <f t="shared" si="29"/>
        <v>0</v>
      </c>
      <c r="K40" s="1"/>
      <c r="L40" s="1">
        <f t="shared" si="30"/>
        <v>0</v>
      </c>
      <c r="M40" s="1"/>
      <c r="N40" s="5">
        <f t="shared" si="31"/>
        <v>0</v>
      </c>
      <c r="O40" s="13"/>
      <c r="P40" s="1">
        <f>SUM(OSRRefP22_4x_0)</f>
        <v>1151.21</v>
      </c>
      <c r="Q40" s="1"/>
      <c r="R40" s="5">
        <f t="shared" si="32"/>
        <v>8.4890255668469573E-3</v>
      </c>
      <c r="S40" s="1"/>
      <c r="T40" s="1">
        <f>SUM(OSRRefT22_4x_0)</f>
        <v>0</v>
      </c>
      <c r="U40" s="1"/>
      <c r="V40" s="5">
        <f t="shared" si="33"/>
        <v>0</v>
      </c>
      <c r="W40" s="1"/>
      <c r="X40" s="1">
        <f t="shared" si="34"/>
        <v>1151.21</v>
      </c>
      <c r="Y40" s="1"/>
      <c r="Z40" s="5">
        <f t="shared" si="35"/>
        <v>0</v>
      </c>
    </row>
    <row r="41" spans="1:26" s="24" customFormat="1" hidden="1" outlineLevel="2" x14ac:dyDescent="0.25">
      <c r="A41" s="25"/>
      <c r="B41" s="11" t="str">
        <f>CONCATENATE("          ", "6375", " - ", "OUTSIDE REPAIRS &amp; MAINTENANCE")</f>
        <v xml:space="preserve">          6375 - OUTSIDE REPAIRS &amp; MAINTENANCE</v>
      </c>
      <c r="C41" s="11"/>
      <c r="D41" s="7"/>
      <c r="E41" s="2"/>
      <c r="F41" s="6">
        <f t="shared" si="28"/>
        <v>0</v>
      </c>
      <c r="G41" s="2"/>
      <c r="H41" s="7"/>
      <c r="I41" s="2"/>
      <c r="J41" s="6">
        <f t="shared" si="29"/>
        <v>0</v>
      </c>
      <c r="K41" s="2"/>
      <c r="L41" s="7">
        <f t="shared" si="30"/>
        <v>0</v>
      </c>
      <c r="M41" s="2"/>
      <c r="N41" s="6">
        <f t="shared" si="31"/>
        <v>0</v>
      </c>
      <c r="O41" s="11"/>
      <c r="P41" s="7">
        <v>1151.21</v>
      </c>
      <c r="Q41" s="2"/>
      <c r="R41" s="6">
        <f t="shared" si="32"/>
        <v>8.4890255668469573E-3</v>
      </c>
      <c r="S41" s="2"/>
      <c r="T41" s="7"/>
      <c r="U41" s="2"/>
      <c r="V41" s="6">
        <f t="shared" si="33"/>
        <v>0</v>
      </c>
      <c r="W41" s="2"/>
      <c r="X41" s="7">
        <f t="shared" si="34"/>
        <v>1151.21</v>
      </c>
      <c r="Y41" s="2"/>
      <c r="Z41" s="6">
        <f t="shared" si="35"/>
        <v>0</v>
      </c>
    </row>
    <row r="42" spans="1:26" s="27" customFormat="1" outlineLevel="1" collapsed="1" x14ac:dyDescent="0.25">
      <c r="A42" s="26"/>
      <c r="B42" s="13" t="str">
        <f>CONCATENATE("     ","Supplies                                          ")</f>
        <v xml:space="preserve">     Supplies                                          </v>
      </c>
      <c r="C42" s="13"/>
      <c r="D42" s="1">
        <f>SUM(OSRRefD22_5x_0)</f>
        <v>0</v>
      </c>
      <c r="E42" s="1"/>
      <c r="F42" s="5">
        <f t="shared" si="28"/>
        <v>0</v>
      </c>
      <c r="G42" s="1"/>
      <c r="H42" s="1">
        <f>SUM(OSRRefH22_5x_0)</f>
        <v>0</v>
      </c>
      <c r="I42" s="1"/>
      <c r="J42" s="5">
        <f t="shared" si="29"/>
        <v>0</v>
      </c>
      <c r="K42" s="1"/>
      <c r="L42" s="1">
        <f t="shared" si="30"/>
        <v>0</v>
      </c>
      <c r="M42" s="1"/>
      <c r="N42" s="5">
        <f t="shared" si="31"/>
        <v>0</v>
      </c>
      <c r="O42" s="13"/>
      <c r="P42" s="1">
        <f>SUM(OSRRefP22_5x_0)</f>
        <v>1137.47</v>
      </c>
      <c r="Q42" s="1"/>
      <c r="R42" s="5">
        <f t="shared" si="32"/>
        <v>8.3877067707207268E-3</v>
      </c>
      <c r="S42" s="1"/>
      <c r="T42" s="1">
        <f>SUM(OSRRefT22_5x_0)</f>
        <v>0</v>
      </c>
      <c r="U42" s="1"/>
      <c r="V42" s="5">
        <f t="shared" si="33"/>
        <v>0</v>
      </c>
      <c r="W42" s="1"/>
      <c r="X42" s="1">
        <f t="shared" si="34"/>
        <v>1137.47</v>
      </c>
      <c r="Y42" s="1"/>
      <c r="Z42" s="5">
        <f t="shared" si="35"/>
        <v>0</v>
      </c>
    </row>
    <row r="43" spans="1:26" s="24" customFormat="1" hidden="1" outlineLevel="2" x14ac:dyDescent="0.25">
      <c r="A43" s="25"/>
      <c r="B43" s="11" t="str">
        <f>CONCATENATE("          ", "6241", " - ", "OFFICE EXPENSE")</f>
        <v xml:space="preserve">          6241 - OFFICE EXPENSE</v>
      </c>
      <c r="C43" s="11"/>
      <c r="D43" s="7"/>
      <c r="E43" s="2"/>
      <c r="F43" s="6">
        <f t="shared" si="28"/>
        <v>0</v>
      </c>
      <c r="G43" s="2"/>
      <c r="H43" s="7"/>
      <c r="I43" s="2"/>
      <c r="J43" s="6">
        <f t="shared" si="29"/>
        <v>0</v>
      </c>
      <c r="K43" s="2"/>
      <c r="L43" s="7">
        <f t="shared" si="30"/>
        <v>0</v>
      </c>
      <c r="M43" s="2"/>
      <c r="N43" s="6">
        <f t="shared" si="31"/>
        <v>0</v>
      </c>
      <c r="O43" s="11"/>
      <c r="P43" s="7">
        <v>914.08</v>
      </c>
      <c r="Q43" s="2"/>
      <c r="R43" s="6">
        <f t="shared" si="32"/>
        <v>6.7404283233671236E-3</v>
      </c>
      <c r="S43" s="2"/>
      <c r="T43" s="7"/>
      <c r="U43" s="2"/>
      <c r="V43" s="6">
        <f t="shared" si="33"/>
        <v>0</v>
      </c>
      <c r="W43" s="2"/>
      <c r="X43" s="7">
        <f t="shared" si="34"/>
        <v>914.08</v>
      </c>
      <c r="Y43" s="2"/>
      <c r="Z43" s="6">
        <f t="shared" si="35"/>
        <v>0</v>
      </c>
    </row>
    <row r="44" spans="1:26" s="24" customFormat="1" hidden="1" outlineLevel="2" x14ac:dyDescent="0.25">
      <c r="A44" s="25"/>
      <c r="B44" s="11" t="str">
        <f>CONCATENATE("          ", "6247", " - ", "STORE SUPPLIES")</f>
        <v xml:space="preserve">          6247 - STORE SUPPLIES</v>
      </c>
      <c r="C44" s="11"/>
      <c r="D44" s="7"/>
      <c r="E44" s="2"/>
      <c r="F44" s="6">
        <f t="shared" si="28"/>
        <v>0</v>
      </c>
      <c r="G44" s="2"/>
      <c r="H44" s="7"/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>
        <v>223.39</v>
      </c>
      <c r="Q44" s="2"/>
      <c r="R44" s="6">
        <f t="shared" si="32"/>
        <v>1.647278447353603E-3</v>
      </c>
      <c r="S44" s="2"/>
      <c r="T44" s="7"/>
      <c r="U44" s="2"/>
      <c r="V44" s="6">
        <f t="shared" si="33"/>
        <v>0</v>
      </c>
      <c r="W44" s="2"/>
      <c r="X44" s="7">
        <f t="shared" si="34"/>
        <v>223.39</v>
      </c>
      <c r="Y44" s="2"/>
      <c r="Z44" s="6">
        <f t="shared" si="35"/>
        <v>0</v>
      </c>
    </row>
    <row r="45" spans="1:26" s="27" customFormat="1" outlineLevel="1" collapsed="1" x14ac:dyDescent="0.25">
      <c r="A45" s="26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SUM(OSRRefD22_6x_0)</f>
        <v>0</v>
      </c>
      <c r="E45" s="1"/>
      <c r="F45" s="5">
        <f t="shared" ref="F45:F46" si="36">IF(D$12=0,0,D45/D$12)</f>
        <v>0</v>
      </c>
      <c r="G45" s="1"/>
      <c r="H45" s="1">
        <f>SUM(OSRRefH22_6x_0)</f>
        <v>0</v>
      </c>
      <c r="I45" s="1"/>
      <c r="J45" s="5">
        <f t="shared" ref="J45:J46" si="37">IF(H$12=0,0,H45/H$12)</f>
        <v>0</v>
      </c>
      <c r="K45" s="1"/>
      <c r="L45" s="1">
        <f t="shared" ref="L45:L46" si="38">+D45-H45</f>
        <v>0</v>
      </c>
      <c r="M45" s="1"/>
      <c r="N45" s="5">
        <f t="shared" ref="N45:N46" si="39">IF(H45=0,0,L45/H45)</f>
        <v>0</v>
      </c>
      <c r="O45" s="13"/>
      <c r="P45" s="1">
        <f>SUM(OSRRefP22_6x_0)</f>
        <v>1269.1500000000001</v>
      </c>
      <c r="Q45" s="1"/>
      <c r="R45" s="5">
        <f t="shared" ref="R45:R46" si="40">IF(P$12=0,0,P45/P$12)</f>
        <v>9.3587154369435769E-3</v>
      </c>
      <c r="S45" s="1"/>
      <c r="T45" s="1">
        <f>SUM(OSRRefT22_6x_0)</f>
        <v>0</v>
      </c>
      <c r="U45" s="1"/>
      <c r="V45" s="5">
        <f t="shared" ref="V45:V46" si="41">IF(T$12=0,0,T45/T$12)</f>
        <v>0</v>
      </c>
      <c r="W45" s="1"/>
      <c r="X45" s="1">
        <f t="shared" ref="X45:X46" si="42">+P45-T45</f>
        <v>1269.1500000000001</v>
      </c>
      <c r="Y45" s="1"/>
      <c r="Z45" s="5">
        <f t="shared" ref="Z45:Z46" si="43">IF(T45=0,0,X45/T45)</f>
        <v>0</v>
      </c>
    </row>
    <row r="46" spans="1:26" s="24" customFormat="1" hidden="1" outlineLevel="2" x14ac:dyDescent="0.25">
      <c r="A46" s="25"/>
      <c r="B46" s="11" t="str">
        <f>CONCATENATE("          ", "6292", " - ", "TRAVEL/CONFERENCE")</f>
        <v xml:space="preserve">          6292 - TRAVEL/CONFERENCE</v>
      </c>
      <c r="C46" s="11"/>
      <c r="D46" s="7"/>
      <c r="E46" s="2"/>
      <c r="F46" s="6">
        <f t="shared" si="36"/>
        <v>0</v>
      </c>
      <c r="G46" s="2"/>
      <c r="H46" s="7"/>
      <c r="I46" s="2"/>
      <c r="J46" s="6">
        <f t="shared" si="37"/>
        <v>0</v>
      </c>
      <c r="K46" s="2"/>
      <c r="L46" s="7">
        <f t="shared" si="38"/>
        <v>0</v>
      </c>
      <c r="M46" s="2"/>
      <c r="N46" s="6">
        <f t="shared" si="39"/>
        <v>0</v>
      </c>
      <c r="O46" s="11"/>
      <c r="P46" s="7">
        <v>1269.1500000000001</v>
      </c>
      <c r="Q46" s="2"/>
      <c r="R46" s="6">
        <f t="shared" si="40"/>
        <v>9.3587154369435769E-3</v>
      </c>
      <c r="S46" s="2"/>
      <c r="T46" s="7"/>
      <c r="U46" s="2"/>
      <c r="V46" s="6">
        <f t="shared" si="41"/>
        <v>0</v>
      </c>
      <c r="W46" s="2"/>
      <c r="X46" s="7">
        <f t="shared" si="42"/>
        <v>1269.1500000000001</v>
      </c>
      <c r="Y46" s="2"/>
      <c r="Z46" s="6">
        <f t="shared" si="43"/>
        <v>0</v>
      </c>
    </row>
    <row r="47" spans="1:26" s="53" customFormat="1" x14ac:dyDescent="0.25">
      <c r="A47" s="36"/>
      <c r="B47" s="36"/>
      <c r="C47" s="36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8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9" t="s">
        <v>3</v>
      </c>
      <c r="C50" s="29"/>
      <c r="D50" s="21">
        <f>+D19-D21+D48</f>
        <v>-12344.780000000002</v>
      </c>
      <c r="E50" s="14"/>
      <c r="F50" s="20">
        <f>IF(D$12=0,0,D50/D$12)</f>
        <v>-0.43433186289997427</v>
      </c>
      <c r="G50" s="14"/>
      <c r="H50" s="21">
        <f>+H19-H21+H48</f>
        <v>0</v>
      </c>
      <c r="I50" s="14"/>
      <c r="J50" s="20">
        <f>IF(H$12=0,0,H50/H$12)</f>
        <v>0</v>
      </c>
      <c r="K50" s="16"/>
      <c r="L50" s="21">
        <f>+D50-H50</f>
        <v>-12344.780000000002</v>
      </c>
      <c r="M50" s="16"/>
      <c r="N50" s="20">
        <f>IF(H50=0,0,L50/H50)</f>
        <v>0</v>
      </c>
      <c r="O50" s="28"/>
      <c r="P50" s="21">
        <f>+P19-P21+P48</f>
        <v>-16232.060000000027</v>
      </c>
      <c r="Q50" s="14"/>
      <c r="R50" s="20">
        <f>IF(P$12=0,0,P50/P$12)</f>
        <v>-0.11969525311853965</v>
      </c>
      <c r="S50" s="14"/>
      <c r="T50" s="21">
        <f>+T19-T21+T48</f>
        <v>0</v>
      </c>
      <c r="U50" s="14"/>
      <c r="V50" s="20">
        <f>IF(T$12=0,0,T50/T$12)</f>
        <v>0</v>
      </c>
      <c r="W50" s="16"/>
      <c r="X50" s="21">
        <f>+P50-T50</f>
        <v>-16232.060000000027</v>
      </c>
      <c r="Y50" s="16"/>
      <c r="Z50" s="20">
        <f>IF(T50=0,0,X50/T50)</f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2"/>
      <c r="B52" s="10" t="s">
        <v>14</v>
      </c>
      <c r="C52" s="10"/>
      <c r="D52" s="4">
        <v>2565.11</v>
      </c>
      <c r="E52" s="4"/>
      <c r="F52" s="12">
        <f>IF(D$12=0,0,D52/D$12)</f>
        <v>9.0249401353718159E-2</v>
      </c>
      <c r="G52" s="4"/>
      <c r="H52" s="4"/>
      <c r="I52" s="4"/>
      <c r="J52" s="12">
        <f>IF(H$12=0,0,H52/H$12)</f>
        <v>0</v>
      </c>
      <c r="K52" s="4"/>
      <c r="L52" s="4">
        <f>+D52-H52</f>
        <v>2565.11</v>
      </c>
      <c r="M52" s="4"/>
      <c r="N52" s="12">
        <f>IF(H52=0,0,L52/H52)</f>
        <v>0</v>
      </c>
      <c r="O52" s="10"/>
      <c r="P52" s="4">
        <v>14142.36</v>
      </c>
      <c r="Q52" s="4"/>
      <c r="R52" s="12">
        <f>IF(P$12=0,0,P52/P$12)</f>
        <v>0.10428579982414479</v>
      </c>
      <c r="S52" s="4"/>
      <c r="T52" s="4"/>
      <c r="U52" s="4"/>
      <c r="V52" s="12">
        <f>IF(T$12=0,0,T52/T$12)</f>
        <v>0</v>
      </c>
      <c r="W52" s="4"/>
      <c r="X52" s="4">
        <f>+P52-T52</f>
        <v>14142.36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9" t="s">
        <v>4</v>
      </c>
      <c r="C54" s="29"/>
      <c r="D54" s="34">
        <f>+D50-D52</f>
        <v>-14909.890000000003</v>
      </c>
      <c r="E54" s="14"/>
      <c r="F54" s="32">
        <f>IF(D$12=0,0,D54/D$12)</f>
        <v>-0.52458126425369245</v>
      </c>
      <c r="G54" s="14"/>
      <c r="H54" s="34">
        <f>+H50-H52</f>
        <v>0</v>
      </c>
      <c r="I54" s="14"/>
      <c r="J54" s="32">
        <f>IF(H$12=0,0,H54/H$12)</f>
        <v>0</v>
      </c>
      <c r="K54" s="16"/>
      <c r="L54" s="34">
        <f>D54-H54</f>
        <v>-14909.890000000003</v>
      </c>
      <c r="M54" s="16"/>
      <c r="N54" s="32">
        <f>IF(H54=0,0,L54/H54)</f>
        <v>0</v>
      </c>
      <c r="O54" s="28"/>
      <c r="P54" s="34">
        <f>+P50-P52</f>
        <v>-30374.420000000027</v>
      </c>
      <c r="Q54" s="14"/>
      <c r="R54" s="32">
        <f>IF(P$12=0,0,P54/P$12)</f>
        <v>-0.22398105294268444</v>
      </c>
      <c r="S54" s="14"/>
      <c r="T54" s="34">
        <f>+T50-T52</f>
        <v>0</v>
      </c>
      <c r="U54" s="14"/>
      <c r="V54" s="32">
        <f>IF(T$12=0,0,T54/T$12)</f>
        <v>0</v>
      </c>
      <c r="W54" s="16"/>
      <c r="X54" s="34">
        <f>P54-T54</f>
        <v>-30374.420000000027</v>
      </c>
      <c r="Y54" s="16"/>
      <c r="Z54" s="32">
        <f>IF(T54=0,0,X54/T54)</f>
        <v>0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5</v>
      </c>
      <c r="C57" s="29"/>
      <c r="D57" s="31">
        <f>SUM(D54:D56)</f>
        <v>-14909.890000000003</v>
      </c>
      <c r="E57" s="14"/>
      <c r="F57" s="30">
        <f>IF(D$12=0,0,D57/D$12)</f>
        <v>-0.52458126425369245</v>
      </c>
      <c r="G57" s="14"/>
      <c r="H57" s="31">
        <f>SUM(H54:H56)</f>
        <v>0</v>
      </c>
      <c r="I57" s="14"/>
      <c r="J57" s="30">
        <f>IF(H$12=0,0,H57/H$12)</f>
        <v>0</v>
      </c>
      <c r="K57" s="16"/>
      <c r="L57" s="31">
        <f>+D57-H57</f>
        <v>-14909.890000000003</v>
      </c>
      <c r="M57" s="16"/>
      <c r="N57" s="30">
        <f>IF(H57=0,0,L57/H57)</f>
        <v>0</v>
      </c>
      <c r="O57" s="28"/>
      <c r="P57" s="31">
        <f>SUM(P54:P56)</f>
        <v>-30374.420000000027</v>
      </c>
      <c r="Q57" s="14"/>
      <c r="R57" s="30">
        <f>IF(P$12=0,0,P57/P$12)</f>
        <v>-0.22398105294268444</v>
      </c>
      <c r="S57" s="14"/>
      <c r="T57" s="31">
        <f>SUM(T54:T56)</f>
        <v>0</v>
      </c>
      <c r="U57" s="14"/>
      <c r="V57" s="30">
        <f>IF(T$12=0,0,T57/T$12)</f>
        <v>0</v>
      </c>
      <c r="W57" s="16"/>
      <c r="X57" s="31">
        <f>+P57-T57</f>
        <v>-30374.420000000027</v>
      </c>
      <c r="Y57" s="16"/>
      <c r="Z57" s="30">
        <f>IF(T57=0,0,X57/T57)</f>
        <v>0</v>
      </c>
    </row>
    <row r="58" spans="1:26" ht="15.75" thickTop="1" x14ac:dyDescent="0.25">
      <c r="A58" s="9"/>
      <c r="C58" s="9"/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63">
        <v>43879.546608217592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7" t="s">
        <v>314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60"/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","413", " - ", "Beach Walk")</f>
        <v>Department 413 - Beach Walk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19889.46</v>
      </c>
      <c r="E12" s="4"/>
      <c r="F12" s="12"/>
      <c r="G12" s="4"/>
      <c r="H12" s="4">
        <f>SUM(OSRRefH13x_0)</f>
        <v>21645</v>
      </c>
      <c r="I12" s="4"/>
      <c r="J12" s="12"/>
      <c r="K12" s="4"/>
      <c r="L12" s="4">
        <f t="shared" ref="L12:L16" si="0">+D12-H12</f>
        <v>-1755.5400000000009</v>
      </c>
      <c r="M12" s="4"/>
      <c r="N12" s="12">
        <f t="shared" ref="N12:N16" si="1">IF(H12=0,0,L12/H12)</f>
        <v>-8.110602910602914E-2</v>
      </c>
      <c r="O12" s="10"/>
      <c r="P12" s="4">
        <f>SUM(OSRRefP13x_0)</f>
        <v>200538.07</v>
      </c>
      <c r="Q12" s="4"/>
      <c r="R12" s="12"/>
      <c r="S12" s="4"/>
      <c r="T12" s="4">
        <f>SUM(OSRRefT13x_0)</f>
        <v>248934</v>
      </c>
      <c r="U12" s="4"/>
      <c r="V12" s="12"/>
      <c r="W12" s="4"/>
      <c r="X12" s="4">
        <f t="shared" ref="X12:X16" si="2">+P12-T12</f>
        <v>-48395.929999999993</v>
      </c>
      <c r="Y12" s="4"/>
      <c r="Z12" s="12">
        <f t="shared" ref="Z12:Z16" si="3">IF(T12=0,0,X12/T12)</f>
        <v>-0.19441269573461237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4500</v>
      </c>
      <c r="I13" s="2"/>
      <c r="J13" s="19"/>
      <c r="K13" s="2"/>
      <c r="L13" s="2">
        <f t="shared" si="0"/>
        <v>-4500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48609</v>
      </c>
      <c r="U13" s="2"/>
      <c r="V13" s="19"/>
      <c r="W13" s="2"/>
      <c r="X13" s="2">
        <f t="shared" si="2"/>
        <v>-48609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--3607.42</f>
        <v>3607.42</v>
      </c>
      <c r="E14" s="2"/>
      <c r="F14" s="19"/>
      <c r="G14" s="2"/>
      <c r="H14" s="2"/>
      <c r="I14" s="2"/>
      <c r="J14" s="19"/>
      <c r="K14" s="2"/>
      <c r="L14" s="2">
        <f t="shared" si="0"/>
        <v>3607.42</v>
      </c>
      <c r="M14" s="2"/>
      <c r="N14" s="19">
        <f t="shared" si="1"/>
        <v>0</v>
      </c>
      <c r="O14" s="11"/>
      <c r="P14" s="2">
        <f>--46312.62</f>
        <v>46312.62</v>
      </c>
      <c r="Q14" s="2"/>
      <c r="R14" s="19"/>
      <c r="S14" s="2"/>
      <c r="T14" s="2"/>
      <c r="U14" s="2"/>
      <c r="V14" s="19"/>
      <c r="W14" s="2"/>
      <c r="X14" s="2">
        <f t="shared" si="2"/>
        <v>46312.62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17145</v>
      </c>
      <c r="I15" s="2"/>
      <c r="J15" s="19"/>
      <c r="K15" s="2"/>
      <c r="L15" s="2">
        <f t="shared" si="0"/>
        <v>-17145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200325</v>
      </c>
      <c r="U15" s="2"/>
      <c r="V15" s="19"/>
      <c r="W15" s="2"/>
      <c r="X15" s="2">
        <f t="shared" si="2"/>
        <v>-200325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--16282.04</f>
        <v>16282.04</v>
      </c>
      <c r="E16" s="2"/>
      <c r="F16" s="19"/>
      <c r="G16" s="2"/>
      <c r="H16" s="2"/>
      <c r="I16" s="2"/>
      <c r="J16" s="19"/>
      <c r="K16" s="2"/>
      <c r="L16" s="2">
        <f t="shared" si="0"/>
        <v>16282.04</v>
      </c>
      <c r="M16" s="2"/>
      <c r="N16" s="19">
        <f t="shared" si="1"/>
        <v>0</v>
      </c>
      <c r="O16" s="11"/>
      <c r="P16" s="2">
        <f>--154225.45</f>
        <v>154225.45000000001</v>
      </c>
      <c r="Q16" s="2"/>
      <c r="R16" s="19"/>
      <c r="S16" s="2"/>
      <c r="T16" s="2"/>
      <c r="U16" s="2"/>
      <c r="V16" s="19"/>
      <c r="W16" s="2"/>
      <c r="X16" s="2">
        <f t="shared" si="2"/>
        <v>154225.45000000001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7666.01</v>
      </c>
      <c r="E18" s="4"/>
      <c r="F18" s="12">
        <f t="shared" ref="F18:F21" si="4">IF(D$12=0,0,D18/D$12)</f>
        <v>0.38543077589839042</v>
      </c>
      <c r="G18" s="4"/>
      <c r="H18" s="4">
        <f>SUM(OSRRefH16x_0)</f>
        <v>9200</v>
      </c>
      <c r="I18" s="4"/>
      <c r="J18" s="12">
        <f t="shared" ref="J18:J21" si="5">IF(H$12=0,0,H18/H$12)</f>
        <v>0.42504042504042505</v>
      </c>
      <c r="K18" s="4"/>
      <c r="L18" s="4">
        <f t="shared" ref="L18:L21" si="6">+D18-H18</f>
        <v>-1533.9899999999998</v>
      </c>
      <c r="M18" s="4"/>
      <c r="N18" s="12">
        <f t="shared" ref="N18:N21" si="7">IF(H18=0,0,L18/H18)</f>
        <v>-0.16673804347826085</v>
      </c>
      <c r="O18" s="10"/>
      <c r="P18" s="4">
        <f>SUM(OSRRefP16x_0)</f>
        <v>64035.1</v>
      </c>
      <c r="Q18" s="4"/>
      <c r="R18" s="12">
        <f t="shared" ref="R18:R21" si="8">IF(P$12=0,0,P18/P$12)</f>
        <v>0.31931642705048469</v>
      </c>
      <c r="S18" s="4"/>
      <c r="T18" s="4">
        <f>SUM(OSRRefT16x_0)</f>
        <v>78000</v>
      </c>
      <c r="U18" s="4"/>
      <c r="V18" s="12">
        <f t="shared" ref="V18:V21" si="9">IF(T$12=0,0,T18/T$12)</f>
        <v>0.3133360649810793</v>
      </c>
      <c r="W18" s="4"/>
      <c r="X18" s="4">
        <f t="shared" ref="X18:X21" si="10">+P18-T18</f>
        <v>-13964.900000000001</v>
      </c>
      <c r="Y18" s="4"/>
      <c r="Z18" s="12">
        <f t="shared" ref="Z18:Z21" si="11">IF(T18=0,0,X18/T18)</f>
        <v>-0.17903717948717951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9200</v>
      </c>
      <c r="I19" s="2"/>
      <c r="J19" s="19">
        <f t="shared" si="5"/>
        <v>0.42504042504042505</v>
      </c>
      <c r="K19" s="2"/>
      <c r="L19" s="2">
        <f t="shared" si="6"/>
        <v>-9200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78000</v>
      </c>
      <c r="U19" s="2"/>
      <c r="V19" s="19">
        <f t="shared" si="9"/>
        <v>0.3133360649810793</v>
      </c>
      <c r="W19" s="2"/>
      <c r="X19" s="2">
        <f t="shared" si="10"/>
        <v>-78000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12108.1</v>
      </c>
      <c r="E20" s="2"/>
      <c r="F20" s="19">
        <f t="shared" si="4"/>
        <v>0.60876966996590154</v>
      </c>
      <c r="G20" s="2"/>
      <c r="H20" s="2"/>
      <c r="I20" s="2"/>
      <c r="J20" s="19">
        <f t="shared" si="5"/>
        <v>0</v>
      </c>
      <c r="K20" s="2"/>
      <c r="L20" s="2">
        <f t="shared" si="6"/>
        <v>12108.1</v>
      </c>
      <c r="M20" s="2"/>
      <c r="N20" s="19">
        <f t="shared" si="7"/>
        <v>0</v>
      </c>
      <c r="O20" s="11"/>
      <c r="P20" s="2">
        <v>70431.14</v>
      </c>
      <c r="Q20" s="2"/>
      <c r="R20" s="19">
        <f t="shared" si="8"/>
        <v>0.35121081997049236</v>
      </c>
      <c r="S20" s="2"/>
      <c r="T20" s="2"/>
      <c r="U20" s="2"/>
      <c r="V20" s="19">
        <f t="shared" si="9"/>
        <v>0</v>
      </c>
      <c r="W20" s="2"/>
      <c r="X20" s="2">
        <f t="shared" si="10"/>
        <v>70431.14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-4442.09</v>
      </c>
      <c r="E21" s="2"/>
      <c r="F21" s="19">
        <f t="shared" si="4"/>
        <v>-0.22333889406751115</v>
      </c>
      <c r="G21" s="2"/>
      <c r="H21" s="2"/>
      <c r="I21" s="2"/>
      <c r="J21" s="19">
        <f t="shared" si="5"/>
        <v>0</v>
      </c>
      <c r="K21" s="2"/>
      <c r="L21" s="2">
        <f t="shared" si="6"/>
        <v>-4442.09</v>
      </c>
      <c r="M21" s="2"/>
      <c r="N21" s="19">
        <f t="shared" si="7"/>
        <v>0</v>
      </c>
      <c r="O21" s="11"/>
      <c r="P21" s="2">
        <v>-6396.04</v>
      </c>
      <c r="Q21" s="2"/>
      <c r="R21" s="19">
        <f t="shared" si="8"/>
        <v>-3.1894392920007654E-2</v>
      </c>
      <c r="S21" s="2"/>
      <c r="T21" s="2"/>
      <c r="U21" s="2"/>
      <c r="V21" s="19">
        <f t="shared" si="9"/>
        <v>0</v>
      </c>
      <c r="W21" s="2"/>
      <c r="X21" s="2">
        <f t="shared" si="10"/>
        <v>-6396.04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1">
        <f>D12-D18</f>
        <v>12223.449999999999</v>
      </c>
      <c r="E23" s="14"/>
      <c r="F23" s="20">
        <f>IF(D$12=0,0,D23/D$12)</f>
        <v>0.61456922410160952</v>
      </c>
      <c r="G23" s="14"/>
      <c r="H23" s="21">
        <f>H12-H18</f>
        <v>12445</v>
      </c>
      <c r="I23" s="14"/>
      <c r="J23" s="20">
        <f>IF(H$12=0,0,H23/H$12)</f>
        <v>0.57495957495957495</v>
      </c>
      <c r="K23" s="16"/>
      <c r="L23" s="21">
        <f>+D23-H23</f>
        <v>-221.55000000000109</v>
      </c>
      <c r="M23" s="16"/>
      <c r="N23" s="20">
        <f>IF(H23=0,0,L23/H23)</f>
        <v>-1.7802330253113788E-2</v>
      </c>
      <c r="O23" s="28"/>
      <c r="P23" s="21">
        <f>P12-P18</f>
        <v>136502.97</v>
      </c>
      <c r="Q23" s="14"/>
      <c r="R23" s="20">
        <f>IF(P$12=0,0,P23/P$12)</f>
        <v>0.6806835729495152</v>
      </c>
      <c r="S23" s="14"/>
      <c r="T23" s="21">
        <f>T12-T18</f>
        <v>170934</v>
      </c>
      <c r="U23" s="14"/>
      <c r="V23" s="20">
        <f>IF(T$12=0,0,T23/T$12)</f>
        <v>0.68666393501892065</v>
      </c>
      <c r="W23" s="16"/>
      <c r="X23" s="21">
        <f>+P23-T23</f>
        <v>-34431.03</v>
      </c>
      <c r="Y23" s="16"/>
      <c r="Z23" s="20">
        <f>IF(T23=0,0,X23/T23)</f>
        <v>-0.20142879707957456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2">
        <f>SUM(OSRRefD22x_0)</f>
        <v>16325.31</v>
      </c>
      <c r="E25" s="22"/>
      <c r="F25" s="35">
        <f t="shared" ref="F25:F35" si="12">IF(D$12=0,0,D25/D$12)</f>
        <v>0.8208020730577904</v>
      </c>
      <c r="G25" s="22"/>
      <c r="H25" s="22">
        <f>SUM(OSRRefH22x_0)</f>
        <v>17696.061239924999</v>
      </c>
      <c r="I25" s="22"/>
      <c r="J25" s="35">
        <f t="shared" ref="J25:J35" si="13">IF(H$12=0,0,H25/H$12)</f>
        <v>0.81755884684338176</v>
      </c>
      <c r="K25" s="4"/>
      <c r="L25" s="22">
        <f t="shared" ref="L25:L35" si="14">+D25-H25</f>
        <v>-1370.751239924999</v>
      </c>
      <c r="M25" s="4"/>
      <c r="N25" s="35">
        <f t="shared" ref="N25:N35" si="15">IF(H25=0,0,L25/H25)</f>
        <v>-7.7460810139624539E-2</v>
      </c>
      <c r="O25" s="10"/>
      <c r="P25" s="22">
        <f>SUM(OSRRefP22x_0)</f>
        <v>138233.01000000004</v>
      </c>
      <c r="Q25" s="22"/>
      <c r="R25" s="35">
        <f t="shared" ref="R25:R35" si="16">IF(P$12=0,0,P25/P$12)</f>
        <v>0.68931056332595619</v>
      </c>
      <c r="S25" s="22"/>
      <c r="T25" s="22">
        <f>SUM(OSRRefT22x_0)</f>
        <v>127395.009300975</v>
      </c>
      <c r="U25" s="22"/>
      <c r="V25" s="35">
        <f t="shared" ref="V25:V35" si="17">IF(T$12=0,0,T25/T$12)</f>
        <v>0.51176219118712185</v>
      </c>
      <c r="W25" s="4"/>
      <c r="X25" s="22">
        <f t="shared" ref="X25:X35" si="18">+P25-T25</f>
        <v>10838.00069902504</v>
      </c>
      <c r="Y25" s="4"/>
      <c r="Z25" s="35">
        <f t="shared" ref="Z25:Z35" si="19">IF(T25=0,0,X25/T25)</f>
        <v>8.5073981771294507E-2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3201.39</v>
      </c>
      <c r="E26" s="1"/>
      <c r="F26" s="5">
        <f t="shared" si="12"/>
        <v>0.16095912106211027</v>
      </c>
      <c r="G26" s="1"/>
      <c r="H26" s="1">
        <f>SUM(OSRRefH22_0x_0)</f>
        <v>3847.2280668480789</v>
      </c>
      <c r="I26" s="1"/>
      <c r="J26" s="5">
        <f t="shared" si="13"/>
        <v>0.17774211443049567</v>
      </c>
      <c r="K26" s="1"/>
      <c r="L26" s="1">
        <f t="shared" si="14"/>
        <v>-645.83806684807905</v>
      </c>
      <c r="M26" s="1"/>
      <c r="N26" s="5">
        <f t="shared" si="15"/>
        <v>-0.16787101144674152</v>
      </c>
      <c r="O26" s="13"/>
      <c r="P26" s="1">
        <f>SUM(OSRRefP22_0x_0)</f>
        <v>24136.29</v>
      </c>
      <c r="Q26" s="1"/>
      <c r="R26" s="5">
        <f t="shared" si="16"/>
        <v>0.12035764580760151</v>
      </c>
      <c r="S26" s="1"/>
      <c r="T26" s="1">
        <f>SUM(OSRRefT22_0x_0)</f>
        <v>26645.639627898083</v>
      </c>
      <c r="U26" s="1"/>
      <c r="V26" s="5">
        <f t="shared" si="17"/>
        <v>0.10703897269114739</v>
      </c>
      <c r="W26" s="1"/>
      <c r="X26" s="1">
        <f t="shared" si="18"/>
        <v>-2509.349627898082</v>
      </c>
      <c r="Y26" s="1"/>
      <c r="Z26" s="5">
        <f t="shared" si="19"/>
        <v>-9.4174869244676856E-2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448.99</v>
      </c>
      <c r="E27" s="2"/>
      <c r="F27" s="6">
        <f t="shared" si="12"/>
        <v>2.2574267979120603E-2</v>
      </c>
      <c r="G27" s="2"/>
      <c r="H27" s="7">
        <v>683.81699311730802</v>
      </c>
      <c r="I27" s="2"/>
      <c r="J27" s="6">
        <f t="shared" si="13"/>
        <v>3.1592376674396308E-2</v>
      </c>
      <c r="K27" s="2"/>
      <c r="L27" s="7">
        <f t="shared" si="14"/>
        <v>-234.82699311730801</v>
      </c>
      <c r="M27" s="2"/>
      <c r="N27" s="6">
        <f t="shared" si="15"/>
        <v>-0.34340619709785963</v>
      </c>
      <c r="O27" s="11"/>
      <c r="P27" s="7">
        <v>4800.33</v>
      </c>
      <c r="Q27" s="2"/>
      <c r="R27" s="6">
        <f t="shared" si="16"/>
        <v>2.3937250418337025E-2</v>
      </c>
      <c r="S27" s="2"/>
      <c r="T27" s="7">
        <v>5127.4537651673081</v>
      </c>
      <c r="U27" s="2"/>
      <c r="V27" s="6">
        <f t="shared" si="17"/>
        <v>2.0597643412178762E-2</v>
      </c>
      <c r="W27" s="2"/>
      <c r="X27" s="7">
        <f t="shared" si="18"/>
        <v>-327.12376516730819</v>
      </c>
      <c r="Y27" s="2"/>
      <c r="Z27" s="6">
        <f t="shared" si="19"/>
        <v>-6.3798481692722619E-2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273.88</v>
      </c>
      <c r="E28" s="2"/>
      <c r="F28" s="6">
        <f t="shared" si="12"/>
        <v>1.3770107383508652E-2</v>
      </c>
      <c r="G28" s="2"/>
      <c r="H28" s="7">
        <v>473.24942746153903</v>
      </c>
      <c r="I28" s="2"/>
      <c r="J28" s="6">
        <f t="shared" si="13"/>
        <v>2.1864145412868515E-2</v>
      </c>
      <c r="K28" s="2"/>
      <c r="L28" s="7">
        <f t="shared" si="14"/>
        <v>-199.36942746153903</v>
      </c>
      <c r="M28" s="2"/>
      <c r="N28" s="6">
        <f t="shared" si="15"/>
        <v>-0.4212776939444724</v>
      </c>
      <c r="O28" s="11"/>
      <c r="P28" s="7">
        <v>2618</v>
      </c>
      <c r="Q28" s="2"/>
      <c r="R28" s="6">
        <f t="shared" si="16"/>
        <v>1.3054877809485251E-2</v>
      </c>
      <c r="S28" s="2"/>
      <c r="T28" s="7">
        <v>3369.0092454615392</v>
      </c>
      <c r="U28" s="2"/>
      <c r="V28" s="6">
        <f t="shared" si="17"/>
        <v>1.3533744869971717E-2</v>
      </c>
      <c r="W28" s="2"/>
      <c r="X28" s="7">
        <f t="shared" si="18"/>
        <v>-751.00924546153919</v>
      </c>
      <c r="Y28" s="2"/>
      <c r="Z28" s="6">
        <f t="shared" si="19"/>
        <v>-0.22291694404615808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1371.71</v>
      </c>
      <c r="E29" s="2"/>
      <c r="F29" s="6">
        <f t="shared" si="12"/>
        <v>6.8966678833915052E-2</v>
      </c>
      <c r="G29" s="2"/>
      <c r="H29" s="7">
        <v>1381</v>
      </c>
      <c r="I29" s="2"/>
      <c r="J29" s="6">
        <f t="shared" si="13"/>
        <v>6.3802263802263809E-2</v>
      </c>
      <c r="K29" s="2"/>
      <c r="L29" s="7">
        <f t="shared" si="14"/>
        <v>-9.2899999999999636</v>
      </c>
      <c r="M29" s="2"/>
      <c r="N29" s="6">
        <f t="shared" si="15"/>
        <v>-6.7270094134684747E-3</v>
      </c>
      <c r="O29" s="11"/>
      <c r="P29" s="7">
        <v>9099.0300000000007</v>
      </c>
      <c r="Q29" s="2"/>
      <c r="R29" s="6">
        <f t="shared" si="16"/>
        <v>4.5373080532788615E-2</v>
      </c>
      <c r="S29" s="2"/>
      <c r="T29" s="7">
        <v>9667</v>
      </c>
      <c r="U29" s="2"/>
      <c r="V29" s="6">
        <f t="shared" si="17"/>
        <v>3.8833586412462741E-2</v>
      </c>
      <c r="W29" s="2"/>
      <c r="X29" s="7">
        <f t="shared" si="18"/>
        <v>-567.96999999999935</v>
      </c>
      <c r="Y29" s="2"/>
      <c r="Z29" s="6">
        <f t="shared" si="19"/>
        <v>-5.8753491258922041E-2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18.350000000000001</v>
      </c>
      <c r="E30" s="2"/>
      <c r="F30" s="6">
        <f t="shared" si="12"/>
        <v>9.2259920581051486E-4</v>
      </c>
      <c r="G30" s="2"/>
      <c r="H30" s="7">
        <v>31.712590500000001</v>
      </c>
      <c r="I30" s="2"/>
      <c r="J30" s="6">
        <f t="shared" si="13"/>
        <v>1.4651231462231463E-3</v>
      </c>
      <c r="K30" s="2"/>
      <c r="L30" s="7">
        <f t="shared" si="14"/>
        <v>-13.3625905</v>
      </c>
      <c r="M30" s="2"/>
      <c r="N30" s="6">
        <f t="shared" si="15"/>
        <v>-0.4213654668167206</v>
      </c>
      <c r="O30" s="11"/>
      <c r="P30" s="7">
        <v>225.26</v>
      </c>
      <c r="Q30" s="2"/>
      <c r="R30" s="6">
        <f t="shared" si="16"/>
        <v>1.1232779890621267E-3</v>
      </c>
      <c r="S30" s="2"/>
      <c r="T30" s="7">
        <v>225.7583515</v>
      </c>
      <c r="U30" s="2"/>
      <c r="V30" s="6">
        <f t="shared" si="17"/>
        <v>9.0690042943109418E-4</v>
      </c>
      <c r="W30" s="2"/>
      <c r="X30" s="7">
        <f t="shared" si="18"/>
        <v>-0.49835150000001249</v>
      </c>
      <c r="Y30" s="2"/>
      <c r="Z30" s="6">
        <f t="shared" si="19"/>
        <v>-2.2074554349322153E-3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489.78</v>
      </c>
      <c r="E31" s="2"/>
      <c r="F31" s="6">
        <f t="shared" si="12"/>
        <v>2.4625102943971328E-2</v>
      </c>
      <c r="G31" s="2"/>
      <c r="H31" s="7">
        <v>502.512636538462</v>
      </c>
      <c r="I31" s="2"/>
      <c r="J31" s="6">
        <f t="shared" si="13"/>
        <v>2.3216107024183971E-2</v>
      </c>
      <c r="K31" s="2"/>
      <c r="L31" s="7">
        <f t="shared" si="14"/>
        <v>-12.732636538462032</v>
      </c>
      <c r="M31" s="2"/>
      <c r="N31" s="6">
        <f t="shared" si="15"/>
        <v>-2.5337942994170821E-2</v>
      </c>
      <c r="O31" s="11"/>
      <c r="P31" s="7">
        <v>2448.9</v>
      </c>
      <c r="Q31" s="2"/>
      <c r="R31" s="6">
        <f t="shared" si="16"/>
        <v>1.2211646397115521E-2</v>
      </c>
      <c r="S31" s="2"/>
      <c r="T31" s="7">
        <v>3115.578346538462</v>
      </c>
      <c r="U31" s="2"/>
      <c r="V31" s="6">
        <f t="shared" si="17"/>
        <v>1.2515680246725887E-2</v>
      </c>
      <c r="W31" s="2"/>
      <c r="X31" s="7">
        <f t="shared" si="18"/>
        <v>-666.67834653846194</v>
      </c>
      <c r="Y31" s="2"/>
      <c r="Z31" s="6">
        <f t="shared" si="19"/>
        <v>-0.21398221209207258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7">
        <v>269.38</v>
      </c>
      <c r="E33" s="2"/>
      <c r="F33" s="6">
        <f t="shared" si="12"/>
        <v>1.3543856897070107E-2</v>
      </c>
      <c r="G33" s="2"/>
      <c r="H33" s="7">
        <v>292.15850961538496</v>
      </c>
      <c r="I33" s="2"/>
      <c r="J33" s="6">
        <f t="shared" si="13"/>
        <v>1.3497736641967427E-2</v>
      </c>
      <c r="K33" s="2"/>
      <c r="L33" s="7">
        <f t="shared" si="14"/>
        <v>-22.778509615384962</v>
      </c>
      <c r="M33" s="2"/>
      <c r="N33" s="6">
        <f t="shared" si="15"/>
        <v>-7.7966271272987955E-2</v>
      </c>
      <c r="O33" s="11"/>
      <c r="P33" s="7">
        <v>2104.44</v>
      </c>
      <c r="Q33" s="2"/>
      <c r="R33" s="6">
        <f t="shared" si="16"/>
        <v>1.0493967554390046E-2</v>
      </c>
      <c r="S33" s="2"/>
      <c r="T33" s="7">
        <v>1811.3827596153869</v>
      </c>
      <c r="U33" s="2"/>
      <c r="V33" s="6">
        <f t="shared" si="17"/>
        <v>7.2765582829801756E-3</v>
      </c>
      <c r="W33" s="2"/>
      <c r="X33" s="7">
        <f t="shared" si="18"/>
        <v>293.05724038461312</v>
      </c>
      <c r="Y33" s="2"/>
      <c r="Z33" s="6">
        <f t="shared" si="19"/>
        <v>0.16178647987509737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7">
        <v>215.62</v>
      </c>
      <c r="E34" s="2"/>
      <c r="F34" s="6">
        <f t="shared" si="12"/>
        <v>1.0840917752417613E-2</v>
      </c>
      <c r="G34" s="2"/>
      <c r="H34" s="7">
        <v>482.777909615385</v>
      </c>
      <c r="I34" s="2"/>
      <c r="J34" s="6">
        <f t="shared" si="13"/>
        <v>2.2304361728592514E-2</v>
      </c>
      <c r="K34" s="2"/>
      <c r="L34" s="7">
        <f t="shared" si="14"/>
        <v>-267.15790961538499</v>
      </c>
      <c r="M34" s="2"/>
      <c r="N34" s="6">
        <f t="shared" si="15"/>
        <v>-0.55337641655605552</v>
      </c>
      <c r="O34" s="11"/>
      <c r="P34" s="7">
        <v>1951.04</v>
      </c>
      <c r="Q34" s="2"/>
      <c r="R34" s="6">
        <f t="shared" si="16"/>
        <v>9.7290255162024841E-3</v>
      </c>
      <c r="S34" s="2"/>
      <c r="T34" s="7">
        <v>3329.4571596153874</v>
      </c>
      <c r="U34" s="2"/>
      <c r="V34" s="6">
        <f t="shared" si="17"/>
        <v>1.337485903739701E-2</v>
      </c>
      <c r="W34" s="2"/>
      <c r="X34" s="7">
        <f t="shared" si="18"/>
        <v>-1378.4171596153874</v>
      </c>
      <c r="Y34" s="2"/>
      <c r="Z34" s="6">
        <f t="shared" si="19"/>
        <v>-0.41400657630765836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7">
        <v>113.68</v>
      </c>
      <c r="E35" s="2"/>
      <c r="F35" s="6">
        <f t="shared" si="12"/>
        <v>5.715590066296421E-3</v>
      </c>
      <c r="G35" s="2"/>
      <c r="H35" s="7"/>
      <c r="I35" s="2"/>
      <c r="J35" s="6">
        <f t="shared" si="13"/>
        <v>0</v>
      </c>
      <c r="K35" s="2"/>
      <c r="L35" s="7">
        <f t="shared" si="14"/>
        <v>113.68</v>
      </c>
      <c r="M35" s="2"/>
      <c r="N35" s="6">
        <f t="shared" si="15"/>
        <v>0</v>
      </c>
      <c r="O35" s="11"/>
      <c r="P35" s="7">
        <v>889.29</v>
      </c>
      <c r="Q35" s="2"/>
      <c r="R35" s="6">
        <f t="shared" si="16"/>
        <v>4.4345195902204503E-3</v>
      </c>
      <c r="S35" s="2"/>
      <c r="T35" s="7"/>
      <c r="U35" s="2"/>
      <c r="V35" s="6">
        <f t="shared" si="17"/>
        <v>0</v>
      </c>
      <c r="W35" s="2"/>
      <c r="X35" s="7">
        <f t="shared" si="18"/>
        <v>889.29</v>
      </c>
      <c r="Y35" s="2"/>
      <c r="Z35" s="6">
        <f t="shared" si="19"/>
        <v>0</v>
      </c>
    </row>
    <row r="36" spans="1:26" s="27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10063.18</v>
      </c>
      <c r="E36" s="1"/>
      <c r="F36" s="5">
        <f t="shared" ref="F36:F46" si="20">IF(D$12=0,0,D36/D$12)</f>
        <v>0.50595541558192136</v>
      </c>
      <c r="G36" s="1"/>
      <c r="H36" s="1">
        <f>SUM(OSRRefH22_1x_0)</f>
        <v>11612.833173076921</v>
      </c>
      <c r="I36" s="1"/>
      <c r="J36" s="5">
        <f t="shared" ref="J36:J46" si="21">IF(H$12=0,0,H36/H$12)</f>
        <v>0.53651342910958288</v>
      </c>
      <c r="K36" s="1"/>
      <c r="L36" s="1">
        <f t="shared" ref="L36:L46" si="22">+D36-H36</f>
        <v>-1549.6531730769202</v>
      </c>
      <c r="M36" s="1"/>
      <c r="N36" s="5">
        <f t="shared" ref="N36:N46" si="23">IF(H36=0,0,L36/H36)</f>
        <v>-0.13344316154214814</v>
      </c>
      <c r="O36" s="13"/>
      <c r="P36" s="1">
        <f>SUM(OSRRefP22_1x_0)</f>
        <v>85098.6</v>
      </c>
      <c r="Q36" s="1"/>
      <c r="R36" s="5">
        <f t="shared" ref="R36:R46" si="24">IF(P$12=0,0,P36/P$12)</f>
        <v>0.42435134635533295</v>
      </c>
      <c r="S36" s="1"/>
      <c r="T36" s="1">
        <f>SUM(OSRRefT22_1x_0)</f>
        <v>83207.369673076915</v>
      </c>
      <c r="U36" s="1"/>
      <c r="V36" s="5">
        <f t="shared" ref="V36:V46" si="25">IF(T$12=0,0,T36/T$12)</f>
        <v>0.33425474090753737</v>
      </c>
      <c r="W36" s="1"/>
      <c r="X36" s="1">
        <f t="shared" ref="X36:X46" si="26">+P36-T36</f>
        <v>1891.2303269230906</v>
      </c>
      <c r="Y36" s="1"/>
      <c r="Z36" s="5">
        <f t="shared" ref="Z36:Z46" si="27">IF(T36=0,0,X36/T36)</f>
        <v>2.2729120441539793E-2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7">
        <v>5142.43</v>
      </c>
      <c r="E38" s="2"/>
      <c r="F38" s="6">
        <f t="shared" si="20"/>
        <v>0.25855050866137141</v>
      </c>
      <c r="G38" s="2"/>
      <c r="H38" s="7">
        <v>5258.85317307692</v>
      </c>
      <c r="I38" s="2"/>
      <c r="J38" s="6">
        <f t="shared" si="21"/>
        <v>0.24295925955541325</v>
      </c>
      <c r="K38" s="2"/>
      <c r="L38" s="7">
        <f t="shared" si="22"/>
        <v>-116.42317307691974</v>
      </c>
      <c r="M38" s="2"/>
      <c r="N38" s="6">
        <f t="shared" si="23"/>
        <v>-2.2138509908007437E-2</v>
      </c>
      <c r="O38" s="11"/>
      <c r="P38" s="7">
        <v>34125.08</v>
      </c>
      <c r="Q38" s="2"/>
      <c r="R38" s="6">
        <f t="shared" si="24"/>
        <v>0.17016758962525172</v>
      </c>
      <c r="S38" s="2"/>
      <c r="T38" s="7">
        <v>32604.889673076919</v>
      </c>
      <c r="U38" s="2"/>
      <c r="V38" s="6">
        <f t="shared" si="25"/>
        <v>0.13097804909364297</v>
      </c>
      <c r="W38" s="2"/>
      <c r="X38" s="7">
        <f t="shared" si="26"/>
        <v>1520.1903269230825</v>
      </c>
      <c r="Y38" s="2"/>
      <c r="Z38" s="6">
        <f t="shared" si="27"/>
        <v>4.6624611896121847E-2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0"/>
        <v>0</v>
      </c>
      <c r="G40" s="2"/>
      <c r="H40" s="7">
        <v>3092.11</v>
      </c>
      <c r="I40" s="2"/>
      <c r="J40" s="6">
        <f t="shared" si="21"/>
        <v>0.14285562485562486</v>
      </c>
      <c r="K40" s="2"/>
      <c r="L40" s="7">
        <f t="shared" si="22"/>
        <v>-3092.11</v>
      </c>
      <c r="M40" s="2"/>
      <c r="N40" s="6">
        <f t="shared" si="23"/>
        <v>-1</v>
      </c>
      <c r="O40" s="11"/>
      <c r="P40" s="7"/>
      <c r="Q40" s="2"/>
      <c r="R40" s="6">
        <f t="shared" si="24"/>
        <v>0</v>
      </c>
      <c r="S40" s="2"/>
      <c r="T40" s="7">
        <v>27051.609999999997</v>
      </c>
      <c r="U40" s="2"/>
      <c r="V40" s="6">
        <f t="shared" si="25"/>
        <v>0.10866980806157454</v>
      </c>
      <c r="W40" s="2"/>
      <c r="X40" s="7">
        <f t="shared" si="26"/>
        <v>-27051.609999999997</v>
      </c>
      <c r="Y40" s="2"/>
      <c r="Z40" s="6">
        <f t="shared" si="27"/>
        <v>-1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7">
        <v>1192.5</v>
      </c>
      <c r="E41" s="2"/>
      <c r="F41" s="6">
        <f t="shared" si="20"/>
        <v>5.995637890621465E-2</v>
      </c>
      <c r="G41" s="2"/>
      <c r="H41" s="7">
        <v>1032.75</v>
      </c>
      <c r="I41" s="2"/>
      <c r="J41" s="6">
        <f t="shared" si="21"/>
        <v>4.7713097713097716E-2</v>
      </c>
      <c r="K41" s="2"/>
      <c r="L41" s="7">
        <f t="shared" si="22"/>
        <v>159.75</v>
      </c>
      <c r="M41" s="2"/>
      <c r="N41" s="6">
        <f t="shared" si="23"/>
        <v>0.15468409586056645</v>
      </c>
      <c r="O41" s="11"/>
      <c r="P41" s="7">
        <v>21581.96</v>
      </c>
      <c r="Q41" s="2"/>
      <c r="R41" s="6">
        <f t="shared" si="24"/>
        <v>0.10762026382322318</v>
      </c>
      <c r="S41" s="2"/>
      <c r="T41" s="7">
        <v>4041.75</v>
      </c>
      <c r="U41" s="2"/>
      <c r="V41" s="6">
        <f t="shared" si="25"/>
        <v>1.6236231290221503E-2</v>
      </c>
      <c r="W41" s="2"/>
      <c r="X41" s="7">
        <f t="shared" si="26"/>
        <v>17540.21</v>
      </c>
      <c r="Y41" s="2"/>
      <c r="Z41" s="6">
        <f t="shared" si="27"/>
        <v>4.3397562936846663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7">
        <v>3682.75</v>
      </c>
      <c r="E43" s="2"/>
      <c r="F43" s="6">
        <f t="shared" si="20"/>
        <v>0.18516088420701216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3682.75</v>
      </c>
      <c r="M43" s="2"/>
      <c r="N43" s="6">
        <f t="shared" si="23"/>
        <v>0</v>
      </c>
      <c r="O43" s="11"/>
      <c r="P43" s="7">
        <v>26802.06</v>
      </c>
      <c r="Q43" s="2"/>
      <c r="R43" s="6">
        <f t="shared" si="24"/>
        <v>0.13365073275114298</v>
      </c>
      <c r="S43" s="2"/>
      <c r="T43" s="7">
        <v>3720</v>
      </c>
      <c r="U43" s="2"/>
      <c r="V43" s="6">
        <f t="shared" si="25"/>
        <v>1.4943720022174553E-2</v>
      </c>
      <c r="W43" s="2"/>
      <c r="X43" s="7">
        <f t="shared" si="26"/>
        <v>23082.06</v>
      </c>
      <c r="Y43" s="2"/>
      <c r="Z43" s="6">
        <f t="shared" si="27"/>
        <v>6.2048548387096778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7">
        <v>45.5</v>
      </c>
      <c r="E44" s="2"/>
      <c r="F44" s="6">
        <f t="shared" si="20"/>
        <v>2.2876438073230749E-3</v>
      </c>
      <c r="G44" s="2"/>
      <c r="H44" s="7">
        <v>2229.12</v>
      </c>
      <c r="I44" s="2"/>
      <c r="J44" s="6">
        <f t="shared" si="21"/>
        <v>0.10298544698544698</v>
      </c>
      <c r="K44" s="2"/>
      <c r="L44" s="7">
        <f t="shared" si="22"/>
        <v>-2183.62</v>
      </c>
      <c r="M44" s="2"/>
      <c r="N44" s="6">
        <f t="shared" si="23"/>
        <v>-0.97958835773758257</v>
      </c>
      <c r="O44" s="11"/>
      <c r="P44" s="7">
        <v>2589.5</v>
      </c>
      <c r="Q44" s="2"/>
      <c r="R44" s="6">
        <f t="shared" si="24"/>
        <v>1.2912760155715072E-2</v>
      </c>
      <c r="S44" s="2"/>
      <c r="T44" s="7">
        <v>15789.12</v>
      </c>
      <c r="U44" s="2"/>
      <c r="V44" s="6">
        <f t="shared" si="25"/>
        <v>6.3426932439923839E-2</v>
      </c>
      <c r="W44" s="2"/>
      <c r="X44" s="7">
        <f t="shared" si="26"/>
        <v>-13199.62</v>
      </c>
      <c r="Y44" s="2"/>
      <c r="Z44" s="6">
        <f t="shared" si="27"/>
        <v>-0.83599465961370867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7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449.33</v>
      </c>
      <c r="E47" s="1"/>
      <c r="F47" s="5">
        <f t="shared" ref="F47:F62" si="28">IF(D$12=0,0,D47/D$12)</f>
        <v>2.259136246031818E-2</v>
      </c>
      <c r="G47" s="1"/>
      <c r="H47" s="1">
        <f>SUM(OSRRefH22_2x_0)</f>
        <v>200</v>
      </c>
      <c r="I47" s="1"/>
      <c r="J47" s="5">
        <f t="shared" ref="J47:J62" si="29">IF(H$12=0,0,H47/H$12)</f>
        <v>9.2400092400092403E-3</v>
      </c>
      <c r="K47" s="1"/>
      <c r="L47" s="1">
        <f t="shared" ref="L47:L62" si="30">+D47-H47</f>
        <v>249.32999999999998</v>
      </c>
      <c r="M47" s="1"/>
      <c r="N47" s="5">
        <f t="shared" ref="N47:N62" si="31">IF(H47=0,0,L47/H47)</f>
        <v>1.2466499999999998</v>
      </c>
      <c r="O47" s="13"/>
      <c r="P47" s="1">
        <f>SUM(OSRRefP22_2x_0)</f>
        <v>2264.33</v>
      </c>
      <c r="Q47" s="1"/>
      <c r="R47" s="5">
        <f t="shared" ref="R47:R62" si="32">IF(P$12=0,0,P47/P$12)</f>
        <v>1.1291272524962466E-2</v>
      </c>
      <c r="S47" s="1"/>
      <c r="T47" s="1">
        <f>SUM(OSRRefT22_2x_0)</f>
        <v>825</v>
      </c>
      <c r="U47" s="1"/>
      <c r="V47" s="5">
        <f t="shared" ref="V47:V62" si="33">IF(T$12=0,0,T47/T$12)</f>
        <v>3.3141314565306467E-3</v>
      </c>
      <c r="W47" s="1"/>
      <c r="X47" s="1">
        <f t="shared" ref="X47:X62" si="34">+P47-T47</f>
        <v>1439.33</v>
      </c>
      <c r="Y47" s="1"/>
      <c r="Z47" s="5">
        <f t="shared" ref="Z47:Z62" si="35">IF(T47=0,0,X47/T47)</f>
        <v>1.7446424242424241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7">
        <v>449.33</v>
      </c>
      <c r="E48" s="2"/>
      <c r="F48" s="6">
        <f t="shared" si="28"/>
        <v>2.259136246031818E-2</v>
      </c>
      <c r="G48" s="2"/>
      <c r="H48" s="7">
        <v>200</v>
      </c>
      <c r="I48" s="2"/>
      <c r="J48" s="6">
        <f t="shared" si="29"/>
        <v>9.2400092400092403E-3</v>
      </c>
      <c r="K48" s="2"/>
      <c r="L48" s="7">
        <f t="shared" si="30"/>
        <v>249.32999999999998</v>
      </c>
      <c r="M48" s="2"/>
      <c r="N48" s="6">
        <f t="shared" si="31"/>
        <v>1.2466499999999998</v>
      </c>
      <c r="O48" s="11"/>
      <c r="P48" s="7">
        <v>2264.33</v>
      </c>
      <c r="Q48" s="2"/>
      <c r="R48" s="6">
        <f t="shared" si="32"/>
        <v>1.1291272524962466E-2</v>
      </c>
      <c r="S48" s="2"/>
      <c r="T48" s="7">
        <v>825</v>
      </c>
      <c r="U48" s="2"/>
      <c r="V48" s="6">
        <f t="shared" si="33"/>
        <v>3.3141314565306467E-3</v>
      </c>
      <c r="W48" s="2"/>
      <c r="X48" s="7">
        <f t="shared" si="34"/>
        <v>1439.33</v>
      </c>
      <c r="Y48" s="2"/>
      <c r="Z48" s="6">
        <f t="shared" si="35"/>
        <v>1.7446424242424241</v>
      </c>
    </row>
    <row r="49" spans="1:26" s="27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-11.05</v>
      </c>
      <c r="E49" s="1"/>
      <c r="F49" s="5">
        <f t="shared" si="28"/>
        <v>-5.5557063892131822E-4</v>
      </c>
      <c r="G49" s="1"/>
      <c r="H49" s="1">
        <f>SUM(OSRRefH22_3x_0)</f>
        <v>20</v>
      </c>
      <c r="I49" s="1"/>
      <c r="J49" s="5">
        <f t="shared" si="29"/>
        <v>9.2400092400092397E-4</v>
      </c>
      <c r="K49" s="1"/>
      <c r="L49" s="1">
        <f t="shared" si="30"/>
        <v>-31.05</v>
      </c>
      <c r="M49" s="1"/>
      <c r="N49" s="5">
        <f t="shared" si="31"/>
        <v>-1.5525</v>
      </c>
      <c r="O49" s="13"/>
      <c r="P49" s="1">
        <f>SUM(OSRRefP22_3x_0)</f>
        <v>-48.52</v>
      </c>
      <c r="Q49" s="1"/>
      <c r="R49" s="5">
        <f t="shared" si="32"/>
        <v>-2.4194907231330192E-4</v>
      </c>
      <c r="S49" s="1"/>
      <c r="T49" s="1">
        <f>SUM(OSRRefT22_3x_0)</f>
        <v>140</v>
      </c>
      <c r="U49" s="1"/>
      <c r="V49" s="5">
        <f t="shared" si="33"/>
        <v>5.623980653506552E-4</v>
      </c>
      <c r="W49" s="1"/>
      <c r="X49" s="1">
        <f t="shared" si="34"/>
        <v>-188.52</v>
      </c>
      <c r="Y49" s="1"/>
      <c r="Z49" s="5">
        <f t="shared" si="35"/>
        <v>-1.3465714285714288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7">
        <v>-11.05</v>
      </c>
      <c r="E50" s="2"/>
      <c r="F50" s="6">
        <f t="shared" si="28"/>
        <v>-5.5557063892131822E-4</v>
      </c>
      <c r="G50" s="2"/>
      <c r="H50" s="7">
        <v>20</v>
      </c>
      <c r="I50" s="2"/>
      <c r="J50" s="6">
        <f t="shared" si="29"/>
        <v>9.2400092400092397E-4</v>
      </c>
      <c r="K50" s="2"/>
      <c r="L50" s="7">
        <f t="shared" si="30"/>
        <v>-31.05</v>
      </c>
      <c r="M50" s="2"/>
      <c r="N50" s="6">
        <f t="shared" si="31"/>
        <v>-1.5525</v>
      </c>
      <c r="O50" s="11"/>
      <c r="P50" s="7">
        <v>-48.52</v>
      </c>
      <c r="Q50" s="2"/>
      <c r="R50" s="6">
        <f t="shared" si="32"/>
        <v>-2.4194907231330192E-4</v>
      </c>
      <c r="S50" s="2"/>
      <c r="T50" s="7">
        <v>140</v>
      </c>
      <c r="U50" s="2"/>
      <c r="V50" s="6">
        <f t="shared" si="33"/>
        <v>5.623980653506552E-4</v>
      </c>
      <c r="W50" s="2"/>
      <c r="X50" s="7">
        <f t="shared" si="34"/>
        <v>-188.52</v>
      </c>
      <c r="Y50" s="2"/>
      <c r="Z50" s="6">
        <f t="shared" si="35"/>
        <v>-1.3465714285714288</v>
      </c>
    </row>
    <row r="51" spans="1:26" s="27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665.05</v>
      </c>
      <c r="E51" s="1"/>
      <c r="F51" s="5">
        <f t="shared" si="28"/>
        <v>3.3437308001323315E-2</v>
      </c>
      <c r="G51" s="1"/>
      <c r="H51" s="1">
        <f>SUM(OSRRefH22_4x_0)</f>
        <v>600</v>
      </c>
      <c r="I51" s="1"/>
      <c r="J51" s="5">
        <f t="shared" si="29"/>
        <v>2.7720027720027719E-2</v>
      </c>
      <c r="K51" s="1"/>
      <c r="L51" s="1">
        <f t="shared" si="30"/>
        <v>65.049999999999955</v>
      </c>
      <c r="M51" s="1"/>
      <c r="N51" s="5">
        <f t="shared" si="31"/>
        <v>0.10841666666666659</v>
      </c>
      <c r="O51" s="13"/>
      <c r="P51" s="1">
        <f>SUM(OSRRefP22_4x_0)</f>
        <v>7903.13</v>
      </c>
      <c r="Q51" s="1"/>
      <c r="R51" s="5">
        <f t="shared" si="32"/>
        <v>3.9409624317218173E-2</v>
      </c>
      <c r="S51" s="1"/>
      <c r="T51" s="1">
        <f>SUM(OSRRefT22_4x_0)</f>
        <v>6300</v>
      </c>
      <c r="U51" s="1"/>
      <c r="V51" s="5">
        <f t="shared" si="33"/>
        <v>2.5307912940779484E-2</v>
      </c>
      <c r="W51" s="1"/>
      <c r="X51" s="1">
        <f t="shared" si="34"/>
        <v>1603.13</v>
      </c>
      <c r="Y51" s="1"/>
      <c r="Z51" s="5">
        <f t="shared" si="35"/>
        <v>0.25446507936507939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7">
        <v>665.05</v>
      </c>
      <c r="E52" s="2"/>
      <c r="F52" s="6">
        <f t="shared" si="28"/>
        <v>3.3437308001323315E-2</v>
      </c>
      <c r="G52" s="2"/>
      <c r="H52" s="7">
        <v>600</v>
      </c>
      <c r="I52" s="2"/>
      <c r="J52" s="6">
        <f t="shared" si="29"/>
        <v>2.7720027720027719E-2</v>
      </c>
      <c r="K52" s="2"/>
      <c r="L52" s="7">
        <f t="shared" si="30"/>
        <v>65.049999999999955</v>
      </c>
      <c r="M52" s="2"/>
      <c r="N52" s="6">
        <f t="shared" si="31"/>
        <v>0.10841666666666659</v>
      </c>
      <c r="O52" s="11"/>
      <c r="P52" s="7">
        <v>7903.13</v>
      </c>
      <c r="Q52" s="2"/>
      <c r="R52" s="6">
        <f t="shared" si="32"/>
        <v>3.9409624317218173E-2</v>
      </c>
      <c r="S52" s="2"/>
      <c r="T52" s="7">
        <v>6300</v>
      </c>
      <c r="U52" s="2"/>
      <c r="V52" s="6">
        <f t="shared" si="33"/>
        <v>2.5307912940779484E-2</v>
      </c>
      <c r="W52" s="2"/>
      <c r="X52" s="7">
        <f t="shared" si="34"/>
        <v>1603.13</v>
      </c>
      <c r="Y52" s="2"/>
      <c r="Z52" s="6">
        <f t="shared" si="35"/>
        <v>0.25446507936507939</v>
      </c>
    </row>
    <row r="53" spans="1:26" s="27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630.21</v>
      </c>
      <c r="E53" s="1"/>
      <c r="F53" s="5">
        <f t="shared" si="28"/>
        <v>3.168562645743022E-2</v>
      </c>
      <c r="G53" s="1"/>
      <c r="H53" s="1">
        <f>SUM(OSRRefH22_5x_0)</f>
        <v>636</v>
      </c>
      <c r="I53" s="1"/>
      <c r="J53" s="5">
        <f t="shared" si="29"/>
        <v>2.9383229383229383E-2</v>
      </c>
      <c r="K53" s="1"/>
      <c r="L53" s="1">
        <f t="shared" si="30"/>
        <v>-5.7899999999999636</v>
      </c>
      <c r="M53" s="1"/>
      <c r="N53" s="5">
        <f t="shared" si="31"/>
        <v>-9.1037735849056039E-3</v>
      </c>
      <c r="O53" s="13"/>
      <c r="P53" s="1">
        <f>SUM(OSRRefP22_5x_0)</f>
        <v>4411.47</v>
      </c>
      <c r="Q53" s="1"/>
      <c r="R53" s="5">
        <f t="shared" si="32"/>
        <v>2.1998167230790643E-2</v>
      </c>
      <c r="S53" s="1"/>
      <c r="T53" s="1">
        <f>SUM(OSRRefT22_5x_0)</f>
        <v>4452</v>
      </c>
      <c r="U53" s="1"/>
      <c r="V53" s="5">
        <f t="shared" si="33"/>
        <v>1.7884258478150835E-2</v>
      </c>
      <c r="W53" s="1"/>
      <c r="X53" s="1">
        <f t="shared" si="34"/>
        <v>-40.529999999999745</v>
      </c>
      <c r="Y53" s="1"/>
      <c r="Z53" s="5">
        <f t="shared" si="35"/>
        <v>-9.1037735849056039E-3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630.21</v>
      </c>
      <c r="E54" s="2"/>
      <c r="F54" s="6">
        <f t="shared" si="28"/>
        <v>3.168562645743022E-2</v>
      </c>
      <c r="G54" s="2"/>
      <c r="H54" s="7">
        <v>636</v>
      </c>
      <c r="I54" s="2"/>
      <c r="J54" s="6">
        <f t="shared" si="29"/>
        <v>2.9383229383229383E-2</v>
      </c>
      <c r="K54" s="2"/>
      <c r="L54" s="7">
        <f t="shared" si="30"/>
        <v>-5.7899999999999636</v>
      </c>
      <c r="M54" s="2"/>
      <c r="N54" s="6">
        <f t="shared" si="31"/>
        <v>-9.1037735849056039E-3</v>
      </c>
      <c r="O54" s="11"/>
      <c r="P54" s="7">
        <v>4411.47</v>
      </c>
      <c r="Q54" s="2"/>
      <c r="R54" s="6">
        <f t="shared" si="32"/>
        <v>2.1998167230790643E-2</v>
      </c>
      <c r="S54" s="2"/>
      <c r="T54" s="7">
        <v>4452</v>
      </c>
      <c r="U54" s="2"/>
      <c r="V54" s="6">
        <f t="shared" si="33"/>
        <v>1.7884258478150835E-2</v>
      </c>
      <c r="W54" s="2"/>
      <c r="X54" s="7">
        <f t="shared" si="34"/>
        <v>-40.529999999999745</v>
      </c>
      <c r="Y54" s="2"/>
      <c r="Z54" s="6">
        <f t="shared" si="35"/>
        <v>-9.1037735849056039E-3</v>
      </c>
    </row>
    <row r="55" spans="1:26" s="27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si="28"/>
        <v>0</v>
      </c>
      <c r="G55" s="1"/>
      <c r="H55" s="1">
        <f>SUM(OSRRefH22_6x_0)</f>
        <v>0</v>
      </c>
      <c r="I55" s="1"/>
      <c r="J55" s="5">
        <f t="shared" si="29"/>
        <v>0</v>
      </c>
      <c r="K55" s="1"/>
      <c r="L55" s="1">
        <f t="shared" si="30"/>
        <v>0</v>
      </c>
      <c r="M55" s="1"/>
      <c r="N55" s="5">
        <f t="shared" si="31"/>
        <v>0</v>
      </c>
      <c r="O55" s="13"/>
      <c r="P55" s="1">
        <f>SUM(OSRRefP22_6x_0)</f>
        <v>0</v>
      </c>
      <c r="Q55" s="1"/>
      <c r="R55" s="5">
        <f t="shared" si="32"/>
        <v>0</v>
      </c>
      <c r="S55" s="1"/>
      <c r="T55" s="1">
        <f>SUM(OSRRefT22_6x_0)</f>
        <v>250</v>
      </c>
      <c r="U55" s="1"/>
      <c r="V55" s="5">
        <f t="shared" si="33"/>
        <v>1.0042822595547414E-3</v>
      </c>
      <c r="W55" s="1"/>
      <c r="X55" s="1">
        <f t="shared" si="34"/>
        <v>-250</v>
      </c>
      <c r="Y55" s="1"/>
      <c r="Z55" s="5">
        <f t="shared" si="35"/>
        <v>-1</v>
      </c>
    </row>
    <row r="56" spans="1:26" s="24" customFormat="1" hidden="1" outlineLevel="2" x14ac:dyDescent="0.25">
      <c r="A56" s="25"/>
      <c r="B56" s="11" t="str">
        <f>CONCATENATE("          ", "6277", " - ", "EMPLOYEE APPRECIATION")</f>
        <v xml:space="preserve">          6277 - EMPLOYEE APPRECIATION</v>
      </c>
      <c r="C56" s="11"/>
      <c r="D56" s="7"/>
      <c r="E56" s="2"/>
      <c r="F56" s="6">
        <f t="shared" si="28"/>
        <v>0</v>
      </c>
      <c r="G56" s="2"/>
      <c r="H56" s="7"/>
      <c r="I56" s="2"/>
      <c r="J56" s="6">
        <f t="shared" si="29"/>
        <v>0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/>
      <c r="Q56" s="2"/>
      <c r="R56" s="6">
        <f t="shared" si="32"/>
        <v>0</v>
      </c>
      <c r="S56" s="2"/>
      <c r="T56" s="7">
        <v>250</v>
      </c>
      <c r="U56" s="2"/>
      <c r="V56" s="6">
        <f t="shared" si="33"/>
        <v>1.0042822595547414E-3</v>
      </c>
      <c r="W56" s="2"/>
      <c r="X56" s="7">
        <f t="shared" si="34"/>
        <v>-250</v>
      </c>
      <c r="Y56" s="2"/>
      <c r="Z56" s="6">
        <f t="shared" si="35"/>
        <v>-1</v>
      </c>
    </row>
    <row r="57" spans="1:26" s="27" customFormat="1" outlineLevel="1" collapsed="1" x14ac:dyDescent="0.25">
      <c r="A57" s="26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23.4</v>
      </c>
      <c r="E57" s="1"/>
      <c r="F57" s="5">
        <f t="shared" si="28"/>
        <v>1.1765025294804383E-3</v>
      </c>
      <c r="G57" s="1"/>
      <c r="H57" s="1">
        <f>SUM(OSRRefH22_7x_0)</f>
        <v>0</v>
      </c>
      <c r="I57" s="1"/>
      <c r="J57" s="5">
        <f t="shared" si="29"/>
        <v>0</v>
      </c>
      <c r="K57" s="1"/>
      <c r="L57" s="1">
        <f t="shared" si="30"/>
        <v>23.4</v>
      </c>
      <c r="M57" s="1"/>
      <c r="N57" s="5">
        <f t="shared" si="31"/>
        <v>0</v>
      </c>
      <c r="O57" s="13"/>
      <c r="P57" s="1">
        <f>SUM(OSRRefP22_7x_0)</f>
        <v>874.75</v>
      </c>
      <c r="Q57" s="1"/>
      <c r="R57" s="5">
        <f t="shared" si="32"/>
        <v>4.3620146538759447E-3</v>
      </c>
      <c r="S57" s="1"/>
      <c r="T57" s="1">
        <f>SUM(OSRRefT22_7x_0)</f>
        <v>0</v>
      </c>
      <c r="U57" s="1"/>
      <c r="V57" s="5">
        <f t="shared" si="33"/>
        <v>0</v>
      </c>
      <c r="W57" s="1"/>
      <c r="X57" s="1">
        <f t="shared" si="34"/>
        <v>874.75</v>
      </c>
      <c r="Y57" s="1"/>
      <c r="Z57" s="5">
        <f t="shared" si="35"/>
        <v>0</v>
      </c>
    </row>
    <row r="58" spans="1:26" s="24" customFormat="1" hidden="1" outlineLevel="2" x14ac:dyDescent="0.25">
      <c r="A58" s="25"/>
      <c r="B58" s="11" t="str">
        <f>CONCATENATE("          ", "6279", " - ", "GENERAL EXPENSE")</f>
        <v xml:space="preserve">          6279 - GENERAL EXPENSE</v>
      </c>
      <c r="C58" s="11"/>
      <c r="D58" s="7">
        <v>23.4</v>
      </c>
      <c r="E58" s="2"/>
      <c r="F58" s="6">
        <f t="shared" si="28"/>
        <v>1.1765025294804383E-3</v>
      </c>
      <c r="G58" s="2"/>
      <c r="H58" s="7"/>
      <c r="I58" s="2"/>
      <c r="J58" s="6">
        <f t="shared" si="29"/>
        <v>0</v>
      </c>
      <c r="K58" s="2"/>
      <c r="L58" s="7">
        <f t="shared" si="30"/>
        <v>23.4</v>
      </c>
      <c r="M58" s="2"/>
      <c r="N58" s="6">
        <f t="shared" si="31"/>
        <v>0</v>
      </c>
      <c r="O58" s="11"/>
      <c r="P58" s="7">
        <v>874.75</v>
      </c>
      <c r="Q58" s="2"/>
      <c r="R58" s="6">
        <f t="shared" si="32"/>
        <v>4.3620146538759447E-3</v>
      </c>
      <c r="S58" s="2"/>
      <c r="T58" s="7"/>
      <c r="U58" s="2"/>
      <c r="V58" s="6">
        <f t="shared" si="33"/>
        <v>0</v>
      </c>
      <c r="W58" s="2"/>
      <c r="X58" s="7">
        <f t="shared" si="34"/>
        <v>874.75</v>
      </c>
      <c r="Y58" s="2"/>
      <c r="Z58" s="6">
        <f t="shared" si="35"/>
        <v>0</v>
      </c>
    </row>
    <row r="59" spans="1:26" s="27" customFormat="1" outlineLevel="1" collapsed="1" x14ac:dyDescent="0.25">
      <c r="A59" s="26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SUM(OSRRefD22_8x_0)</f>
        <v>0</v>
      </c>
      <c r="E59" s="1"/>
      <c r="F59" s="5">
        <f t="shared" si="28"/>
        <v>0</v>
      </c>
      <c r="G59" s="1"/>
      <c r="H59" s="1">
        <f>SUM(OSRRefH22_8x_0)</f>
        <v>0</v>
      </c>
      <c r="I59" s="1"/>
      <c r="J59" s="5">
        <f t="shared" si="29"/>
        <v>0</v>
      </c>
      <c r="K59" s="1"/>
      <c r="L59" s="1">
        <f t="shared" si="30"/>
        <v>0</v>
      </c>
      <c r="M59" s="1"/>
      <c r="N59" s="5">
        <f t="shared" si="31"/>
        <v>0</v>
      </c>
      <c r="O59" s="13"/>
      <c r="P59" s="1">
        <f>SUM(OSRRefP22_8x_0)</f>
        <v>8449.36</v>
      </c>
      <c r="Q59" s="1"/>
      <c r="R59" s="5">
        <f t="shared" si="32"/>
        <v>4.2133446282793093E-2</v>
      </c>
      <c r="S59" s="1"/>
      <c r="T59" s="1">
        <f>SUM(OSRRefT22_8x_0)</f>
        <v>0</v>
      </c>
      <c r="U59" s="1"/>
      <c r="V59" s="5">
        <f t="shared" si="33"/>
        <v>0</v>
      </c>
      <c r="W59" s="1"/>
      <c r="X59" s="1">
        <f t="shared" si="34"/>
        <v>8449.36</v>
      </c>
      <c r="Y59" s="1"/>
      <c r="Z59" s="5">
        <f t="shared" si="35"/>
        <v>0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874.62</v>
      </c>
      <c r="Q60" s="2"/>
      <c r="R60" s="6">
        <f t="shared" si="32"/>
        <v>4.3613663979113794E-3</v>
      </c>
      <c r="S60" s="2"/>
      <c r="T60" s="7"/>
      <c r="U60" s="2"/>
      <c r="V60" s="6">
        <f t="shared" si="33"/>
        <v>0</v>
      </c>
      <c r="W60" s="2"/>
      <c r="X60" s="7">
        <f t="shared" si="34"/>
        <v>874.62</v>
      </c>
      <c r="Y60" s="2"/>
      <c r="Z60" s="6">
        <f t="shared" si="35"/>
        <v>0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866.22</v>
      </c>
      <c r="Q61" s="2"/>
      <c r="R61" s="6">
        <f t="shared" si="32"/>
        <v>4.3194790894317469E-3</v>
      </c>
      <c r="S61" s="2"/>
      <c r="T61" s="7"/>
      <c r="U61" s="2"/>
      <c r="V61" s="6">
        <f t="shared" si="33"/>
        <v>0</v>
      </c>
      <c r="W61" s="2"/>
      <c r="X61" s="7">
        <f t="shared" si="34"/>
        <v>866.22</v>
      </c>
      <c r="Y61" s="2"/>
      <c r="Z61" s="6">
        <f t="shared" si="35"/>
        <v>0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7"/>
      <c r="E62" s="2"/>
      <c r="F62" s="6">
        <f t="shared" si="28"/>
        <v>0</v>
      </c>
      <c r="G62" s="2"/>
      <c r="H62" s="7"/>
      <c r="I62" s="2"/>
      <c r="J62" s="6">
        <f t="shared" si="29"/>
        <v>0</v>
      </c>
      <c r="K62" s="2"/>
      <c r="L62" s="7">
        <f t="shared" si="30"/>
        <v>0</v>
      </c>
      <c r="M62" s="2"/>
      <c r="N62" s="6">
        <f t="shared" si="31"/>
        <v>0</v>
      </c>
      <c r="O62" s="11"/>
      <c r="P62" s="7">
        <v>6708.52</v>
      </c>
      <c r="Q62" s="2"/>
      <c r="R62" s="6">
        <f t="shared" si="32"/>
        <v>3.3452600795449962E-2</v>
      </c>
      <c r="S62" s="2"/>
      <c r="T62" s="7"/>
      <c r="U62" s="2"/>
      <c r="V62" s="6">
        <f t="shared" si="33"/>
        <v>0</v>
      </c>
      <c r="W62" s="2"/>
      <c r="X62" s="7">
        <f t="shared" si="34"/>
        <v>6708.52</v>
      </c>
      <c r="Y62" s="2"/>
      <c r="Z62" s="6">
        <f t="shared" si="35"/>
        <v>0</v>
      </c>
    </row>
    <row r="63" spans="1:26" s="27" customFormat="1" outlineLevel="1" collapsed="1" x14ac:dyDescent="0.25">
      <c r="A63" s="26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SUM(OSRRefD22_9x_0)</f>
        <v>414.65</v>
      </c>
      <c r="E63" s="1"/>
      <c r="F63" s="5">
        <f t="shared" ref="F63:F65" si="36">IF(D$12=0,0,D63/D$12)</f>
        <v>2.0847725378165118E-2</v>
      </c>
      <c r="G63" s="1"/>
      <c r="H63" s="1">
        <f>SUM(OSRRefH22_9x_0)</f>
        <v>0</v>
      </c>
      <c r="I63" s="1"/>
      <c r="J63" s="5">
        <f t="shared" ref="J63:J65" si="37">IF(H$12=0,0,H63/H$12)</f>
        <v>0</v>
      </c>
      <c r="K63" s="1"/>
      <c r="L63" s="1">
        <f t="shared" ref="L63:L65" si="38">+D63-H63</f>
        <v>414.65</v>
      </c>
      <c r="M63" s="1"/>
      <c r="N63" s="5">
        <f t="shared" ref="N63:N65" si="39">IF(H63=0,0,L63/H63)</f>
        <v>0</v>
      </c>
      <c r="O63" s="13"/>
      <c r="P63" s="1">
        <f>SUM(OSRRefP22_9x_0)</f>
        <v>846.22</v>
      </c>
      <c r="Q63" s="1"/>
      <c r="R63" s="5">
        <f t="shared" ref="R63:R65" si="40">IF(P$12=0,0,P63/P$12)</f>
        <v>4.219747402575481E-3</v>
      </c>
      <c r="S63" s="1"/>
      <c r="T63" s="1">
        <f>SUM(OSRRefT22_9x_0)</f>
        <v>90</v>
      </c>
      <c r="U63" s="1"/>
      <c r="V63" s="5">
        <f t="shared" ref="V63:V65" si="41">IF(T$12=0,0,T63/T$12)</f>
        <v>3.6154161343970691E-4</v>
      </c>
      <c r="W63" s="1"/>
      <c r="X63" s="1">
        <f t="shared" ref="X63:X65" si="42">+P63-T63</f>
        <v>756.22</v>
      </c>
      <c r="Y63" s="1"/>
      <c r="Z63" s="5">
        <f t="shared" ref="Z63:Z65" si="43">IF(T63=0,0,X63/T63)</f>
        <v>8.4024444444444448</v>
      </c>
    </row>
    <row r="64" spans="1:26" s="24" customFormat="1" hidden="1" outlineLevel="2" x14ac:dyDescent="0.25">
      <c r="A64" s="25"/>
      <c r="B64" s="11" t="str">
        <f>CONCATENATE("          ", "6285", " - ", "JANITORIAL SERVICES")</f>
        <v xml:space="preserve">          6285 - JANITORIAL SERVICES</v>
      </c>
      <c r="C64" s="11"/>
      <c r="D64" s="7">
        <v>348</v>
      </c>
      <c r="E64" s="2"/>
      <c r="F64" s="6">
        <f t="shared" si="36"/>
        <v>1.7496704284580878E-2</v>
      </c>
      <c r="G64" s="2"/>
      <c r="H64" s="7"/>
      <c r="I64" s="2"/>
      <c r="J64" s="6">
        <f t="shared" si="37"/>
        <v>0</v>
      </c>
      <c r="K64" s="2"/>
      <c r="L64" s="7">
        <f t="shared" si="38"/>
        <v>348</v>
      </c>
      <c r="M64" s="2"/>
      <c r="N64" s="6">
        <f t="shared" si="39"/>
        <v>0</v>
      </c>
      <c r="O64" s="11"/>
      <c r="P64" s="7">
        <v>348</v>
      </c>
      <c r="Q64" s="2"/>
      <c r="R64" s="6">
        <f t="shared" si="40"/>
        <v>1.7353313512990325E-3</v>
      </c>
      <c r="S64" s="2"/>
      <c r="T64" s="7"/>
      <c r="U64" s="2"/>
      <c r="V64" s="6">
        <f t="shared" si="41"/>
        <v>0</v>
      </c>
      <c r="W64" s="2"/>
      <c r="X64" s="7">
        <f t="shared" si="42"/>
        <v>348</v>
      </c>
      <c r="Y64" s="2"/>
      <c r="Z64" s="6">
        <f t="shared" si="43"/>
        <v>0</v>
      </c>
    </row>
    <row r="65" spans="1:26" s="24" customFormat="1" hidden="1" outlineLevel="2" x14ac:dyDescent="0.25">
      <c r="A65" s="25"/>
      <c r="B65" s="11" t="str">
        <f>CONCATENATE("          ", "6286", " - ", "LAUNDRY EXPENSE")</f>
        <v xml:space="preserve">          6286 - LAUNDRY EXPENSE</v>
      </c>
      <c r="C65" s="11"/>
      <c r="D65" s="7">
        <v>66.650000000000006</v>
      </c>
      <c r="E65" s="2"/>
      <c r="F65" s="6">
        <f t="shared" si="36"/>
        <v>3.3510210935842407E-3</v>
      </c>
      <c r="G65" s="2"/>
      <c r="H65" s="7"/>
      <c r="I65" s="2"/>
      <c r="J65" s="6">
        <f t="shared" si="37"/>
        <v>0</v>
      </c>
      <c r="K65" s="2"/>
      <c r="L65" s="7">
        <f t="shared" si="38"/>
        <v>66.650000000000006</v>
      </c>
      <c r="M65" s="2"/>
      <c r="N65" s="6">
        <f t="shared" si="39"/>
        <v>0</v>
      </c>
      <c r="O65" s="11"/>
      <c r="P65" s="7">
        <v>498.22</v>
      </c>
      <c r="Q65" s="2"/>
      <c r="R65" s="6">
        <f t="shared" si="40"/>
        <v>2.4844160512764485E-3</v>
      </c>
      <c r="S65" s="2"/>
      <c r="T65" s="7">
        <v>90</v>
      </c>
      <c r="U65" s="2"/>
      <c r="V65" s="6">
        <f t="shared" si="41"/>
        <v>3.6154161343970691E-4</v>
      </c>
      <c r="W65" s="2"/>
      <c r="X65" s="7">
        <f t="shared" si="42"/>
        <v>408.22</v>
      </c>
      <c r="Y65" s="2"/>
      <c r="Z65" s="6">
        <f t="shared" si="43"/>
        <v>4.5357777777777777</v>
      </c>
    </row>
    <row r="66" spans="1:26" s="27" customFormat="1" outlineLevel="1" collapsed="1" x14ac:dyDescent="0.25">
      <c r="A66" s="26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SUM(OSRRefD22_10x_0)</f>
        <v>818.15</v>
      </c>
      <c r="E66" s="1"/>
      <c r="F66" s="5">
        <f t="shared" ref="F66:F73" si="44">IF(D$12=0,0,D66/D$12)</f>
        <v>4.1134852328821393E-2</v>
      </c>
      <c r="G66" s="1"/>
      <c r="H66" s="1">
        <f>SUM(OSRRefH22_10x_0)</f>
        <v>385</v>
      </c>
      <c r="I66" s="1"/>
      <c r="J66" s="5">
        <f t="shared" ref="J66:J73" si="45">IF(H$12=0,0,H66/H$12)</f>
        <v>1.7787017787017786E-2</v>
      </c>
      <c r="K66" s="1"/>
      <c r="L66" s="1">
        <f t="shared" ref="L66:L73" si="46">+D66-H66</f>
        <v>433.15</v>
      </c>
      <c r="M66" s="1"/>
      <c r="N66" s="5">
        <f t="shared" ref="N66:N73" si="47">IF(H66=0,0,L66/H66)</f>
        <v>1.1250649350649351</v>
      </c>
      <c r="O66" s="13"/>
      <c r="P66" s="1">
        <f>SUM(OSRRefP22_10x_0)</f>
        <v>3800.38</v>
      </c>
      <c r="Q66" s="1"/>
      <c r="R66" s="5">
        <f t="shared" ref="R66:R73" si="48">IF(P$12=0,0,P66/P$12)</f>
        <v>1.8950915404740854E-2</v>
      </c>
      <c r="S66" s="1"/>
      <c r="T66" s="1">
        <f>SUM(OSRRefT22_10x_0)</f>
        <v>4220</v>
      </c>
      <c r="U66" s="1"/>
      <c r="V66" s="5">
        <f t="shared" ref="V66:V73" si="49">IF(T$12=0,0,T66/T$12)</f>
        <v>1.6952284541284036E-2</v>
      </c>
      <c r="W66" s="1"/>
      <c r="X66" s="1">
        <f t="shared" ref="X66:X73" si="50">+P66-T66</f>
        <v>-419.61999999999989</v>
      </c>
      <c r="Y66" s="1"/>
      <c r="Z66" s="5">
        <f t="shared" ref="Z66:Z73" si="51">IF(T66=0,0,X66/T66)</f>
        <v>-9.943601895734594E-2</v>
      </c>
    </row>
    <row r="67" spans="1:26" s="24" customFormat="1" hidden="1" outlineLevel="2" x14ac:dyDescent="0.25">
      <c r="A67" s="25"/>
      <c r="B67" s="11" t="str">
        <f>CONCATENATE("          ", "6237", " - ", "JANITORIAL SUPPLIES")</f>
        <v xml:space="preserve">          6237 - JANITORIAL SUPPLIES</v>
      </c>
      <c r="C67" s="11"/>
      <c r="D67" s="7"/>
      <c r="E67" s="2"/>
      <c r="F67" s="6">
        <f t="shared" si="44"/>
        <v>0</v>
      </c>
      <c r="G67" s="2"/>
      <c r="H67" s="7"/>
      <c r="I67" s="2"/>
      <c r="J67" s="6">
        <f t="shared" si="45"/>
        <v>0</v>
      </c>
      <c r="K67" s="2"/>
      <c r="L67" s="7">
        <f t="shared" si="46"/>
        <v>0</v>
      </c>
      <c r="M67" s="2"/>
      <c r="N67" s="6">
        <f t="shared" si="47"/>
        <v>0</v>
      </c>
      <c r="O67" s="11"/>
      <c r="P67" s="7"/>
      <c r="Q67" s="2"/>
      <c r="R67" s="6">
        <f t="shared" si="48"/>
        <v>0</v>
      </c>
      <c r="S67" s="2"/>
      <c r="T67" s="7">
        <v>240</v>
      </c>
      <c r="U67" s="2"/>
      <c r="V67" s="6">
        <f t="shared" si="49"/>
        <v>9.6411096917255179E-4</v>
      </c>
      <c r="W67" s="2"/>
      <c r="X67" s="7">
        <f t="shared" si="50"/>
        <v>-240</v>
      </c>
      <c r="Y67" s="2"/>
      <c r="Z67" s="6">
        <f t="shared" si="51"/>
        <v>-1</v>
      </c>
    </row>
    <row r="68" spans="1:26" s="24" customFormat="1" hidden="1" outlineLevel="2" x14ac:dyDescent="0.25">
      <c r="A68" s="25"/>
      <c r="B68" s="11" t="str">
        <f>CONCATENATE("          ", "6239", " - ", "KITCHEN SUPPLIES")</f>
        <v xml:space="preserve">          6239 - KITCHEN SUPPLIES</v>
      </c>
      <c r="C68" s="11"/>
      <c r="D68" s="7"/>
      <c r="E68" s="2"/>
      <c r="F68" s="6">
        <f t="shared" si="44"/>
        <v>0</v>
      </c>
      <c r="G68" s="2"/>
      <c r="H68" s="7"/>
      <c r="I68" s="2"/>
      <c r="J68" s="6">
        <f t="shared" si="45"/>
        <v>0</v>
      </c>
      <c r="K68" s="2"/>
      <c r="L68" s="7">
        <f t="shared" si="46"/>
        <v>0</v>
      </c>
      <c r="M68" s="2"/>
      <c r="N68" s="6">
        <f t="shared" si="47"/>
        <v>0</v>
      </c>
      <c r="O68" s="11"/>
      <c r="P68" s="7">
        <v>540.89</v>
      </c>
      <c r="Q68" s="2"/>
      <c r="R68" s="6">
        <f t="shared" si="48"/>
        <v>2.6971936051842921E-3</v>
      </c>
      <c r="S68" s="2"/>
      <c r="T68" s="7">
        <v>660</v>
      </c>
      <c r="U68" s="2"/>
      <c r="V68" s="6">
        <f t="shared" si="49"/>
        <v>2.6513051652245173E-3</v>
      </c>
      <c r="W68" s="2"/>
      <c r="X68" s="7">
        <f t="shared" si="50"/>
        <v>-119.11000000000001</v>
      </c>
      <c r="Y68" s="2"/>
      <c r="Z68" s="6">
        <f t="shared" si="51"/>
        <v>-0.180469696969697</v>
      </c>
    </row>
    <row r="69" spans="1:26" s="24" customFormat="1" hidden="1" outlineLevel="2" x14ac:dyDescent="0.25">
      <c r="A69" s="25"/>
      <c r="B69" s="11" t="str">
        <f>CONCATENATE("          ", "6241", " - ", "OFFICE EXPENSE")</f>
        <v xml:space="preserve">          6241 - OFFICE EXPENSE</v>
      </c>
      <c r="C69" s="11"/>
      <c r="D69" s="7">
        <v>238.85</v>
      </c>
      <c r="E69" s="2"/>
      <c r="F69" s="6">
        <f t="shared" si="44"/>
        <v>1.2008873041299261E-2</v>
      </c>
      <c r="G69" s="2"/>
      <c r="H69" s="7">
        <v>330</v>
      </c>
      <c r="I69" s="2"/>
      <c r="J69" s="6">
        <f t="shared" si="45"/>
        <v>1.5246015246015246E-2</v>
      </c>
      <c r="K69" s="2"/>
      <c r="L69" s="7">
        <f t="shared" si="46"/>
        <v>-91.15</v>
      </c>
      <c r="M69" s="2"/>
      <c r="N69" s="6">
        <f t="shared" si="47"/>
        <v>-0.27621212121212124</v>
      </c>
      <c r="O69" s="11"/>
      <c r="P69" s="7">
        <v>1149.17</v>
      </c>
      <c r="Q69" s="2"/>
      <c r="R69" s="6">
        <f t="shared" si="48"/>
        <v>5.7304331292307746E-3</v>
      </c>
      <c r="S69" s="2"/>
      <c r="T69" s="7">
        <v>390</v>
      </c>
      <c r="U69" s="2"/>
      <c r="V69" s="6">
        <f t="shared" si="49"/>
        <v>1.5666803249053966E-3</v>
      </c>
      <c r="W69" s="2"/>
      <c r="X69" s="7">
        <f t="shared" si="50"/>
        <v>759.17000000000007</v>
      </c>
      <c r="Y69" s="2"/>
      <c r="Z69" s="6">
        <f t="shared" si="51"/>
        <v>1.9465897435897437</v>
      </c>
    </row>
    <row r="70" spans="1:26" s="24" customFormat="1" hidden="1" outlineLevel="2" x14ac:dyDescent="0.25">
      <c r="A70" s="25"/>
      <c r="B70" s="11" t="str">
        <f>CONCATENATE("          ", "6243", " - ", "PAPER SUPPLIES")</f>
        <v xml:space="preserve">          6243 - PAPER SUPPLIES</v>
      </c>
      <c r="C70" s="11"/>
      <c r="D70" s="7">
        <v>334.91</v>
      </c>
      <c r="E70" s="2"/>
      <c r="F70" s="6">
        <f t="shared" si="44"/>
        <v>1.6838566758474088E-2</v>
      </c>
      <c r="G70" s="2"/>
      <c r="H70" s="7">
        <v>55</v>
      </c>
      <c r="I70" s="2"/>
      <c r="J70" s="6">
        <f t="shared" si="45"/>
        <v>2.541002541002541E-3</v>
      </c>
      <c r="K70" s="2"/>
      <c r="L70" s="7">
        <f t="shared" si="46"/>
        <v>279.91000000000003</v>
      </c>
      <c r="M70" s="2"/>
      <c r="N70" s="6">
        <f t="shared" si="47"/>
        <v>5.0892727272727276</v>
      </c>
      <c r="O70" s="11"/>
      <c r="P70" s="7">
        <v>1127.71</v>
      </c>
      <c r="Q70" s="2"/>
      <c r="R70" s="6">
        <f t="shared" si="48"/>
        <v>5.6234210292340006E-3</v>
      </c>
      <c r="S70" s="2"/>
      <c r="T70" s="7">
        <v>1515</v>
      </c>
      <c r="U70" s="2"/>
      <c r="V70" s="6">
        <f t="shared" si="49"/>
        <v>6.085950492901733E-3</v>
      </c>
      <c r="W70" s="2"/>
      <c r="X70" s="7">
        <f t="shared" si="50"/>
        <v>-387.28999999999996</v>
      </c>
      <c r="Y70" s="2"/>
      <c r="Z70" s="6">
        <f t="shared" si="51"/>
        <v>-0.25563696369636962</v>
      </c>
    </row>
    <row r="71" spans="1:26" s="24" customFormat="1" hidden="1" outlineLevel="2" x14ac:dyDescent="0.25">
      <c r="A71" s="25"/>
      <c r="B71" s="11" t="str">
        <f>CONCATENATE("          ", "6245", " - ", "PRINTING")</f>
        <v xml:space="preserve">          6245 - PRINTING</v>
      </c>
      <c r="C71" s="11"/>
      <c r="D71" s="7">
        <v>244.39</v>
      </c>
      <c r="E71" s="2"/>
      <c r="F71" s="6">
        <f t="shared" si="44"/>
        <v>1.2287412529048048E-2</v>
      </c>
      <c r="G71" s="2"/>
      <c r="H71" s="7"/>
      <c r="I71" s="2"/>
      <c r="J71" s="6">
        <f t="shared" si="45"/>
        <v>0</v>
      </c>
      <c r="K71" s="2"/>
      <c r="L71" s="7">
        <f t="shared" si="46"/>
        <v>244.39</v>
      </c>
      <c r="M71" s="2"/>
      <c r="N71" s="6">
        <f t="shared" si="47"/>
        <v>0</v>
      </c>
      <c r="O71" s="11"/>
      <c r="P71" s="7">
        <v>244.39</v>
      </c>
      <c r="Q71" s="2"/>
      <c r="R71" s="6">
        <f t="shared" si="48"/>
        <v>1.2186713475401453E-3</v>
      </c>
      <c r="S71" s="2"/>
      <c r="T71" s="7"/>
      <c r="U71" s="2"/>
      <c r="V71" s="6">
        <f t="shared" si="49"/>
        <v>0</v>
      </c>
      <c r="W71" s="2"/>
      <c r="X71" s="7">
        <f t="shared" si="50"/>
        <v>244.39</v>
      </c>
      <c r="Y71" s="2"/>
      <c r="Z71" s="6">
        <f t="shared" si="51"/>
        <v>0</v>
      </c>
    </row>
    <row r="72" spans="1:26" s="24" customFormat="1" hidden="1" outlineLevel="2" x14ac:dyDescent="0.25">
      <c r="A72" s="25"/>
      <c r="B72" s="11" t="str">
        <f>CONCATENATE("          ", "6247", " - ", "STORE SUPPLIES")</f>
        <v xml:space="preserve">          6247 - STORE SUPPLIES</v>
      </c>
      <c r="C72" s="11"/>
      <c r="D72" s="7"/>
      <c r="E72" s="2"/>
      <c r="F72" s="6">
        <f t="shared" si="44"/>
        <v>0</v>
      </c>
      <c r="G72" s="2"/>
      <c r="H72" s="7"/>
      <c r="I72" s="2"/>
      <c r="J72" s="6">
        <f t="shared" si="45"/>
        <v>0</v>
      </c>
      <c r="K72" s="2"/>
      <c r="L72" s="7">
        <f t="shared" si="46"/>
        <v>0</v>
      </c>
      <c r="M72" s="2"/>
      <c r="N72" s="6">
        <f t="shared" si="47"/>
        <v>0</v>
      </c>
      <c r="O72" s="11"/>
      <c r="P72" s="7">
        <v>42.98</v>
      </c>
      <c r="Q72" s="2"/>
      <c r="R72" s="6">
        <f t="shared" si="48"/>
        <v>2.1432339505411614E-4</v>
      </c>
      <c r="S72" s="2"/>
      <c r="T72" s="7">
        <v>915</v>
      </c>
      <c r="U72" s="2"/>
      <c r="V72" s="6">
        <f t="shared" si="49"/>
        <v>3.6756730699703537E-3</v>
      </c>
      <c r="W72" s="2"/>
      <c r="X72" s="7">
        <f t="shared" si="50"/>
        <v>-872.02</v>
      </c>
      <c r="Y72" s="2"/>
      <c r="Z72" s="6">
        <f t="shared" si="51"/>
        <v>-0.9530273224043716</v>
      </c>
    </row>
    <row r="73" spans="1:26" s="24" customFormat="1" hidden="1" outlineLevel="2" x14ac:dyDescent="0.25">
      <c r="A73" s="25"/>
      <c r="B73" s="11" t="str">
        <f>CONCATENATE("          ", "6248", " - ", "UNIFORMS")</f>
        <v xml:space="preserve">          6248 - UNIFORMS</v>
      </c>
      <c r="C73" s="11"/>
      <c r="D73" s="7"/>
      <c r="E73" s="2"/>
      <c r="F73" s="6">
        <f t="shared" si="44"/>
        <v>0</v>
      </c>
      <c r="G73" s="2"/>
      <c r="H73" s="7"/>
      <c r="I73" s="2"/>
      <c r="J73" s="6">
        <f t="shared" si="45"/>
        <v>0</v>
      </c>
      <c r="K73" s="2"/>
      <c r="L73" s="7">
        <f t="shared" si="46"/>
        <v>0</v>
      </c>
      <c r="M73" s="2"/>
      <c r="N73" s="6">
        <f t="shared" si="47"/>
        <v>0</v>
      </c>
      <c r="O73" s="11"/>
      <c r="P73" s="7">
        <v>695.24</v>
      </c>
      <c r="Q73" s="2"/>
      <c r="R73" s="6">
        <f t="shared" si="48"/>
        <v>3.466872898497527E-3</v>
      </c>
      <c r="S73" s="2"/>
      <c r="T73" s="7">
        <v>500</v>
      </c>
      <c r="U73" s="2"/>
      <c r="V73" s="6">
        <f t="shared" si="49"/>
        <v>2.0085645191094828E-3</v>
      </c>
      <c r="W73" s="2"/>
      <c r="X73" s="7">
        <f t="shared" si="50"/>
        <v>195.24</v>
      </c>
      <c r="Y73" s="2"/>
      <c r="Z73" s="6">
        <f t="shared" si="51"/>
        <v>0.39047999999999999</v>
      </c>
    </row>
    <row r="74" spans="1:26" s="27" customFormat="1" outlineLevel="1" collapsed="1" x14ac:dyDescent="0.25">
      <c r="A74" s="26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SUM(OSRRefD22_11x_0)</f>
        <v>71</v>
      </c>
      <c r="E74" s="1"/>
      <c r="F74" s="5">
        <f t="shared" ref="F74:F76" si="52">IF(D$12=0,0,D74/D$12)</f>
        <v>3.5697298971415011E-3</v>
      </c>
      <c r="G74" s="1"/>
      <c r="H74" s="1">
        <f>SUM(OSRRefH22_11x_0)</f>
        <v>95</v>
      </c>
      <c r="I74" s="1"/>
      <c r="J74" s="5">
        <f t="shared" ref="J74:J76" si="53">IF(H$12=0,0,H74/H$12)</f>
        <v>4.3890043890043888E-3</v>
      </c>
      <c r="K74" s="1"/>
      <c r="L74" s="1">
        <f t="shared" ref="L74:L76" si="54">+D74-H74</f>
        <v>-24</v>
      </c>
      <c r="M74" s="1"/>
      <c r="N74" s="5">
        <f t="shared" ref="N74:N76" si="55">IF(H74=0,0,L74/H74)</f>
        <v>-0.25263157894736843</v>
      </c>
      <c r="O74" s="13"/>
      <c r="P74" s="1">
        <f>SUM(OSRRefP22_11x_0)</f>
        <v>497</v>
      </c>
      <c r="Q74" s="1"/>
      <c r="R74" s="5">
        <f t="shared" ref="R74:R76" si="56">IF(P$12=0,0,P74/P$12)</f>
        <v>2.4783324183782159E-3</v>
      </c>
      <c r="S74" s="1"/>
      <c r="T74" s="1">
        <f>SUM(OSRRefT22_11x_0)</f>
        <v>665</v>
      </c>
      <c r="U74" s="1"/>
      <c r="V74" s="5">
        <f t="shared" ref="V74:V76" si="57">IF(T$12=0,0,T74/T$12)</f>
        <v>2.6713908104156123E-3</v>
      </c>
      <c r="W74" s="1"/>
      <c r="X74" s="1">
        <f t="shared" ref="X74:X76" si="58">+P74-T74</f>
        <v>-168</v>
      </c>
      <c r="Y74" s="1"/>
      <c r="Z74" s="5">
        <f t="shared" ref="Z74:Z76" si="59">IF(T74=0,0,X74/T74)</f>
        <v>-0.25263157894736843</v>
      </c>
    </row>
    <row r="75" spans="1:26" s="24" customFormat="1" hidden="1" outlineLevel="2" x14ac:dyDescent="0.25">
      <c r="A75" s="25"/>
      <c r="B75" s="11" t="str">
        <f>CONCATENATE("          ", "6303", " - ", "DATA PHONE LINES")</f>
        <v xml:space="preserve">          6303 - DATA PHONE LINES</v>
      </c>
      <c r="C75" s="11"/>
      <c r="D75" s="7"/>
      <c r="E75" s="2"/>
      <c r="F75" s="6">
        <f t="shared" si="52"/>
        <v>0</v>
      </c>
      <c r="G75" s="2"/>
      <c r="H75" s="7">
        <v>50</v>
      </c>
      <c r="I75" s="2"/>
      <c r="J75" s="6">
        <f t="shared" si="53"/>
        <v>2.3100023100023101E-3</v>
      </c>
      <c r="K75" s="2"/>
      <c r="L75" s="7">
        <f t="shared" si="54"/>
        <v>-50</v>
      </c>
      <c r="M75" s="2"/>
      <c r="N75" s="6">
        <f t="shared" si="55"/>
        <v>-1</v>
      </c>
      <c r="O75" s="11"/>
      <c r="P75" s="7"/>
      <c r="Q75" s="2"/>
      <c r="R75" s="6">
        <f t="shared" si="56"/>
        <v>0</v>
      </c>
      <c r="S75" s="2"/>
      <c r="T75" s="7">
        <v>350</v>
      </c>
      <c r="U75" s="2"/>
      <c r="V75" s="6">
        <f t="shared" si="57"/>
        <v>1.4059951633766379E-3</v>
      </c>
      <c r="W75" s="2"/>
      <c r="X75" s="7">
        <f t="shared" si="58"/>
        <v>-350</v>
      </c>
      <c r="Y75" s="2"/>
      <c r="Z75" s="6">
        <f t="shared" si="59"/>
        <v>-1</v>
      </c>
    </row>
    <row r="76" spans="1:26" s="24" customFormat="1" hidden="1" outlineLevel="2" x14ac:dyDescent="0.25">
      <c r="A76" s="25"/>
      <c r="B76" s="11" t="str">
        <f>CONCATENATE("          ", "6309", " - ", "TELEPHONE")</f>
        <v xml:space="preserve">          6309 - TELEPHONE</v>
      </c>
      <c r="C76" s="11"/>
      <c r="D76" s="7">
        <v>71</v>
      </c>
      <c r="E76" s="2"/>
      <c r="F76" s="6">
        <f t="shared" si="52"/>
        <v>3.5697298971415011E-3</v>
      </c>
      <c r="G76" s="2"/>
      <c r="H76" s="7">
        <v>45</v>
      </c>
      <c r="I76" s="2"/>
      <c r="J76" s="6">
        <f t="shared" si="53"/>
        <v>2.0790020790020791E-3</v>
      </c>
      <c r="K76" s="2"/>
      <c r="L76" s="7">
        <f t="shared" si="54"/>
        <v>26</v>
      </c>
      <c r="M76" s="2"/>
      <c r="N76" s="6">
        <f t="shared" si="55"/>
        <v>0.57777777777777772</v>
      </c>
      <c r="O76" s="11"/>
      <c r="P76" s="7">
        <v>497</v>
      </c>
      <c r="Q76" s="2"/>
      <c r="R76" s="6">
        <f t="shared" si="56"/>
        <v>2.4783324183782159E-3</v>
      </c>
      <c r="S76" s="2"/>
      <c r="T76" s="7">
        <v>315</v>
      </c>
      <c r="U76" s="2"/>
      <c r="V76" s="6">
        <f t="shared" si="57"/>
        <v>1.2653956470389742E-3</v>
      </c>
      <c r="W76" s="2"/>
      <c r="X76" s="7">
        <f t="shared" si="58"/>
        <v>182</v>
      </c>
      <c r="Y76" s="2"/>
      <c r="Z76" s="6">
        <f t="shared" si="59"/>
        <v>0.57777777777777772</v>
      </c>
    </row>
    <row r="77" spans="1:26" s="27" customFormat="1" outlineLevel="1" collapsed="1" x14ac:dyDescent="0.25">
      <c r="A77" s="26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SUM(OSRRefD22_12x_0)</f>
        <v>0</v>
      </c>
      <c r="E77" s="1"/>
      <c r="F77" s="5">
        <f t="shared" ref="F77:F78" si="60">IF(D$12=0,0,D77/D$12)</f>
        <v>0</v>
      </c>
      <c r="G77" s="1"/>
      <c r="H77" s="1">
        <f>SUM(OSRRefH22_12x_0)</f>
        <v>300</v>
      </c>
      <c r="I77" s="1"/>
      <c r="J77" s="5">
        <f t="shared" ref="J77:J78" si="61">IF(H$12=0,0,H77/H$12)</f>
        <v>1.386001386001386E-2</v>
      </c>
      <c r="K77" s="1"/>
      <c r="L77" s="1">
        <f t="shared" ref="L77:L78" si="62">+D77-H77</f>
        <v>-300</v>
      </c>
      <c r="M77" s="1"/>
      <c r="N77" s="5">
        <f t="shared" ref="N77:N78" si="63">IF(H77=0,0,L77/H77)</f>
        <v>-1</v>
      </c>
      <c r="O77" s="13"/>
      <c r="P77" s="1">
        <f>SUM(OSRRefP22_12x_0)</f>
        <v>0</v>
      </c>
      <c r="Q77" s="1"/>
      <c r="R77" s="5">
        <f t="shared" ref="R77:R78" si="64">IF(P$12=0,0,P77/P$12)</f>
        <v>0</v>
      </c>
      <c r="S77" s="1"/>
      <c r="T77" s="1">
        <f>SUM(OSRRefT22_12x_0)</f>
        <v>600</v>
      </c>
      <c r="U77" s="1"/>
      <c r="V77" s="5">
        <f t="shared" ref="V77:V78" si="65">IF(T$12=0,0,T77/T$12)</f>
        <v>2.4102774229313793E-3</v>
      </c>
      <c r="W77" s="1"/>
      <c r="X77" s="1">
        <f t="shared" ref="X77:X78" si="66">+P77-T77</f>
        <v>-600</v>
      </c>
      <c r="Y77" s="1"/>
      <c r="Z77" s="5">
        <f t="shared" ref="Z77:Z78" si="67">IF(T77=0,0,X77/T77)</f>
        <v>-1</v>
      </c>
    </row>
    <row r="78" spans="1:26" s="24" customFormat="1" hidden="1" outlineLevel="2" x14ac:dyDescent="0.25">
      <c r="A78" s="25"/>
      <c r="B78" s="11" t="str">
        <f>CONCATENATE("          ", "6376", " - ", "TRAINING")</f>
        <v xml:space="preserve">          6376 - TRAINING</v>
      </c>
      <c r="C78" s="11"/>
      <c r="D78" s="7"/>
      <c r="E78" s="2"/>
      <c r="F78" s="6">
        <f t="shared" si="60"/>
        <v>0</v>
      </c>
      <c r="G78" s="2"/>
      <c r="H78" s="7">
        <v>300</v>
      </c>
      <c r="I78" s="2"/>
      <c r="J78" s="6">
        <f t="shared" si="61"/>
        <v>1.386001386001386E-2</v>
      </c>
      <c r="K78" s="2"/>
      <c r="L78" s="7">
        <f t="shared" si="62"/>
        <v>-300</v>
      </c>
      <c r="M78" s="2"/>
      <c r="N78" s="6">
        <f t="shared" si="63"/>
        <v>-1</v>
      </c>
      <c r="O78" s="11"/>
      <c r="P78" s="7"/>
      <c r="Q78" s="2"/>
      <c r="R78" s="6">
        <f t="shared" si="64"/>
        <v>0</v>
      </c>
      <c r="S78" s="2"/>
      <c r="T78" s="7">
        <v>600</v>
      </c>
      <c r="U78" s="2"/>
      <c r="V78" s="6">
        <f t="shared" si="65"/>
        <v>2.4102774229313793E-3</v>
      </c>
      <c r="W78" s="2"/>
      <c r="X78" s="7">
        <f t="shared" si="66"/>
        <v>-600</v>
      </c>
      <c r="Y78" s="2"/>
      <c r="Z78" s="6">
        <f t="shared" si="67"/>
        <v>-1</v>
      </c>
    </row>
    <row r="79" spans="1:26" s="53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25">
      <c r="A80" s="10"/>
      <c r="B80" s="28" t="s">
        <v>0</v>
      </c>
      <c r="C80" s="10"/>
      <c r="D80" s="4">
        <f>SUM(OSRRefD25x_0)</f>
        <v>59</v>
      </c>
      <c r="E80" s="4"/>
      <c r="F80" s="12">
        <f t="shared" ref="F80:F81" si="68">IF(D$12=0,0,D80/D$12)</f>
        <v>2.9663952666387121E-3</v>
      </c>
      <c r="G80" s="4"/>
      <c r="H80" s="4">
        <f>SUM(OSRRefH25x_0)</f>
        <v>0</v>
      </c>
      <c r="I80" s="4"/>
      <c r="J80" s="12">
        <f t="shared" ref="J80:J81" si="69">IF(H$12=0,0,H80/H$12)</f>
        <v>0</v>
      </c>
      <c r="K80" s="4"/>
      <c r="L80" s="4">
        <f t="shared" ref="L80:L81" si="70">+D80-H80</f>
        <v>59</v>
      </c>
      <c r="M80" s="4"/>
      <c r="N80" s="12">
        <f t="shared" ref="N80:N81" si="71">IF(H80=0,0,L80/H80)</f>
        <v>0</v>
      </c>
      <c r="O80" s="10"/>
      <c r="P80" s="4">
        <f>SUM(OSRRefP25x_0)</f>
        <v>451</v>
      </c>
      <c r="Q80" s="4"/>
      <c r="R80" s="12">
        <f t="shared" ref="R80:R81" si="72">IF(P$12=0,0,P80/P$12)</f>
        <v>2.2489495386088039E-3</v>
      </c>
      <c r="S80" s="4"/>
      <c r="T80" s="4">
        <f>SUM(OSRRefT25x_0)</f>
        <v>0</v>
      </c>
      <c r="U80" s="4"/>
      <c r="V80" s="12">
        <f t="shared" ref="V80:V81" si="73">IF(T$12=0,0,T80/T$12)</f>
        <v>0</v>
      </c>
      <c r="W80" s="4"/>
      <c r="X80" s="4">
        <f t="shared" ref="X80:X81" si="74">+P80-T80</f>
        <v>451</v>
      </c>
      <c r="Y80" s="4"/>
      <c r="Z80" s="12">
        <f t="shared" ref="Z80:Z81" si="75">IF(T80=0,0,X80/T80)</f>
        <v>0</v>
      </c>
    </row>
    <row r="81" spans="1:26" s="24" customFormat="1" hidden="1" outlineLevel="1" x14ac:dyDescent="0.25">
      <c r="A81" s="44"/>
      <c r="B81" s="11" t="str">
        <f>CONCATENATE("          ", "9150", " - ", "MISC. INCOME")</f>
        <v xml:space="preserve">          9150 - MISC. INCOME</v>
      </c>
      <c r="C81" s="11"/>
      <c r="D81" s="2">
        <f>--59</f>
        <v>59</v>
      </c>
      <c r="E81" s="2"/>
      <c r="F81" s="19">
        <f t="shared" si="68"/>
        <v>2.9663952666387121E-3</v>
      </c>
      <c r="G81" s="2"/>
      <c r="H81" s="2"/>
      <c r="I81" s="2"/>
      <c r="J81" s="19">
        <f t="shared" si="69"/>
        <v>0</v>
      </c>
      <c r="K81" s="2"/>
      <c r="L81" s="2">
        <f t="shared" si="70"/>
        <v>59</v>
      </c>
      <c r="M81" s="2"/>
      <c r="N81" s="19">
        <f t="shared" si="71"/>
        <v>0</v>
      </c>
      <c r="O81" s="11"/>
      <c r="P81" s="2">
        <f>--451</f>
        <v>451</v>
      </c>
      <c r="Q81" s="2"/>
      <c r="R81" s="19">
        <f t="shared" si="72"/>
        <v>2.2489495386088039E-3</v>
      </c>
      <c r="S81" s="2"/>
      <c r="T81" s="2"/>
      <c r="U81" s="2"/>
      <c r="V81" s="19">
        <f t="shared" si="73"/>
        <v>0</v>
      </c>
      <c r="W81" s="2"/>
      <c r="X81" s="2">
        <f t="shared" si="74"/>
        <v>451</v>
      </c>
      <c r="Y81" s="2"/>
      <c r="Z81" s="19">
        <f t="shared" si="75"/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9" t="s">
        <v>3</v>
      </c>
      <c r="C83" s="29"/>
      <c r="D83" s="21">
        <f>+D23-D25+D80</f>
        <v>-4042.8600000000006</v>
      </c>
      <c r="E83" s="14"/>
      <c r="F83" s="20">
        <f>IF(D$12=0,0,D83/D$12)</f>
        <v>-0.20326645368954213</v>
      </c>
      <c r="G83" s="14"/>
      <c r="H83" s="21">
        <f>+H23-H25+H80</f>
        <v>-5251.0612399249985</v>
      </c>
      <c r="I83" s="14"/>
      <c r="J83" s="20">
        <f>IF(H$12=0,0,H83/H$12)</f>
        <v>-0.24259927188380681</v>
      </c>
      <c r="K83" s="16"/>
      <c r="L83" s="21">
        <f>+D83-H83</f>
        <v>1208.2012399249979</v>
      </c>
      <c r="M83" s="16"/>
      <c r="N83" s="20">
        <f>IF(H83=0,0,L83/H83)</f>
        <v>-0.23008705949547348</v>
      </c>
      <c r="O83" s="28"/>
      <c r="P83" s="21">
        <f>+P23-P25+P80</f>
        <v>-1279.0400000000373</v>
      </c>
      <c r="Q83" s="14"/>
      <c r="R83" s="20">
        <f>IF(P$12=0,0,P83/P$12)</f>
        <v>-6.3780408378321246E-3</v>
      </c>
      <c r="S83" s="14"/>
      <c r="T83" s="21">
        <f>+T23-T25+T80</f>
        <v>43538.990699025002</v>
      </c>
      <c r="U83" s="14"/>
      <c r="V83" s="20">
        <f>IF(T$12=0,0,T83/T$12)</f>
        <v>0.17490174383179879</v>
      </c>
      <c r="W83" s="16"/>
      <c r="X83" s="21">
        <f>+P83-T83</f>
        <v>-44818.030699025039</v>
      </c>
      <c r="Y83" s="16"/>
      <c r="Z83" s="20">
        <f>IF(T83=0,0,X83/T83)</f>
        <v>-1.0293768867735531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2"/>
      <c r="B85" s="10" t="s">
        <v>14</v>
      </c>
      <c r="C85" s="10"/>
      <c r="D85" s="4">
        <v>1401.84</v>
      </c>
      <c r="E85" s="4"/>
      <c r="F85" s="12">
        <f>IF(D$12=0,0,D85/D$12)</f>
        <v>7.0481551535335807E-2</v>
      </c>
      <c r="G85" s="4"/>
      <c r="H85" s="4">
        <v>1372</v>
      </c>
      <c r="I85" s="4"/>
      <c r="J85" s="12">
        <f>IF(H$12=0,0,H85/H$12)</f>
        <v>6.3386463386463393E-2</v>
      </c>
      <c r="K85" s="4"/>
      <c r="L85" s="4">
        <f>+D85-H85</f>
        <v>29.839999999999918</v>
      </c>
      <c r="M85" s="4"/>
      <c r="N85" s="12">
        <f>IF(H85=0,0,L85/H85)</f>
        <v>2.1749271137026179E-2</v>
      </c>
      <c r="O85" s="10"/>
      <c r="P85" s="4">
        <v>20913.28</v>
      </c>
      <c r="Q85" s="4"/>
      <c r="R85" s="12">
        <f>IF(P$12=0,0,P85/P$12)</f>
        <v>0.10428583460487077</v>
      </c>
      <c r="S85" s="4"/>
      <c r="T85" s="4">
        <v>30650</v>
      </c>
      <c r="U85" s="4"/>
      <c r="V85" s="12">
        <f>IF(T$12=0,0,T85/T$12)</f>
        <v>0.1231250050214113</v>
      </c>
      <c r="W85" s="4"/>
      <c r="X85" s="4">
        <f>+P85-T85</f>
        <v>-9736.7200000000012</v>
      </c>
      <c r="Y85" s="4"/>
      <c r="Z85" s="12">
        <f>IF(T85=0,0,X85/T85)</f>
        <v>-0.31767438825448618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4</v>
      </c>
      <c r="C87" s="29"/>
      <c r="D87" s="34">
        <f>+D83-D85</f>
        <v>-5444.7000000000007</v>
      </c>
      <c r="E87" s="14"/>
      <c r="F87" s="32">
        <f>IF(D$12=0,0,D87/D$12)</f>
        <v>-0.27374800522487797</v>
      </c>
      <c r="G87" s="14"/>
      <c r="H87" s="34">
        <f>+H83-H85</f>
        <v>-6623.0612399249985</v>
      </c>
      <c r="I87" s="14"/>
      <c r="J87" s="32">
        <f>IF(H$12=0,0,H87/H$12)</f>
        <v>-0.30598573527027018</v>
      </c>
      <c r="K87" s="16"/>
      <c r="L87" s="34">
        <f>D87-H87</f>
        <v>1178.3612399249978</v>
      </c>
      <c r="M87" s="16"/>
      <c r="N87" s="32">
        <f>IF(H87=0,0,L87/H87)</f>
        <v>-0.17791791397331877</v>
      </c>
      <c r="O87" s="28"/>
      <c r="P87" s="34">
        <f>+P83-P85</f>
        <v>-22192.320000000036</v>
      </c>
      <c r="Q87" s="14"/>
      <c r="R87" s="32">
        <f>IF(P$12=0,0,P87/P$12)</f>
        <v>-0.1106638754427029</v>
      </c>
      <c r="S87" s="14"/>
      <c r="T87" s="34">
        <f>+T83-T85</f>
        <v>12888.990699025002</v>
      </c>
      <c r="U87" s="14"/>
      <c r="V87" s="32">
        <f>IF(T$12=0,0,T87/T$12)</f>
        <v>5.1776738810387503E-2</v>
      </c>
      <c r="W87" s="16"/>
      <c r="X87" s="34">
        <f>P87-T87</f>
        <v>-35081.310699025038</v>
      </c>
      <c r="Y87" s="16"/>
      <c r="Z87" s="32">
        <f>IF(T87=0,0,X87/T87)</f>
        <v>-2.7218043303948378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5</v>
      </c>
      <c r="C90" s="29"/>
      <c r="D90" s="31">
        <f>SUM(D87:D89)</f>
        <v>-5444.7000000000007</v>
      </c>
      <c r="E90" s="14"/>
      <c r="F90" s="30">
        <f>IF(D$12=0,0,D90/D$12)</f>
        <v>-0.27374800522487797</v>
      </c>
      <c r="G90" s="14"/>
      <c r="H90" s="31">
        <f>SUM(H87:H89)</f>
        <v>-6623.0612399249985</v>
      </c>
      <c r="I90" s="14"/>
      <c r="J90" s="30">
        <f>IF(H$12=0,0,H90/H$12)</f>
        <v>-0.30598573527027018</v>
      </c>
      <c r="K90" s="16"/>
      <c r="L90" s="31">
        <f>+D90-H90</f>
        <v>1178.3612399249978</v>
      </c>
      <c r="M90" s="16"/>
      <c r="N90" s="30">
        <f>IF(H90=0,0,L90/H90)</f>
        <v>-0.17791791397331877</v>
      </c>
      <c r="O90" s="28"/>
      <c r="P90" s="31">
        <f>SUM(P87:P89)</f>
        <v>-22192.320000000036</v>
      </c>
      <c r="Q90" s="14"/>
      <c r="R90" s="30">
        <f>IF(P$12=0,0,P90/P$12)</f>
        <v>-0.1106638754427029</v>
      </c>
      <c r="S90" s="14"/>
      <c r="T90" s="31">
        <f>SUM(T87:T89)</f>
        <v>12888.990699025002</v>
      </c>
      <c r="U90" s="14"/>
      <c r="V90" s="30">
        <f>IF(T$12=0,0,T90/T$12)</f>
        <v>5.1776738810387503E-2</v>
      </c>
      <c r="W90" s="16"/>
      <c r="X90" s="31">
        <f>+P90-T90</f>
        <v>-35081.310699025038</v>
      </c>
      <c r="Y90" s="16"/>
      <c r="Z90" s="30">
        <f>IF(T90=0,0,X90/T90)</f>
        <v>-2.7218043303948378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63">
        <v>43879.546529976855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7" t="s">
        <v>314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0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","414", " - ", "Starbucks UDP")</f>
        <v>Department 414 - Starbucks UDP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52257.599999999999</v>
      </c>
      <c r="E12" s="4"/>
      <c r="F12" s="12"/>
      <c r="G12" s="4"/>
      <c r="H12" s="4">
        <f>SUM(OSRRefH13x_0)</f>
        <v>53000</v>
      </c>
      <c r="I12" s="4"/>
      <c r="J12" s="12"/>
      <c r="K12" s="4"/>
      <c r="L12" s="4">
        <f t="shared" ref="L12:L16" si="0">+D12-H12</f>
        <v>-742.40000000000146</v>
      </c>
      <c r="M12" s="4"/>
      <c r="N12" s="12">
        <f t="shared" ref="N12:N16" si="1">IF(H12=0,0,L12/H12)</f>
        <v>-1.4007547169811348E-2</v>
      </c>
      <c r="O12" s="10"/>
      <c r="P12" s="4">
        <f>SUM(OSRRefP13x_0)</f>
        <v>458772.75</v>
      </c>
      <c r="Q12" s="4"/>
      <c r="R12" s="12"/>
      <c r="S12" s="4"/>
      <c r="T12" s="4">
        <f>SUM(OSRRefT13x_0)</f>
        <v>523800</v>
      </c>
      <c r="U12" s="4"/>
      <c r="V12" s="12"/>
      <c r="W12" s="4"/>
      <c r="X12" s="4">
        <f t="shared" ref="X12:X16" si="2">+P12-T12</f>
        <v>-65027.25</v>
      </c>
      <c r="Y12" s="4"/>
      <c r="Z12" s="12">
        <f t="shared" ref="Z12:Z16" si="3">IF(T12=0,0,X12/T12)</f>
        <v>-0.12414518900343642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21200</v>
      </c>
      <c r="I13" s="2"/>
      <c r="J13" s="19"/>
      <c r="K13" s="2"/>
      <c r="L13" s="2">
        <f t="shared" si="0"/>
        <v>-21200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205400</v>
      </c>
      <c r="U13" s="2"/>
      <c r="V13" s="19"/>
      <c r="W13" s="2"/>
      <c r="X13" s="2">
        <f t="shared" si="2"/>
        <v>-205400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"4058", " - ", "TAXABLE SALES-FOOD")</f>
        <v xml:space="preserve">          4058 - TAXABLE SALES-FOOD</v>
      </c>
      <c r="C14" s="11"/>
      <c r="D14" s="2">
        <f>--7736.89</f>
        <v>7736.89</v>
      </c>
      <c r="E14" s="2"/>
      <c r="F14" s="19"/>
      <c r="G14" s="2"/>
      <c r="H14" s="2"/>
      <c r="I14" s="2"/>
      <c r="J14" s="19"/>
      <c r="K14" s="2"/>
      <c r="L14" s="2">
        <f t="shared" si="0"/>
        <v>7736.89</v>
      </c>
      <c r="M14" s="2"/>
      <c r="N14" s="19">
        <f t="shared" si="1"/>
        <v>0</v>
      </c>
      <c r="O14" s="11"/>
      <c r="P14" s="2">
        <f>--95636.1</f>
        <v>95636.1</v>
      </c>
      <c r="Q14" s="2"/>
      <c r="R14" s="19"/>
      <c r="S14" s="2"/>
      <c r="T14" s="2"/>
      <c r="U14" s="2"/>
      <c r="V14" s="19"/>
      <c r="W14" s="2"/>
      <c r="X14" s="2">
        <f t="shared" si="2"/>
        <v>95636.1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31800</v>
      </c>
      <c r="I15" s="2"/>
      <c r="J15" s="19"/>
      <c r="K15" s="2"/>
      <c r="L15" s="2">
        <f t="shared" si="0"/>
        <v>-31800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318400</v>
      </c>
      <c r="U15" s="2"/>
      <c r="V15" s="19"/>
      <c r="W15" s="2"/>
      <c r="X15" s="2">
        <f t="shared" si="2"/>
        <v>-318400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"4158", " - ", "NON-TAXABLE SALES-FOOD")</f>
        <v xml:space="preserve">          4158 - NON-TAXABLE SALES-FOOD</v>
      </c>
      <c r="C16" s="11"/>
      <c r="D16" s="2">
        <f>--44520.71</f>
        <v>44520.71</v>
      </c>
      <c r="E16" s="2"/>
      <c r="F16" s="19"/>
      <c r="G16" s="2"/>
      <c r="H16" s="2"/>
      <c r="I16" s="2"/>
      <c r="J16" s="19"/>
      <c r="K16" s="2"/>
      <c r="L16" s="2">
        <f t="shared" si="0"/>
        <v>44520.71</v>
      </c>
      <c r="M16" s="2"/>
      <c r="N16" s="19">
        <f t="shared" si="1"/>
        <v>0</v>
      </c>
      <c r="O16" s="11"/>
      <c r="P16" s="2">
        <f>--363136.65</f>
        <v>363136.65</v>
      </c>
      <c r="Q16" s="2"/>
      <c r="R16" s="19"/>
      <c r="S16" s="2"/>
      <c r="T16" s="2"/>
      <c r="U16" s="2"/>
      <c r="V16" s="19"/>
      <c r="W16" s="2"/>
      <c r="X16" s="2">
        <f t="shared" si="2"/>
        <v>363136.65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23216.75</v>
      </c>
      <c r="E18" s="4"/>
      <c r="F18" s="12">
        <f t="shared" ref="F18:F21" si="4">IF(D$12=0,0,D18/D$12)</f>
        <v>0.44427509108722946</v>
      </c>
      <c r="G18" s="4"/>
      <c r="H18" s="4">
        <f>SUM(OSRRefH16x_0)</f>
        <v>13000</v>
      </c>
      <c r="I18" s="4"/>
      <c r="J18" s="12">
        <f t="shared" ref="J18:J21" si="5">IF(H$12=0,0,H18/H$12)</f>
        <v>0.24528301886792453</v>
      </c>
      <c r="K18" s="4"/>
      <c r="L18" s="4">
        <f t="shared" ref="L18:L21" si="6">+D18-H18</f>
        <v>10216.75</v>
      </c>
      <c r="M18" s="4"/>
      <c r="N18" s="12">
        <f t="shared" ref="N18:N21" si="7">IF(H18=0,0,L18/H18)</f>
        <v>0.78590384615384612</v>
      </c>
      <c r="O18" s="10"/>
      <c r="P18" s="4">
        <f>SUM(OSRRefP16x_0)</f>
        <v>151253.26</v>
      </c>
      <c r="Q18" s="4"/>
      <c r="R18" s="12">
        <f t="shared" ref="R18:R21" si="8">IF(P$12=0,0,P18/P$12)</f>
        <v>0.32969102894624847</v>
      </c>
      <c r="S18" s="4"/>
      <c r="T18" s="4">
        <f>SUM(OSRRefT16x_0)</f>
        <v>160300</v>
      </c>
      <c r="U18" s="4"/>
      <c r="V18" s="12">
        <f t="shared" ref="V18:V21" si="9">IF(T$12=0,0,T18/T$12)</f>
        <v>0.30603283696067202</v>
      </c>
      <c r="W18" s="4"/>
      <c r="X18" s="4">
        <f t="shared" ref="X18:X21" si="10">+P18-T18</f>
        <v>-9046.7399999999907</v>
      </c>
      <c r="Y18" s="4"/>
      <c r="Z18" s="12">
        <f t="shared" ref="Z18:Z21" si="11">IF(T18=0,0,X18/T18)</f>
        <v>-5.6436306924516476E-2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13000</v>
      </c>
      <c r="I19" s="2"/>
      <c r="J19" s="19">
        <f t="shared" si="5"/>
        <v>0.24528301886792453</v>
      </c>
      <c r="K19" s="2"/>
      <c r="L19" s="2">
        <f t="shared" si="6"/>
        <v>-13000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160300</v>
      </c>
      <c r="U19" s="2"/>
      <c r="V19" s="19">
        <f t="shared" si="9"/>
        <v>0.30603283696067202</v>
      </c>
      <c r="W19" s="2"/>
      <c r="X19" s="2">
        <f t="shared" si="10"/>
        <v>-160300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16815.75</v>
      </c>
      <c r="E20" s="2"/>
      <c r="F20" s="19">
        <f t="shared" si="4"/>
        <v>0.3217857306879765</v>
      </c>
      <c r="G20" s="2"/>
      <c r="H20" s="2"/>
      <c r="I20" s="2"/>
      <c r="J20" s="19">
        <f t="shared" si="5"/>
        <v>0</v>
      </c>
      <c r="K20" s="2"/>
      <c r="L20" s="2">
        <f t="shared" si="6"/>
        <v>16815.75</v>
      </c>
      <c r="M20" s="2"/>
      <c r="N20" s="19">
        <f t="shared" si="7"/>
        <v>0</v>
      </c>
      <c r="O20" s="11"/>
      <c r="P20" s="2">
        <v>145432.26</v>
      </c>
      <c r="Q20" s="2"/>
      <c r="R20" s="19">
        <f t="shared" si="8"/>
        <v>0.31700282983241707</v>
      </c>
      <c r="S20" s="2"/>
      <c r="T20" s="2"/>
      <c r="U20" s="2"/>
      <c r="V20" s="19">
        <f t="shared" si="9"/>
        <v>0</v>
      </c>
      <c r="W20" s="2"/>
      <c r="X20" s="2">
        <f t="shared" si="10"/>
        <v>145432.26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6401</v>
      </c>
      <c r="E21" s="2"/>
      <c r="F21" s="19">
        <f t="shared" si="4"/>
        <v>0.12248936039925294</v>
      </c>
      <c r="G21" s="2"/>
      <c r="H21" s="2"/>
      <c r="I21" s="2"/>
      <c r="J21" s="19">
        <f t="shared" si="5"/>
        <v>0</v>
      </c>
      <c r="K21" s="2"/>
      <c r="L21" s="2">
        <f t="shared" si="6"/>
        <v>6401</v>
      </c>
      <c r="M21" s="2"/>
      <c r="N21" s="19">
        <f t="shared" si="7"/>
        <v>0</v>
      </c>
      <c r="O21" s="11"/>
      <c r="P21" s="2">
        <v>5821</v>
      </c>
      <c r="Q21" s="2"/>
      <c r="R21" s="19">
        <f t="shared" si="8"/>
        <v>1.2688199113831412E-2</v>
      </c>
      <c r="S21" s="2"/>
      <c r="T21" s="2"/>
      <c r="U21" s="2"/>
      <c r="V21" s="19">
        <f t="shared" si="9"/>
        <v>0</v>
      </c>
      <c r="W21" s="2"/>
      <c r="X21" s="2">
        <f t="shared" si="10"/>
        <v>5821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1">
        <f>D12-D18</f>
        <v>29040.85</v>
      </c>
      <c r="E23" s="14"/>
      <c r="F23" s="20">
        <f>IF(D$12=0,0,D23/D$12)</f>
        <v>0.5557249089127706</v>
      </c>
      <c r="G23" s="14"/>
      <c r="H23" s="21">
        <f>H12-H18</f>
        <v>40000</v>
      </c>
      <c r="I23" s="14"/>
      <c r="J23" s="20">
        <f>IF(H$12=0,0,H23/H$12)</f>
        <v>0.75471698113207553</v>
      </c>
      <c r="K23" s="16"/>
      <c r="L23" s="21">
        <f>+D23-H23</f>
        <v>-10959.150000000001</v>
      </c>
      <c r="M23" s="16"/>
      <c r="N23" s="20">
        <f>IF(H23=0,0,L23/H23)</f>
        <v>-0.27397875000000005</v>
      </c>
      <c r="O23" s="28"/>
      <c r="P23" s="21">
        <f>P12-P18</f>
        <v>307519.49</v>
      </c>
      <c r="Q23" s="14"/>
      <c r="R23" s="20">
        <f>IF(P$12=0,0,P23/P$12)</f>
        <v>0.67030897105375153</v>
      </c>
      <c r="S23" s="14"/>
      <c r="T23" s="21">
        <f>T12-T18</f>
        <v>363500</v>
      </c>
      <c r="U23" s="14"/>
      <c r="V23" s="20">
        <f>IF(T$12=0,0,T23/T$12)</f>
        <v>0.69396716303932804</v>
      </c>
      <c r="W23" s="16"/>
      <c r="X23" s="21">
        <f>+P23-T23</f>
        <v>-55980.510000000009</v>
      </c>
      <c r="Y23" s="16"/>
      <c r="Z23" s="20">
        <f>IF(T23=0,0,X23/T23)</f>
        <v>-0.15400415405777168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2">
        <f>SUM(OSRRefD22x_0)</f>
        <v>35920.370000000003</v>
      </c>
      <c r="E25" s="22"/>
      <c r="F25" s="35">
        <f t="shared" ref="F25:F35" si="12">IF(D$12=0,0,D25/D$12)</f>
        <v>0.68737121490462638</v>
      </c>
      <c r="G25" s="22"/>
      <c r="H25" s="22">
        <f>SUM(OSRRefH22x_0)</f>
        <v>34852.969238999998</v>
      </c>
      <c r="I25" s="22"/>
      <c r="J25" s="35">
        <f t="shared" ref="J25:J35" si="13">IF(H$12=0,0,H25/H$12)</f>
        <v>0.65760319318867921</v>
      </c>
      <c r="K25" s="4"/>
      <c r="L25" s="22">
        <f t="shared" ref="L25:L35" si="14">+D25-H25</f>
        <v>1067.4007610000044</v>
      </c>
      <c r="M25" s="4"/>
      <c r="N25" s="35">
        <f t="shared" ref="N25:N35" si="15">IF(H25=0,0,L25/H25)</f>
        <v>3.0625819960429585E-2</v>
      </c>
      <c r="O25" s="10"/>
      <c r="P25" s="22">
        <f>SUM(OSRRefP22x_0)</f>
        <v>238996.00000000003</v>
      </c>
      <c r="Q25" s="22"/>
      <c r="R25" s="35">
        <f t="shared" ref="R25:R35" si="16">IF(P$12=0,0,P25/P$12)</f>
        <v>0.52094637268669519</v>
      </c>
      <c r="S25" s="22"/>
      <c r="T25" s="22">
        <f>SUM(OSRRefT22x_0)</f>
        <v>245428.3748858</v>
      </c>
      <c r="U25" s="22"/>
      <c r="V25" s="35">
        <f t="shared" ref="V25:V35" si="17">IF(T$12=0,0,T25/T$12)</f>
        <v>0.46855359848377243</v>
      </c>
      <c r="W25" s="4"/>
      <c r="X25" s="22">
        <f t="shared" ref="X25:X35" si="18">+P25-T25</f>
        <v>-6432.3748857999744</v>
      </c>
      <c r="Y25" s="4"/>
      <c r="Z25" s="35">
        <f t="shared" ref="Z25:Z35" si="19">IF(T25=0,0,X25/T25)</f>
        <v>-2.6208766157511394E-2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3437.9199999999996</v>
      </c>
      <c r="E26" s="1"/>
      <c r="F26" s="5">
        <f t="shared" si="12"/>
        <v>6.5787942806405181E-2</v>
      </c>
      <c r="G26" s="1"/>
      <c r="H26" s="1">
        <f>SUM(OSRRefH22_0x_0)</f>
        <v>4594.4492390000005</v>
      </c>
      <c r="I26" s="1"/>
      <c r="J26" s="5">
        <f t="shared" si="13"/>
        <v>8.6687721490566041E-2</v>
      </c>
      <c r="K26" s="1"/>
      <c r="L26" s="1">
        <f t="shared" si="14"/>
        <v>-1156.5292390000009</v>
      </c>
      <c r="M26" s="1"/>
      <c r="N26" s="5">
        <f t="shared" si="15"/>
        <v>-0.2517231508801529</v>
      </c>
      <c r="O26" s="13"/>
      <c r="P26" s="1">
        <f>SUM(OSRRefP22_0x_0)</f>
        <v>18361.809999999998</v>
      </c>
      <c r="Q26" s="1"/>
      <c r="R26" s="5">
        <f t="shared" si="16"/>
        <v>4.0023759039742438E-2</v>
      </c>
      <c r="S26" s="1"/>
      <c r="T26" s="1">
        <f>SUM(OSRRefT22_0x_0)</f>
        <v>31190.270885799997</v>
      </c>
      <c r="U26" s="1"/>
      <c r="V26" s="5">
        <f t="shared" si="17"/>
        <v>5.9546145257350129E-2</v>
      </c>
      <c r="W26" s="1"/>
      <c r="X26" s="1">
        <f t="shared" si="18"/>
        <v>-12828.460885799999</v>
      </c>
      <c r="Y26" s="1"/>
      <c r="Z26" s="5">
        <f t="shared" si="19"/>
        <v>-0.41129687307847063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630.79999999999995</v>
      </c>
      <c r="E27" s="2"/>
      <c r="F27" s="6">
        <f t="shared" si="12"/>
        <v>1.2070971495055264E-2</v>
      </c>
      <c r="G27" s="2"/>
      <c r="H27" s="7">
        <v>835.99841400000003</v>
      </c>
      <c r="I27" s="2"/>
      <c r="J27" s="6">
        <f t="shared" si="13"/>
        <v>1.5773554981132077E-2</v>
      </c>
      <c r="K27" s="2"/>
      <c r="L27" s="7">
        <f t="shared" si="14"/>
        <v>-205.19841400000007</v>
      </c>
      <c r="M27" s="2"/>
      <c r="N27" s="6">
        <f t="shared" si="15"/>
        <v>-0.24545311398162539</v>
      </c>
      <c r="O27" s="11"/>
      <c r="P27" s="7">
        <v>4333.08</v>
      </c>
      <c r="Q27" s="2"/>
      <c r="R27" s="6">
        <f t="shared" si="16"/>
        <v>9.4449376079987317E-3</v>
      </c>
      <c r="S27" s="2"/>
      <c r="T27" s="7">
        <v>5746.3744367999998</v>
      </c>
      <c r="U27" s="2"/>
      <c r="V27" s="6">
        <f t="shared" si="17"/>
        <v>1.0970550662084765E-2</v>
      </c>
      <c r="W27" s="2"/>
      <c r="X27" s="7">
        <f t="shared" si="18"/>
        <v>-1413.2944367999999</v>
      </c>
      <c r="Y27" s="2"/>
      <c r="Z27" s="6">
        <f t="shared" si="19"/>
        <v>-0.24594541346787441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585.5</v>
      </c>
      <c r="E28" s="2"/>
      <c r="F28" s="6">
        <f t="shared" si="12"/>
        <v>1.1204111937785127E-2</v>
      </c>
      <c r="G28" s="2"/>
      <c r="H28" s="7">
        <v>726.39031999999997</v>
      </c>
      <c r="I28" s="2"/>
      <c r="J28" s="6">
        <f t="shared" si="13"/>
        <v>1.3705477735849056E-2</v>
      </c>
      <c r="K28" s="2"/>
      <c r="L28" s="7">
        <f t="shared" si="14"/>
        <v>-140.89031999999997</v>
      </c>
      <c r="M28" s="2"/>
      <c r="N28" s="6">
        <f t="shared" si="15"/>
        <v>-0.19395952302888614</v>
      </c>
      <c r="O28" s="11"/>
      <c r="P28" s="7">
        <v>3864.07</v>
      </c>
      <c r="Q28" s="2"/>
      <c r="R28" s="6">
        <f t="shared" si="16"/>
        <v>8.4226231832644823E-3</v>
      </c>
      <c r="S28" s="2"/>
      <c r="T28" s="7">
        <v>4961.9054079999996</v>
      </c>
      <c r="U28" s="2"/>
      <c r="V28" s="6">
        <f t="shared" si="17"/>
        <v>9.4729007407407407E-3</v>
      </c>
      <c r="W28" s="2"/>
      <c r="X28" s="7">
        <f t="shared" si="18"/>
        <v>-1097.8354079999995</v>
      </c>
      <c r="Y28" s="2"/>
      <c r="Z28" s="6">
        <f t="shared" si="19"/>
        <v>-0.22125278854167135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1033.82</v>
      </c>
      <c r="E29" s="2"/>
      <c r="F29" s="6">
        <f t="shared" si="12"/>
        <v>1.9783151158874499E-2</v>
      </c>
      <c r="G29" s="2"/>
      <c r="H29" s="7">
        <v>1381</v>
      </c>
      <c r="I29" s="2"/>
      <c r="J29" s="6">
        <f t="shared" si="13"/>
        <v>2.6056603773584906E-2</v>
      </c>
      <c r="K29" s="2"/>
      <c r="L29" s="7">
        <f t="shared" si="14"/>
        <v>-347.18000000000006</v>
      </c>
      <c r="M29" s="2"/>
      <c r="N29" s="6">
        <f t="shared" si="15"/>
        <v>-0.25139753801593051</v>
      </c>
      <c r="O29" s="11"/>
      <c r="P29" s="7">
        <v>4936.16</v>
      </c>
      <c r="Q29" s="2"/>
      <c r="R29" s="6">
        <f t="shared" si="16"/>
        <v>1.0759488221565033E-2</v>
      </c>
      <c r="S29" s="2"/>
      <c r="T29" s="7">
        <v>9667</v>
      </c>
      <c r="U29" s="2"/>
      <c r="V29" s="6">
        <f t="shared" si="17"/>
        <v>1.8455517373043146E-2</v>
      </c>
      <c r="W29" s="2"/>
      <c r="X29" s="7">
        <f t="shared" si="18"/>
        <v>-4730.84</v>
      </c>
      <c r="Y29" s="2"/>
      <c r="Z29" s="6">
        <f t="shared" si="19"/>
        <v>-0.48938036619426917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39.229999999999997</v>
      </c>
      <c r="E30" s="2"/>
      <c r="F30" s="6">
        <f t="shared" si="12"/>
        <v>7.5070420379045341E-4</v>
      </c>
      <c r="G30" s="2"/>
      <c r="H30" s="7">
        <v>55.302455000000002</v>
      </c>
      <c r="I30" s="2"/>
      <c r="J30" s="6">
        <f t="shared" si="13"/>
        <v>1.0434425471698113E-3</v>
      </c>
      <c r="K30" s="2"/>
      <c r="L30" s="7">
        <f t="shared" si="14"/>
        <v>-16.072455000000005</v>
      </c>
      <c r="M30" s="2"/>
      <c r="N30" s="6">
        <f t="shared" si="15"/>
        <v>-0.29062823702853707</v>
      </c>
      <c r="O30" s="11"/>
      <c r="P30" s="7">
        <v>343.07</v>
      </c>
      <c r="Q30" s="2"/>
      <c r="R30" s="6">
        <f t="shared" si="16"/>
        <v>7.4779942793027699E-4</v>
      </c>
      <c r="S30" s="2"/>
      <c r="T30" s="7">
        <v>399.05563100000001</v>
      </c>
      <c r="U30" s="2"/>
      <c r="V30" s="6">
        <f t="shared" si="17"/>
        <v>7.6184732913325696E-4</v>
      </c>
      <c r="W30" s="2"/>
      <c r="X30" s="7">
        <f t="shared" si="18"/>
        <v>-55.985631000000012</v>
      </c>
      <c r="Y30" s="2"/>
      <c r="Z30" s="6">
        <f t="shared" si="19"/>
        <v>-0.140295303839479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305.10000000000002</v>
      </c>
      <c r="E31" s="2"/>
      <c r="F31" s="6">
        <f t="shared" si="12"/>
        <v>5.8383852300909348E-3</v>
      </c>
      <c r="G31" s="2"/>
      <c r="H31" s="7">
        <v>527.93679999999995</v>
      </c>
      <c r="I31" s="2"/>
      <c r="J31" s="6">
        <f t="shared" si="13"/>
        <v>9.9610716981132063E-3</v>
      </c>
      <c r="K31" s="2"/>
      <c r="L31" s="7">
        <f t="shared" si="14"/>
        <v>-222.83679999999993</v>
      </c>
      <c r="M31" s="2"/>
      <c r="N31" s="6">
        <f t="shared" si="15"/>
        <v>-0.42208991682337726</v>
      </c>
      <c r="O31" s="11"/>
      <c r="P31" s="7">
        <v>305.10000000000002</v>
      </c>
      <c r="Q31" s="2"/>
      <c r="R31" s="6">
        <f t="shared" si="16"/>
        <v>6.6503513994673835E-4</v>
      </c>
      <c r="S31" s="2"/>
      <c r="T31" s="7">
        <v>3273.2081600000001</v>
      </c>
      <c r="U31" s="2"/>
      <c r="V31" s="6">
        <f t="shared" si="17"/>
        <v>6.2489655593738072E-3</v>
      </c>
      <c r="W31" s="2"/>
      <c r="X31" s="7">
        <f t="shared" si="18"/>
        <v>-2968.1081600000002</v>
      </c>
      <c r="Y31" s="2"/>
      <c r="Z31" s="6">
        <f t="shared" si="19"/>
        <v>-0.90678869626183511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7">
        <v>304.61</v>
      </c>
      <c r="E33" s="2"/>
      <c r="F33" s="6">
        <f t="shared" si="12"/>
        <v>5.829008603533266E-3</v>
      </c>
      <c r="G33" s="2"/>
      <c r="H33" s="7">
        <v>306.94</v>
      </c>
      <c r="I33" s="2"/>
      <c r="J33" s="6">
        <f t="shared" si="13"/>
        <v>5.7913207547169807E-3</v>
      </c>
      <c r="K33" s="2"/>
      <c r="L33" s="7">
        <f t="shared" si="14"/>
        <v>-2.3299999999999841</v>
      </c>
      <c r="M33" s="2"/>
      <c r="N33" s="6">
        <f t="shared" si="15"/>
        <v>-7.5910601420472535E-3</v>
      </c>
      <c r="O33" s="11"/>
      <c r="P33" s="7">
        <v>1555.86</v>
      </c>
      <c r="Q33" s="2"/>
      <c r="R33" s="6">
        <f t="shared" si="16"/>
        <v>3.3913522544658545E-3</v>
      </c>
      <c r="S33" s="2"/>
      <c r="T33" s="7">
        <v>1903.028</v>
      </c>
      <c r="U33" s="2"/>
      <c r="V33" s="6">
        <f t="shared" si="17"/>
        <v>3.6331195112638414E-3</v>
      </c>
      <c r="W33" s="2"/>
      <c r="X33" s="7">
        <f t="shared" si="18"/>
        <v>-347.16800000000012</v>
      </c>
      <c r="Y33" s="2"/>
      <c r="Z33" s="6">
        <f t="shared" si="19"/>
        <v>-0.1824292653602575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7">
        <v>364.93</v>
      </c>
      <c r="E34" s="2"/>
      <c r="F34" s="6">
        <f t="shared" si="12"/>
        <v>6.9832904687547846E-3</v>
      </c>
      <c r="G34" s="2"/>
      <c r="H34" s="7">
        <v>760.88125000000002</v>
      </c>
      <c r="I34" s="2"/>
      <c r="J34" s="6">
        <f t="shared" si="13"/>
        <v>1.4356250000000001E-2</v>
      </c>
      <c r="K34" s="2"/>
      <c r="L34" s="7">
        <f t="shared" si="14"/>
        <v>-395.95125000000002</v>
      </c>
      <c r="M34" s="2"/>
      <c r="N34" s="6">
        <f t="shared" si="15"/>
        <v>-0.52038507980056026</v>
      </c>
      <c r="O34" s="11"/>
      <c r="P34" s="7">
        <v>1863.96</v>
      </c>
      <c r="Q34" s="2"/>
      <c r="R34" s="6">
        <f t="shared" si="16"/>
        <v>4.062926579662807E-3</v>
      </c>
      <c r="S34" s="2"/>
      <c r="T34" s="7">
        <v>5239.6992499999997</v>
      </c>
      <c r="U34" s="2"/>
      <c r="V34" s="6">
        <f t="shared" si="17"/>
        <v>1.0003244081710575E-2</v>
      </c>
      <c r="W34" s="2"/>
      <c r="X34" s="7">
        <f t="shared" si="18"/>
        <v>-3375.7392499999996</v>
      </c>
      <c r="Y34" s="2"/>
      <c r="Z34" s="6">
        <f t="shared" si="19"/>
        <v>-0.64426202515344744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7">
        <v>173.93</v>
      </c>
      <c r="E35" s="2"/>
      <c r="F35" s="6">
        <f t="shared" si="12"/>
        <v>3.3283197085208663E-3</v>
      </c>
      <c r="G35" s="2"/>
      <c r="H35" s="7"/>
      <c r="I35" s="2"/>
      <c r="J35" s="6">
        <f t="shared" si="13"/>
        <v>0</v>
      </c>
      <c r="K35" s="2"/>
      <c r="L35" s="7">
        <f t="shared" si="14"/>
        <v>173.93</v>
      </c>
      <c r="M35" s="2"/>
      <c r="N35" s="6">
        <f t="shared" si="15"/>
        <v>0</v>
      </c>
      <c r="O35" s="11"/>
      <c r="P35" s="7">
        <v>1160.51</v>
      </c>
      <c r="Q35" s="2"/>
      <c r="R35" s="6">
        <f t="shared" si="16"/>
        <v>2.5295966249085193E-3</v>
      </c>
      <c r="S35" s="2"/>
      <c r="T35" s="7"/>
      <c r="U35" s="2"/>
      <c r="V35" s="6">
        <f t="shared" si="17"/>
        <v>0</v>
      </c>
      <c r="W35" s="2"/>
      <c r="X35" s="7">
        <f t="shared" si="18"/>
        <v>1160.51</v>
      </c>
      <c r="Y35" s="2"/>
      <c r="Z35" s="6">
        <f t="shared" si="19"/>
        <v>0</v>
      </c>
    </row>
    <row r="36" spans="1:26" s="27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21196.300000000003</v>
      </c>
      <c r="E36" s="1"/>
      <c r="F36" s="5">
        <f t="shared" ref="F36:F46" si="20">IF(D$12=0,0,D36/D$12)</f>
        <v>0.40561181531490165</v>
      </c>
      <c r="G36" s="1"/>
      <c r="H36" s="1">
        <f>SUM(OSRRefH22_1x_0)</f>
        <v>18107.52</v>
      </c>
      <c r="I36" s="1"/>
      <c r="J36" s="5">
        <f t="shared" ref="J36:J46" si="21">IF(H$12=0,0,H36/H$12)</f>
        <v>0.34165132075471699</v>
      </c>
      <c r="K36" s="1"/>
      <c r="L36" s="1">
        <f t="shared" ref="L36:L46" si="22">+D36-H36</f>
        <v>3088.7800000000025</v>
      </c>
      <c r="M36" s="1"/>
      <c r="N36" s="5">
        <f t="shared" ref="N36:N46" si="23">IF(H36=0,0,L36/H36)</f>
        <v>0.17057995794012668</v>
      </c>
      <c r="O36" s="13"/>
      <c r="P36" s="1">
        <f>SUM(OSRRefP22_1x_0)</f>
        <v>136533.72</v>
      </c>
      <c r="Q36" s="1"/>
      <c r="R36" s="5">
        <f t="shared" ref="R36:R46" si="24">IF(P$12=0,0,P36/P$12)</f>
        <v>0.29760642932693804</v>
      </c>
      <c r="S36" s="1"/>
      <c r="T36" s="1">
        <f>SUM(OSRRefT22_1x_0)</f>
        <v>124078.10399999999</v>
      </c>
      <c r="U36" s="1"/>
      <c r="V36" s="5">
        <f t="shared" ref="V36:V46" si="25">IF(T$12=0,0,T36/T$12)</f>
        <v>0.23688068728522335</v>
      </c>
      <c r="W36" s="1"/>
      <c r="X36" s="1">
        <f t="shared" ref="X36:X46" si="26">+P36-T36</f>
        <v>12455.616000000009</v>
      </c>
      <c r="Y36" s="1"/>
      <c r="Z36" s="5">
        <f t="shared" ref="Z36:Z46" si="27">IF(T36=0,0,X36/T36)</f>
        <v>0.10038528635157103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7">
        <v>3639.92</v>
      </c>
      <c r="E38" s="2"/>
      <c r="F38" s="6">
        <f t="shared" si="20"/>
        <v>6.9653409264872485E-2</v>
      </c>
      <c r="G38" s="2"/>
      <c r="H38" s="7">
        <v>5524.92</v>
      </c>
      <c r="I38" s="2"/>
      <c r="J38" s="6">
        <f t="shared" si="21"/>
        <v>0.10424377358490566</v>
      </c>
      <c r="K38" s="2"/>
      <c r="L38" s="7">
        <f t="shared" si="22"/>
        <v>-1885</v>
      </c>
      <c r="M38" s="2"/>
      <c r="N38" s="6">
        <f t="shared" si="23"/>
        <v>-0.34118141077155867</v>
      </c>
      <c r="O38" s="11"/>
      <c r="P38" s="7">
        <v>3639.92</v>
      </c>
      <c r="Q38" s="2"/>
      <c r="R38" s="6">
        <f t="shared" si="24"/>
        <v>7.9340370586526779E-3</v>
      </c>
      <c r="S38" s="2"/>
      <c r="T38" s="7">
        <v>34254.504000000001</v>
      </c>
      <c r="U38" s="2"/>
      <c r="V38" s="6">
        <f t="shared" si="25"/>
        <v>6.5396151202749137E-2</v>
      </c>
      <c r="W38" s="2"/>
      <c r="X38" s="7">
        <f t="shared" si="26"/>
        <v>-30614.584000000003</v>
      </c>
      <c r="Y38" s="2"/>
      <c r="Z38" s="6">
        <f t="shared" si="27"/>
        <v>-0.89373893722121922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7">
        <v>5339.84</v>
      </c>
      <c r="E40" s="2"/>
      <c r="F40" s="6">
        <f t="shared" si="20"/>
        <v>0.10218303175040569</v>
      </c>
      <c r="G40" s="2"/>
      <c r="H40" s="7">
        <v>4785</v>
      </c>
      <c r="I40" s="2"/>
      <c r="J40" s="6">
        <f t="shared" si="21"/>
        <v>9.028301886792453E-2</v>
      </c>
      <c r="K40" s="2"/>
      <c r="L40" s="7">
        <f t="shared" si="22"/>
        <v>554.84000000000015</v>
      </c>
      <c r="M40" s="2"/>
      <c r="N40" s="6">
        <f t="shared" si="23"/>
        <v>0.11595402298850578</v>
      </c>
      <c r="O40" s="11"/>
      <c r="P40" s="7">
        <v>40214.839999999997</v>
      </c>
      <c r="Q40" s="2"/>
      <c r="R40" s="6">
        <f t="shared" si="24"/>
        <v>8.7657429522568622E-2</v>
      </c>
      <c r="S40" s="2"/>
      <c r="T40" s="7">
        <v>29106</v>
      </c>
      <c r="U40" s="2"/>
      <c r="V40" s="6">
        <f t="shared" si="25"/>
        <v>5.5567010309278353E-2</v>
      </c>
      <c r="W40" s="2"/>
      <c r="X40" s="7">
        <f t="shared" si="26"/>
        <v>11108.839999999997</v>
      </c>
      <c r="Y40" s="2"/>
      <c r="Z40" s="6">
        <f t="shared" si="27"/>
        <v>0.38166838452552726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>
        <v>1997.5</v>
      </c>
      <c r="Q41" s="2"/>
      <c r="R41" s="6">
        <f t="shared" si="24"/>
        <v>4.3540075124339885E-3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1997.5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>
        <v>29.25</v>
      </c>
      <c r="Q42" s="2"/>
      <c r="R42" s="6">
        <f t="shared" si="24"/>
        <v>6.3757056189584052E-5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29.25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7">
        <v>12216.54</v>
      </c>
      <c r="E43" s="2"/>
      <c r="F43" s="6">
        <f t="shared" si="20"/>
        <v>0.23377537429962342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12216.54</v>
      </c>
      <c r="M43" s="2"/>
      <c r="N43" s="6">
        <f t="shared" si="23"/>
        <v>0</v>
      </c>
      <c r="O43" s="11"/>
      <c r="P43" s="7">
        <v>90652.21</v>
      </c>
      <c r="Q43" s="2"/>
      <c r="R43" s="6">
        <f t="shared" si="24"/>
        <v>0.19759719817709315</v>
      </c>
      <c r="S43" s="2"/>
      <c r="T43" s="7">
        <v>3720</v>
      </c>
      <c r="U43" s="2"/>
      <c r="V43" s="6">
        <f t="shared" si="25"/>
        <v>7.1019473081328751E-3</v>
      </c>
      <c r="W43" s="2"/>
      <c r="X43" s="7">
        <f t="shared" si="26"/>
        <v>86932.21</v>
      </c>
      <c r="Y43" s="2"/>
      <c r="Z43" s="6">
        <f t="shared" si="27"/>
        <v>23.36887365591398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7797.6</v>
      </c>
      <c r="I44" s="2"/>
      <c r="J44" s="6">
        <f t="shared" si="21"/>
        <v>0.1471245283018868</v>
      </c>
      <c r="K44" s="2"/>
      <c r="L44" s="7">
        <f t="shared" si="22"/>
        <v>-7797.6</v>
      </c>
      <c r="M44" s="2"/>
      <c r="N44" s="6">
        <f t="shared" si="23"/>
        <v>-1</v>
      </c>
      <c r="O44" s="11"/>
      <c r="P44" s="7"/>
      <c r="Q44" s="2"/>
      <c r="R44" s="6">
        <f t="shared" si="24"/>
        <v>0</v>
      </c>
      <c r="S44" s="2"/>
      <c r="T44" s="7">
        <v>56997.599999999999</v>
      </c>
      <c r="U44" s="2"/>
      <c r="V44" s="6">
        <f t="shared" si="25"/>
        <v>0.108815578465063</v>
      </c>
      <c r="W44" s="2"/>
      <c r="X44" s="7">
        <f t="shared" si="26"/>
        <v>-56997.599999999999</v>
      </c>
      <c r="Y44" s="2"/>
      <c r="Z44" s="6">
        <f t="shared" si="27"/>
        <v>-1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7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77.64</v>
      </c>
      <c r="E47" s="1"/>
      <c r="F47" s="5">
        <f t="shared" ref="F47:F55" si="28">IF(D$12=0,0,D47/D$12)</f>
        <v>1.4857169100762377E-3</v>
      </c>
      <c r="G47" s="1"/>
      <c r="H47" s="1">
        <f>SUM(OSRRefH22_2x_0)</f>
        <v>140</v>
      </c>
      <c r="I47" s="1"/>
      <c r="J47" s="5">
        <f t="shared" ref="J47:J55" si="29">IF(H$12=0,0,H47/H$12)</f>
        <v>2.6415094339622643E-3</v>
      </c>
      <c r="K47" s="1"/>
      <c r="L47" s="1">
        <f t="shared" ref="L47:L55" si="30">+D47-H47</f>
        <v>-62.36</v>
      </c>
      <c r="M47" s="1"/>
      <c r="N47" s="5">
        <f t="shared" ref="N47:N55" si="31">IF(H47=0,0,L47/H47)</f>
        <v>-0.44542857142857145</v>
      </c>
      <c r="O47" s="13"/>
      <c r="P47" s="1">
        <f>SUM(OSRRefP22_2x_0)</f>
        <v>688.21</v>
      </c>
      <c r="Q47" s="1"/>
      <c r="R47" s="5">
        <f t="shared" ref="R47:R55" si="32">IF(P$12=0,0,P47/P$12)</f>
        <v>1.5001108936832017E-3</v>
      </c>
      <c r="S47" s="1"/>
      <c r="T47" s="1">
        <f>SUM(OSRRefT22_2x_0)</f>
        <v>1375</v>
      </c>
      <c r="U47" s="1"/>
      <c r="V47" s="5">
        <f t="shared" ref="V47:V55" si="33">IF(T$12=0,0,T47/T$12)</f>
        <v>2.6250477281405116E-3</v>
      </c>
      <c r="W47" s="1"/>
      <c r="X47" s="1">
        <f t="shared" ref="X47:X55" si="34">+P47-T47</f>
        <v>-686.79</v>
      </c>
      <c r="Y47" s="1"/>
      <c r="Z47" s="5">
        <f t="shared" ref="Z47:Z55" si="35">IF(T47=0,0,X47/T47)</f>
        <v>-0.49948363636363635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7">
        <v>77.64</v>
      </c>
      <c r="E48" s="2"/>
      <c r="F48" s="6">
        <f t="shared" si="28"/>
        <v>1.4857169100762377E-3</v>
      </c>
      <c r="G48" s="2"/>
      <c r="H48" s="7">
        <v>140</v>
      </c>
      <c r="I48" s="2"/>
      <c r="J48" s="6">
        <f t="shared" si="29"/>
        <v>2.6415094339622643E-3</v>
      </c>
      <c r="K48" s="2"/>
      <c r="L48" s="7">
        <f t="shared" si="30"/>
        <v>-62.36</v>
      </c>
      <c r="M48" s="2"/>
      <c r="N48" s="6">
        <f t="shared" si="31"/>
        <v>-0.44542857142857145</v>
      </c>
      <c r="O48" s="11"/>
      <c r="P48" s="7">
        <v>688.21</v>
      </c>
      <c r="Q48" s="2"/>
      <c r="R48" s="6">
        <f t="shared" si="32"/>
        <v>1.5001108936832017E-3</v>
      </c>
      <c r="S48" s="2"/>
      <c r="T48" s="7">
        <v>1375</v>
      </c>
      <c r="U48" s="2"/>
      <c r="V48" s="6">
        <f t="shared" si="33"/>
        <v>2.6250477281405116E-3</v>
      </c>
      <c r="W48" s="2"/>
      <c r="X48" s="7">
        <f t="shared" si="34"/>
        <v>-686.79</v>
      </c>
      <c r="Y48" s="2"/>
      <c r="Z48" s="6">
        <f t="shared" si="35"/>
        <v>-0.49948363636363635</v>
      </c>
    </row>
    <row r="49" spans="1:26" s="27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28.97</v>
      </c>
      <c r="E49" s="1"/>
      <c r="F49" s="5">
        <f t="shared" si="28"/>
        <v>5.5436912525642207E-4</v>
      </c>
      <c r="G49" s="1"/>
      <c r="H49" s="1">
        <f>SUM(OSRRefH22_3x_0)</f>
        <v>10</v>
      </c>
      <c r="I49" s="1"/>
      <c r="J49" s="5">
        <f t="shared" si="29"/>
        <v>1.8867924528301886E-4</v>
      </c>
      <c r="K49" s="1"/>
      <c r="L49" s="1">
        <f t="shared" si="30"/>
        <v>18.97</v>
      </c>
      <c r="M49" s="1"/>
      <c r="N49" s="5">
        <f t="shared" si="31"/>
        <v>1.8969999999999998</v>
      </c>
      <c r="O49" s="13"/>
      <c r="P49" s="1">
        <f>SUM(OSRRefP22_3x_0)</f>
        <v>38.89</v>
      </c>
      <c r="Q49" s="1"/>
      <c r="R49" s="5">
        <f t="shared" si="32"/>
        <v>8.4769638126937577E-5</v>
      </c>
      <c r="S49" s="1"/>
      <c r="T49" s="1">
        <f>SUM(OSRRefT22_3x_0)</f>
        <v>50</v>
      </c>
      <c r="U49" s="1"/>
      <c r="V49" s="5">
        <f t="shared" si="33"/>
        <v>9.5456281023291337E-5</v>
      </c>
      <c r="W49" s="1"/>
      <c r="X49" s="1">
        <f t="shared" si="34"/>
        <v>-11.11</v>
      </c>
      <c r="Y49" s="1"/>
      <c r="Z49" s="5">
        <f t="shared" si="35"/>
        <v>-0.22219999999999998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7">
        <v>28.97</v>
      </c>
      <c r="E50" s="2"/>
      <c r="F50" s="6">
        <f t="shared" si="28"/>
        <v>5.5436912525642207E-4</v>
      </c>
      <c r="G50" s="2"/>
      <c r="H50" s="7">
        <v>10</v>
      </c>
      <c r="I50" s="2"/>
      <c r="J50" s="6">
        <f t="shared" si="29"/>
        <v>1.8867924528301886E-4</v>
      </c>
      <c r="K50" s="2"/>
      <c r="L50" s="7">
        <f t="shared" si="30"/>
        <v>18.97</v>
      </c>
      <c r="M50" s="2"/>
      <c r="N50" s="6">
        <f t="shared" si="31"/>
        <v>1.8969999999999998</v>
      </c>
      <c r="O50" s="11"/>
      <c r="P50" s="7">
        <v>38.89</v>
      </c>
      <c r="Q50" s="2"/>
      <c r="R50" s="6">
        <f t="shared" si="32"/>
        <v>8.4769638126937577E-5</v>
      </c>
      <c r="S50" s="2"/>
      <c r="T50" s="7">
        <v>50</v>
      </c>
      <c r="U50" s="2"/>
      <c r="V50" s="6">
        <f t="shared" si="33"/>
        <v>9.5456281023291337E-5</v>
      </c>
      <c r="W50" s="2"/>
      <c r="X50" s="7">
        <f t="shared" si="34"/>
        <v>-11.11</v>
      </c>
      <c r="Y50" s="2"/>
      <c r="Z50" s="6">
        <f t="shared" si="35"/>
        <v>-0.22219999999999998</v>
      </c>
    </row>
    <row r="51" spans="1:26" s="27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1407.35</v>
      </c>
      <c r="E51" s="1"/>
      <c r="F51" s="5">
        <f t="shared" si="28"/>
        <v>2.6931010991702642E-2</v>
      </c>
      <c r="G51" s="1"/>
      <c r="H51" s="1">
        <f>SUM(OSRRefH22_4x_0)</f>
        <v>1060</v>
      </c>
      <c r="I51" s="1"/>
      <c r="J51" s="5">
        <f t="shared" si="29"/>
        <v>0.02</v>
      </c>
      <c r="K51" s="1"/>
      <c r="L51" s="1">
        <f t="shared" si="30"/>
        <v>347.34999999999991</v>
      </c>
      <c r="M51" s="1"/>
      <c r="N51" s="5">
        <f t="shared" si="31"/>
        <v>0.32768867924528294</v>
      </c>
      <c r="O51" s="13"/>
      <c r="P51" s="1">
        <f>SUM(OSRRefP22_4x_0)</f>
        <v>14494.36</v>
      </c>
      <c r="Q51" s="1"/>
      <c r="R51" s="5">
        <f t="shared" si="32"/>
        <v>3.1593768374429392E-2</v>
      </c>
      <c r="S51" s="1"/>
      <c r="T51" s="1">
        <f>SUM(OSRRefT22_4x_0)</f>
        <v>11386</v>
      </c>
      <c r="U51" s="1"/>
      <c r="V51" s="5">
        <f t="shared" si="33"/>
        <v>2.1737304314623902E-2</v>
      </c>
      <c r="W51" s="1"/>
      <c r="X51" s="1">
        <f t="shared" si="34"/>
        <v>3108.3600000000006</v>
      </c>
      <c r="Y51" s="1"/>
      <c r="Z51" s="5">
        <f t="shared" si="35"/>
        <v>0.27299841911118922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7">
        <v>1407.35</v>
      </c>
      <c r="E52" s="2"/>
      <c r="F52" s="6">
        <f t="shared" si="28"/>
        <v>2.6931010991702642E-2</v>
      </c>
      <c r="G52" s="2"/>
      <c r="H52" s="7">
        <v>1060</v>
      </c>
      <c r="I52" s="2"/>
      <c r="J52" s="6">
        <f t="shared" si="29"/>
        <v>0.02</v>
      </c>
      <c r="K52" s="2"/>
      <c r="L52" s="7">
        <f t="shared" si="30"/>
        <v>347.34999999999991</v>
      </c>
      <c r="M52" s="2"/>
      <c r="N52" s="6">
        <f t="shared" si="31"/>
        <v>0.32768867924528294</v>
      </c>
      <c r="O52" s="11"/>
      <c r="P52" s="7">
        <v>14494.36</v>
      </c>
      <c r="Q52" s="2"/>
      <c r="R52" s="6">
        <f t="shared" si="32"/>
        <v>3.1593768374429392E-2</v>
      </c>
      <c r="S52" s="2"/>
      <c r="T52" s="7">
        <v>11386</v>
      </c>
      <c r="U52" s="2"/>
      <c r="V52" s="6">
        <f t="shared" si="33"/>
        <v>2.1737304314623902E-2</v>
      </c>
      <c r="W52" s="2"/>
      <c r="X52" s="7">
        <f t="shared" si="34"/>
        <v>3108.3600000000006</v>
      </c>
      <c r="Y52" s="2"/>
      <c r="Z52" s="6">
        <f t="shared" si="35"/>
        <v>0.27299841911118922</v>
      </c>
    </row>
    <row r="53" spans="1:26" s="27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2067.34</v>
      </c>
      <c r="E53" s="1"/>
      <c r="F53" s="5">
        <f t="shared" si="28"/>
        <v>3.9560561525978997E-2</v>
      </c>
      <c r="G53" s="1"/>
      <c r="H53" s="1">
        <f>SUM(OSRRefH22_5x_0)</f>
        <v>2401</v>
      </c>
      <c r="I53" s="1"/>
      <c r="J53" s="5">
        <f t="shared" si="29"/>
        <v>4.5301886792452832E-2</v>
      </c>
      <c r="K53" s="1"/>
      <c r="L53" s="1">
        <f t="shared" si="30"/>
        <v>-333.65999999999985</v>
      </c>
      <c r="M53" s="1"/>
      <c r="N53" s="5">
        <f t="shared" si="31"/>
        <v>-0.13896709704289872</v>
      </c>
      <c r="O53" s="13"/>
      <c r="P53" s="1">
        <f>SUM(OSRRefP22_5x_0)</f>
        <v>12372.63</v>
      </c>
      <c r="Q53" s="1"/>
      <c r="R53" s="5">
        <f t="shared" si="32"/>
        <v>2.6968973200784046E-2</v>
      </c>
      <c r="S53" s="1"/>
      <c r="T53" s="1">
        <f>SUM(OSRRefT22_5x_0)</f>
        <v>15473</v>
      </c>
      <c r="U53" s="1"/>
      <c r="V53" s="5">
        <f t="shared" si="33"/>
        <v>2.9539900725467735E-2</v>
      </c>
      <c r="W53" s="1"/>
      <c r="X53" s="1">
        <f t="shared" si="34"/>
        <v>-3100.3700000000008</v>
      </c>
      <c r="Y53" s="1"/>
      <c r="Z53" s="5">
        <f t="shared" si="35"/>
        <v>-0.20037290764557622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2067.34</v>
      </c>
      <c r="E54" s="2"/>
      <c r="F54" s="6">
        <f t="shared" si="28"/>
        <v>3.9560561525978997E-2</v>
      </c>
      <c r="G54" s="2"/>
      <c r="H54" s="7">
        <v>1674</v>
      </c>
      <c r="I54" s="2"/>
      <c r="J54" s="6">
        <f t="shared" si="29"/>
        <v>3.158490566037736E-2</v>
      </c>
      <c r="K54" s="2"/>
      <c r="L54" s="7">
        <f t="shared" si="30"/>
        <v>393.34000000000015</v>
      </c>
      <c r="M54" s="2"/>
      <c r="N54" s="6">
        <f t="shared" si="31"/>
        <v>0.23497013142174442</v>
      </c>
      <c r="O54" s="11"/>
      <c r="P54" s="7">
        <v>12372.63</v>
      </c>
      <c r="Q54" s="2"/>
      <c r="R54" s="6">
        <f t="shared" si="32"/>
        <v>2.6968973200784046E-2</v>
      </c>
      <c r="S54" s="2"/>
      <c r="T54" s="7">
        <v>11718</v>
      </c>
      <c r="U54" s="2"/>
      <c r="V54" s="6">
        <f t="shared" si="33"/>
        <v>2.2371134020618556E-2</v>
      </c>
      <c r="W54" s="2"/>
      <c r="X54" s="7">
        <f t="shared" si="34"/>
        <v>654.6299999999992</v>
      </c>
      <c r="Y54" s="2"/>
      <c r="Z54" s="6">
        <f t="shared" si="35"/>
        <v>5.5865335381464348E-2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7"/>
      <c r="E55" s="2"/>
      <c r="F55" s="6">
        <f t="shared" si="28"/>
        <v>0</v>
      </c>
      <c r="G55" s="2"/>
      <c r="H55" s="7">
        <v>727</v>
      </c>
      <c r="I55" s="2"/>
      <c r="J55" s="6">
        <f t="shared" si="29"/>
        <v>1.3716981132075472E-2</v>
      </c>
      <c r="K55" s="2"/>
      <c r="L55" s="7">
        <f t="shared" si="30"/>
        <v>-727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3755</v>
      </c>
      <c r="U55" s="2"/>
      <c r="V55" s="6">
        <f t="shared" si="33"/>
        <v>7.1687667048491791E-3</v>
      </c>
      <c r="W55" s="2"/>
      <c r="X55" s="7">
        <f t="shared" si="34"/>
        <v>-3755</v>
      </c>
      <c r="Y55" s="2"/>
      <c r="Z55" s="6">
        <f t="shared" si="35"/>
        <v>-1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84.16</v>
      </c>
      <c r="E56" s="1"/>
      <c r="F56" s="5">
        <f t="shared" ref="F56:F64" si="36">IF(D$12=0,0,D56/D$12)</f>
        <v>1.6104834512109243E-3</v>
      </c>
      <c r="G56" s="1"/>
      <c r="H56" s="1">
        <f>SUM(OSRRefH22_6x_0)</f>
        <v>0</v>
      </c>
      <c r="I56" s="1"/>
      <c r="J56" s="5">
        <f t="shared" ref="J56:J64" si="37">IF(H$12=0,0,H56/H$12)</f>
        <v>0</v>
      </c>
      <c r="K56" s="1"/>
      <c r="L56" s="1">
        <f t="shared" ref="L56:L64" si="38">+D56-H56</f>
        <v>84.16</v>
      </c>
      <c r="M56" s="1"/>
      <c r="N56" s="5">
        <f t="shared" ref="N56:N64" si="39">IF(H56=0,0,L56/H56)</f>
        <v>0</v>
      </c>
      <c r="O56" s="13"/>
      <c r="P56" s="1">
        <f>SUM(OSRRefP22_6x_0)</f>
        <v>236.02</v>
      </c>
      <c r="Q56" s="1"/>
      <c r="R56" s="5">
        <f t="shared" ref="R56:R64" si="40">IF(P$12=0,0,P56/P$12)</f>
        <v>5.1445950091848311E-4</v>
      </c>
      <c r="S56" s="1"/>
      <c r="T56" s="1">
        <f>SUM(OSRRefT22_6x_0)</f>
        <v>240</v>
      </c>
      <c r="U56" s="1"/>
      <c r="V56" s="5">
        <f t="shared" ref="V56:V64" si="41">IF(T$12=0,0,T56/T$12)</f>
        <v>4.5819014891179839E-4</v>
      </c>
      <c r="W56" s="1"/>
      <c r="X56" s="1">
        <f t="shared" ref="X56:X64" si="42">+P56-T56</f>
        <v>-3.9799999999999898</v>
      </c>
      <c r="Y56" s="1"/>
      <c r="Z56" s="5">
        <f t="shared" ref="Z56:Z64" si="43">IF(T56=0,0,X56/T56)</f>
        <v>-1.658333333333329E-2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7">
        <v>84.16</v>
      </c>
      <c r="E57" s="2"/>
      <c r="F57" s="6">
        <f t="shared" si="36"/>
        <v>1.6104834512109243E-3</v>
      </c>
      <c r="G57" s="2"/>
      <c r="H57" s="7"/>
      <c r="I57" s="2"/>
      <c r="J57" s="6">
        <f t="shared" si="37"/>
        <v>0</v>
      </c>
      <c r="K57" s="2"/>
      <c r="L57" s="7">
        <f t="shared" si="38"/>
        <v>84.16</v>
      </c>
      <c r="M57" s="2"/>
      <c r="N57" s="6">
        <f t="shared" si="39"/>
        <v>0</v>
      </c>
      <c r="O57" s="11"/>
      <c r="P57" s="7">
        <v>236.02</v>
      </c>
      <c r="Q57" s="2"/>
      <c r="R57" s="6">
        <f t="shared" si="40"/>
        <v>5.1445950091848311E-4</v>
      </c>
      <c r="S57" s="2"/>
      <c r="T57" s="7">
        <v>240</v>
      </c>
      <c r="U57" s="2"/>
      <c r="V57" s="6">
        <f t="shared" si="41"/>
        <v>4.5819014891179839E-4</v>
      </c>
      <c r="W57" s="2"/>
      <c r="X57" s="7">
        <f t="shared" si="42"/>
        <v>-3.9799999999999898</v>
      </c>
      <c r="Y57" s="2"/>
      <c r="Z57" s="6">
        <f t="shared" si="43"/>
        <v>-1.658333333333329E-2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118.91</v>
      </c>
      <c r="E58" s="1"/>
      <c r="F58" s="5">
        <f t="shared" si="36"/>
        <v>2.2754584979026975E-3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118.91</v>
      </c>
      <c r="M58" s="1"/>
      <c r="N58" s="5">
        <f t="shared" si="39"/>
        <v>0</v>
      </c>
      <c r="O58" s="13"/>
      <c r="P58" s="1">
        <f>SUM(OSRRefP22_7x_0)</f>
        <v>832.37</v>
      </c>
      <c r="Q58" s="1"/>
      <c r="R58" s="5">
        <f t="shared" si="40"/>
        <v>1.8143405422401395E-3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832.37</v>
      </c>
      <c r="Y58" s="1"/>
      <c r="Z58" s="5">
        <f t="shared" si="43"/>
        <v>0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7">
        <v>118.91</v>
      </c>
      <c r="E59" s="2"/>
      <c r="F59" s="6">
        <f t="shared" si="36"/>
        <v>2.2754584979026975E-3</v>
      </c>
      <c r="G59" s="2"/>
      <c r="H59" s="7"/>
      <c r="I59" s="2"/>
      <c r="J59" s="6">
        <f t="shared" si="37"/>
        <v>0</v>
      </c>
      <c r="K59" s="2"/>
      <c r="L59" s="7">
        <f t="shared" si="38"/>
        <v>118.91</v>
      </c>
      <c r="M59" s="2"/>
      <c r="N59" s="6">
        <f t="shared" si="39"/>
        <v>0</v>
      </c>
      <c r="O59" s="11"/>
      <c r="P59" s="7">
        <v>832.37</v>
      </c>
      <c r="Q59" s="2"/>
      <c r="R59" s="6">
        <f t="shared" si="40"/>
        <v>1.8143405422401395E-3</v>
      </c>
      <c r="S59" s="2"/>
      <c r="T59" s="7"/>
      <c r="U59" s="2"/>
      <c r="V59" s="6">
        <f t="shared" si="41"/>
        <v>0</v>
      </c>
      <c r="W59" s="2"/>
      <c r="X59" s="7">
        <f t="shared" si="42"/>
        <v>832.37</v>
      </c>
      <c r="Y59" s="2"/>
      <c r="Z59" s="6">
        <f t="shared" si="43"/>
        <v>0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1098.72</v>
      </c>
      <c r="E60" s="1"/>
      <c r="F60" s="5">
        <f t="shared" si="36"/>
        <v>2.1025075778451367E-2</v>
      </c>
      <c r="G60" s="1"/>
      <c r="H60" s="1">
        <f>SUM(OSRRefH22_8x_0)</f>
        <v>700</v>
      </c>
      <c r="I60" s="1"/>
      <c r="J60" s="5">
        <f t="shared" si="37"/>
        <v>1.3207547169811321E-2</v>
      </c>
      <c r="K60" s="1"/>
      <c r="L60" s="1">
        <f t="shared" si="38"/>
        <v>398.72</v>
      </c>
      <c r="M60" s="1"/>
      <c r="N60" s="5">
        <f t="shared" si="39"/>
        <v>0.5696</v>
      </c>
      <c r="O60" s="13"/>
      <c r="P60" s="1">
        <f>SUM(OSRRefP22_8x_0)</f>
        <v>7237.23</v>
      </c>
      <c r="Q60" s="1"/>
      <c r="R60" s="5">
        <f t="shared" si="40"/>
        <v>1.5775195889468151E-2</v>
      </c>
      <c r="S60" s="1"/>
      <c r="T60" s="1">
        <f>SUM(OSRRefT22_8x_0)</f>
        <v>7400</v>
      </c>
      <c r="U60" s="1"/>
      <c r="V60" s="5">
        <f t="shared" si="41"/>
        <v>1.4127529591447117E-2</v>
      </c>
      <c r="W60" s="1"/>
      <c r="X60" s="1">
        <f t="shared" si="42"/>
        <v>-162.77000000000044</v>
      </c>
      <c r="Y60" s="1"/>
      <c r="Z60" s="5">
        <f t="shared" si="43"/>
        <v>-2.1995945945946005E-2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7">
        <v>1098.72</v>
      </c>
      <c r="E61" s="2"/>
      <c r="F61" s="6">
        <f t="shared" si="36"/>
        <v>2.1025075778451367E-2</v>
      </c>
      <c r="G61" s="2"/>
      <c r="H61" s="7">
        <v>700</v>
      </c>
      <c r="I61" s="2"/>
      <c r="J61" s="6">
        <f t="shared" si="37"/>
        <v>1.3207547169811321E-2</v>
      </c>
      <c r="K61" s="2"/>
      <c r="L61" s="7">
        <f t="shared" si="38"/>
        <v>398.72</v>
      </c>
      <c r="M61" s="2"/>
      <c r="N61" s="6">
        <f t="shared" si="39"/>
        <v>0.5696</v>
      </c>
      <c r="O61" s="11"/>
      <c r="P61" s="7">
        <v>7237.23</v>
      </c>
      <c r="Q61" s="2"/>
      <c r="R61" s="6">
        <f t="shared" si="40"/>
        <v>1.5775195889468151E-2</v>
      </c>
      <c r="S61" s="2"/>
      <c r="T61" s="7">
        <v>7400</v>
      </c>
      <c r="U61" s="2"/>
      <c r="V61" s="6">
        <f t="shared" si="41"/>
        <v>1.4127529591447117E-2</v>
      </c>
      <c r="W61" s="2"/>
      <c r="X61" s="7">
        <f t="shared" si="42"/>
        <v>-162.77000000000044</v>
      </c>
      <c r="Y61" s="2"/>
      <c r="Z61" s="6">
        <f t="shared" si="43"/>
        <v>-2.1995945945946005E-2</v>
      </c>
    </row>
    <row r="62" spans="1:26" s="27" customFormat="1" outlineLevel="1" collapsed="1" x14ac:dyDescent="0.25">
      <c r="A62" s="26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1017.43</v>
      </c>
      <c r="E62" s="1"/>
      <c r="F62" s="5">
        <f t="shared" si="36"/>
        <v>1.9469512568506781E-2</v>
      </c>
      <c r="G62" s="1"/>
      <c r="H62" s="1">
        <f>SUM(OSRRefH22_9x_0)</f>
        <v>400</v>
      </c>
      <c r="I62" s="1"/>
      <c r="J62" s="5">
        <f t="shared" si="37"/>
        <v>7.5471698113207548E-3</v>
      </c>
      <c r="K62" s="1"/>
      <c r="L62" s="1">
        <f t="shared" si="38"/>
        <v>617.42999999999995</v>
      </c>
      <c r="M62" s="1"/>
      <c r="N62" s="5">
        <f t="shared" si="39"/>
        <v>1.5435749999999999</v>
      </c>
      <c r="O62" s="13"/>
      <c r="P62" s="1">
        <f>SUM(OSRRefP22_9x_0)</f>
        <v>5422.34</v>
      </c>
      <c r="Q62" s="1"/>
      <c r="R62" s="5">
        <f t="shared" si="40"/>
        <v>1.1819228583214676E-2</v>
      </c>
      <c r="S62" s="1"/>
      <c r="T62" s="1">
        <f>SUM(OSRRefT22_9x_0)</f>
        <v>3000</v>
      </c>
      <c r="U62" s="1"/>
      <c r="V62" s="5">
        <f t="shared" si="41"/>
        <v>5.7273768613974796E-3</v>
      </c>
      <c r="W62" s="1"/>
      <c r="X62" s="1">
        <f t="shared" si="42"/>
        <v>2422.34</v>
      </c>
      <c r="Y62" s="1"/>
      <c r="Z62" s="5">
        <f t="shared" si="43"/>
        <v>0.80744666666666676</v>
      </c>
    </row>
    <row r="63" spans="1:26" s="24" customFormat="1" hidden="1" outlineLevel="2" x14ac:dyDescent="0.25">
      <c r="A63" s="25"/>
      <c r="B63" s="11" t="str">
        <f>CONCATENATE("          ", "6373", " - ", "MAINTENANCE CONTRACTS")</f>
        <v xml:space="preserve">          6373 - MAINTENANCE CONTRACTS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240.39</v>
      </c>
      <c r="Q63" s="2"/>
      <c r="R63" s="6">
        <f t="shared" si="40"/>
        <v>5.2398491409962771E-4</v>
      </c>
      <c r="S63" s="2"/>
      <c r="T63" s="7"/>
      <c r="U63" s="2"/>
      <c r="V63" s="6">
        <f t="shared" si="41"/>
        <v>0</v>
      </c>
      <c r="W63" s="2"/>
      <c r="X63" s="7">
        <f t="shared" si="42"/>
        <v>240.39</v>
      </c>
      <c r="Y63" s="2"/>
      <c r="Z63" s="6">
        <f t="shared" si="43"/>
        <v>0</v>
      </c>
    </row>
    <row r="64" spans="1:26" s="24" customFormat="1" hidden="1" outlineLevel="2" x14ac:dyDescent="0.25">
      <c r="A64" s="25"/>
      <c r="B64" s="11" t="str">
        <f>CONCATENATE("          ", "6375", " - ", "OUTSIDE REPAIRS &amp; MAINTENANCE")</f>
        <v xml:space="preserve">          6375 - OUTSIDE REPAIRS &amp; MAINTENANCE</v>
      </c>
      <c r="C64" s="11"/>
      <c r="D64" s="7">
        <v>1017.43</v>
      </c>
      <c r="E64" s="2"/>
      <c r="F64" s="6">
        <f t="shared" si="36"/>
        <v>1.9469512568506781E-2</v>
      </c>
      <c r="G64" s="2"/>
      <c r="H64" s="7">
        <v>400</v>
      </c>
      <c r="I64" s="2"/>
      <c r="J64" s="6">
        <f t="shared" si="37"/>
        <v>7.5471698113207548E-3</v>
      </c>
      <c r="K64" s="2"/>
      <c r="L64" s="7">
        <f t="shared" si="38"/>
        <v>617.42999999999995</v>
      </c>
      <c r="M64" s="2"/>
      <c r="N64" s="6">
        <f t="shared" si="39"/>
        <v>1.5435749999999999</v>
      </c>
      <c r="O64" s="11"/>
      <c r="P64" s="7">
        <v>5181.95</v>
      </c>
      <c r="Q64" s="2"/>
      <c r="R64" s="6">
        <f t="shared" si="40"/>
        <v>1.1295243669115046E-2</v>
      </c>
      <c r="S64" s="2"/>
      <c r="T64" s="7">
        <v>3000</v>
      </c>
      <c r="U64" s="2"/>
      <c r="V64" s="6">
        <f t="shared" si="41"/>
        <v>5.7273768613974796E-3</v>
      </c>
      <c r="W64" s="2"/>
      <c r="X64" s="7">
        <f t="shared" si="42"/>
        <v>2181.9499999999998</v>
      </c>
      <c r="Y64" s="2"/>
      <c r="Z64" s="6">
        <f t="shared" si="43"/>
        <v>0.72731666666666661</v>
      </c>
    </row>
    <row r="65" spans="1:26" s="27" customFormat="1" outlineLevel="1" collapsed="1" x14ac:dyDescent="0.25">
      <c r="A65" s="26"/>
      <c r="B65" s="13" t="str">
        <f>CONCATENATE("     ","Royalty &amp; Commissions                             ")</f>
        <v xml:space="preserve">     Royalty &amp; Commissions                             </v>
      </c>
      <c r="C65" s="13"/>
      <c r="D65" s="1">
        <f>SUM(OSRRefD22_10x_0)</f>
        <v>4180.6400000000003</v>
      </c>
      <c r="E65" s="1"/>
      <c r="F65" s="5">
        <f t="shared" ref="F65:F78" si="44">IF(D$12=0,0,D65/D$12)</f>
        <v>8.0000612351122144E-2</v>
      </c>
      <c r="G65" s="1"/>
      <c r="H65" s="1">
        <f>SUM(OSRRefH22_10x_0)</f>
        <v>4240</v>
      </c>
      <c r="I65" s="1"/>
      <c r="J65" s="5">
        <f t="shared" ref="J65:J78" si="45">IF(H$12=0,0,H65/H$12)</f>
        <v>0.08</v>
      </c>
      <c r="K65" s="1"/>
      <c r="L65" s="1">
        <f t="shared" ref="L65:L78" si="46">+D65-H65</f>
        <v>-59.359999999999673</v>
      </c>
      <c r="M65" s="1"/>
      <c r="N65" s="5">
        <f t="shared" ref="N65:N78" si="47">IF(H65=0,0,L65/H65)</f>
        <v>-1.3999999999999922E-2</v>
      </c>
      <c r="O65" s="13"/>
      <c r="P65" s="1">
        <f>SUM(OSRRefP22_10x_0)</f>
        <v>33482</v>
      </c>
      <c r="Q65" s="1"/>
      <c r="R65" s="5">
        <f t="shared" ref="R65:R78" si="48">IF(P$12=0,0,P65/P$12)</f>
        <v>7.2981666849218918E-2</v>
      </c>
      <c r="S65" s="1"/>
      <c r="T65" s="1">
        <f>SUM(OSRRefT22_10x_0)</f>
        <v>39920</v>
      </c>
      <c r="U65" s="1"/>
      <c r="V65" s="5">
        <f t="shared" ref="V65:V78" si="49">IF(T$12=0,0,T65/T$12)</f>
        <v>7.6212294768995797E-2</v>
      </c>
      <c r="W65" s="1"/>
      <c r="X65" s="1">
        <f t="shared" ref="X65:X78" si="50">+P65-T65</f>
        <v>-6438</v>
      </c>
      <c r="Y65" s="1"/>
      <c r="Z65" s="5">
        <f t="shared" ref="Z65:Z78" si="51">IF(T65=0,0,X65/T65)</f>
        <v>-0.16127254509018035</v>
      </c>
    </row>
    <row r="66" spans="1:26" s="24" customFormat="1" hidden="1" outlineLevel="2" x14ac:dyDescent="0.25">
      <c r="A66" s="25"/>
      <c r="B66" s="11" t="str">
        <f>CONCATENATE("          ", "6259", " - ", "ROYALTY &amp; COMMISSIONS")</f>
        <v xml:space="preserve">          6259 - ROYALTY &amp; COMMISSIONS</v>
      </c>
      <c r="C66" s="11"/>
      <c r="D66" s="7">
        <v>4180.6400000000003</v>
      </c>
      <c r="E66" s="2"/>
      <c r="F66" s="6">
        <f t="shared" si="44"/>
        <v>8.0000612351122144E-2</v>
      </c>
      <c r="G66" s="2"/>
      <c r="H66" s="7">
        <v>4240</v>
      </c>
      <c r="I66" s="2"/>
      <c r="J66" s="6">
        <f t="shared" si="45"/>
        <v>0.08</v>
      </c>
      <c r="K66" s="2"/>
      <c r="L66" s="7">
        <f t="shared" si="46"/>
        <v>-59.359999999999673</v>
      </c>
      <c r="M66" s="2"/>
      <c r="N66" s="6">
        <f t="shared" si="47"/>
        <v>-1.3999999999999922E-2</v>
      </c>
      <c r="O66" s="11"/>
      <c r="P66" s="7">
        <v>33482</v>
      </c>
      <c r="Q66" s="2"/>
      <c r="R66" s="6">
        <f t="shared" si="48"/>
        <v>7.2981666849218918E-2</v>
      </c>
      <c r="S66" s="2"/>
      <c r="T66" s="7">
        <v>39920</v>
      </c>
      <c r="U66" s="2"/>
      <c r="V66" s="6">
        <f t="shared" si="49"/>
        <v>7.6212294768995797E-2</v>
      </c>
      <c r="W66" s="2"/>
      <c r="X66" s="7">
        <f t="shared" si="50"/>
        <v>-6438</v>
      </c>
      <c r="Y66" s="2"/>
      <c r="Z66" s="6">
        <f t="shared" si="51"/>
        <v>-0.16127254509018035</v>
      </c>
    </row>
    <row r="67" spans="1:26" s="27" customFormat="1" outlineLevel="1" collapsed="1" x14ac:dyDescent="0.25">
      <c r="A67" s="26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SUM(OSRRefD22_11x_0)</f>
        <v>81.25</v>
      </c>
      <c r="E67" s="1"/>
      <c r="F67" s="5">
        <f t="shared" si="44"/>
        <v>1.5547977710419156E-3</v>
      </c>
      <c r="G67" s="1"/>
      <c r="H67" s="1">
        <f>SUM(OSRRefH22_11x_0)</f>
        <v>120</v>
      </c>
      <c r="I67" s="1"/>
      <c r="J67" s="5">
        <f t="shared" si="45"/>
        <v>2.2641509433962265E-3</v>
      </c>
      <c r="K67" s="1"/>
      <c r="L67" s="1">
        <f t="shared" si="46"/>
        <v>-38.75</v>
      </c>
      <c r="M67" s="1"/>
      <c r="N67" s="5">
        <f t="shared" si="47"/>
        <v>-0.32291666666666669</v>
      </c>
      <c r="O67" s="13"/>
      <c r="P67" s="1">
        <f>SUM(OSRRefP22_11x_0)</f>
        <v>411.1</v>
      </c>
      <c r="Q67" s="1"/>
      <c r="R67" s="5">
        <f t="shared" si="48"/>
        <v>8.9608635212095754E-4</v>
      </c>
      <c r="S67" s="1"/>
      <c r="T67" s="1">
        <f>SUM(OSRRefT22_11x_0)</f>
        <v>840</v>
      </c>
      <c r="U67" s="1"/>
      <c r="V67" s="5">
        <f t="shared" si="49"/>
        <v>1.6036655211912943E-3</v>
      </c>
      <c r="W67" s="1"/>
      <c r="X67" s="1">
        <f t="shared" si="50"/>
        <v>-428.9</v>
      </c>
      <c r="Y67" s="1"/>
      <c r="Z67" s="5">
        <f t="shared" si="51"/>
        <v>-0.5105952380952381</v>
      </c>
    </row>
    <row r="68" spans="1:26" s="24" customFormat="1" hidden="1" outlineLevel="2" x14ac:dyDescent="0.25">
      <c r="A68" s="25"/>
      <c r="B68" s="11" t="str">
        <f>CONCATENATE("          ", "6286", " - ", "LAUNDRY EXPENSE")</f>
        <v xml:space="preserve">          6286 - LAUNDRY EXPENSE</v>
      </c>
      <c r="C68" s="11"/>
      <c r="D68" s="7">
        <v>81.25</v>
      </c>
      <c r="E68" s="2"/>
      <c r="F68" s="6">
        <f t="shared" si="44"/>
        <v>1.5547977710419156E-3</v>
      </c>
      <c r="G68" s="2"/>
      <c r="H68" s="7">
        <v>120</v>
      </c>
      <c r="I68" s="2"/>
      <c r="J68" s="6">
        <f t="shared" si="45"/>
        <v>2.2641509433962265E-3</v>
      </c>
      <c r="K68" s="2"/>
      <c r="L68" s="7">
        <f t="shared" si="46"/>
        <v>-38.75</v>
      </c>
      <c r="M68" s="2"/>
      <c r="N68" s="6">
        <f t="shared" si="47"/>
        <v>-0.32291666666666669</v>
      </c>
      <c r="O68" s="11"/>
      <c r="P68" s="7">
        <v>411.1</v>
      </c>
      <c r="Q68" s="2"/>
      <c r="R68" s="6">
        <f t="shared" si="48"/>
        <v>8.9608635212095754E-4</v>
      </c>
      <c r="S68" s="2"/>
      <c r="T68" s="7">
        <v>840</v>
      </c>
      <c r="U68" s="2"/>
      <c r="V68" s="6">
        <f t="shared" si="49"/>
        <v>1.6036655211912943E-3</v>
      </c>
      <c r="W68" s="2"/>
      <c r="X68" s="7">
        <f t="shared" si="50"/>
        <v>-428.9</v>
      </c>
      <c r="Y68" s="2"/>
      <c r="Z68" s="6">
        <f t="shared" si="51"/>
        <v>-0.5105952380952381</v>
      </c>
    </row>
    <row r="69" spans="1:26" s="27" customFormat="1" outlineLevel="1" collapsed="1" x14ac:dyDescent="0.25">
      <c r="A69" s="26"/>
      <c r="B69" s="13" t="str">
        <f>CONCATENATE("     ","Subscriptions &amp; Dues                              ")</f>
        <v xml:space="preserve">     Subscriptions &amp; Dues                              </v>
      </c>
      <c r="C69" s="13"/>
      <c r="D69" s="1">
        <f>SUM(OSRRefD22_12x_0)</f>
        <v>30.68</v>
      </c>
      <c r="E69" s="1"/>
      <c r="F69" s="5">
        <f t="shared" si="44"/>
        <v>5.8709163834542728E-4</v>
      </c>
      <c r="G69" s="1"/>
      <c r="H69" s="1">
        <f>SUM(OSRRefH22_12x_0)</f>
        <v>0</v>
      </c>
      <c r="I69" s="1"/>
      <c r="J69" s="5">
        <f t="shared" si="45"/>
        <v>0</v>
      </c>
      <c r="K69" s="1"/>
      <c r="L69" s="1">
        <f t="shared" si="46"/>
        <v>30.68</v>
      </c>
      <c r="M69" s="1"/>
      <c r="N69" s="5">
        <f t="shared" si="47"/>
        <v>0</v>
      </c>
      <c r="O69" s="13"/>
      <c r="P69" s="1">
        <f>SUM(OSRRefP22_12x_0)</f>
        <v>122.72</v>
      </c>
      <c r="Q69" s="1"/>
      <c r="R69" s="5">
        <f t="shared" si="48"/>
        <v>2.6749627130207709E-4</v>
      </c>
      <c r="S69" s="1"/>
      <c r="T69" s="1">
        <f>SUM(OSRRefT22_12x_0)</f>
        <v>0</v>
      </c>
      <c r="U69" s="1"/>
      <c r="V69" s="5">
        <f t="shared" si="49"/>
        <v>0</v>
      </c>
      <c r="W69" s="1"/>
      <c r="X69" s="1">
        <f t="shared" si="50"/>
        <v>122.72</v>
      </c>
      <c r="Y69" s="1"/>
      <c r="Z69" s="5">
        <f t="shared" si="51"/>
        <v>0</v>
      </c>
    </row>
    <row r="70" spans="1:26" s="24" customFormat="1" hidden="1" outlineLevel="2" x14ac:dyDescent="0.25">
      <c r="A70" s="25"/>
      <c r="B70" s="11" t="str">
        <f>CONCATENATE("          ", "6275", " - ", "SUBSCRIPTIONS")</f>
        <v xml:space="preserve">          6275 - SUBSCRIPTIONS</v>
      </c>
      <c r="C70" s="11"/>
      <c r="D70" s="7">
        <v>30.68</v>
      </c>
      <c r="E70" s="2"/>
      <c r="F70" s="6">
        <f t="shared" si="44"/>
        <v>5.8709163834542728E-4</v>
      </c>
      <c r="G70" s="2"/>
      <c r="H70" s="7"/>
      <c r="I70" s="2"/>
      <c r="J70" s="6">
        <f t="shared" si="45"/>
        <v>0</v>
      </c>
      <c r="K70" s="2"/>
      <c r="L70" s="7">
        <f t="shared" si="46"/>
        <v>30.68</v>
      </c>
      <c r="M70" s="2"/>
      <c r="N70" s="6">
        <f t="shared" si="47"/>
        <v>0</v>
      </c>
      <c r="O70" s="11"/>
      <c r="P70" s="7">
        <v>122.72</v>
      </c>
      <c r="Q70" s="2"/>
      <c r="R70" s="6">
        <f t="shared" si="48"/>
        <v>2.6749627130207709E-4</v>
      </c>
      <c r="S70" s="2"/>
      <c r="T70" s="7"/>
      <c r="U70" s="2"/>
      <c r="V70" s="6">
        <f t="shared" si="49"/>
        <v>0</v>
      </c>
      <c r="W70" s="2"/>
      <c r="X70" s="7">
        <f t="shared" si="50"/>
        <v>122.72</v>
      </c>
      <c r="Y70" s="2"/>
      <c r="Z70" s="6">
        <f t="shared" si="51"/>
        <v>0</v>
      </c>
    </row>
    <row r="71" spans="1:26" s="27" customFormat="1" outlineLevel="1" collapsed="1" x14ac:dyDescent="0.25">
      <c r="A71" s="26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SUM(OSRRefD22_13x_0)</f>
        <v>1093.06</v>
      </c>
      <c r="E71" s="1"/>
      <c r="F71" s="5">
        <f t="shared" si="44"/>
        <v>2.0916766173724014E-2</v>
      </c>
      <c r="G71" s="1"/>
      <c r="H71" s="1">
        <f>SUM(OSRRefH22_13x_0)</f>
        <v>2990</v>
      </c>
      <c r="I71" s="1"/>
      <c r="J71" s="5">
        <f t="shared" si="45"/>
        <v>5.6415094339622641E-2</v>
      </c>
      <c r="K71" s="1"/>
      <c r="L71" s="1">
        <f t="shared" si="46"/>
        <v>-1896.94</v>
      </c>
      <c r="M71" s="1"/>
      <c r="N71" s="5">
        <f t="shared" si="47"/>
        <v>-0.63442809364548491</v>
      </c>
      <c r="O71" s="13"/>
      <c r="P71" s="1">
        <f>SUM(OSRRefP22_13x_0)</f>
        <v>8711.5999999999985</v>
      </c>
      <c r="Q71" s="1"/>
      <c r="R71" s="5">
        <f t="shared" si="48"/>
        <v>1.8988922075254031E-2</v>
      </c>
      <c r="S71" s="1"/>
      <c r="T71" s="1">
        <f>SUM(OSRRefT22_13x_0)</f>
        <v>9966</v>
      </c>
      <c r="U71" s="1"/>
      <c r="V71" s="5">
        <f t="shared" si="49"/>
        <v>1.9026345933562429E-2</v>
      </c>
      <c r="W71" s="1"/>
      <c r="X71" s="1">
        <f t="shared" si="50"/>
        <v>-1254.4000000000015</v>
      </c>
      <c r="Y71" s="1"/>
      <c r="Z71" s="5">
        <f t="shared" si="51"/>
        <v>-0.12586795103351409</v>
      </c>
    </row>
    <row r="72" spans="1:26" s="24" customFormat="1" hidden="1" outlineLevel="2" x14ac:dyDescent="0.25">
      <c r="A72" s="25"/>
      <c r="B72" s="11" t="str">
        <f>CONCATENATE("          ", "6237", " - ", "JANITORIAL SUPPLIES")</f>
        <v xml:space="preserve">          6237 - JANITORIAL SUPPLIES</v>
      </c>
      <c r="C72" s="11"/>
      <c r="D72" s="7">
        <v>38</v>
      </c>
      <c r="E72" s="2"/>
      <c r="F72" s="6">
        <f t="shared" si="44"/>
        <v>7.2716695753344968E-4</v>
      </c>
      <c r="G72" s="2"/>
      <c r="H72" s="7"/>
      <c r="I72" s="2"/>
      <c r="J72" s="6">
        <f t="shared" si="45"/>
        <v>0</v>
      </c>
      <c r="K72" s="2"/>
      <c r="L72" s="7">
        <f t="shared" si="46"/>
        <v>38</v>
      </c>
      <c r="M72" s="2"/>
      <c r="N72" s="6">
        <f t="shared" si="47"/>
        <v>0</v>
      </c>
      <c r="O72" s="11"/>
      <c r="P72" s="7">
        <v>236.84</v>
      </c>
      <c r="Q72" s="2"/>
      <c r="R72" s="6">
        <f t="shared" si="48"/>
        <v>5.1624687822020819E-4</v>
      </c>
      <c r="S72" s="2"/>
      <c r="T72" s="7"/>
      <c r="U72" s="2"/>
      <c r="V72" s="6">
        <f t="shared" si="49"/>
        <v>0</v>
      </c>
      <c r="W72" s="2"/>
      <c r="X72" s="7">
        <f t="shared" si="50"/>
        <v>236.84</v>
      </c>
      <c r="Y72" s="2"/>
      <c r="Z72" s="6">
        <f t="shared" si="51"/>
        <v>0</v>
      </c>
    </row>
    <row r="73" spans="1:26" s="24" customFormat="1" hidden="1" outlineLevel="2" x14ac:dyDescent="0.25">
      <c r="A73" s="25"/>
      <c r="B73" s="11" t="str">
        <f>CONCATENATE("          ", "6239", " - ", "KITCHEN SUPPLIES")</f>
        <v xml:space="preserve">          6239 - KITCHEN SUPPLIES</v>
      </c>
      <c r="C73" s="11"/>
      <c r="D73" s="7">
        <v>9.06</v>
      </c>
      <c r="E73" s="2"/>
      <c r="F73" s="6">
        <f t="shared" si="44"/>
        <v>1.7337191145402775E-4</v>
      </c>
      <c r="G73" s="2"/>
      <c r="H73" s="7">
        <v>2380</v>
      </c>
      <c r="I73" s="2"/>
      <c r="J73" s="6">
        <f t="shared" si="45"/>
        <v>4.4905660377358492E-2</v>
      </c>
      <c r="K73" s="2"/>
      <c r="L73" s="7">
        <f t="shared" si="46"/>
        <v>-2370.94</v>
      </c>
      <c r="M73" s="2"/>
      <c r="N73" s="6">
        <f t="shared" si="47"/>
        <v>-0.99619327731092444</v>
      </c>
      <c r="O73" s="11"/>
      <c r="P73" s="7">
        <v>1899.31</v>
      </c>
      <c r="Q73" s="2"/>
      <c r="R73" s="6">
        <f t="shared" si="48"/>
        <v>4.1399799791944922E-3</v>
      </c>
      <c r="S73" s="2"/>
      <c r="T73" s="7">
        <v>6856</v>
      </c>
      <c r="U73" s="2"/>
      <c r="V73" s="6">
        <f t="shared" si="49"/>
        <v>1.3088965253913707E-2</v>
      </c>
      <c r="W73" s="2"/>
      <c r="X73" s="7">
        <f t="shared" si="50"/>
        <v>-4956.6900000000005</v>
      </c>
      <c r="Y73" s="2"/>
      <c r="Z73" s="6">
        <f t="shared" si="51"/>
        <v>-0.72297112018669785</v>
      </c>
    </row>
    <row r="74" spans="1:26" s="24" customFormat="1" hidden="1" outlineLevel="2" x14ac:dyDescent="0.25">
      <c r="A74" s="25"/>
      <c r="B74" s="11" t="str">
        <f>CONCATENATE("          ", "6241", " - ", "OFFICE EXPENSE")</f>
        <v xml:space="preserve">          6241 - OFFICE EXPENSE</v>
      </c>
      <c r="C74" s="11"/>
      <c r="D74" s="7">
        <v>122.87</v>
      </c>
      <c r="E74" s="2"/>
      <c r="F74" s="6">
        <f t="shared" si="44"/>
        <v>2.3512369492667095E-3</v>
      </c>
      <c r="G74" s="2"/>
      <c r="H74" s="7">
        <v>20</v>
      </c>
      <c r="I74" s="2"/>
      <c r="J74" s="6">
        <f t="shared" si="45"/>
        <v>3.7735849056603772E-4</v>
      </c>
      <c r="K74" s="2"/>
      <c r="L74" s="7">
        <f t="shared" si="46"/>
        <v>102.87</v>
      </c>
      <c r="M74" s="2"/>
      <c r="N74" s="6">
        <f t="shared" si="47"/>
        <v>5.1435000000000004</v>
      </c>
      <c r="O74" s="11"/>
      <c r="P74" s="7">
        <v>1499.6</v>
      </c>
      <c r="Q74" s="2"/>
      <c r="R74" s="6">
        <f t="shared" si="48"/>
        <v>3.2687207337401794E-3</v>
      </c>
      <c r="S74" s="2"/>
      <c r="T74" s="7">
        <v>140</v>
      </c>
      <c r="U74" s="2"/>
      <c r="V74" s="6">
        <f t="shared" si="49"/>
        <v>2.6727758686521572E-4</v>
      </c>
      <c r="W74" s="2"/>
      <c r="X74" s="7">
        <f t="shared" si="50"/>
        <v>1359.6</v>
      </c>
      <c r="Y74" s="2"/>
      <c r="Z74" s="6">
        <f t="shared" si="51"/>
        <v>9.71142857142857</v>
      </c>
    </row>
    <row r="75" spans="1:26" s="24" customFormat="1" hidden="1" outlineLevel="2" x14ac:dyDescent="0.25">
      <c r="A75" s="25"/>
      <c r="B75" s="11" t="str">
        <f>CONCATENATE("          ", "6243", " - ", "PAPER SUPPLIES")</f>
        <v xml:space="preserve">          6243 - PAPER SUPPLIES</v>
      </c>
      <c r="C75" s="11"/>
      <c r="D75" s="7">
        <v>838.92</v>
      </c>
      <c r="E75" s="2"/>
      <c r="F75" s="6">
        <f t="shared" si="44"/>
        <v>1.6053550105630567E-2</v>
      </c>
      <c r="G75" s="2"/>
      <c r="H75" s="7">
        <v>590</v>
      </c>
      <c r="I75" s="2"/>
      <c r="J75" s="6">
        <f t="shared" si="45"/>
        <v>1.1132075471698113E-2</v>
      </c>
      <c r="K75" s="2"/>
      <c r="L75" s="7">
        <f t="shared" si="46"/>
        <v>248.91999999999996</v>
      </c>
      <c r="M75" s="2"/>
      <c r="N75" s="6">
        <f t="shared" si="47"/>
        <v>0.42189830508474568</v>
      </c>
      <c r="O75" s="11"/>
      <c r="P75" s="7">
        <v>3484.15</v>
      </c>
      <c r="Q75" s="2"/>
      <c r="R75" s="6">
        <f t="shared" si="48"/>
        <v>7.5945007631774124E-3</v>
      </c>
      <c r="S75" s="2"/>
      <c r="T75" s="7">
        <v>2970</v>
      </c>
      <c r="U75" s="2"/>
      <c r="V75" s="6">
        <f t="shared" si="49"/>
        <v>5.670103092783505E-3</v>
      </c>
      <c r="W75" s="2"/>
      <c r="X75" s="7">
        <f t="shared" si="50"/>
        <v>514.15000000000009</v>
      </c>
      <c r="Y75" s="2"/>
      <c r="Z75" s="6">
        <f t="shared" si="51"/>
        <v>0.17311447811447814</v>
      </c>
    </row>
    <row r="76" spans="1:26" s="24" customFormat="1" hidden="1" outlineLevel="2" x14ac:dyDescent="0.25">
      <c r="A76" s="25"/>
      <c r="B76" s="11" t="str">
        <f>CONCATENATE("          ", "6245", " - ", "PRINTING")</f>
        <v xml:space="preserve">          6245 - PRINTING</v>
      </c>
      <c r="C76" s="11"/>
      <c r="D76" s="7"/>
      <c r="E76" s="2"/>
      <c r="F76" s="6">
        <f t="shared" si="44"/>
        <v>0</v>
      </c>
      <c r="G76" s="2"/>
      <c r="H76" s="7"/>
      <c r="I76" s="2"/>
      <c r="J76" s="6">
        <f t="shared" si="45"/>
        <v>0</v>
      </c>
      <c r="K76" s="2"/>
      <c r="L76" s="7">
        <f t="shared" si="46"/>
        <v>0</v>
      </c>
      <c r="M76" s="2"/>
      <c r="N76" s="6">
        <f t="shared" si="47"/>
        <v>0</v>
      </c>
      <c r="O76" s="11"/>
      <c r="P76" s="7">
        <v>181.92</v>
      </c>
      <c r="Q76" s="2"/>
      <c r="R76" s="6">
        <f t="shared" si="48"/>
        <v>3.9653619357296176E-4</v>
      </c>
      <c r="S76" s="2"/>
      <c r="T76" s="7"/>
      <c r="U76" s="2"/>
      <c r="V76" s="6">
        <f t="shared" si="49"/>
        <v>0</v>
      </c>
      <c r="W76" s="2"/>
      <c r="X76" s="7">
        <f t="shared" si="50"/>
        <v>181.92</v>
      </c>
      <c r="Y76" s="2"/>
      <c r="Z76" s="6">
        <f t="shared" si="51"/>
        <v>0</v>
      </c>
    </row>
    <row r="77" spans="1:26" s="24" customFormat="1" hidden="1" outlineLevel="2" x14ac:dyDescent="0.25">
      <c r="A77" s="25"/>
      <c r="B77" s="11" t="str">
        <f>CONCATENATE("          ", "6247", " - ", "STORE SUPPLIES")</f>
        <v xml:space="preserve">          6247 - STORE SUPPLIES</v>
      </c>
      <c r="C77" s="11"/>
      <c r="D77" s="7">
        <v>51.02</v>
      </c>
      <c r="E77" s="2"/>
      <c r="F77" s="6">
        <f t="shared" si="44"/>
        <v>9.7631732035148968E-4</v>
      </c>
      <c r="G77" s="2"/>
      <c r="H77" s="7"/>
      <c r="I77" s="2"/>
      <c r="J77" s="6">
        <f t="shared" si="45"/>
        <v>0</v>
      </c>
      <c r="K77" s="2"/>
      <c r="L77" s="7">
        <f t="shared" si="46"/>
        <v>51.02</v>
      </c>
      <c r="M77" s="2"/>
      <c r="N77" s="6">
        <f t="shared" si="47"/>
        <v>0</v>
      </c>
      <c r="O77" s="11"/>
      <c r="P77" s="7">
        <v>1262.81</v>
      </c>
      <c r="Q77" s="2"/>
      <c r="R77" s="6">
        <f t="shared" si="48"/>
        <v>2.7525828419408082E-3</v>
      </c>
      <c r="S77" s="2"/>
      <c r="T77" s="7"/>
      <c r="U77" s="2"/>
      <c r="V77" s="6">
        <f t="shared" si="49"/>
        <v>0</v>
      </c>
      <c r="W77" s="2"/>
      <c r="X77" s="7">
        <f t="shared" si="50"/>
        <v>1262.81</v>
      </c>
      <c r="Y77" s="2"/>
      <c r="Z77" s="6">
        <f t="shared" si="51"/>
        <v>0</v>
      </c>
    </row>
    <row r="78" spans="1:26" s="24" customFormat="1" hidden="1" outlineLevel="2" x14ac:dyDescent="0.25">
      <c r="A78" s="25"/>
      <c r="B78" s="11" t="str">
        <f>CONCATENATE("          ", "6248", " - ", "UNIFORMS")</f>
        <v xml:space="preserve">          6248 - UNIFORMS</v>
      </c>
      <c r="C78" s="11"/>
      <c r="D78" s="7">
        <v>33.19</v>
      </c>
      <c r="E78" s="2"/>
      <c r="F78" s="6">
        <f t="shared" si="44"/>
        <v>6.3512292948776823E-4</v>
      </c>
      <c r="G78" s="2"/>
      <c r="H78" s="7"/>
      <c r="I78" s="2"/>
      <c r="J78" s="6">
        <f t="shared" si="45"/>
        <v>0</v>
      </c>
      <c r="K78" s="2"/>
      <c r="L78" s="7">
        <f t="shared" si="46"/>
        <v>33.19</v>
      </c>
      <c r="M78" s="2"/>
      <c r="N78" s="6">
        <f t="shared" si="47"/>
        <v>0</v>
      </c>
      <c r="O78" s="11"/>
      <c r="P78" s="7">
        <v>146.97</v>
      </c>
      <c r="Q78" s="2"/>
      <c r="R78" s="6">
        <f t="shared" si="48"/>
        <v>3.2035468540797161E-4</v>
      </c>
      <c r="S78" s="2"/>
      <c r="T78" s="7"/>
      <c r="U78" s="2"/>
      <c r="V78" s="6">
        <f t="shared" si="49"/>
        <v>0</v>
      </c>
      <c r="W78" s="2"/>
      <c r="X78" s="7">
        <f t="shared" si="50"/>
        <v>146.97</v>
      </c>
      <c r="Y78" s="2"/>
      <c r="Z78" s="6">
        <f t="shared" si="51"/>
        <v>0</v>
      </c>
    </row>
    <row r="79" spans="1:26" s="27" customFormat="1" outlineLevel="1" collapsed="1" x14ac:dyDescent="0.25">
      <c r="A79" s="26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SUM(OSRRefD22_14x_0)</f>
        <v>0</v>
      </c>
      <c r="E79" s="1"/>
      <c r="F79" s="5">
        <f t="shared" ref="F79:F82" si="52">IF(D$12=0,0,D79/D$12)</f>
        <v>0</v>
      </c>
      <c r="G79" s="1"/>
      <c r="H79" s="1">
        <f>SUM(OSRRefH22_14x_0)</f>
        <v>50</v>
      </c>
      <c r="I79" s="1"/>
      <c r="J79" s="5">
        <f t="shared" ref="J79:J82" si="53">IF(H$12=0,0,H79/H$12)</f>
        <v>9.4339622641509435E-4</v>
      </c>
      <c r="K79" s="1"/>
      <c r="L79" s="1">
        <f t="shared" ref="L79:L82" si="54">+D79-H79</f>
        <v>-50</v>
      </c>
      <c r="M79" s="1"/>
      <c r="N79" s="5">
        <f t="shared" ref="N79:N82" si="55">IF(H79=0,0,L79/H79)</f>
        <v>-1</v>
      </c>
      <c r="O79" s="13"/>
      <c r="P79" s="1">
        <f>SUM(OSRRefP22_14x_0)</f>
        <v>-45</v>
      </c>
      <c r="Q79" s="1"/>
      <c r="R79" s="5">
        <f t="shared" ref="R79:R82" si="56">IF(P$12=0,0,P79/P$12)</f>
        <v>-9.8087778753206247E-5</v>
      </c>
      <c r="S79" s="1"/>
      <c r="T79" s="1">
        <f>SUM(OSRRefT22_14x_0)</f>
        <v>350</v>
      </c>
      <c r="U79" s="1"/>
      <c r="V79" s="5">
        <f t="shared" ref="V79:V82" si="57">IF(T$12=0,0,T79/T$12)</f>
        <v>6.681939671630393E-4</v>
      </c>
      <c r="W79" s="1"/>
      <c r="X79" s="1">
        <f t="shared" ref="X79:X82" si="58">+P79-T79</f>
        <v>-395</v>
      </c>
      <c r="Y79" s="1"/>
      <c r="Z79" s="5">
        <f t="shared" ref="Z79:Z82" si="59">IF(T79=0,0,X79/T79)</f>
        <v>-1.1285714285714286</v>
      </c>
    </row>
    <row r="80" spans="1:26" s="24" customFormat="1" hidden="1" outlineLevel="2" x14ac:dyDescent="0.25">
      <c r="A80" s="25"/>
      <c r="B80" s="11" t="str">
        <f>CONCATENATE("          ", "6309", " - ", "TELEPHONE")</f>
        <v xml:space="preserve">          6309 - TELEPHONE</v>
      </c>
      <c r="C80" s="11"/>
      <c r="D80" s="7"/>
      <c r="E80" s="2"/>
      <c r="F80" s="6">
        <f t="shared" si="52"/>
        <v>0</v>
      </c>
      <c r="G80" s="2"/>
      <c r="H80" s="7">
        <v>50</v>
      </c>
      <c r="I80" s="2"/>
      <c r="J80" s="6">
        <f t="shared" si="53"/>
        <v>9.4339622641509435E-4</v>
      </c>
      <c r="K80" s="2"/>
      <c r="L80" s="7">
        <f t="shared" si="54"/>
        <v>-50</v>
      </c>
      <c r="M80" s="2"/>
      <c r="N80" s="6">
        <f t="shared" si="55"/>
        <v>-1</v>
      </c>
      <c r="O80" s="11"/>
      <c r="P80" s="7">
        <v>-45</v>
      </c>
      <c r="Q80" s="2"/>
      <c r="R80" s="6">
        <f t="shared" si="56"/>
        <v>-9.8087778753206247E-5</v>
      </c>
      <c r="S80" s="2"/>
      <c r="T80" s="7">
        <v>350</v>
      </c>
      <c r="U80" s="2"/>
      <c r="V80" s="6">
        <f t="shared" si="57"/>
        <v>6.681939671630393E-4</v>
      </c>
      <c r="W80" s="2"/>
      <c r="X80" s="7">
        <f t="shared" si="58"/>
        <v>-395</v>
      </c>
      <c r="Y80" s="2"/>
      <c r="Z80" s="6">
        <f t="shared" si="59"/>
        <v>-1.1285714285714286</v>
      </c>
    </row>
    <row r="81" spans="1:26" s="27" customFormat="1" outlineLevel="1" collapsed="1" x14ac:dyDescent="0.25">
      <c r="A81" s="26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SUM(OSRRefD22_15x_0)</f>
        <v>0</v>
      </c>
      <c r="E81" s="1"/>
      <c r="F81" s="5">
        <f t="shared" si="52"/>
        <v>0</v>
      </c>
      <c r="G81" s="1"/>
      <c r="H81" s="1">
        <f>SUM(OSRRefH22_15x_0)</f>
        <v>40</v>
      </c>
      <c r="I81" s="1"/>
      <c r="J81" s="5">
        <f t="shared" si="53"/>
        <v>7.5471698113207543E-4</v>
      </c>
      <c r="K81" s="1"/>
      <c r="L81" s="1">
        <f t="shared" si="54"/>
        <v>-40</v>
      </c>
      <c r="M81" s="1"/>
      <c r="N81" s="5">
        <f t="shared" si="55"/>
        <v>-1</v>
      </c>
      <c r="O81" s="13"/>
      <c r="P81" s="1">
        <f>SUM(OSRRefP22_15x_0)</f>
        <v>96</v>
      </c>
      <c r="Q81" s="1"/>
      <c r="R81" s="5">
        <f t="shared" si="56"/>
        <v>2.0925392800683998E-4</v>
      </c>
      <c r="S81" s="1"/>
      <c r="T81" s="1">
        <f>SUM(OSRRefT22_15x_0)</f>
        <v>160</v>
      </c>
      <c r="U81" s="1"/>
      <c r="V81" s="5">
        <f t="shared" si="57"/>
        <v>3.0546009927453225E-4</v>
      </c>
      <c r="W81" s="1"/>
      <c r="X81" s="1">
        <f t="shared" si="58"/>
        <v>-64</v>
      </c>
      <c r="Y81" s="1"/>
      <c r="Z81" s="5">
        <f t="shared" si="59"/>
        <v>-0.4</v>
      </c>
    </row>
    <row r="82" spans="1:26" s="24" customFormat="1" hidden="1" outlineLevel="2" x14ac:dyDescent="0.25">
      <c r="A82" s="25"/>
      <c r="B82" s="11" t="str">
        <f>CONCATENATE("          ", "6376", " - ", "TRAINING")</f>
        <v xml:space="preserve">          6376 - TRAINING</v>
      </c>
      <c r="C82" s="11"/>
      <c r="D82" s="7"/>
      <c r="E82" s="2"/>
      <c r="F82" s="6">
        <f t="shared" si="52"/>
        <v>0</v>
      </c>
      <c r="G82" s="2"/>
      <c r="H82" s="7">
        <v>40</v>
      </c>
      <c r="I82" s="2"/>
      <c r="J82" s="6">
        <f t="shared" si="53"/>
        <v>7.5471698113207543E-4</v>
      </c>
      <c r="K82" s="2"/>
      <c r="L82" s="7">
        <f t="shared" si="54"/>
        <v>-40</v>
      </c>
      <c r="M82" s="2"/>
      <c r="N82" s="6">
        <f t="shared" si="55"/>
        <v>-1</v>
      </c>
      <c r="O82" s="11"/>
      <c r="P82" s="7">
        <v>96</v>
      </c>
      <c r="Q82" s="2"/>
      <c r="R82" s="6">
        <f t="shared" si="56"/>
        <v>2.0925392800683998E-4</v>
      </c>
      <c r="S82" s="2"/>
      <c r="T82" s="7">
        <v>160</v>
      </c>
      <c r="U82" s="2"/>
      <c r="V82" s="6">
        <f t="shared" si="57"/>
        <v>3.0546009927453225E-4</v>
      </c>
      <c r="W82" s="2"/>
      <c r="X82" s="7">
        <f t="shared" si="58"/>
        <v>-64</v>
      </c>
      <c r="Y82" s="2"/>
      <c r="Z82" s="6">
        <f t="shared" si="59"/>
        <v>-0.4</v>
      </c>
    </row>
    <row r="83" spans="1:26" s="53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8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9" t="s">
        <v>3</v>
      </c>
      <c r="C86" s="29"/>
      <c r="D86" s="21">
        <f>+D23-D25+D84</f>
        <v>-6879.5200000000041</v>
      </c>
      <c r="E86" s="14"/>
      <c r="F86" s="20">
        <f>IF(D$12=0,0,D86/D$12)</f>
        <v>-0.13164630599185581</v>
      </c>
      <c r="G86" s="14"/>
      <c r="H86" s="21">
        <f>+H23-H25+H84</f>
        <v>5147.0307610000018</v>
      </c>
      <c r="I86" s="14"/>
      <c r="J86" s="20">
        <f>IF(H$12=0,0,H86/H$12)</f>
        <v>9.7113787943396257E-2</v>
      </c>
      <c r="K86" s="16"/>
      <c r="L86" s="21">
        <f>+D86-H86</f>
        <v>-12026.550761000006</v>
      </c>
      <c r="M86" s="16"/>
      <c r="N86" s="20">
        <f>IF(H86=0,0,L86/H86)</f>
        <v>-2.3365997444832449</v>
      </c>
      <c r="O86" s="28"/>
      <c r="P86" s="21">
        <f>+P23-P25+P84</f>
        <v>68523.489999999962</v>
      </c>
      <c r="Q86" s="14"/>
      <c r="R86" s="20">
        <f>IF(P$12=0,0,P86/P$12)</f>
        <v>0.14936259836705637</v>
      </c>
      <c r="S86" s="14"/>
      <c r="T86" s="21">
        <f>+T23-T25+T84</f>
        <v>118071.6251142</v>
      </c>
      <c r="U86" s="14"/>
      <c r="V86" s="20">
        <f>IF(T$12=0,0,T86/T$12)</f>
        <v>0.22541356455555556</v>
      </c>
      <c r="W86" s="16"/>
      <c r="X86" s="21">
        <f>+P86-T86</f>
        <v>-49548.135114200035</v>
      </c>
      <c r="Y86" s="16"/>
      <c r="Z86" s="20">
        <f>IF(T86=0,0,X86/T86)</f>
        <v>-0.41964472892006532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>
        <v>3936.73</v>
      </c>
      <c r="E88" s="4"/>
      <c r="F88" s="12">
        <f>IF(D$12=0,0,D88/D$12)</f>
        <v>7.5333157282385724E-2</v>
      </c>
      <c r="G88" s="4"/>
      <c r="H88" s="4">
        <v>3846</v>
      </c>
      <c r="I88" s="4"/>
      <c r="J88" s="12">
        <f>IF(H$12=0,0,H88/H$12)</f>
        <v>7.2566037735849062E-2</v>
      </c>
      <c r="K88" s="4"/>
      <c r="L88" s="4">
        <f>+D88-H88</f>
        <v>90.730000000000018</v>
      </c>
      <c r="M88" s="4"/>
      <c r="N88" s="12">
        <f>IF(H88=0,0,L88/H88)</f>
        <v>2.3590743629745194E-2</v>
      </c>
      <c r="O88" s="10"/>
      <c r="P88" s="4">
        <v>47843.5</v>
      </c>
      <c r="Q88" s="4"/>
      <c r="R88" s="12">
        <f>IF(P$12=0,0,P88/P$12)</f>
        <v>0.1042858365062005</v>
      </c>
      <c r="S88" s="4"/>
      <c r="T88" s="4">
        <v>64492</v>
      </c>
      <c r="U88" s="4"/>
      <c r="V88" s="12">
        <f>IF(T$12=0,0,T88/T$12)</f>
        <v>0.12312332951508209</v>
      </c>
      <c r="W88" s="4"/>
      <c r="X88" s="4">
        <f>+P88-T88</f>
        <v>-16648.5</v>
      </c>
      <c r="Y88" s="4"/>
      <c r="Z88" s="12">
        <f>IF(T88=0,0,X88/T88)</f>
        <v>-0.25814829746325124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4</v>
      </c>
      <c r="C90" s="29"/>
      <c r="D90" s="34">
        <f>+D86-D88</f>
        <v>-10816.250000000004</v>
      </c>
      <c r="E90" s="14"/>
      <c r="F90" s="32">
        <f>IF(D$12=0,0,D90/D$12)</f>
        <v>-0.20697946327424152</v>
      </c>
      <c r="G90" s="14"/>
      <c r="H90" s="34">
        <f>+H86-H88</f>
        <v>1301.0307610000018</v>
      </c>
      <c r="I90" s="14"/>
      <c r="J90" s="32">
        <f>IF(H$12=0,0,H90/H$12)</f>
        <v>2.4547750207547205E-2</v>
      </c>
      <c r="K90" s="16"/>
      <c r="L90" s="34">
        <f>D90-H90</f>
        <v>-12117.280761000005</v>
      </c>
      <c r="M90" s="16"/>
      <c r="N90" s="32">
        <f>IF(H90=0,0,L90/H90)</f>
        <v>-9.3136005114025036</v>
      </c>
      <c r="O90" s="28"/>
      <c r="P90" s="34">
        <f>+P86-P88</f>
        <v>20679.989999999962</v>
      </c>
      <c r="Q90" s="14"/>
      <c r="R90" s="32">
        <f>IF(P$12=0,0,P90/P$12)</f>
        <v>4.5076761860855866E-2</v>
      </c>
      <c r="S90" s="14"/>
      <c r="T90" s="34">
        <f>+T86-T88</f>
        <v>53579.625114199996</v>
      </c>
      <c r="U90" s="14"/>
      <c r="V90" s="32">
        <f>IF(T$12=0,0,T90/T$12)</f>
        <v>0.10229023504047345</v>
      </c>
      <c r="W90" s="16"/>
      <c r="X90" s="34">
        <f>P90-T90</f>
        <v>-32899.635114200035</v>
      </c>
      <c r="Y90" s="16"/>
      <c r="Z90" s="32">
        <f>IF(T90=0,0,X90/T90)</f>
        <v>-0.61403257383898291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5</v>
      </c>
      <c r="C93" s="29"/>
      <c r="D93" s="31">
        <f>SUM(D90:D92)</f>
        <v>-10816.250000000004</v>
      </c>
      <c r="E93" s="14"/>
      <c r="F93" s="30">
        <f>IF(D$12=0,0,D93/D$12)</f>
        <v>-0.20697946327424152</v>
      </c>
      <c r="G93" s="14"/>
      <c r="H93" s="31">
        <f>SUM(H90:H92)</f>
        <v>1301.0307610000018</v>
      </c>
      <c r="I93" s="14"/>
      <c r="J93" s="30">
        <f>IF(H$12=0,0,H93/H$12)</f>
        <v>2.4547750207547205E-2</v>
      </c>
      <c r="K93" s="16"/>
      <c r="L93" s="31">
        <f>+D93-H93</f>
        <v>-12117.280761000005</v>
      </c>
      <c r="M93" s="16"/>
      <c r="N93" s="30">
        <f>IF(H93=0,0,L93/H93)</f>
        <v>-9.3136005114025036</v>
      </c>
      <c r="O93" s="28"/>
      <c r="P93" s="31">
        <f>SUM(P90:P92)</f>
        <v>20679.989999999962</v>
      </c>
      <c r="Q93" s="14"/>
      <c r="R93" s="30">
        <f>IF(P$12=0,0,P93/P$12)</f>
        <v>4.5076761860855866E-2</v>
      </c>
      <c r="S93" s="14"/>
      <c r="T93" s="31">
        <f>SUM(T90:T92)</f>
        <v>53579.625114199996</v>
      </c>
      <c r="U93" s="14"/>
      <c r="V93" s="30">
        <f>IF(T$12=0,0,T93/T$12)</f>
        <v>0.10229023504047345</v>
      </c>
      <c r="W93" s="16"/>
      <c r="X93" s="31">
        <f>+P93-T93</f>
        <v>-32899.635114200035</v>
      </c>
      <c r="Y93" s="16"/>
      <c r="Z93" s="30">
        <f>IF(T93=0,0,X93/T93)</f>
        <v>-0.61403257383898291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3">
        <v>43879.546545219906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7" t="s">
        <v>314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60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","415", " - ", "Outpost")</f>
        <v>Department 415 - Outpost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49382.28</v>
      </c>
      <c r="E12" s="4"/>
      <c r="F12" s="12"/>
      <c r="G12" s="4"/>
      <c r="H12" s="4">
        <f>SUM(OSRRefH13x_0)</f>
        <v>51400</v>
      </c>
      <c r="I12" s="4"/>
      <c r="J12" s="12"/>
      <c r="K12" s="4"/>
      <c r="L12" s="4">
        <f t="shared" ref="L12:L15" si="0">+D12-H12</f>
        <v>-2017.7200000000012</v>
      </c>
      <c r="M12" s="4"/>
      <c r="N12" s="12">
        <f t="shared" ref="N12:N15" si="1">IF(H12=0,0,L12/H12)</f>
        <v>-3.9255252918287957E-2</v>
      </c>
      <c r="O12" s="10"/>
      <c r="P12" s="4">
        <f>SUM(OSRRefP13x_0)</f>
        <v>501326.38</v>
      </c>
      <c r="Q12" s="4"/>
      <c r="R12" s="12"/>
      <c r="S12" s="4"/>
      <c r="T12" s="4">
        <f>SUM(OSRRefT13x_0)</f>
        <v>533450</v>
      </c>
      <c r="U12" s="4"/>
      <c r="V12" s="12"/>
      <c r="W12" s="4"/>
      <c r="X12" s="4">
        <f t="shared" ref="X12:X15" si="2">+P12-T12</f>
        <v>-32123.619999999995</v>
      </c>
      <c r="Y12" s="4"/>
      <c r="Z12" s="12">
        <f t="shared" ref="Z12:Z15" si="3">IF(T12=0,0,X12/T12)</f>
        <v>-6.021861467803917E-2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--18135.32</f>
        <v>18135.32</v>
      </c>
      <c r="E13" s="2"/>
      <c r="F13" s="19"/>
      <c r="G13" s="2"/>
      <c r="H13" s="2"/>
      <c r="I13" s="2"/>
      <c r="J13" s="19"/>
      <c r="K13" s="2"/>
      <c r="L13" s="2">
        <f t="shared" si="0"/>
        <v>18135.32</v>
      </c>
      <c r="M13" s="2"/>
      <c r="N13" s="19">
        <f t="shared" si="1"/>
        <v>0</v>
      </c>
      <c r="O13" s="11"/>
      <c r="P13" s="2">
        <f>--154732.56</f>
        <v>154732.56</v>
      </c>
      <c r="Q13" s="2"/>
      <c r="R13" s="19"/>
      <c r="S13" s="2"/>
      <c r="T13" s="2"/>
      <c r="U13" s="2"/>
      <c r="V13" s="19"/>
      <c r="W13" s="2"/>
      <c r="X13" s="2">
        <f t="shared" si="2"/>
        <v>154732.56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51400</v>
      </c>
      <c r="I14" s="2"/>
      <c r="J14" s="19"/>
      <c r="K14" s="2"/>
      <c r="L14" s="2">
        <f t="shared" si="0"/>
        <v>-51400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533450</v>
      </c>
      <c r="U14" s="2"/>
      <c r="V14" s="19"/>
      <c r="W14" s="2"/>
      <c r="X14" s="2">
        <f t="shared" si="2"/>
        <v>-533450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--31246.96</f>
        <v>31246.959999999999</v>
      </c>
      <c r="E15" s="2"/>
      <c r="F15" s="19"/>
      <c r="G15" s="2"/>
      <c r="H15" s="2"/>
      <c r="I15" s="2"/>
      <c r="J15" s="19"/>
      <c r="K15" s="2"/>
      <c r="L15" s="2">
        <f t="shared" si="0"/>
        <v>31246.959999999999</v>
      </c>
      <c r="M15" s="2"/>
      <c r="N15" s="19">
        <f t="shared" si="1"/>
        <v>0</v>
      </c>
      <c r="O15" s="11"/>
      <c r="P15" s="2">
        <f>--346593.82</f>
        <v>346593.82</v>
      </c>
      <c r="Q15" s="2"/>
      <c r="R15" s="19"/>
      <c r="S15" s="2"/>
      <c r="T15" s="2"/>
      <c r="U15" s="2"/>
      <c r="V15" s="19"/>
      <c r="W15" s="2"/>
      <c r="X15" s="2">
        <f t="shared" si="2"/>
        <v>346593.82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15559.02</v>
      </c>
      <c r="E17" s="4"/>
      <c r="F17" s="12">
        <f t="shared" ref="F17:F20" si="4">IF(D$12=0,0,D17/D$12)</f>
        <v>0.31507293709403456</v>
      </c>
      <c r="G17" s="4"/>
      <c r="H17" s="4">
        <f>SUM(OSRRefH16x_0)</f>
        <v>17990</v>
      </c>
      <c r="I17" s="4"/>
      <c r="J17" s="12">
        <f t="shared" ref="J17:J20" si="5">IF(H$12=0,0,H17/H$12)</f>
        <v>0.35</v>
      </c>
      <c r="K17" s="4"/>
      <c r="L17" s="4">
        <f t="shared" ref="L17:L20" si="6">+D17-H17</f>
        <v>-2430.9799999999996</v>
      </c>
      <c r="M17" s="4"/>
      <c r="N17" s="12">
        <f t="shared" ref="N17:N20" si="7">IF(H17=0,0,L17/H17)</f>
        <v>-0.13512951639799886</v>
      </c>
      <c r="O17" s="10"/>
      <c r="P17" s="4">
        <f>SUM(OSRRefP16x_0)</f>
        <v>161188.59</v>
      </c>
      <c r="Q17" s="4"/>
      <c r="R17" s="12">
        <f t="shared" ref="R17:R20" si="8">IF(P$12=0,0,P17/P$12)</f>
        <v>0.32152425332175816</v>
      </c>
      <c r="S17" s="4"/>
      <c r="T17" s="4">
        <f>SUM(OSRRefT16x_0)</f>
        <v>183090</v>
      </c>
      <c r="U17" s="4"/>
      <c r="V17" s="12">
        <f t="shared" ref="V17:V20" si="9">IF(T$12=0,0,T17/T$12)</f>
        <v>0.34321867091573716</v>
      </c>
      <c r="W17" s="4"/>
      <c r="X17" s="4">
        <f t="shared" ref="X17:X20" si="10">+P17-T17</f>
        <v>-21901.410000000003</v>
      </c>
      <c r="Y17" s="4"/>
      <c r="Z17" s="12">
        <f t="shared" ref="Z17:Z20" si="11">IF(T17=0,0,X17/T17)</f>
        <v>-0.11962100606259218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17990</v>
      </c>
      <c r="I18" s="2"/>
      <c r="J18" s="19">
        <f t="shared" si="5"/>
        <v>0.35</v>
      </c>
      <c r="K18" s="2"/>
      <c r="L18" s="2">
        <f t="shared" si="6"/>
        <v>-17990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183090</v>
      </c>
      <c r="U18" s="2"/>
      <c r="V18" s="19">
        <f t="shared" si="9"/>
        <v>0.34321867091573716</v>
      </c>
      <c r="W18" s="2"/>
      <c r="X18" s="2">
        <f t="shared" si="10"/>
        <v>-183090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18540.02</v>
      </c>
      <c r="E19" s="2"/>
      <c r="F19" s="19">
        <f t="shared" si="4"/>
        <v>0.37543872012389873</v>
      </c>
      <c r="G19" s="2"/>
      <c r="H19" s="2"/>
      <c r="I19" s="2"/>
      <c r="J19" s="19">
        <f t="shared" si="5"/>
        <v>0</v>
      </c>
      <c r="K19" s="2"/>
      <c r="L19" s="2">
        <f t="shared" si="6"/>
        <v>18540.02</v>
      </c>
      <c r="M19" s="2"/>
      <c r="N19" s="19">
        <f t="shared" si="7"/>
        <v>0</v>
      </c>
      <c r="O19" s="11"/>
      <c r="P19" s="2">
        <v>162876.59</v>
      </c>
      <c r="Q19" s="2"/>
      <c r="R19" s="19">
        <f t="shared" si="8"/>
        <v>0.32489132129851217</v>
      </c>
      <c r="S19" s="2"/>
      <c r="T19" s="2"/>
      <c r="U19" s="2"/>
      <c r="V19" s="19">
        <f t="shared" si="9"/>
        <v>0</v>
      </c>
      <c r="W19" s="2"/>
      <c r="X19" s="2">
        <f t="shared" si="10"/>
        <v>162876.59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-2981</v>
      </c>
      <c r="E20" s="2"/>
      <c r="F20" s="19">
        <f t="shared" si="4"/>
        <v>-6.0365783029864152E-2</v>
      </c>
      <c r="G20" s="2"/>
      <c r="H20" s="2"/>
      <c r="I20" s="2"/>
      <c r="J20" s="19">
        <f t="shared" si="5"/>
        <v>0</v>
      </c>
      <c r="K20" s="2"/>
      <c r="L20" s="2">
        <f t="shared" si="6"/>
        <v>-2981</v>
      </c>
      <c r="M20" s="2"/>
      <c r="N20" s="19">
        <f t="shared" si="7"/>
        <v>0</v>
      </c>
      <c r="O20" s="11"/>
      <c r="P20" s="2">
        <v>-1688</v>
      </c>
      <c r="Q20" s="2"/>
      <c r="R20" s="19">
        <f t="shared" si="8"/>
        <v>-3.3670679767539859E-3</v>
      </c>
      <c r="S20" s="2"/>
      <c r="T20" s="2"/>
      <c r="U20" s="2"/>
      <c r="V20" s="19">
        <f t="shared" si="9"/>
        <v>0</v>
      </c>
      <c r="W20" s="2"/>
      <c r="X20" s="2">
        <f t="shared" si="10"/>
        <v>-1688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1">
        <f>D12-D17</f>
        <v>33823.259999999995</v>
      </c>
      <c r="E22" s="14"/>
      <c r="F22" s="20">
        <f>IF(D$12=0,0,D22/D$12)</f>
        <v>0.68492706290596539</v>
      </c>
      <c r="G22" s="14"/>
      <c r="H22" s="21">
        <f>H12-H17</f>
        <v>33410</v>
      </c>
      <c r="I22" s="14"/>
      <c r="J22" s="20">
        <f>IF(H$12=0,0,H22/H$12)</f>
        <v>0.65</v>
      </c>
      <c r="K22" s="16"/>
      <c r="L22" s="21">
        <f>+D22-H22</f>
        <v>413.25999999999476</v>
      </c>
      <c r="M22" s="16"/>
      <c r="N22" s="20">
        <f>IF(H22=0,0,L22/H22)</f>
        <v>1.2369350493863956E-2</v>
      </c>
      <c r="O22" s="28"/>
      <c r="P22" s="21">
        <f>P12-P17</f>
        <v>340137.79000000004</v>
      </c>
      <c r="Q22" s="14"/>
      <c r="R22" s="20">
        <f>IF(P$12=0,0,P22/P$12)</f>
        <v>0.67847574667824184</v>
      </c>
      <c r="S22" s="14"/>
      <c r="T22" s="21">
        <f>T12-T17</f>
        <v>350360</v>
      </c>
      <c r="U22" s="14"/>
      <c r="V22" s="20">
        <f>IF(T$12=0,0,T22/T$12)</f>
        <v>0.65678132908426279</v>
      </c>
      <c r="W22" s="16"/>
      <c r="X22" s="21">
        <f>+P22-T22</f>
        <v>-10222.209999999963</v>
      </c>
      <c r="Y22" s="16"/>
      <c r="Z22" s="20">
        <f>IF(T22=0,0,X22/T22)</f>
        <v>-2.9176304372645172E-2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2">
        <f>SUM(OSRRefD22x_0)</f>
        <v>66794.209999999992</v>
      </c>
      <c r="E24" s="22"/>
      <c r="F24" s="35">
        <f t="shared" ref="F24:F34" si="12">IF(D$12=0,0,D24/D$12)</f>
        <v>1.3525946959111648</v>
      </c>
      <c r="G24" s="22"/>
      <c r="H24" s="22">
        <f>SUM(OSRRefH22x_0)</f>
        <v>70077.121314884629</v>
      </c>
      <c r="I24" s="22"/>
      <c r="J24" s="35">
        <f t="shared" ref="J24:J34" si="13">IF(H$12=0,0,H24/H$12)</f>
        <v>1.3633681189666271</v>
      </c>
      <c r="K24" s="4"/>
      <c r="L24" s="22">
        <f t="shared" ref="L24:L34" si="14">+D24-H24</f>
        <v>-3282.9113148846372</v>
      </c>
      <c r="M24" s="4"/>
      <c r="N24" s="35">
        <f t="shared" ref="N24:N34" si="15">IF(H24=0,0,L24/H24)</f>
        <v>-4.6847120048399235E-2</v>
      </c>
      <c r="O24" s="10"/>
      <c r="P24" s="22">
        <f>SUM(OSRRefP22x_0)</f>
        <v>491971.46</v>
      </c>
      <c r="Q24" s="22"/>
      <c r="R24" s="35">
        <f t="shared" ref="R24:R34" si="16">IF(P$12=0,0,P24/P$12)</f>
        <v>0.98133966139982498</v>
      </c>
      <c r="S24" s="22"/>
      <c r="T24" s="22">
        <f>SUM(OSRRefT22x_0)</f>
        <v>456946.18629750004</v>
      </c>
      <c r="U24" s="22"/>
      <c r="V24" s="35">
        <f t="shared" ref="V24:V34" si="17">IF(T$12=0,0,T24/T$12)</f>
        <v>0.85658672096260202</v>
      </c>
      <c r="W24" s="4"/>
      <c r="X24" s="22">
        <f t="shared" ref="X24:X34" si="18">+P24-T24</f>
        <v>35025.273702499981</v>
      </c>
      <c r="Y24" s="4"/>
      <c r="Z24" s="35">
        <f t="shared" ref="Z24:Z34" si="19">IF(T24=0,0,X24/T24)</f>
        <v>7.6650762721753793E-2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7297.88</v>
      </c>
      <c r="E25" s="1"/>
      <c r="F25" s="5">
        <f t="shared" si="12"/>
        <v>0.14778337492720062</v>
      </c>
      <c r="G25" s="1"/>
      <c r="H25" s="1">
        <f>SUM(OSRRefH22_0x_0)</f>
        <v>7938.2414687307792</v>
      </c>
      <c r="I25" s="1"/>
      <c r="J25" s="5">
        <f t="shared" si="13"/>
        <v>0.15444049550059882</v>
      </c>
      <c r="K25" s="1"/>
      <c r="L25" s="1">
        <f t="shared" si="14"/>
        <v>-640.36146873077905</v>
      </c>
      <c r="M25" s="1"/>
      <c r="N25" s="5">
        <f t="shared" si="15"/>
        <v>-8.0667925163677906E-2</v>
      </c>
      <c r="O25" s="13"/>
      <c r="P25" s="1">
        <f>SUM(OSRRefP22_0x_0)</f>
        <v>56679.090000000011</v>
      </c>
      <c r="Q25" s="1"/>
      <c r="R25" s="5">
        <f t="shared" si="16"/>
        <v>0.11305826356075659</v>
      </c>
      <c r="S25" s="1"/>
      <c r="T25" s="1">
        <f>SUM(OSRRefT22_0x_0)</f>
        <v>51828.088951346166</v>
      </c>
      <c r="U25" s="1"/>
      <c r="V25" s="5">
        <f t="shared" si="17"/>
        <v>9.7156413818251325E-2</v>
      </c>
      <c r="W25" s="1"/>
      <c r="X25" s="1">
        <f t="shared" si="18"/>
        <v>4851.0010486538449</v>
      </c>
      <c r="Y25" s="1"/>
      <c r="Z25" s="5">
        <f t="shared" si="19"/>
        <v>9.3597914698489895E-2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7">
        <v>989.87</v>
      </c>
      <c r="E26" s="2"/>
      <c r="F26" s="6">
        <f t="shared" si="12"/>
        <v>2.0045044497742914E-2</v>
      </c>
      <c r="G26" s="2"/>
      <c r="H26" s="7">
        <v>799.56748488461596</v>
      </c>
      <c r="I26" s="2"/>
      <c r="J26" s="6">
        <f t="shared" si="13"/>
        <v>1.5555787643669571E-2</v>
      </c>
      <c r="K26" s="2"/>
      <c r="L26" s="7">
        <f t="shared" si="14"/>
        <v>190.30251511538404</v>
      </c>
      <c r="M26" s="2"/>
      <c r="N26" s="6">
        <f t="shared" si="15"/>
        <v>0.23800682082869618</v>
      </c>
      <c r="O26" s="11"/>
      <c r="P26" s="7">
        <v>9642.06</v>
      </c>
      <c r="Q26" s="2"/>
      <c r="R26" s="6">
        <f t="shared" si="16"/>
        <v>1.9233099203756241E-2</v>
      </c>
      <c r="S26" s="2"/>
      <c r="T26" s="7">
        <v>5659.4979928846124</v>
      </c>
      <c r="U26" s="2"/>
      <c r="V26" s="6">
        <f t="shared" si="17"/>
        <v>1.0609237965853618E-2</v>
      </c>
      <c r="W26" s="2"/>
      <c r="X26" s="7">
        <f t="shared" si="18"/>
        <v>3982.5620071153871</v>
      </c>
      <c r="Y26" s="2"/>
      <c r="Z26" s="6">
        <f t="shared" si="19"/>
        <v>0.70369527688188105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7">
        <v>602.30999999999995</v>
      </c>
      <c r="E27" s="2"/>
      <c r="F27" s="6">
        <f t="shared" si="12"/>
        <v>1.2196885198496302E-2</v>
      </c>
      <c r="G27" s="2"/>
      <c r="H27" s="7">
        <v>1168.9689369230798</v>
      </c>
      <c r="I27" s="2"/>
      <c r="J27" s="6">
        <f t="shared" si="13"/>
        <v>2.2742586321460697E-2</v>
      </c>
      <c r="K27" s="2"/>
      <c r="L27" s="7">
        <f t="shared" si="14"/>
        <v>-566.65893692307986</v>
      </c>
      <c r="M27" s="2"/>
      <c r="N27" s="6">
        <f t="shared" si="15"/>
        <v>-0.48475106482694075</v>
      </c>
      <c r="O27" s="11"/>
      <c r="P27" s="7">
        <v>4923.0600000000004</v>
      </c>
      <c r="Q27" s="2"/>
      <c r="R27" s="6">
        <f t="shared" si="16"/>
        <v>9.8200697118711374E-3</v>
      </c>
      <c r="S27" s="2"/>
      <c r="T27" s="7">
        <v>7254.3357169230803</v>
      </c>
      <c r="U27" s="2"/>
      <c r="V27" s="6">
        <f t="shared" si="17"/>
        <v>1.3598904708825721E-2</v>
      </c>
      <c r="W27" s="2"/>
      <c r="X27" s="7">
        <f t="shared" si="18"/>
        <v>-2331.2757169230799</v>
      </c>
      <c r="Y27" s="2"/>
      <c r="Z27" s="6">
        <f t="shared" si="19"/>
        <v>-0.32136308655865298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7">
        <v>3286.96</v>
      </c>
      <c r="E28" s="2"/>
      <c r="F28" s="6">
        <f t="shared" si="12"/>
        <v>6.6561527738289925E-2</v>
      </c>
      <c r="G28" s="2"/>
      <c r="H28" s="7">
        <v>3377.0096153846202</v>
      </c>
      <c r="I28" s="2"/>
      <c r="J28" s="6">
        <f t="shared" si="13"/>
        <v>6.5700576174798062E-2</v>
      </c>
      <c r="K28" s="2"/>
      <c r="L28" s="7">
        <f t="shared" si="14"/>
        <v>-90.049615384620211</v>
      </c>
      <c r="M28" s="2"/>
      <c r="N28" s="6">
        <f t="shared" si="15"/>
        <v>-2.6665489779591323E-2</v>
      </c>
      <c r="O28" s="11"/>
      <c r="P28" s="7">
        <v>21827.46</v>
      </c>
      <c r="Q28" s="2"/>
      <c r="R28" s="6">
        <f t="shared" si="16"/>
        <v>4.3539420367226633E-2</v>
      </c>
      <c r="S28" s="2"/>
      <c r="T28" s="7">
        <v>22566.925000000017</v>
      </c>
      <c r="U28" s="2"/>
      <c r="V28" s="6">
        <f t="shared" si="17"/>
        <v>4.2303730433967603E-2</v>
      </c>
      <c r="W28" s="2"/>
      <c r="X28" s="7">
        <f t="shared" si="18"/>
        <v>-739.46500000001834</v>
      </c>
      <c r="Y28" s="2"/>
      <c r="Z28" s="6">
        <f t="shared" si="19"/>
        <v>-3.2767645569789318E-2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7">
        <v>40.36</v>
      </c>
      <c r="E29" s="2"/>
      <c r="F29" s="6">
        <f t="shared" si="12"/>
        <v>8.1729721673442373E-4</v>
      </c>
      <c r="G29" s="2"/>
      <c r="H29" s="7">
        <v>78.332970000000003</v>
      </c>
      <c r="I29" s="2"/>
      <c r="J29" s="6">
        <f t="shared" si="13"/>
        <v>1.5239877431906614E-3</v>
      </c>
      <c r="K29" s="2"/>
      <c r="L29" s="7">
        <f t="shared" si="14"/>
        <v>-37.972970000000004</v>
      </c>
      <c r="M29" s="2"/>
      <c r="N29" s="6">
        <f t="shared" si="15"/>
        <v>-0.48476356762676048</v>
      </c>
      <c r="O29" s="11"/>
      <c r="P29" s="7">
        <v>428.49</v>
      </c>
      <c r="Q29" s="2"/>
      <c r="R29" s="6">
        <f t="shared" si="16"/>
        <v>8.5471265246404946E-4</v>
      </c>
      <c r="S29" s="2"/>
      <c r="T29" s="7">
        <v>486.11527999999998</v>
      </c>
      <c r="U29" s="2"/>
      <c r="V29" s="6">
        <f t="shared" si="17"/>
        <v>9.112668103852282E-4</v>
      </c>
      <c r="W29" s="2"/>
      <c r="X29" s="7">
        <f t="shared" si="18"/>
        <v>-57.625279999999975</v>
      </c>
      <c r="Y29" s="2"/>
      <c r="Z29" s="6">
        <f t="shared" si="19"/>
        <v>-0.118542416523093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7">
        <v>943.48</v>
      </c>
      <c r="E30" s="2"/>
      <c r="F30" s="6">
        <f t="shared" si="12"/>
        <v>1.9105638702789748E-2</v>
      </c>
      <c r="G30" s="2"/>
      <c r="H30" s="7">
        <v>579.176923076923</v>
      </c>
      <c r="I30" s="2"/>
      <c r="J30" s="6">
        <f t="shared" si="13"/>
        <v>1.1268033522897335E-2</v>
      </c>
      <c r="K30" s="2"/>
      <c r="L30" s="7">
        <f t="shared" si="14"/>
        <v>364.30307692307701</v>
      </c>
      <c r="M30" s="2"/>
      <c r="N30" s="6">
        <f t="shared" si="15"/>
        <v>0.62900136798905637</v>
      </c>
      <c r="O30" s="11"/>
      <c r="P30" s="7">
        <v>4634.1899999999996</v>
      </c>
      <c r="Q30" s="2"/>
      <c r="R30" s="6">
        <f t="shared" si="16"/>
        <v>9.2438582625554225E-3</v>
      </c>
      <c r="S30" s="2"/>
      <c r="T30" s="7">
        <v>3590.8969230769248</v>
      </c>
      <c r="U30" s="2"/>
      <c r="V30" s="6">
        <f t="shared" si="17"/>
        <v>6.73145922406397E-3</v>
      </c>
      <c r="W30" s="2"/>
      <c r="X30" s="7">
        <f t="shared" si="18"/>
        <v>1043.2930769230748</v>
      </c>
      <c r="Y30" s="2"/>
      <c r="Z30" s="6">
        <f t="shared" si="19"/>
        <v>0.29053829705284612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7">
        <v>700.02</v>
      </c>
      <c r="E32" s="2"/>
      <c r="F32" s="6">
        <f t="shared" si="12"/>
        <v>1.4175530169931401E-2</v>
      </c>
      <c r="G32" s="2"/>
      <c r="H32" s="7">
        <v>522.38826923076908</v>
      </c>
      <c r="I32" s="2"/>
      <c r="J32" s="6">
        <f t="shared" si="13"/>
        <v>1.0163195899431305E-2</v>
      </c>
      <c r="K32" s="2"/>
      <c r="L32" s="7">
        <f t="shared" si="14"/>
        <v>177.6317307692309</v>
      </c>
      <c r="M32" s="2"/>
      <c r="N32" s="6">
        <f t="shared" si="15"/>
        <v>0.34003774822661781</v>
      </c>
      <c r="O32" s="11"/>
      <c r="P32" s="7">
        <v>6517.59</v>
      </c>
      <c r="Q32" s="2"/>
      <c r="R32" s="6">
        <f t="shared" si="16"/>
        <v>1.3000692283537922E-2</v>
      </c>
      <c r="S32" s="2"/>
      <c r="T32" s="7">
        <v>3258.0682692307669</v>
      </c>
      <c r="U32" s="2"/>
      <c r="V32" s="6">
        <f t="shared" si="17"/>
        <v>6.1075419799995626E-3</v>
      </c>
      <c r="W32" s="2"/>
      <c r="X32" s="7">
        <f t="shared" si="18"/>
        <v>3259.5217307692333</v>
      </c>
      <c r="Y32" s="2"/>
      <c r="Z32" s="6">
        <f t="shared" si="19"/>
        <v>1.0004461114434564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7">
        <v>385.52</v>
      </c>
      <c r="E33" s="2"/>
      <c r="F33" s="6">
        <f t="shared" si="12"/>
        <v>7.806848934476091E-3</v>
      </c>
      <c r="G33" s="2"/>
      <c r="H33" s="7">
        <v>1112.7972692307699</v>
      </c>
      <c r="I33" s="2"/>
      <c r="J33" s="6">
        <f t="shared" si="13"/>
        <v>2.1649752319664782E-2</v>
      </c>
      <c r="K33" s="2"/>
      <c r="L33" s="7">
        <f t="shared" si="14"/>
        <v>-727.27726923076989</v>
      </c>
      <c r="M33" s="2"/>
      <c r="N33" s="6">
        <f t="shared" si="15"/>
        <v>-0.65355774078553064</v>
      </c>
      <c r="O33" s="11"/>
      <c r="P33" s="7">
        <v>6382.3</v>
      </c>
      <c r="Q33" s="2"/>
      <c r="R33" s="6">
        <f t="shared" si="16"/>
        <v>1.2730828168268345E-2</v>
      </c>
      <c r="S33" s="2"/>
      <c r="T33" s="7">
        <v>6912.2497692307734</v>
      </c>
      <c r="U33" s="2"/>
      <c r="V33" s="6">
        <f t="shared" si="17"/>
        <v>1.2957633834906314E-2</v>
      </c>
      <c r="W33" s="2"/>
      <c r="X33" s="7">
        <f t="shared" si="18"/>
        <v>-529.9497692307732</v>
      </c>
      <c r="Y33" s="2"/>
      <c r="Z33" s="6">
        <f t="shared" si="19"/>
        <v>-7.6668203106576752E-2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7">
        <v>349.36</v>
      </c>
      <c r="E34" s="2"/>
      <c r="F34" s="6">
        <f t="shared" si="12"/>
        <v>7.0746024687397997E-3</v>
      </c>
      <c r="G34" s="2"/>
      <c r="H34" s="7">
        <v>300</v>
      </c>
      <c r="I34" s="2"/>
      <c r="J34" s="6">
        <f t="shared" si="13"/>
        <v>5.8365758754863814E-3</v>
      </c>
      <c r="K34" s="2"/>
      <c r="L34" s="7">
        <f t="shared" si="14"/>
        <v>49.360000000000014</v>
      </c>
      <c r="M34" s="2"/>
      <c r="N34" s="6">
        <f t="shared" si="15"/>
        <v>0.16453333333333339</v>
      </c>
      <c r="O34" s="11"/>
      <c r="P34" s="7">
        <v>2323.94</v>
      </c>
      <c r="Q34" s="2"/>
      <c r="R34" s="6">
        <f t="shared" si="16"/>
        <v>4.6355829110768122E-3</v>
      </c>
      <c r="S34" s="2"/>
      <c r="T34" s="7">
        <v>2100</v>
      </c>
      <c r="U34" s="2"/>
      <c r="V34" s="6">
        <f t="shared" si="17"/>
        <v>3.9366388602493207E-3</v>
      </c>
      <c r="W34" s="2"/>
      <c r="X34" s="7">
        <f t="shared" si="18"/>
        <v>223.94000000000005</v>
      </c>
      <c r="Y34" s="2"/>
      <c r="Z34" s="6">
        <f t="shared" si="19"/>
        <v>0.10663809523809527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20864.73</v>
      </c>
      <c r="E35" s="1"/>
      <c r="F35" s="5">
        <f t="shared" ref="F35:F45" si="20">IF(D$12=0,0,D35/D$12)</f>
        <v>0.42251451330315248</v>
      </c>
      <c r="G35" s="1"/>
      <c r="H35" s="1">
        <f>SUM(OSRRefH22_1x_0)</f>
        <v>28492.879846153854</v>
      </c>
      <c r="I35" s="1"/>
      <c r="J35" s="5">
        <f t="shared" ref="J35:J45" si="21">IF(H$12=0,0,H35/H$12)</f>
        <v>0.55433618377731231</v>
      </c>
      <c r="K35" s="1"/>
      <c r="L35" s="1">
        <f t="shared" ref="L35:L45" si="22">+D35-H35</f>
        <v>-7628.149846153854</v>
      </c>
      <c r="M35" s="1"/>
      <c r="N35" s="5">
        <f t="shared" ref="N35:N45" si="23">IF(H35=0,0,L35/H35)</f>
        <v>-0.26772126535968771</v>
      </c>
      <c r="O35" s="13"/>
      <c r="P35" s="1">
        <f>SUM(OSRRefP22_1x_0)</f>
        <v>163419.88</v>
      </c>
      <c r="Q35" s="1"/>
      <c r="R35" s="5">
        <f t="shared" ref="R35:R45" si="24">IF(P$12=0,0,P35/P$12)</f>
        <v>0.32597502648873178</v>
      </c>
      <c r="S35" s="1"/>
      <c r="T35" s="1">
        <f>SUM(OSRRefT22_1x_0)</f>
        <v>176797.09734615387</v>
      </c>
      <c r="U35" s="1"/>
      <c r="V35" s="5">
        <f t="shared" ref="V35:V45" si="25">IF(T$12=0,0,T35/T$12)</f>
        <v>0.33142205894864346</v>
      </c>
      <c r="W35" s="1"/>
      <c r="X35" s="1">
        <f t="shared" ref="X35:X45" si="26">+P35-T35</f>
        <v>-13377.217346153862</v>
      </c>
      <c r="Y35" s="1"/>
      <c r="Z35" s="5">
        <f t="shared" ref="Z35:Z45" si="27">IF(T35=0,0,X35/T35)</f>
        <v>-7.5664236273983582E-2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7">
        <v>5082.95</v>
      </c>
      <c r="E37" s="2"/>
      <c r="F37" s="6">
        <f t="shared" si="20"/>
        <v>0.10293064637760752</v>
      </c>
      <c r="G37" s="2"/>
      <c r="H37" s="7">
        <v>6061.1538461538503</v>
      </c>
      <c r="I37" s="2"/>
      <c r="J37" s="6">
        <f t="shared" si="21"/>
        <v>0.11792128105357685</v>
      </c>
      <c r="K37" s="2"/>
      <c r="L37" s="7">
        <f t="shared" si="22"/>
        <v>-978.20384615385046</v>
      </c>
      <c r="M37" s="2"/>
      <c r="N37" s="6">
        <f t="shared" si="23"/>
        <v>-0.16138904752839708</v>
      </c>
      <c r="O37" s="11"/>
      <c r="P37" s="7">
        <v>36298.04</v>
      </c>
      <c r="Q37" s="2"/>
      <c r="R37" s="6">
        <f t="shared" si="24"/>
        <v>7.2404009539653591E-2</v>
      </c>
      <c r="S37" s="2"/>
      <c r="T37" s="7">
        <v>37579.153846153873</v>
      </c>
      <c r="U37" s="2"/>
      <c r="V37" s="6">
        <f t="shared" si="25"/>
        <v>7.0445503507646209E-2</v>
      </c>
      <c r="W37" s="2"/>
      <c r="X37" s="7">
        <f t="shared" si="26"/>
        <v>-1281.1138461538721</v>
      </c>
      <c r="Y37" s="2"/>
      <c r="Z37" s="6">
        <f t="shared" si="27"/>
        <v>-3.4091077500005784E-2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7">
        <v>3235.21</v>
      </c>
      <c r="E39" s="2"/>
      <c r="F39" s="6">
        <f t="shared" si="20"/>
        <v>6.5513580984920106E-2</v>
      </c>
      <c r="G39" s="2"/>
      <c r="H39" s="7">
        <v>3341.835</v>
      </c>
      <c r="I39" s="2"/>
      <c r="J39" s="6">
        <f t="shared" si="21"/>
        <v>6.501624513618677E-2</v>
      </c>
      <c r="K39" s="2"/>
      <c r="L39" s="7">
        <f t="shared" si="22"/>
        <v>-106.625</v>
      </c>
      <c r="M39" s="2"/>
      <c r="N39" s="6">
        <f t="shared" si="23"/>
        <v>-3.1906123432186212E-2</v>
      </c>
      <c r="O39" s="11"/>
      <c r="P39" s="7">
        <v>22940.66</v>
      </c>
      <c r="Q39" s="2"/>
      <c r="R39" s="6">
        <f t="shared" si="24"/>
        <v>4.5759929888389277E-2</v>
      </c>
      <c r="S39" s="2"/>
      <c r="T39" s="7">
        <v>21066.075000000001</v>
      </c>
      <c r="U39" s="2"/>
      <c r="V39" s="6">
        <f t="shared" si="25"/>
        <v>3.9490252132346047E-2</v>
      </c>
      <c r="W39" s="2"/>
      <c r="X39" s="7">
        <f t="shared" si="26"/>
        <v>1874.5849999999991</v>
      </c>
      <c r="Y39" s="2"/>
      <c r="Z39" s="6">
        <f t="shared" si="27"/>
        <v>8.8985964400107712E-2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7">
        <v>4252.01</v>
      </c>
      <c r="E40" s="2"/>
      <c r="F40" s="6">
        <f t="shared" si="20"/>
        <v>8.6103962797991512E-2</v>
      </c>
      <c r="G40" s="2"/>
      <c r="H40" s="7">
        <v>10077.912</v>
      </c>
      <c r="I40" s="2"/>
      <c r="J40" s="6">
        <f t="shared" si="21"/>
        <v>0.19606832684824904</v>
      </c>
      <c r="K40" s="2"/>
      <c r="L40" s="7">
        <f t="shared" si="22"/>
        <v>-5825.902</v>
      </c>
      <c r="M40" s="2"/>
      <c r="N40" s="6">
        <f t="shared" si="23"/>
        <v>-0.57808621468415278</v>
      </c>
      <c r="O40" s="11"/>
      <c r="P40" s="7">
        <v>49868.44</v>
      </c>
      <c r="Q40" s="2"/>
      <c r="R40" s="6">
        <f t="shared" si="24"/>
        <v>9.9473001999216562E-2</v>
      </c>
      <c r="S40" s="2"/>
      <c r="T40" s="7">
        <v>64889.702000000005</v>
      </c>
      <c r="U40" s="2"/>
      <c r="V40" s="6">
        <f t="shared" si="25"/>
        <v>0.12164158215390385</v>
      </c>
      <c r="W40" s="2"/>
      <c r="X40" s="7">
        <f t="shared" si="26"/>
        <v>-15021.262000000002</v>
      </c>
      <c r="Y40" s="2"/>
      <c r="Z40" s="6">
        <f t="shared" si="27"/>
        <v>-0.23148915062054071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>
        <v>200.5</v>
      </c>
      <c r="Q41" s="2"/>
      <c r="R41" s="6">
        <f t="shared" si="24"/>
        <v>3.9993905766538758E-4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200.5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7">
        <v>8294.56</v>
      </c>
      <c r="E42" s="2"/>
      <c r="F42" s="6">
        <f t="shared" si="20"/>
        <v>0.16796632314263335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8294.56</v>
      </c>
      <c r="M42" s="2"/>
      <c r="N42" s="6">
        <f t="shared" si="23"/>
        <v>0</v>
      </c>
      <c r="O42" s="11"/>
      <c r="P42" s="7">
        <v>54112.24</v>
      </c>
      <c r="Q42" s="2"/>
      <c r="R42" s="6">
        <f t="shared" si="24"/>
        <v>0.10793814600380694</v>
      </c>
      <c r="S42" s="2"/>
      <c r="T42" s="7">
        <v>8526.2999999999993</v>
      </c>
      <c r="U42" s="2"/>
      <c r="V42" s="6">
        <f t="shared" si="25"/>
        <v>1.5983316149592277E-2</v>
      </c>
      <c r="W42" s="2"/>
      <c r="X42" s="7">
        <f t="shared" si="26"/>
        <v>45585.94</v>
      </c>
      <c r="Y42" s="2"/>
      <c r="Z42" s="6">
        <f t="shared" si="27"/>
        <v>5.3465090367451307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9011.9790000000012</v>
      </c>
      <c r="I43" s="2"/>
      <c r="J43" s="6">
        <f t="shared" si="21"/>
        <v>0.17533033073929963</v>
      </c>
      <c r="K43" s="2"/>
      <c r="L43" s="7">
        <f t="shared" si="22"/>
        <v>-9011.9790000000012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44735.866500000004</v>
      </c>
      <c r="U43" s="2"/>
      <c r="V43" s="6">
        <f t="shared" si="25"/>
        <v>8.3861405005155126E-2</v>
      </c>
      <c r="W43" s="2"/>
      <c r="X43" s="7">
        <f t="shared" si="26"/>
        <v>-44735.866500000004</v>
      </c>
      <c r="Y43" s="2"/>
      <c r="Z43" s="6">
        <f t="shared" si="27"/>
        <v>-1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7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488.61</v>
      </c>
      <c r="E46" s="1"/>
      <c r="F46" s="5">
        <f t="shared" ref="F46:F55" si="28">IF(D$12=0,0,D46/D$12)</f>
        <v>9.8944398679040348E-3</v>
      </c>
      <c r="G46" s="1"/>
      <c r="H46" s="1">
        <f>SUM(OSRRefH22_2x_0)</f>
        <v>800</v>
      </c>
      <c r="I46" s="1"/>
      <c r="J46" s="5">
        <f t="shared" ref="J46:J55" si="29">IF(H$12=0,0,H46/H$12)</f>
        <v>1.556420233463035E-2</v>
      </c>
      <c r="K46" s="1"/>
      <c r="L46" s="1">
        <f t="shared" ref="L46:L55" si="30">+D46-H46</f>
        <v>-311.39</v>
      </c>
      <c r="M46" s="1"/>
      <c r="N46" s="5">
        <f t="shared" ref="N46:N55" si="31">IF(H46=0,0,L46/H46)</f>
        <v>-0.38923749999999996</v>
      </c>
      <c r="O46" s="13"/>
      <c r="P46" s="1">
        <f>SUM(OSRRefP22_2x_0)</f>
        <v>4282.9799999999996</v>
      </c>
      <c r="Q46" s="1"/>
      <c r="R46" s="5">
        <f t="shared" ref="R46:R55" si="32">IF(P$12=0,0,P46/P$12)</f>
        <v>8.5432966842877885E-3</v>
      </c>
      <c r="S46" s="1"/>
      <c r="T46" s="1">
        <f>SUM(OSRRefT22_2x_0)</f>
        <v>2250</v>
      </c>
      <c r="U46" s="1"/>
      <c r="V46" s="5">
        <f t="shared" ref="V46:V55" si="33">IF(T$12=0,0,T46/T$12)</f>
        <v>4.2178273502671291E-3</v>
      </c>
      <c r="W46" s="1"/>
      <c r="X46" s="1">
        <f t="shared" ref="X46:X55" si="34">+P46-T46</f>
        <v>2032.9799999999996</v>
      </c>
      <c r="Y46" s="1"/>
      <c r="Z46" s="5">
        <f t="shared" ref="Z46:Z55" si="35">IF(T46=0,0,X46/T46)</f>
        <v>0.9035466666666665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7">
        <v>488.61</v>
      </c>
      <c r="E47" s="2"/>
      <c r="F47" s="6">
        <f t="shared" si="28"/>
        <v>9.8944398679040348E-3</v>
      </c>
      <c r="G47" s="2"/>
      <c r="H47" s="7">
        <v>800</v>
      </c>
      <c r="I47" s="2"/>
      <c r="J47" s="6">
        <f t="shared" si="29"/>
        <v>1.556420233463035E-2</v>
      </c>
      <c r="K47" s="2"/>
      <c r="L47" s="7">
        <f t="shared" si="30"/>
        <v>-311.39</v>
      </c>
      <c r="M47" s="2"/>
      <c r="N47" s="6">
        <f t="shared" si="31"/>
        <v>-0.38923749999999996</v>
      </c>
      <c r="O47" s="11"/>
      <c r="P47" s="7">
        <v>4282.9799999999996</v>
      </c>
      <c r="Q47" s="2"/>
      <c r="R47" s="6">
        <f t="shared" si="32"/>
        <v>8.5432966842877885E-3</v>
      </c>
      <c r="S47" s="2"/>
      <c r="T47" s="7">
        <v>2250</v>
      </c>
      <c r="U47" s="2"/>
      <c r="V47" s="6">
        <f t="shared" si="33"/>
        <v>4.2178273502671291E-3</v>
      </c>
      <c r="W47" s="2"/>
      <c r="X47" s="7">
        <f t="shared" si="34"/>
        <v>2032.9799999999996</v>
      </c>
      <c r="Y47" s="2"/>
      <c r="Z47" s="6">
        <f t="shared" si="35"/>
        <v>0.9035466666666665</v>
      </c>
    </row>
    <row r="48" spans="1:26" s="27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-3.62</v>
      </c>
      <c r="E48" s="1"/>
      <c r="F48" s="5">
        <f t="shared" si="28"/>
        <v>-7.3305647288865564E-5</v>
      </c>
      <c r="G48" s="1"/>
      <c r="H48" s="1">
        <f>SUM(OSRRefH22_3x_0)</f>
        <v>10</v>
      </c>
      <c r="I48" s="1"/>
      <c r="J48" s="5">
        <f t="shared" si="29"/>
        <v>1.9455252918287939E-4</v>
      </c>
      <c r="K48" s="1"/>
      <c r="L48" s="1">
        <f t="shared" si="30"/>
        <v>-13.620000000000001</v>
      </c>
      <c r="M48" s="1"/>
      <c r="N48" s="5">
        <f t="shared" si="31"/>
        <v>-1.3620000000000001</v>
      </c>
      <c r="O48" s="13"/>
      <c r="P48" s="1">
        <f>SUM(OSRRefP22_3x_0)</f>
        <v>-20.93</v>
      </c>
      <c r="Q48" s="1"/>
      <c r="R48" s="5">
        <f t="shared" si="32"/>
        <v>-4.1749249261528982E-5</v>
      </c>
      <c r="S48" s="1"/>
      <c r="T48" s="1">
        <f>SUM(OSRRefT22_3x_0)</f>
        <v>70</v>
      </c>
      <c r="U48" s="1"/>
      <c r="V48" s="5">
        <f t="shared" si="33"/>
        <v>1.3122129534164401E-4</v>
      </c>
      <c r="W48" s="1"/>
      <c r="X48" s="1">
        <f t="shared" si="34"/>
        <v>-90.93</v>
      </c>
      <c r="Y48" s="1"/>
      <c r="Z48" s="5">
        <f t="shared" si="35"/>
        <v>-1.2990000000000002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7">
        <v>-3.62</v>
      </c>
      <c r="E49" s="2"/>
      <c r="F49" s="6">
        <f t="shared" si="28"/>
        <v>-7.3305647288865564E-5</v>
      </c>
      <c r="G49" s="2"/>
      <c r="H49" s="7">
        <v>10</v>
      </c>
      <c r="I49" s="2"/>
      <c r="J49" s="6">
        <f t="shared" si="29"/>
        <v>1.9455252918287939E-4</v>
      </c>
      <c r="K49" s="2"/>
      <c r="L49" s="7">
        <f t="shared" si="30"/>
        <v>-13.620000000000001</v>
      </c>
      <c r="M49" s="2"/>
      <c r="N49" s="6">
        <f t="shared" si="31"/>
        <v>-1.3620000000000001</v>
      </c>
      <c r="O49" s="11"/>
      <c r="P49" s="7">
        <v>-20.93</v>
      </c>
      <c r="Q49" s="2"/>
      <c r="R49" s="6">
        <f t="shared" si="32"/>
        <v>-4.1749249261528982E-5</v>
      </c>
      <c r="S49" s="2"/>
      <c r="T49" s="7">
        <v>70</v>
      </c>
      <c r="U49" s="2"/>
      <c r="V49" s="6">
        <f t="shared" si="33"/>
        <v>1.3122129534164401E-4</v>
      </c>
      <c r="W49" s="2"/>
      <c r="X49" s="7">
        <f t="shared" si="34"/>
        <v>-90.93</v>
      </c>
      <c r="Y49" s="2"/>
      <c r="Z49" s="6">
        <f t="shared" si="35"/>
        <v>-1.2990000000000002</v>
      </c>
    </row>
    <row r="50" spans="1:26" s="27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1820.16</v>
      </c>
      <c r="E50" s="1"/>
      <c r="F50" s="5">
        <f t="shared" si="28"/>
        <v>3.6858565461133024E-2</v>
      </c>
      <c r="G50" s="1"/>
      <c r="H50" s="1">
        <f>SUM(OSRRefH22_4x_0)</f>
        <v>0</v>
      </c>
      <c r="I50" s="1"/>
      <c r="J50" s="5">
        <f t="shared" si="29"/>
        <v>0</v>
      </c>
      <c r="K50" s="1"/>
      <c r="L50" s="1">
        <f t="shared" si="30"/>
        <v>1820.16</v>
      </c>
      <c r="M50" s="1"/>
      <c r="N50" s="5">
        <f t="shared" si="31"/>
        <v>0</v>
      </c>
      <c r="O50" s="13"/>
      <c r="P50" s="1">
        <f>SUM(OSRRefP22_4x_0)</f>
        <v>21069.63</v>
      </c>
      <c r="Q50" s="1"/>
      <c r="R50" s="5">
        <f t="shared" si="32"/>
        <v>4.2027770411762491E-2</v>
      </c>
      <c r="S50" s="1"/>
      <c r="T50" s="1">
        <f>SUM(OSRRefT22_4x_0)</f>
        <v>850</v>
      </c>
      <c r="U50" s="1"/>
      <c r="V50" s="5">
        <f t="shared" si="33"/>
        <v>1.5934014434342487E-3</v>
      </c>
      <c r="W50" s="1"/>
      <c r="X50" s="1">
        <f t="shared" si="34"/>
        <v>20219.63</v>
      </c>
      <c r="Y50" s="1"/>
      <c r="Z50" s="5">
        <f t="shared" si="35"/>
        <v>23.787800000000001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7">
        <v>1820.16</v>
      </c>
      <c r="E51" s="2"/>
      <c r="F51" s="6">
        <f t="shared" si="28"/>
        <v>3.6858565461133024E-2</v>
      </c>
      <c r="G51" s="2"/>
      <c r="H51" s="7"/>
      <c r="I51" s="2"/>
      <c r="J51" s="6">
        <f t="shared" si="29"/>
        <v>0</v>
      </c>
      <c r="K51" s="2"/>
      <c r="L51" s="7">
        <f t="shared" si="30"/>
        <v>1820.16</v>
      </c>
      <c r="M51" s="2"/>
      <c r="N51" s="6">
        <f t="shared" si="31"/>
        <v>0</v>
      </c>
      <c r="O51" s="11"/>
      <c r="P51" s="7">
        <v>21069.63</v>
      </c>
      <c r="Q51" s="2"/>
      <c r="R51" s="6">
        <f t="shared" si="32"/>
        <v>4.2027770411762491E-2</v>
      </c>
      <c r="S51" s="2"/>
      <c r="T51" s="7">
        <v>850</v>
      </c>
      <c r="U51" s="2"/>
      <c r="V51" s="6">
        <f t="shared" si="33"/>
        <v>1.5934014434342487E-3</v>
      </c>
      <c r="W51" s="2"/>
      <c r="X51" s="7">
        <f t="shared" si="34"/>
        <v>20219.63</v>
      </c>
      <c r="Y51" s="2"/>
      <c r="Z51" s="6">
        <f t="shared" si="35"/>
        <v>23.787800000000001</v>
      </c>
    </row>
    <row r="52" spans="1:26" s="27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13580.689999999999</v>
      </c>
      <c r="E52" s="1"/>
      <c r="F52" s="5">
        <f t="shared" si="28"/>
        <v>0.2750114008506695</v>
      </c>
      <c r="G52" s="1"/>
      <c r="H52" s="1">
        <f>SUM(OSRRefH22_5x_0)</f>
        <v>13683</v>
      </c>
      <c r="I52" s="1"/>
      <c r="J52" s="5">
        <f t="shared" si="29"/>
        <v>0.26620622568093383</v>
      </c>
      <c r="K52" s="1"/>
      <c r="L52" s="1">
        <f t="shared" si="30"/>
        <v>-102.31000000000131</v>
      </c>
      <c r="M52" s="1"/>
      <c r="N52" s="5">
        <f t="shared" si="31"/>
        <v>-7.47716144120451E-3</v>
      </c>
      <c r="O52" s="13"/>
      <c r="P52" s="1">
        <f>SUM(OSRRefP22_5x_0)</f>
        <v>93495.930000000008</v>
      </c>
      <c r="Q52" s="1"/>
      <c r="R52" s="5">
        <f t="shared" si="32"/>
        <v>0.1864971278790476</v>
      </c>
      <c r="S52" s="1"/>
      <c r="T52" s="1">
        <f>SUM(OSRRefT22_5x_0)</f>
        <v>94530</v>
      </c>
      <c r="U52" s="1"/>
      <c r="V52" s="5">
        <f t="shared" si="33"/>
        <v>0.17720498640922297</v>
      </c>
      <c r="W52" s="1"/>
      <c r="X52" s="1">
        <f t="shared" si="34"/>
        <v>-1034.0699999999924</v>
      </c>
      <c r="Y52" s="1"/>
      <c r="Z52" s="5">
        <f t="shared" si="35"/>
        <v>-1.093906696286885E-2</v>
      </c>
    </row>
    <row r="53" spans="1:26" s="24" customFormat="1" hidden="1" outlineLevel="2" x14ac:dyDescent="0.25">
      <c r="A53" s="25"/>
      <c r="B53" s="11" t="str">
        <f>CONCATENATE("          ", "6321", " - ", "BUILDING DEPRECIATION")</f>
        <v xml:space="preserve">          6321 - BUILDING DEPRECIATION</v>
      </c>
      <c r="C53" s="11"/>
      <c r="D53" s="7">
        <v>10612.46</v>
      </c>
      <c r="E53" s="2"/>
      <c r="F53" s="6">
        <f t="shared" si="28"/>
        <v>0.21490421260419729</v>
      </c>
      <c r="G53" s="2"/>
      <c r="H53" s="7">
        <v>10612</v>
      </c>
      <c r="I53" s="2"/>
      <c r="J53" s="6">
        <f t="shared" si="29"/>
        <v>0.20645914396887161</v>
      </c>
      <c r="K53" s="2"/>
      <c r="L53" s="7">
        <f t="shared" si="30"/>
        <v>0.45999999999912689</v>
      </c>
      <c r="M53" s="2"/>
      <c r="N53" s="6">
        <f t="shared" si="31"/>
        <v>4.3347154165013841E-5</v>
      </c>
      <c r="O53" s="11"/>
      <c r="P53" s="7">
        <v>74287.22</v>
      </c>
      <c r="Q53" s="2"/>
      <c r="R53" s="6">
        <f t="shared" si="32"/>
        <v>0.14818135044080466</v>
      </c>
      <c r="S53" s="2"/>
      <c r="T53" s="7">
        <v>74284</v>
      </c>
      <c r="U53" s="2"/>
      <c r="V53" s="6">
        <f t="shared" si="33"/>
        <v>0.13925203861655264</v>
      </c>
      <c r="W53" s="2"/>
      <c r="X53" s="7">
        <f t="shared" si="34"/>
        <v>3.2200000000011642</v>
      </c>
      <c r="Y53" s="2"/>
      <c r="Z53" s="6">
        <f t="shared" si="35"/>
        <v>4.3347154165111792E-5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2968.23</v>
      </c>
      <c r="E54" s="2"/>
      <c r="F54" s="6">
        <f t="shared" si="28"/>
        <v>6.0107188246472217E-2</v>
      </c>
      <c r="G54" s="2"/>
      <c r="H54" s="7">
        <v>2654</v>
      </c>
      <c r="I54" s="2"/>
      <c r="J54" s="6">
        <f t="shared" si="29"/>
        <v>5.1634241245136187E-2</v>
      </c>
      <c r="K54" s="2"/>
      <c r="L54" s="7">
        <f t="shared" si="30"/>
        <v>314.23</v>
      </c>
      <c r="M54" s="2"/>
      <c r="N54" s="6">
        <f t="shared" si="31"/>
        <v>0.11839864355689526</v>
      </c>
      <c r="O54" s="11"/>
      <c r="P54" s="7">
        <v>19208.710000000003</v>
      </c>
      <c r="Q54" s="2"/>
      <c r="R54" s="6">
        <f t="shared" si="32"/>
        <v>3.831577743824293E-2</v>
      </c>
      <c r="S54" s="2"/>
      <c r="T54" s="7">
        <v>18578</v>
      </c>
      <c r="U54" s="2"/>
      <c r="V54" s="6">
        <f t="shared" si="33"/>
        <v>3.4826131783672325E-2</v>
      </c>
      <c r="W54" s="2"/>
      <c r="X54" s="7">
        <f t="shared" si="34"/>
        <v>630.71000000000276</v>
      </c>
      <c r="Y54" s="2"/>
      <c r="Z54" s="6">
        <f t="shared" si="35"/>
        <v>3.3949294864894113E-2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7"/>
      <c r="E55" s="2"/>
      <c r="F55" s="6">
        <f t="shared" si="28"/>
        <v>0</v>
      </c>
      <c r="G55" s="2"/>
      <c r="H55" s="7">
        <v>417</v>
      </c>
      <c r="I55" s="2"/>
      <c r="J55" s="6">
        <f t="shared" si="29"/>
        <v>8.1128404669260704E-3</v>
      </c>
      <c r="K55" s="2"/>
      <c r="L55" s="7">
        <f t="shared" si="30"/>
        <v>-417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1668</v>
      </c>
      <c r="U55" s="2"/>
      <c r="V55" s="6">
        <f t="shared" si="33"/>
        <v>3.1268160089980316E-3</v>
      </c>
      <c r="W55" s="2"/>
      <c r="X55" s="7">
        <f t="shared" si="34"/>
        <v>-1668</v>
      </c>
      <c r="Y55" s="2"/>
      <c r="Z55" s="6">
        <f t="shared" si="35"/>
        <v>-1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70" si="36">IF(D$12=0,0,D56/D$12)</f>
        <v>0</v>
      </c>
      <c r="G56" s="1"/>
      <c r="H56" s="1">
        <f>SUM(OSRRefH22_6x_0)</f>
        <v>25</v>
      </c>
      <c r="I56" s="1"/>
      <c r="J56" s="5">
        <f t="shared" ref="J56:J70" si="37">IF(H$12=0,0,H56/H$12)</f>
        <v>4.8638132295719845E-4</v>
      </c>
      <c r="K56" s="1"/>
      <c r="L56" s="1">
        <f t="shared" ref="L56:L70" si="38">+D56-H56</f>
        <v>-25</v>
      </c>
      <c r="M56" s="1"/>
      <c r="N56" s="5">
        <f t="shared" ref="N56:N70" si="39">IF(H56=0,0,L56/H56)</f>
        <v>-1</v>
      </c>
      <c r="O56" s="13"/>
      <c r="P56" s="1">
        <f>SUM(OSRRefP22_6x_0)</f>
        <v>96.36</v>
      </c>
      <c r="Q56" s="1"/>
      <c r="R56" s="5">
        <f t="shared" ref="R56:R70" si="40">IF(P$12=0,0,P56/P$12)</f>
        <v>1.9221011270143014E-4</v>
      </c>
      <c r="S56" s="1"/>
      <c r="T56" s="1">
        <f>SUM(OSRRefT22_6x_0)</f>
        <v>175</v>
      </c>
      <c r="U56" s="1"/>
      <c r="V56" s="5">
        <f t="shared" ref="V56:V70" si="41">IF(T$12=0,0,T56/T$12)</f>
        <v>3.2805323835411002E-4</v>
      </c>
      <c r="W56" s="1"/>
      <c r="X56" s="1">
        <f t="shared" ref="X56:X70" si="42">+P56-T56</f>
        <v>-78.64</v>
      </c>
      <c r="Y56" s="1"/>
      <c r="Z56" s="5">
        <f t="shared" ref="Z56:Z70" si="43">IF(T56=0,0,X56/T56)</f>
        <v>-0.44937142857142859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6"/>
        <v>0</v>
      </c>
      <c r="G57" s="2"/>
      <c r="H57" s="7">
        <v>25</v>
      </c>
      <c r="I57" s="2"/>
      <c r="J57" s="6">
        <f t="shared" si="37"/>
        <v>4.8638132295719845E-4</v>
      </c>
      <c r="K57" s="2"/>
      <c r="L57" s="7">
        <f t="shared" si="38"/>
        <v>-25</v>
      </c>
      <c r="M57" s="2"/>
      <c r="N57" s="6">
        <f t="shared" si="39"/>
        <v>-1</v>
      </c>
      <c r="O57" s="11"/>
      <c r="P57" s="7">
        <v>96.36</v>
      </c>
      <c r="Q57" s="2"/>
      <c r="R57" s="6">
        <f t="shared" si="40"/>
        <v>1.9221011270143014E-4</v>
      </c>
      <c r="S57" s="2"/>
      <c r="T57" s="7">
        <v>175</v>
      </c>
      <c r="U57" s="2"/>
      <c r="V57" s="6">
        <f t="shared" si="41"/>
        <v>3.2805323835411002E-4</v>
      </c>
      <c r="W57" s="2"/>
      <c r="X57" s="7">
        <f t="shared" si="42"/>
        <v>-78.64</v>
      </c>
      <c r="Y57" s="2"/>
      <c r="Z57" s="6">
        <f t="shared" si="43"/>
        <v>-0.44937142857142859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165.53</v>
      </c>
      <c r="E58" s="1"/>
      <c r="F58" s="5">
        <f t="shared" si="36"/>
        <v>3.352012098266828E-3</v>
      </c>
      <c r="G58" s="1"/>
      <c r="H58" s="1">
        <f>SUM(OSRRefH22_7x_0)</f>
        <v>125</v>
      </c>
      <c r="I58" s="1"/>
      <c r="J58" s="5">
        <f t="shared" si="37"/>
        <v>2.4319066147859923E-3</v>
      </c>
      <c r="K58" s="1"/>
      <c r="L58" s="1">
        <f t="shared" si="38"/>
        <v>40.53</v>
      </c>
      <c r="M58" s="1"/>
      <c r="N58" s="5">
        <f t="shared" si="39"/>
        <v>0.32424000000000003</v>
      </c>
      <c r="O58" s="13"/>
      <c r="P58" s="1">
        <f>SUM(OSRRefP22_7x_0)</f>
        <v>834.49</v>
      </c>
      <c r="Q58" s="1"/>
      <c r="R58" s="5">
        <f t="shared" si="40"/>
        <v>1.6645643103799963E-3</v>
      </c>
      <c r="S58" s="1"/>
      <c r="T58" s="1">
        <f>SUM(OSRRefT22_7x_0)</f>
        <v>875</v>
      </c>
      <c r="U58" s="1"/>
      <c r="V58" s="5">
        <f t="shared" si="41"/>
        <v>1.6402661917705502E-3</v>
      </c>
      <c r="W58" s="1"/>
      <c r="X58" s="1">
        <f t="shared" si="42"/>
        <v>-40.509999999999991</v>
      </c>
      <c r="Y58" s="1"/>
      <c r="Z58" s="5">
        <f t="shared" si="43"/>
        <v>-4.6297142857142849E-2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7">
        <v>165.53</v>
      </c>
      <c r="E59" s="2"/>
      <c r="F59" s="6">
        <f t="shared" si="36"/>
        <v>3.352012098266828E-3</v>
      </c>
      <c r="G59" s="2"/>
      <c r="H59" s="7">
        <v>125</v>
      </c>
      <c r="I59" s="2"/>
      <c r="J59" s="6">
        <f t="shared" si="37"/>
        <v>2.4319066147859923E-3</v>
      </c>
      <c r="K59" s="2"/>
      <c r="L59" s="7">
        <f t="shared" si="38"/>
        <v>40.53</v>
      </c>
      <c r="M59" s="2"/>
      <c r="N59" s="6">
        <f t="shared" si="39"/>
        <v>0.32424000000000003</v>
      </c>
      <c r="O59" s="11"/>
      <c r="P59" s="7">
        <v>834.49</v>
      </c>
      <c r="Q59" s="2"/>
      <c r="R59" s="6">
        <f t="shared" si="40"/>
        <v>1.6645643103799963E-3</v>
      </c>
      <c r="S59" s="2"/>
      <c r="T59" s="7">
        <v>875</v>
      </c>
      <c r="U59" s="2"/>
      <c r="V59" s="6">
        <f t="shared" si="41"/>
        <v>1.6402661917705502E-3</v>
      </c>
      <c r="W59" s="2"/>
      <c r="X59" s="7">
        <f t="shared" si="42"/>
        <v>-40.509999999999991</v>
      </c>
      <c r="Y59" s="2"/>
      <c r="Z59" s="6">
        <f t="shared" si="43"/>
        <v>-4.6297142857142849E-2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16.8</v>
      </c>
      <c r="E60" s="1"/>
      <c r="F60" s="5">
        <f t="shared" si="36"/>
        <v>3.402030039925253E-4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16.8</v>
      </c>
      <c r="M60" s="1"/>
      <c r="N60" s="5">
        <f t="shared" si="39"/>
        <v>0</v>
      </c>
      <c r="O60" s="13"/>
      <c r="P60" s="1">
        <f>SUM(OSRRefP22_8x_0)</f>
        <v>1843.41</v>
      </c>
      <c r="Q60" s="1"/>
      <c r="R60" s="5">
        <f t="shared" si="40"/>
        <v>3.677065627386295E-3</v>
      </c>
      <c r="S60" s="1"/>
      <c r="T60" s="1">
        <f>SUM(OSRRefT22_8x_0)</f>
        <v>1400</v>
      </c>
      <c r="U60" s="1"/>
      <c r="V60" s="5">
        <f t="shared" si="41"/>
        <v>2.6244259068328802E-3</v>
      </c>
      <c r="W60" s="1"/>
      <c r="X60" s="1">
        <f t="shared" si="42"/>
        <v>443.41000000000008</v>
      </c>
      <c r="Y60" s="1"/>
      <c r="Z60" s="5">
        <f t="shared" si="43"/>
        <v>0.31672142857142865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7">
        <v>16.8</v>
      </c>
      <c r="E61" s="2"/>
      <c r="F61" s="6">
        <f t="shared" si="36"/>
        <v>3.402030039925253E-4</v>
      </c>
      <c r="G61" s="2"/>
      <c r="H61" s="7"/>
      <c r="I61" s="2"/>
      <c r="J61" s="6">
        <f t="shared" si="37"/>
        <v>0</v>
      </c>
      <c r="K61" s="2"/>
      <c r="L61" s="7">
        <f t="shared" si="38"/>
        <v>16.8</v>
      </c>
      <c r="M61" s="2"/>
      <c r="N61" s="6">
        <f t="shared" si="39"/>
        <v>0</v>
      </c>
      <c r="O61" s="11"/>
      <c r="P61" s="7">
        <v>1843.41</v>
      </c>
      <c r="Q61" s="2"/>
      <c r="R61" s="6">
        <f t="shared" si="40"/>
        <v>3.677065627386295E-3</v>
      </c>
      <c r="S61" s="2"/>
      <c r="T61" s="7">
        <v>1400</v>
      </c>
      <c r="U61" s="2"/>
      <c r="V61" s="6">
        <f t="shared" si="41"/>
        <v>2.6244259068328802E-3</v>
      </c>
      <c r="W61" s="2"/>
      <c r="X61" s="7">
        <f t="shared" si="42"/>
        <v>443.41000000000008</v>
      </c>
      <c r="Y61" s="2"/>
      <c r="Z61" s="6">
        <f t="shared" si="43"/>
        <v>0.31672142857142865</v>
      </c>
    </row>
    <row r="62" spans="1:26" s="27" customFormat="1" outlineLevel="1" collapsed="1" x14ac:dyDescent="0.25">
      <c r="A62" s="26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641.28</v>
      </c>
      <c r="E62" s="1"/>
      <c r="F62" s="5">
        <f t="shared" si="36"/>
        <v>1.2986034666686106E-2</v>
      </c>
      <c r="G62" s="1"/>
      <c r="H62" s="1">
        <f>SUM(OSRRefH22_9x_0)</f>
        <v>604</v>
      </c>
      <c r="I62" s="1"/>
      <c r="J62" s="5">
        <f t="shared" si="37"/>
        <v>1.1750972762645914E-2</v>
      </c>
      <c r="K62" s="1"/>
      <c r="L62" s="1">
        <f t="shared" si="38"/>
        <v>37.279999999999973</v>
      </c>
      <c r="M62" s="1"/>
      <c r="N62" s="5">
        <f t="shared" si="39"/>
        <v>6.1721854304635719E-2</v>
      </c>
      <c r="O62" s="13"/>
      <c r="P62" s="1">
        <f>SUM(OSRRefP22_9x_0)</f>
        <v>4488.96</v>
      </c>
      <c r="Q62" s="1"/>
      <c r="R62" s="5">
        <f t="shared" si="40"/>
        <v>8.9541667446265249E-3</v>
      </c>
      <c r="S62" s="1"/>
      <c r="T62" s="1">
        <f>SUM(OSRRefT22_9x_0)</f>
        <v>4228</v>
      </c>
      <c r="U62" s="1"/>
      <c r="V62" s="5">
        <f t="shared" si="41"/>
        <v>7.925766238635298E-3</v>
      </c>
      <c r="W62" s="1"/>
      <c r="X62" s="1">
        <f t="shared" si="42"/>
        <v>260.96000000000004</v>
      </c>
      <c r="Y62" s="1"/>
      <c r="Z62" s="5">
        <f t="shared" si="43"/>
        <v>6.1721854304635768E-2</v>
      </c>
    </row>
    <row r="63" spans="1:26" s="24" customFormat="1" hidden="1" outlineLevel="2" x14ac:dyDescent="0.25">
      <c r="A63" s="25"/>
      <c r="B63" s="11" t="str">
        <f>CONCATENATE("          ", "6314", " - ", "LIABILITY INSURANCE")</f>
        <v xml:space="preserve">          6314 - LIABILITY INSURANCE</v>
      </c>
      <c r="C63" s="11"/>
      <c r="D63" s="7">
        <v>641.28</v>
      </c>
      <c r="E63" s="2"/>
      <c r="F63" s="6">
        <f t="shared" si="36"/>
        <v>1.2986034666686106E-2</v>
      </c>
      <c r="G63" s="2"/>
      <c r="H63" s="7">
        <v>604</v>
      </c>
      <c r="I63" s="2"/>
      <c r="J63" s="6">
        <f t="shared" si="37"/>
        <v>1.1750972762645914E-2</v>
      </c>
      <c r="K63" s="2"/>
      <c r="L63" s="7">
        <f t="shared" si="38"/>
        <v>37.279999999999973</v>
      </c>
      <c r="M63" s="2"/>
      <c r="N63" s="6">
        <f t="shared" si="39"/>
        <v>6.1721854304635719E-2</v>
      </c>
      <c r="O63" s="11"/>
      <c r="P63" s="7">
        <v>4488.96</v>
      </c>
      <c r="Q63" s="2"/>
      <c r="R63" s="6">
        <f t="shared" si="40"/>
        <v>8.9541667446265249E-3</v>
      </c>
      <c r="S63" s="2"/>
      <c r="T63" s="7">
        <v>4228</v>
      </c>
      <c r="U63" s="2"/>
      <c r="V63" s="6">
        <f t="shared" si="41"/>
        <v>7.925766238635298E-3</v>
      </c>
      <c r="W63" s="2"/>
      <c r="X63" s="7">
        <f t="shared" si="42"/>
        <v>260.96000000000004</v>
      </c>
      <c r="Y63" s="2"/>
      <c r="Z63" s="6">
        <f t="shared" si="43"/>
        <v>6.1721854304635768E-2</v>
      </c>
    </row>
    <row r="64" spans="1:26" s="27" customFormat="1" outlineLevel="1" collapsed="1" x14ac:dyDescent="0.25">
      <c r="A64" s="26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7754</v>
      </c>
      <c r="E64" s="1"/>
      <c r="F64" s="5">
        <f t="shared" si="36"/>
        <v>0.15701988648559767</v>
      </c>
      <c r="G64" s="1"/>
      <c r="H64" s="1">
        <f>SUM(OSRRefH22_10x_0)</f>
        <v>7754</v>
      </c>
      <c r="I64" s="1"/>
      <c r="J64" s="5">
        <f t="shared" si="37"/>
        <v>0.15085603112840468</v>
      </c>
      <c r="K64" s="1"/>
      <c r="L64" s="1">
        <f t="shared" si="38"/>
        <v>0</v>
      </c>
      <c r="M64" s="1"/>
      <c r="N64" s="5">
        <f t="shared" si="39"/>
        <v>0</v>
      </c>
      <c r="O64" s="13"/>
      <c r="P64" s="1">
        <f>SUM(OSRRefP22_10x_0)</f>
        <v>53885.049999999996</v>
      </c>
      <c r="Q64" s="1"/>
      <c r="R64" s="5">
        <f t="shared" si="40"/>
        <v>0.1074849681758219</v>
      </c>
      <c r="S64" s="1"/>
      <c r="T64" s="1">
        <f>SUM(OSRRefT22_10x_0)</f>
        <v>54278</v>
      </c>
      <c r="U64" s="1"/>
      <c r="V64" s="5">
        <f t="shared" si="41"/>
        <v>0.10174899240791077</v>
      </c>
      <c r="W64" s="1"/>
      <c r="X64" s="1">
        <f t="shared" si="42"/>
        <v>-392.95000000000437</v>
      </c>
      <c r="Y64" s="1"/>
      <c r="Z64" s="5">
        <f t="shared" si="43"/>
        <v>-7.239581414201046E-3</v>
      </c>
    </row>
    <row r="65" spans="1:26" s="24" customFormat="1" hidden="1" outlineLevel="2" x14ac:dyDescent="0.25">
      <c r="A65" s="25"/>
      <c r="B65" s="11" t="str">
        <f>CONCATENATE("          ", "6401", " - ", "INTEREST EXPENSE")</f>
        <v xml:space="preserve">          6401 - INTEREST EXPENSE</v>
      </c>
      <c r="C65" s="11"/>
      <c r="D65" s="7">
        <v>7754</v>
      </c>
      <c r="E65" s="2"/>
      <c r="F65" s="6">
        <f t="shared" si="36"/>
        <v>0.15701988648559767</v>
      </c>
      <c r="G65" s="2"/>
      <c r="H65" s="7">
        <v>7754</v>
      </c>
      <c r="I65" s="2"/>
      <c r="J65" s="6">
        <f t="shared" si="37"/>
        <v>0.15085603112840468</v>
      </c>
      <c r="K65" s="2"/>
      <c r="L65" s="7">
        <f t="shared" si="38"/>
        <v>0</v>
      </c>
      <c r="M65" s="2"/>
      <c r="N65" s="6">
        <f t="shared" si="39"/>
        <v>0</v>
      </c>
      <c r="O65" s="11"/>
      <c r="P65" s="7">
        <v>53885.049999999996</v>
      </c>
      <c r="Q65" s="2"/>
      <c r="R65" s="6">
        <f t="shared" si="40"/>
        <v>0.1074849681758219</v>
      </c>
      <c r="S65" s="2"/>
      <c r="T65" s="7">
        <v>54278</v>
      </c>
      <c r="U65" s="2"/>
      <c r="V65" s="6">
        <f t="shared" si="41"/>
        <v>0.10174899240791077</v>
      </c>
      <c r="W65" s="2"/>
      <c r="X65" s="7">
        <f t="shared" si="42"/>
        <v>-392.95000000000437</v>
      </c>
      <c r="Y65" s="2"/>
      <c r="Z65" s="6">
        <f t="shared" si="43"/>
        <v>-7.239581414201046E-3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3433.27</v>
      </c>
      <c r="E66" s="1"/>
      <c r="F66" s="5">
        <f t="shared" si="36"/>
        <v>6.9524331399846262E-2</v>
      </c>
      <c r="G66" s="1"/>
      <c r="H66" s="1">
        <f>SUM(OSRRefH22_11x_0)</f>
        <v>1200</v>
      </c>
      <c r="I66" s="1"/>
      <c r="J66" s="5">
        <f t="shared" si="37"/>
        <v>2.3346303501945526E-2</v>
      </c>
      <c r="K66" s="1"/>
      <c r="L66" s="1">
        <f t="shared" si="38"/>
        <v>2233.27</v>
      </c>
      <c r="M66" s="1"/>
      <c r="N66" s="5">
        <f t="shared" si="39"/>
        <v>1.8610583333333333</v>
      </c>
      <c r="O66" s="13"/>
      <c r="P66" s="1">
        <f>SUM(OSRRefP22_11x_0)</f>
        <v>22515.279999999999</v>
      </c>
      <c r="Q66" s="1"/>
      <c r="R66" s="5">
        <f t="shared" si="40"/>
        <v>4.4911420779413201E-2</v>
      </c>
      <c r="S66" s="1"/>
      <c r="T66" s="1">
        <f>SUM(OSRRefT22_11x_0)</f>
        <v>10200</v>
      </c>
      <c r="U66" s="1"/>
      <c r="V66" s="5">
        <f t="shared" si="41"/>
        <v>1.9120817321210987E-2</v>
      </c>
      <c r="W66" s="1"/>
      <c r="X66" s="1">
        <f t="shared" si="42"/>
        <v>12315.279999999999</v>
      </c>
      <c r="Y66" s="1"/>
      <c r="Z66" s="5">
        <f t="shared" si="43"/>
        <v>1.2073803921568627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36"/>
        <v>0</v>
      </c>
      <c r="G67" s="2"/>
      <c r="H67" s="7"/>
      <c r="I67" s="2"/>
      <c r="J67" s="6">
        <f t="shared" si="37"/>
        <v>0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>
        <v>2623.84</v>
      </c>
      <c r="Q67" s="2"/>
      <c r="R67" s="6">
        <f t="shared" si="40"/>
        <v>5.2337959953354142E-3</v>
      </c>
      <c r="S67" s="2"/>
      <c r="T67" s="7"/>
      <c r="U67" s="2"/>
      <c r="V67" s="6">
        <f t="shared" si="41"/>
        <v>0</v>
      </c>
      <c r="W67" s="2"/>
      <c r="X67" s="7">
        <f t="shared" si="42"/>
        <v>2623.84</v>
      </c>
      <c r="Y67" s="2"/>
      <c r="Z67" s="6">
        <f t="shared" si="43"/>
        <v>0</v>
      </c>
    </row>
    <row r="68" spans="1:26" s="24" customFormat="1" hidden="1" outlineLevel="2" x14ac:dyDescent="0.25">
      <c r="A68" s="25"/>
      <c r="B68" s="11" t="str">
        <f>CONCATENATE("          ", "6372", " - ", "COMPUTER HARDWARE MAINTENANCE")</f>
        <v xml:space="preserve">          6372 - COMPUTER HARDWARE MAINTENANCE</v>
      </c>
      <c r="C68" s="11"/>
      <c r="D68" s="7">
        <v>-0.01</v>
      </c>
      <c r="E68" s="2"/>
      <c r="F68" s="6">
        <f t="shared" si="36"/>
        <v>-2.0250178809078885E-7</v>
      </c>
      <c r="G68" s="2"/>
      <c r="H68" s="7"/>
      <c r="I68" s="2"/>
      <c r="J68" s="6">
        <f t="shared" si="37"/>
        <v>0</v>
      </c>
      <c r="K68" s="2"/>
      <c r="L68" s="7">
        <f t="shared" si="38"/>
        <v>-0.01</v>
      </c>
      <c r="M68" s="2"/>
      <c r="N68" s="6">
        <f t="shared" si="39"/>
        <v>0</v>
      </c>
      <c r="O68" s="11"/>
      <c r="P68" s="7">
        <v>-0.01</v>
      </c>
      <c r="Q68" s="2"/>
      <c r="R68" s="6">
        <f t="shared" si="40"/>
        <v>-1.9947085170343521E-8</v>
      </c>
      <c r="S68" s="2"/>
      <c r="T68" s="7"/>
      <c r="U68" s="2"/>
      <c r="V68" s="6">
        <f t="shared" si="41"/>
        <v>0</v>
      </c>
      <c r="W68" s="2"/>
      <c r="X68" s="7">
        <f t="shared" si="42"/>
        <v>-0.01</v>
      </c>
      <c r="Y68" s="2"/>
      <c r="Z68" s="6">
        <f t="shared" si="43"/>
        <v>0</v>
      </c>
    </row>
    <row r="69" spans="1:26" s="24" customFormat="1" hidden="1" outlineLevel="2" x14ac:dyDescent="0.25">
      <c r="A69" s="25"/>
      <c r="B69" s="11" t="str">
        <f>CONCATENATE("          ", "6373", " - ", "MAINTENANCE CONTRACTS")</f>
        <v xml:space="preserve">          6373 - MAINTENANCE CONTRACTS</v>
      </c>
      <c r="C69" s="11"/>
      <c r="D69" s="7"/>
      <c r="E69" s="2"/>
      <c r="F69" s="6">
        <f t="shared" si="36"/>
        <v>0</v>
      </c>
      <c r="G69" s="2"/>
      <c r="H69" s="7"/>
      <c r="I69" s="2"/>
      <c r="J69" s="6">
        <f t="shared" si="37"/>
        <v>0</v>
      </c>
      <c r="K69" s="2"/>
      <c r="L69" s="7">
        <f t="shared" si="38"/>
        <v>0</v>
      </c>
      <c r="M69" s="2"/>
      <c r="N69" s="6">
        <f t="shared" si="39"/>
        <v>0</v>
      </c>
      <c r="O69" s="11"/>
      <c r="P69" s="7">
        <v>3768.74</v>
      </c>
      <c r="Q69" s="2"/>
      <c r="R69" s="6">
        <f t="shared" si="40"/>
        <v>7.5175377764880435E-3</v>
      </c>
      <c r="S69" s="2"/>
      <c r="T69" s="7"/>
      <c r="U69" s="2"/>
      <c r="V69" s="6">
        <f t="shared" si="41"/>
        <v>0</v>
      </c>
      <c r="W69" s="2"/>
      <c r="X69" s="7">
        <f t="shared" si="42"/>
        <v>3768.74</v>
      </c>
      <c r="Y69" s="2"/>
      <c r="Z69" s="6">
        <f t="shared" si="43"/>
        <v>0</v>
      </c>
    </row>
    <row r="70" spans="1:26" s="24" customFormat="1" hidden="1" outlineLevel="2" x14ac:dyDescent="0.25">
      <c r="A70" s="25"/>
      <c r="B70" s="11" t="str">
        <f>CONCATENATE("          ", "6375", " - ", "OUTSIDE REPAIRS &amp; MAINTENANCE")</f>
        <v xml:space="preserve">          6375 - OUTSIDE REPAIRS &amp; MAINTENANCE</v>
      </c>
      <c r="C70" s="11"/>
      <c r="D70" s="7">
        <v>3433.28</v>
      </c>
      <c r="E70" s="2"/>
      <c r="F70" s="6">
        <f t="shared" si="36"/>
        <v>6.9524533901634364E-2</v>
      </c>
      <c r="G70" s="2"/>
      <c r="H70" s="7">
        <v>1200</v>
      </c>
      <c r="I70" s="2"/>
      <c r="J70" s="6">
        <f t="shared" si="37"/>
        <v>2.3346303501945526E-2</v>
      </c>
      <c r="K70" s="2"/>
      <c r="L70" s="7">
        <f t="shared" si="38"/>
        <v>2233.2800000000002</v>
      </c>
      <c r="M70" s="2"/>
      <c r="N70" s="6">
        <f t="shared" si="39"/>
        <v>1.8610666666666669</v>
      </c>
      <c r="O70" s="11"/>
      <c r="P70" s="7">
        <v>16122.710000000001</v>
      </c>
      <c r="Q70" s="2"/>
      <c r="R70" s="6">
        <f t="shared" si="40"/>
        <v>3.2160106954674916E-2</v>
      </c>
      <c r="S70" s="2"/>
      <c r="T70" s="7">
        <v>10200</v>
      </c>
      <c r="U70" s="2"/>
      <c r="V70" s="6">
        <f t="shared" si="41"/>
        <v>1.9120817321210987E-2</v>
      </c>
      <c r="W70" s="2"/>
      <c r="X70" s="7">
        <f t="shared" si="42"/>
        <v>5922.7100000000009</v>
      </c>
      <c r="Y70" s="2"/>
      <c r="Z70" s="6">
        <f t="shared" si="43"/>
        <v>0.58065784313725499</v>
      </c>
    </row>
    <row r="71" spans="1:26" s="27" customFormat="1" outlineLevel="1" collapsed="1" x14ac:dyDescent="0.25">
      <c r="A71" s="26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SUM(OSRRefD22_12x_0)</f>
        <v>5178.8100000000004</v>
      </c>
      <c r="E71" s="1"/>
      <c r="F71" s="5">
        <f t="shared" ref="F71:F76" si="44">IF(D$12=0,0,D71/D$12)</f>
        <v>0.10487182851824582</v>
      </c>
      <c r="G71" s="1"/>
      <c r="H71" s="1">
        <f>SUM(OSRRefH22_12x_0)</f>
        <v>4135</v>
      </c>
      <c r="I71" s="1"/>
      <c r="J71" s="5">
        <f t="shared" ref="J71:J76" si="45">IF(H$12=0,0,H71/H$12)</f>
        <v>8.0447470817120628E-2</v>
      </c>
      <c r="K71" s="1"/>
      <c r="L71" s="1">
        <f t="shared" ref="L71:L76" si="46">+D71-H71</f>
        <v>1043.8100000000004</v>
      </c>
      <c r="M71" s="1"/>
      <c r="N71" s="5">
        <f t="shared" ref="N71:N76" si="47">IF(H71=0,0,L71/H71)</f>
        <v>0.25243288996372443</v>
      </c>
      <c r="O71" s="13"/>
      <c r="P71" s="1">
        <f>SUM(OSRRefP22_12x_0)</f>
        <v>32283.629999999997</v>
      </c>
      <c r="Q71" s="1"/>
      <c r="R71" s="5">
        <f t="shared" ref="R71:R76" si="48">IF(P$12=0,0,P71/P$12)</f>
        <v>6.4396431721785705E-2</v>
      </c>
      <c r="S71" s="1"/>
      <c r="T71" s="1">
        <f>SUM(OSRRefT22_12x_0)</f>
        <v>28545</v>
      </c>
      <c r="U71" s="1"/>
      <c r="V71" s="5">
        <f t="shared" ref="V71:V76" si="49">IF(T$12=0,0,T71/T$12)</f>
        <v>5.3510169650388975E-2</v>
      </c>
      <c r="W71" s="1"/>
      <c r="X71" s="1">
        <f t="shared" ref="X71:X76" si="50">+P71-T71</f>
        <v>3738.6299999999974</v>
      </c>
      <c r="Y71" s="1"/>
      <c r="Z71" s="5">
        <f t="shared" ref="Z71:Z76" si="51">IF(T71=0,0,X71/T71)</f>
        <v>0.13097320021019435</v>
      </c>
    </row>
    <row r="72" spans="1:26" s="24" customFormat="1" hidden="1" outlineLevel="2" x14ac:dyDescent="0.25">
      <c r="A72" s="25"/>
      <c r="B72" s="11" t="str">
        <f>CONCATENATE("          ", "6282", " - ", "JANITORIAL/EXTERMINATOR EXPENS")</f>
        <v xml:space="preserve">          6282 - JANITORIAL/EXTERMINATOR EXPENS</v>
      </c>
      <c r="C72" s="11"/>
      <c r="D72" s="7"/>
      <c r="E72" s="2"/>
      <c r="F72" s="6">
        <f t="shared" si="44"/>
        <v>0</v>
      </c>
      <c r="G72" s="2"/>
      <c r="H72" s="7">
        <v>350</v>
      </c>
      <c r="I72" s="2"/>
      <c r="J72" s="6">
        <f t="shared" si="45"/>
        <v>6.8093385214007783E-3</v>
      </c>
      <c r="K72" s="2"/>
      <c r="L72" s="7">
        <f t="shared" si="46"/>
        <v>-350</v>
      </c>
      <c r="M72" s="2"/>
      <c r="N72" s="6">
        <f t="shared" si="47"/>
        <v>-1</v>
      </c>
      <c r="O72" s="11"/>
      <c r="P72" s="7">
        <v>2299.7800000000002</v>
      </c>
      <c r="Q72" s="2"/>
      <c r="R72" s="6">
        <f t="shared" si="48"/>
        <v>4.5873907533052621E-3</v>
      </c>
      <c r="S72" s="2"/>
      <c r="T72" s="7">
        <v>2450</v>
      </c>
      <c r="U72" s="2"/>
      <c r="V72" s="6">
        <f t="shared" si="49"/>
        <v>4.5927453369575405E-3</v>
      </c>
      <c r="W72" s="2"/>
      <c r="X72" s="7">
        <f t="shared" si="50"/>
        <v>-150.2199999999998</v>
      </c>
      <c r="Y72" s="2"/>
      <c r="Z72" s="6">
        <f t="shared" si="51"/>
        <v>-6.1314285714285634E-2</v>
      </c>
    </row>
    <row r="73" spans="1:26" s="24" customFormat="1" hidden="1" outlineLevel="2" x14ac:dyDescent="0.25">
      <c r="A73" s="25"/>
      <c r="B73" s="11" t="str">
        <f>CONCATENATE("          ", "6283", " - ", "PLANT SERVICE")</f>
        <v xml:space="preserve">          6283 - PLANT SERVICE</v>
      </c>
      <c r="C73" s="11"/>
      <c r="D73" s="7"/>
      <c r="E73" s="2"/>
      <c r="F73" s="6">
        <f t="shared" si="44"/>
        <v>0</v>
      </c>
      <c r="G73" s="2"/>
      <c r="H73" s="7">
        <v>60</v>
      </c>
      <c r="I73" s="2"/>
      <c r="J73" s="6">
        <f t="shared" si="45"/>
        <v>1.1673151750972762E-3</v>
      </c>
      <c r="K73" s="2"/>
      <c r="L73" s="7">
        <f t="shared" si="46"/>
        <v>-60</v>
      </c>
      <c r="M73" s="2"/>
      <c r="N73" s="6">
        <f t="shared" si="47"/>
        <v>-1</v>
      </c>
      <c r="O73" s="11"/>
      <c r="P73" s="7">
        <v>246.2</v>
      </c>
      <c r="Q73" s="2"/>
      <c r="R73" s="6">
        <f t="shared" si="48"/>
        <v>4.9109723689385741E-4</v>
      </c>
      <c r="S73" s="2"/>
      <c r="T73" s="7">
        <v>420</v>
      </c>
      <c r="U73" s="2"/>
      <c r="V73" s="6">
        <f t="shared" si="49"/>
        <v>7.8732777204986414E-4</v>
      </c>
      <c r="W73" s="2"/>
      <c r="X73" s="7">
        <f t="shared" si="50"/>
        <v>-173.8</v>
      </c>
      <c r="Y73" s="2"/>
      <c r="Z73" s="6">
        <f t="shared" si="51"/>
        <v>-0.41380952380952385</v>
      </c>
    </row>
    <row r="74" spans="1:26" s="24" customFormat="1" hidden="1" outlineLevel="2" x14ac:dyDescent="0.25">
      <c r="A74" s="25"/>
      <c r="B74" s="11" t="str">
        <f>CONCATENATE("          ", "6284", " - ", "TRASH REMOVAL EXPENSE")</f>
        <v xml:space="preserve">          6284 - TRASH REMOVAL EXPENSE</v>
      </c>
      <c r="C74" s="11"/>
      <c r="D74" s="7">
        <v>761</v>
      </c>
      <c r="E74" s="2"/>
      <c r="F74" s="6">
        <f t="shared" si="44"/>
        <v>1.5410386073709032E-2</v>
      </c>
      <c r="G74" s="2"/>
      <c r="H74" s="7">
        <v>475</v>
      </c>
      <c r="I74" s="2"/>
      <c r="J74" s="6">
        <f t="shared" si="45"/>
        <v>9.2412451361867706E-3</v>
      </c>
      <c r="K74" s="2"/>
      <c r="L74" s="7">
        <f t="shared" si="46"/>
        <v>286</v>
      </c>
      <c r="M74" s="2"/>
      <c r="N74" s="6">
        <f t="shared" si="47"/>
        <v>0.6021052631578947</v>
      </c>
      <c r="O74" s="11"/>
      <c r="P74" s="7">
        <v>5319</v>
      </c>
      <c r="Q74" s="2"/>
      <c r="R74" s="6">
        <f t="shared" si="48"/>
        <v>1.0609854602105718E-2</v>
      </c>
      <c r="S74" s="2"/>
      <c r="T74" s="7">
        <v>3325</v>
      </c>
      <c r="U74" s="2"/>
      <c r="V74" s="6">
        <f t="shared" si="49"/>
        <v>6.2330115287280909E-3</v>
      </c>
      <c r="W74" s="2"/>
      <c r="X74" s="7">
        <f t="shared" si="50"/>
        <v>1994</v>
      </c>
      <c r="Y74" s="2"/>
      <c r="Z74" s="6">
        <f t="shared" si="51"/>
        <v>0.59969924812030073</v>
      </c>
    </row>
    <row r="75" spans="1:26" s="24" customFormat="1" hidden="1" outlineLevel="2" x14ac:dyDescent="0.25">
      <c r="A75" s="25"/>
      <c r="B75" s="11" t="str">
        <f>CONCATENATE("          ", "6285", " - ", "JANITORIAL SERVICES")</f>
        <v xml:space="preserve">          6285 - JANITORIAL SERVICES</v>
      </c>
      <c r="C75" s="11"/>
      <c r="D75" s="7">
        <v>4049.35</v>
      </c>
      <c r="E75" s="2"/>
      <c r="F75" s="6">
        <f t="shared" si="44"/>
        <v>8.2000061560543583E-2</v>
      </c>
      <c r="G75" s="2"/>
      <c r="H75" s="7">
        <v>3000</v>
      </c>
      <c r="I75" s="2"/>
      <c r="J75" s="6">
        <f t="shared" si="45"/>
        <v>5.8365758754863814E-2</v>
      </c>
      <c r="K75" s="2"/>
      <c r="L75" s="7">
        <f t="shared" si="46"/>
        <v>1049.3499999999999</v>
      </c>
      <c r="M75" s="2"/>
      <c r="N75" s="6">
        <f t="shared" si="47"/>
        <v>0.34978333333333328</v>
      </c>
      <c r="O75" s="11"/>
      <c r="P75" s="7">
        <v>22595.05</v>
      </c>
      <c r="Q75" s="2"/>
      <c r="R75" s="6">
        <f t="shared" si="48"/>
        <v>4.5070538677817032E-2</v>
      </c>
      <c r="S75" s="2"/>
      <c r="T75" s="7">
        <v>21000</v>
      </c>
      <c r="U75" s="2"/>
      <c r="V75" s="6">
        <f t="shared" si="49"/>
        <v>3.9366388602493203E-2</v>
      </c>
      <c r="W75" s="2"/>
      <c r="X75" s="7">
        <f t="shared" si="50"/>
        <v>1595.0499999999993</v>
      </c>
      <c r="Y75" s="2"/>
      <c r="Z75" s="6">
        <f t="shared" si="51"/>
        <v>7.5954761904761872E-2</v>
      </c>
    </row>
    <row r="76" spans="1:26" s="24" customFormat="1" hidden="1" outlineLevel="2" x14ac:dyDescent="0.25">
      <c r="A76" s="25"/>
      <c r="B76" s="11" t="str">
        <f>CONCATENATE("          ", "6286", " - ", "LAUNDRY EXPENSE")</f>
        <v xml:space="preserve">          6286 - LAUNDRY EXPENSE</v>
      </c>
      <c r="C76" s="11"/>
      <c r="D76" s="7">
        <v>368.46</v>
      </c>
      <c r="E76" s="2"/>
      <c r="F76" s="6">
        <f t="shared" si="44"/>
        <v>7.4613808839932051E-3</v>
      </c>
      <c r="G76" s="2"/>
      <c r="H76" s="7">
        <v>250</v>
      </c>
      <c r="I76" s="2"/>
      <c r="J76" s="6">
        <f t="shared" si="45"/>
        <v>4.8638132295719845E-3</v>
      </c>
      <c r="K76" s="2"/>
      <c r="L76" s="7">
        <f t="shared" si="46"/>
        <v>118.45999999999998</v>
      </c>
      <c r="M76" s="2"/>
      <c r="N76" s="6">
        <f t="shared" si="47"/>
        <v>0.47383999999999993</v>
      </c>
      <c r="O76" s="11"/>
      <c r="P76" s="7">
        <v>1823.6</v>
      </c>
      <c r="Q76" s="2"/>
      <c r="R76" s="6">
        <f t="shared" si="48"/>
        <v>3.6375504516638442E-3</v>
      </c>
      <c r="S76" s="2"/>
      <c r="T76" s="7">
        <v>1350</v>
      </c>
      <c r="U76" s="2"/>
      <c r="V76" s="6">
        <f t="shared" si="49"/>
        <v>2.5306964101602775E-3</v>
      </c>
      <c r="W76" s="2"/>
      <c r="X76" s="7">
        <f t="shared" si="50"/>
        <v>473.59999999999991</v>
      </c>
      <c r="Y76" s="2"/>
      <c r="Z76" s="6">
        <f t="shared" si="51"/>
        <v>0.35081481481481475</v>
      </c>
    </row>
    <row r="77" spans="1:26" s="27" customFormat="1" outlineLevel="1" collapsed="1" x14ac:dyDescent="0.25">
      <c r="A77" s="26"/>
      <c r="B77" s="13" t="str">
        <f>CONCATENATE("     ","Subscriptions &amp; Dues                              ")</f>
        <v xml:space="preserve">     Subscriptions &amp; Dues                              </v>
      </c>
      <c r="C77" s="13"/>
      <c r="D77" s="1">
        <f>SUM(OSRRefD22_13x_0)</f>
        <v>327.90999999999997</v>
      </c>
      <c r="E77" s="1"/>
      <c r="F77" s="5">
        <f t="shared" ref="F77:F79" si="52">IF(D$12=0,0,D77/D$12)</f>
        <v>6.6402361332850565E-3</v>
      </c>
      <c r="G77" s="1"/>
      <c r="H77" s="1">
        <f>SUM(OSRRefH22_13x_0)</f>
        <v>200</v>
      </c>
      <c r="I77" s="1"/>
      <c r="J77" s="5">
        <f t="shared" ref="J77:J79" si="53">IF(H$12=0,0,H77/H$12)</f>
        <v>3.8910505836575876E-3</v>
      </c>
      <c r="K77" s="1"/>
      <c r="L77" s="1">
        <f t="shared" ref="L77:L79" si="54">+D77-H77</f>
        <v>127.90999999999997</v>
      </c>
      <c r="M77" s="1"/>
      <c r="N77" s="5">
        <f t="shared" ref="N77:N79" si="55">IF(H77=0,0,L77/H77)</f>
        <v>0.63954999999999984</v>
      </c>
      <c r="O77" s="13"/>
      <c r="P77" s="1">
        <f>SUM(OSRRefP22_13x_0)</f>
        <v>2486.17</v>
      </c>
      <c r="Q77" s="1"/>
      <c r="R77" s="5">
        <f t="shared" ref="R77:R79" si="56">IF(P$12=0,0,P77/P$12)</f>
        <v>4.9591844737952948E-3</v>
      </c>
      <c r="S77" s="1"/>
      <c r="T77" s="1">
        <f>SUM(OSRRefT22_13x_0)</f>
        <v>1400</v>
      </c>
      <c r="U77" s="1"/>
      <c r="V77" s="5">
        <f t="shared" ref="V77:V79" si="57">IF(T$12=0,0,T77/T$12)</f>
        <v>2.6244259068328802E-3</v>
      </c>
      <c r="W77" s="1"/>
      <c r="X77" s="1">
        <f t="shared" ref="X77:X79" si="58">+P77-T77</f>
        <v>1086.17</v>
      </c>
      <c r="Y77" s="1"/>
      <c r="Z77" s="5">
        <f t="shared" ref="Z77:Z79" si="59">IF(T77=0,0,X77/T77)</f>
        <v>0.7758357142857143</v>
      </c>
    </row>
    <row r="78" spans="1:26" s="24" customFormat="1" hidden="1" outlineLevel="2" x14ac:dyDescent="0.25">
      <c r="A78" s="25"/>
      <c r="B78" s="11" t="str">
        <f>CONCATENATE("          ", "6258", " - ", "MEMBERSHIP DUES")</f>
        <v xml:space="preserve">          6258 - MEMBERSHIP DUES</v>
      </c>
      <c r="C78" s="11"/>
      <c r="D78" s="7">
        <v>131.19999999999999</v>
      </c>
      <c r="E78" s="2"/>
      <c r="F78" s="6">
        <f t="shared" si="52"/>
        <v>2.6568234597511495E-3</v>
      </c>
      <c r="G78" s="2"/>
      <c r="H78" s="7"/>
      <c r="I78" s="2"/>
      <c r="J78" s="6">
        <f t="shared" si="53"/>
        <v>0</v>
      </c>
      <c r="K78" s="2"/>
      <c r="L78" s="7">
        <f t="shared" si="54"/>
        <v>131.19999999999999</v>
      </c>
      <c r="M78" s="2"/>
      <c r="N78" s="6">
        <f t="shared" si="55"/>
        <v>0</v>
      </c>
      <c r="O78" s="11"/>
      <c r="P78" s="7">
        <v>1109.2</v>
      </c>
      <c r="Q78" s="2"/>
      <c r="R78" s="6">
        <f t="shared" si="56"/>
        <v>2.2125306870945031E-3</v>
      </c>
      <c r="S78" s="2"/>
      <c r="T78" s="7"/>
      <c r="U78" s="2"/>
      <c r="V78" s="6">
        <f t="shared" si="57"/>
        <v>0</v>
      </c>
      <c r="W78" s="2"/>
      <c r="X78" s="7">
        <f t="shared" si="58"/>
        <v>1109.2</v>
      </c>
      <c r="Y78" s="2"/>
      <c r="Z78" s="6">
        <f t="shared" si="59"/>
        <v>0</v>
      </c>
    </row>
    <row r="79" spans="1:26" s="24" customFormat="1" hidden="1" outlineLevel="2" x14ac:dyDescent="0.25">
      <c r="A79" s="25"/>
      <c r="B79" s="11" t="str">
        <f>CONCATENATE("          ", "6275", " - ", "SUBSCRIPTIONS")</f>
        <v xml:space="preserve">          6275 - SUBSCRIPTIONS</v>
      </c>
      <c r="C79" s="11"/>
      <c r="D79" s="7">
        <v>196.71</v>
      </c>
      <c r="E79" s="2"/>
      <c r="F79" s="6">
        <f t="shared" si="52"/>
        <v>3.9834126735339079E-3</v>
      </c>
      <c r="G79" s="2"/>
      <c r="H79" s="7">
        <v>200</v>
      </c>
      <c r="I79" s="2"/>
      <c r="J79" s="6">
        <f t="shared" si="53"/>
        <v>3.8910505836575876E-3</v>
      </c>
      <c r="K79" s="2"/>
      <c r="L79" s="7">
        <f t="shared" si="54"/>
        <v>-3.289999999999992</v>
      </c>
      <c r="M79" s="2"/>
      <c r="N79" s="6">
        <f t="shared" si="55"/>
        <v>-1.6449999999999961E-2</v>
      </c>
      <c r="O79" s="11"/>
      <c r="P79" s="7">
        <v>1376.97</v>
      </c>
      <c r="Q79" s="2"/>
      <c r="R79" s="6">
        <f t="shared" si="56"/>
        <v>2.7466537867007917E-3</v>
      </c>
      <c r="S79" s="2"/>
      <c r="T79" s="7">
        <v>1400</v>
      </c>
      <c r="U79" s="2"/>
      <c r="V79" s="6">
        <f t="shared" si="57"/>
        <v>2.6244259068328802E-3</v>
      </c>
      <c r="W79" s="2"/>
      <c r="X79" s="7">
        <f t="shared" si="58"/>
        <v>-23.029999999999973</v>
      </c>
      <c r="Y79" s="2"/>
      <c r="Z79" s="6">
        <f t="shared" si="59"/>
        <v>-1.6449999999999982E-2</v>
      </c>
    </row>
    <row r="80" spans="1:26" s="27" customFormat="1" outlineLevel="1" collapsed="1" x14ac:dyDescent="0.25">
      <c r="A80" s="26"/>
      <c r="B80" s="13" t="str">
        <f>CONCATENATE("     ","Supplies                                          ")</f>
        <v xml:space="preserve">     Supplies                                          </v>
      </c>
      <c r="C80" s="13"/>
      <c r="D80" s="1">
        <f>SUM(OSRRefD22_14x_0)</f>
        <v>2781.96</v>
      </c>
      <c r="E80" s="1"/>
      <c r="F80" s="5">
        <f t="shared" ref="F80:F88" si="60">IF(D$12=0,0,D80/D$12)</f>
        <v>5.6335187439705094E-2</v>
      </c>
      <c r="G80" s="1"/>
      <c r="H80" s="1">
        <f>SUM(OSRRefH22_14x_0)</f>
        <v>2860</v>
      </c>
      <c r="I80" s="1"/>
      <c r="J80" s="5">
        <f t="shared" ref="J80:J88" si="61">IF(H$12=0,0,H80/H$12)</f>
        <v>5.5642023346303499E-2</v>
      </c>
      <c r="K80" s="1"/>
      <c r="L80" s="1">
        <f t="shared" ref="L80:L88" si="62">+D80-H80</f>
        <v>-78.039999999999964</v>
      </c>
      <c r="M80" s="1"/>
      <c r="N80" s="5">
        <f t="shared" ref="N80:N88" si="63">IF(H80=0,0,L80/H80)</f>
        <v>-2.7286713286713275E-2</v>
      </c>
      <c r="O80" s="13"/>
      <c r="P80" s="1">
        <f>SUM(OSRRefP22_14x_0)</f>
        <v>17937.330000000005</v>
      </c>
      <c r="Q80" s="1"/>
      <c r="R80" s="5">
        <f t="shared" ref="R80:R88" si="64">IF(P$12=0,0,P80/P$12)</f>
        <v>3.57797449238558E-2</v>
      </c>
      <c r="S80" s="1"/>
      <c r="T80" s="1">
        <f>SUM(OSRRefT22_14x_0)</f>
        <v>12570</v>
      </c>
      <c r="U80" s="1"/>
      <c r="V80" s="5">
        <f t="shared" ref="V80:V88" si="65">IF(T$12=0,0,T80/T$12)</f>
        <v>2.3563595463492362E-2</v>
      </c>
      <c r="W80" s="1"/>
      <c r="X80" s="1">
        <f t="shared" ref="X80:X88" si="66">+P80-T80</f>
        <v>5367.3300000000054</v>
      </c>
      <c r="Y80" s="1"/>
      <c r="Z80" s="5">
        <f t="shared" ref="Z80:Z88" si="67">IF(T80=0,0,X80/T80)</f>
        <v>0.42699522673031071</v>
      </c>
    </row>
    <row r="81" spans="1:26" s="24" customFormat="1" hidden="1" outlineLevel="2" x14ac:dyDescent="0.25">
      <c r="A81" s="25"/>
      <c r="B81" s="11" t="str">
        <f>CONCATENATE("          ", "6234", " - ", "EXPENDABLE SUPPLIES &amp; EQUIPMEN")</f>
        <v xml:space="preserve">          6234 - EXPENDABLE SUPPLIES &amp; EQUIPMEN</v>
      </c>
      <c r="C81" s="11"/>
      <c r="D81" s="7">
        <v>1008.79</v>
      </c>
      <c r="E81" s="2"/>
      <c r="F81" s="6">
        <f t="shared" si="60"/>
        <v>2.0428177880810687E-2</v>
      </c>
      <c r="G81" s="2"/>
      <c r="H81" s="7">
        <v>200</v>
      </c>
      <c r="I81" s="2"/>
      <c r="J81" s="6">
        <f t="shared" si="61"/>
        <v>3.8910505836575876E-3</v>
      </c>
      <c r="K81" s="2"/>
      <c r="L81" s="7">
        <f t="shared" si="62"/>
        <v>808.79</v>
      </c>
      <c r="M81" s="2"/>
      <c r="N81" s="6">
        <f t="shared" si="63"/>
        <v>4.0439499999999997</v>
      </c>
      <c r="O81" s="11"/>
      <c r="P81" s="7">
        <v>1076.51</v>
      </c>
      <c r="Q81" s="2"/>
      <c r="R81" s="6">
        <f t="shared" si="64"/>
        <v>2.1473236656726503E-3</v>
      </c>
      <c r="S81" s="2"/>
      <c r="T81" s="7">
        <v>600</v>
      </c>
      <c r="U81" s="2"/>
      <c r="V81" s="6">
        <f t="shared" si="65"/>
        <v>1.1247539600712344E-3</v>
      </c>
      <c r="W81" s="2"/>
      <c r="X81" s="7">
        <f t="shared" si="66"/>
        <v>476.51</v>
      </c>
      <c r="Y81" s="2"/>
      <c r="Z81" s="6">
        <f t="shared" si="67"/>
        <v>0.79418333333333335</v>
      </c>
    </row>
    <row r="82" spans="1:26" s="24" customFormat="1" hidden="1" outlineLevel="2" x14ac:dyDescent="0.25">
      <c r="A82" s="25"/>
      <c r="B82" s="11" t="str">
        <f>CONCATENATE("          ", "6237", " - ", "JANITORIAL SUPPLIES")</f>
        <v xml:space="preserve">          6237 - JANITORIAL SUPPLIES</v>
      </c>
      <c r="C82" s="11"/>
      <c r="D82" s="7">
        <v>819.57</v>
      </c>
      <c r="E82" s="2"/>
      <c r="F82" s="6">
        <f t="shared" si="60"/>
        <v>1.6596439046556784E-2</v>
      </c>
      <c r="G82" s="2"/>
      <c r="H82" s="7">
        <v>400</v>
      </c>
      <c r="I82" s="2"/>
      <c r="J82" s="6">
        <f t="shared" si="61"/>
        <v>7.7821011673151752E-3</v>
      </c>
      <c r="K82" s="2"/>
      <c r="L82" s="7">
        <f t="shared" si="62"/>
        <v>419.57000000000005</v>
      </c>
      <c r="M82" s="2"/>
      <c r="N82" s="6">
        <f t="shared" si="63"/>
        <v>1.0489250000000001</v>
      </c>
      <c r="O82" s="11"/>
      <c r="P82" s="7">
        <v>6528.27</v>
      </c>
      <c r="Q82" s="2"/>
      <c r="R82" s="6">
        <f t="shared" si="64"/>
        <v>1.3021995770499849E-2</v>
      </c>
      <c r="S82" s="2"/>
      <c r="T82" s="7">
        <v>2650</v>
      </c>
      <c r="U82" s="2"/>
      <c r="V82" s="6">
        <f t="shared" si="65"/>
        <v>4.967663323647952E-3</v>
      </c>
      <c r="W82" s="2"/>
      <c r="X82" s="7">
        <f t="shared" si="66"/>
        <v>3878.2700000000004</v>
      </c>
      <c r="Y82" s="2"/>
      <c r="Z82" s="6">
        <f t="shared" si="67"/>
        <v>1.4634981132075473</v>
      </c>
    </row>
    <row r="83" spans="1:26" s="24" customFormat="1" hidden="1" outlineLevel="2" x14ac:dyDescent="0.25">
      <c r="A83" s="25"/>
      <c r="B83" s="11" t="str">
        <f>CONCATENATE("          ", "6239", " - ", "KITCHEN SUPPLIES")</f>
        <v xml:space="preserve">          6239 - KITCHEN SUPPLIES</v>
      </c>
      <c r="C83" s="11"/>
      <c r="D83" s="7"/>
      <c r="E83" s="2"/>
      <c r="F83" s="6">
        <f t="shared" si="60"/>
        <v>0</v>
      </c>
      <c r="G83" s="2"/>
      <c r="H83" s="7">
        <v>200</v>
      </c>
      <c r="I83" s="2"/>
      <c r="J83" s="6">
        <f t="shared" si="61"/>
        <v>3.8910505836575876E-3</v>
      </c>
      <c r="K83" s="2"/>
      <c r="L83" s="7">
        <f t="shared" si="62"/>
        <v>-200</v>
      </c>
      <c r="M83" s="2"/>
      <c r="N83" s="6">
        <f t="shared" si="63"/>
        <v>-1</v>
      </c>
      <c r="O83" s="11"/>
      <c r="P83" s="7">
        <v>231.26</v>
      </c>
      <c r="Q83" s="2"/>
      <c r="R83" s="6">
        <f t="shared" si="64"/>
        <v>4.612962916493642E-4</v>
      </c>
      <c r="S83" s="2"/>
      <c r="T83" s="7">
        <v>650</v>
      </c>
      <c r="U83" s="2"/>
      <c r="V83" s="6">
        <f t="shared" si="65"/>
        <v>1.2184834567438372E-3</v>
      </c>
      <c r="W83" s="2"/>
      <c r="X83" s="7">
        <f t="shared" si="66"/>
        <v>-418.74</v>
      </c>
      <c r="Y83" s="2"/>
      <c r="Z83" s="6">
        <f t="shared" si="67"/>
        <v>-0.64421538461538463</v>
      </c>
    </row>
    <row r="84" spans="1:26" s="24" customFormat="1" hidden="1" outlineLevel="2" x14ac:dyDescent="0.25">
      <c r="A84" s="25"/>
      <c r="B84" s="11" t="str">
        <f>CONCATENATE("          ", "6241", " - ", "OFFICE EXPENSE")</f>
        <v xml:space="preserve">          6241 - OFFICE EXPENSE</v>
      </c>
      <c r="C84" s="11"/>
      <c r="D84" s="7">
        <v>51.44</v>
      </c>
      <c r="E84" s="2"/>
      <c r="F84" s="6">
        <f t="shared" si="60"/>
        <v>1.0416691979390179E-3</v>
      </c>
      <c r="G84" s="2"/>
      <c r="H84" s="7">
        <v>100</v>
      </c>
      <c r="I84" s="2"/>
      <c r="J84" s="6">
        <f t="shared" si="61"/>
        <v>1.9455252918287938E-3</v>
      </c>
      <c r="K84" s="2"/>
      <c r="L84" s="7">
        <f t="shared" si="62"/>
        <v>-48.56</v>
      </c>
      <c r="M84" s="2"/>
      <c r="N84" s="6">
        <f t="shared" si="63"/>
        <v>-0.48560000000000003</v>
      </c>
      <c r="O84" s="11"/>
      <c r="P84" s="7">
        <v>5626.26</v>
      </c>
      <c r="Q84" s="2"/>
      <c r="R84" s="6">
        <f t="shared" si="64"/>
        <v>1.1222748741049693E-2</v>
      </c>
      <c r="S84" s="2"/>
      <c r="T84" s="7">
        <v>850</v>
      </c>
      <c r="U84" s="2"/>
      <c r="V84" s="6">
        <f t="shared" si="65"/>
        <v>1.5934014434342487E-3</v>
      </c>
      <c r="W84" s="2"/>
      <c r="X84" s="7">
        <f t="shared" si="66"/>
        <v>4776.26</v>
      </c>
      <c r="Y84" s="2"/>
      <c r="Z84" s="6">
        <f t="shared" si="67"/>
        <v>5.6191294117647059</v>
      </c>
    </row>
    <row r="85" spans="1:26" s="24" customFormat="1" hidden="1" outlineLevel="2" x14ac:dyDescent="0.25">
      <c r="A85" s="25"/>
      <c r="B85" s="11" t="str">
        <f>CONCATENATE("          ", "6243", " - ", "PAPER SUPPLIES")</f>
        <v xml:space="preserve">          6243 - PAPER SUPPLIES</v>
      </c>
      <c r="C85" s="11"/>
      <c r="D85" s="7">
        <v>842.16</v>
      </c>
      <c r="E85" s="2"/>
      <c r="F85" s="6">
        <f t="shared" si="60"/>
        <v>1.7053890585853874E-2</v>
      </c>
      <c r="G85" s="2"/>
      <c r="H85" s="7">
        <v>1000</v>
      </c>
      <c r="I85" s="2"/>
      <c r="J85" s="6">
        <f t="shared" si="61"/>
        <v>1.9455252918287938E-2</v>
      </c>
      <c r="K85" s="2"/>
      <c r="L85" s="7">
        <f t="shared" si="62"/>
        <v>-157.84000000000003</v>
      </c>
      <c r="M85" s="2"/>
      <c r="N85" s="6">
        <f t="shared" si="63"/>
        <v>-0.15784000000000004</v>
      </c>
      <c r="O85" s="11"/>
      <c r="P85" s="7">
        <v>3989</v>
      </c>
      <c r="Q85" s="2"/>
      <c r="R85" s="6">
        <f t="shared" si="64"/>
        <v>7.9568922744500305E-3</v>
      </c>
      <c r="S85" s="2"/>
      <c r="T85" s="7">
        <v>5500</v>
      </c>
      <c r="U85" s="2"/>
      <c r="V85" s="6">
        <f t="shared" si="65"/>
        <v>1.0310244633986316E-2</v>
      </c>
      <c r="W85" s="2"/>
      <c r="X85" s="7">
        <f t="shared" si="66"/>
        <v>-1511</v>
      </c>
      <c r="Y85" s="2"/>
      <c r="Z85" s="6">
        <f t="shared" si="67"/>
        <v>-0.27472727272727271</v>
      </c>
    </row>
    <row r="86" spans="1:26" s="24" customFormat="1" hidden="1" outlineLevel="2" x14ac:dyDescent="0.25">
      <c r="A86" s="25"/>
      <c r="B86" s="11" t="str">
        <f>CONCATENATE("          ", "6244", " - ", "SAFETY SUPPLY EXPENSE")</f>
        <v xml:space="preserve">          6244 - SAFETY SUPPLY EXPENSE</v>
      </c>
      <c r="C86" s="11"/>
      <c r="D86" s="7"/>
      <c r="E86" s="2"/>
      <c r="F86" s="6">
        <f t="shared" si="60"/>
        <v>0</v>
      </c>
      <c r="G86" s="2"/>
      <c r="H86" s="7">
        <v>60</v>
      </c>
      <c r="I86" s="2"/>
      <c r="J86" s="6">
        <f t="shared" si="61"/>
        <v>1.1673151750972762E-3</v>
      </c>
      <c r="K86" s="2"/>
      <c r="L86" s="7">
        <f t="shared" si="62"/>
        <v>-60</v>
      </c>
      <c r="M86" s="2"/>
      <c r="N86" s="6">
        <f t="shared" si="63"/>
        <v>-1</v>
      </c>
      <c r="O86" s="11"/>
      <c r="P86" s="7"/>
      <c r="Q86" s="2"/>
      <c r="R86" s="6">
        <f t="shared" si="64"/>
        <v>0</v>
      </c>
      <c r="S86" s="2"/>
      <c r="T86" s="7">
        <v>420</v>
      </c>
      <c r="U86" s="2"/>
      <c r="V86" s="6">
        <f t="shared" si="65"/>
        <v>7.8732777204986414E-4</v>
      </c>
      <c r="W86" s="2"/>
      <c r="X86" s="7">
        <f t="shared" si="66"/>
        <v>-420</v>
      </c>
      <c r="Y86" s="2"/>
      <c r="Z86" s="6">
        <f t="shared" si="67"/>
        <v>-1</v>
      </c>
    </row>
    <row r="87" spans="1:26" s="24" customFormat="1" hidden="1" outlineLevel="2" x14ac:dyDescent="0.25">
      <c r="A87" s="25"/>
      <c r="B87" s="11" t="str">
        <f>CONCATENATE("          ", "6247", " - ", "STORE SUPPLIES")</f>
        <v xml:space="preserve">          6247 - STORE SUPPLIES</v>
      </c>
      <c r="C87" s="11"/>
      <c r="D87" s="7">
        <v>60</v>
      </c>
      <c r="E87" s="2"/>
      <c r="F87" s="6">
        <f t="shared" si="60"/>
        <v>1.2150107285447331E-3</v>
      </c>
      <c r="G87" s="2"/>
      <c r="H87" s="7">
        <v>100</v>
      </c>
      <c r="I87" s="2"/>
      <c r="J87" s="6">
        <f t="shared" si="61"/>
        <v>1.9455252918287938E-3</v>
      </c>
      <c r="K87" s="2"/>
      <c r="L87" s="7">
        <f t="shared" si="62"/>
        <v>-40</v>
      </c>
      <c r="M87" s="2"/>
      <c r="N87" s="6">
        <f t="shared" si="63"/>
        <v>-0.4</v>
      </c>
      <c r="O87" s="11"/>
      <c r="P87" s="7">
        <v>470.56</v>
      </c>
      <c r="Q87" s="2"/>
      <c r="R87" s="6">
        <f t="shared" si="64"/>
        <v>9.3863003977568468E-4</v>
      </c>
      <c r="S87" s="2"/>
      <c r="T87" s="7">
        <v>300</v>
      </c>
      <c r="U87" s="2"/>
      <c r="V87" s="6">
        <f t="shared" si="65"/>
        <v>5.6237698003561718E-4</v>
      </c>
      <c r="W87" s="2"/>
      <c r="X87" s="7">
        <f t="shared" si="66"/>
        <v>170.56</v>
      </c>
      <c r="Y87" s="2"/>
      <c r="Z87" s="6">
        <f t="shared" si="67"/>
        <v>0.56853333333333333</v>
      </c>
    </row>
    <row r="88" spans="1:26" s="24" customFormat="1" hidden="1" outlineLevel="2" x14ac:dyDescent="0.25">
      <c r="A88" s="25"/>
      <c r="B88" s="11" t="str">
        <f>CONCATENATE("          ", "6248", " - ", "UNIFORMS")</f>
        <v xml:space="preserve">          6248 - UNIFORMS</v>
      </c>
      <c r="C88" s="11"/>
      <c r="D88" s="7"/>
      <c r="E88" s="2"/>
      <c r="F88" s="6">
        <f t="shared" si="60"/>
        <v>0</v>
      </c>
      <c r="G88" s="2"/>
      <c r="H88" s="7">
        <v>800</v>
      </c>
      <c r="I88" s="2"/>
      <c r="J88" s="6">
        <f t="shared" si="61"/>
        <v>1.556420233463035E-2</v>
      </c>
      <c r="K88" s="2"/>
      <c r="L88" s="7">
        <f t="shared" si="62"/>
        <v>-800</v>
      </c>
      <c r="M88" s="2"/>
      <c r="N88" s="6">
        <f t="shared" si="63"/>
        <v>-1</v>
      </c>
      <c r="O88" s="11"/>
      <c r="P88" s="7">
        <v>15.47</v>
      </c>
      <c r="Q88" s="2"/>
      <c r="R88" s="6">
        <f t="shared" si="64"/>
        <v>3.0858140758521424E-5</v>
      </c>
      <c r="S88" s="2"/>
      <c r="T88" s="7">
        <v>1600</v>
      </c>
      <c r="U88" s="2"/>
      <c r="V88" s="6">
        <f t="shared" si="65"/>
        <v>2.9993438935232916E-3</v>
      </c>
      <c r="W88" s="2"/>
      <c r="X88" s="7">
        <f t="shared" si="66"/>
        <v>-1584.53</v>
      </c>
      <c r="Y88" s="2"/>
      <c r="Z88" s="6">
        <f t="shared" si="67"/>
        <v>-0.99033125</v>
      </c>
    </row>
    <row r="89" spans="1:26" s="27" customFormat="1" outlineLevel="1" collapsed="1" x14ac:dyDescent="0.25">
      <c r="A89" s="26"/>
      <c r="B89" s="13" t="str">
        <f>CONCATENATE("     ","Telephone/Data Lines                              ")</f>
        <v xml:space="preserve">     Telephone/Data Lines                              </v>
      </c>
      <c r="C89" s="13"/>
      <c r="D89" s="1">
        <f>SUM(OSRRefD22_15x_0)</f>
        <v>134.19999999999999</v>
      </c>
      <c r="E89" s="1"/>
      <c r="F89" s="5">
        <f t="shared" ref="F89:F95" si="68">IF(D$12=0,0,D89/D$12)</f>
        <v>2.7175739961783859E-3</v>
      </c>
      <c r="G89" s="1"/>
      <c r="H89" s="1">
        <f>SUM(OSRRefH22_15x_0)</f>
        <v>150</v>
      </c>
      <c r="I89" s="1"/>
      <c r="J89" s="5">
        <f t="shared" ref="J89:J95" si="69">IF(H$12=0,0,H89/H$12)</f>
        <v>2.9182879377431907E-3</v>
      </c>
      <c r="K89" s="1"/>
      <c r="L89" s="1">
        <f t="shared" ref="L89:L95" si="70">+D89-H89</f>
        <v>-15.800000000000011</v>
      </c>
      <c r="M89" s="1"/>
      <c r="N89" s="5">
        <f t="shared" ref="N89:N95" si="71">IF(H89=0,0,L89/H89)</f>
        <v>-0.1053333333333334</v>
      </c>
      <c r="O89" s="13"/>
      <c r="P89" s="1">
        <f>SUM(OSRRefP22_15x_0)</f>
        <v>986.2</v>
      </c>
      <c r="Q89" s="1"/>
      <c r="R89" s="5">
        <f t="shared" ref="R89:R95" si="72">IF(P$12=0,0,P89/P$12)</f>
        <v>1.9671815394992779E-3</v>
      </c>
      <c r="S89" s="1"/>
      <c r="T89" s="1">
        <f>SUM(OSRRefT22_15x_0)</f>
        <v>1050</v>
      </c>
      <c r="U89" s="1"/>
      <c r="V89" s="5">
        <f t="shared" ref="V89:V95" si="73">IF(T$12=0,0,T89/T$12)</f>
        <v>1.9683194301246603E-3</v>
      </c>
      <c r="W89" s="1"/>
      <c r="X89" s="1">
        <f t="shared" ref="X89:X95" si="74">+P89-T89</f>
        <v>-63.799999999999955</v>
      </c>
      <c r="Y89" s="1"/>
      <c r="Z89" s="5">
        <f t="shared" ref="Z89:Z95" si="75">IF(T89=0,0,X89/T89)</f>
        <v>-6.0761904761904718E-2</v>
      </c>
    </row>
    <row r="90" spans="1:26" s="24" customFormat="1" hidden="1" outlineLevel="2" x14ac:dyDescent="0.25">
      <c r="A90" s="25"/>
      <c r="B90" s="11" t="str">
        <f>CONCATENATE("          ", "6309", " - ", "TELEPHONE")</f>
        <v xml:space="preserve">          6309 - TELEPHONE</v>
      </c>
      <c r="C90" s="11"/>
      <c r="D90" s="7">
        <v>134.19999999999999</v>
      </c>
      <c r="E90" s="2"/>
      <c r="F90" s="6">
        <f t="shared" si="68"/>
        <v>2.7175739961783859E-3</v>
      </c>
      <c r="G90" s="2"/>
      <c r="H90" s="7">
        <v>150</v>
      </c>
      <c r="I90" s="2"/>
      <c r="J90" s="6">
        <f t="shared" si="69"/>
        <v>2.9182879377431907E-3</v>
      </c>
      <c r="K90" s="2"/>
      <c r="L90" s="7">
        <f t="shared" si="70"/>
        <v>-15.800000000000011</v>
      </c>
      <c r="M90" s="2"/>
      <c r="N90" s="6">
        <f t="shared" si="71"/>
        <v>-0.1053333333333334</v>
      </c>
      <c r="O90" s="11"/>
      <c r="P90" s="7">
        <v>986.2</v>
      </c>
      <c r="Q90" s="2"/>
      <c r="R90" s="6">
        <f t="shared" si="72"/>
        <v>1.9671815394992779E-3</v>
      </c>
      <c r="S90" s="2"/>
      <c r="T90" s="7">
        <v>1050</v>
      </c>
      <c r="U90" s="2"/>
      <c r="V90" s="6">
        <f t="shared" si="73"/>
        <v>1.9683194301246603E-3</v>
      </c>
      <c r="W90" s="2"/>
      <c r="X90" s="7">
        <f t="shared" si="74"/>
        <v>-63.799999999999955</v>
      </c>
      <c r="Y90" s="2"/>
      <c r="Z90" s="6">
        <f t="shared" si="75"/>
        <v>-6.0761904761904718E-2</v>
      </c>
    </row>
    <row r="91" spans="1:26" s="27" customFormat="1" outlineLevel="1" collapsed="1" x14ac:dyDescent="0.25">
      <c r="A91" s="26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SUM(OSRRefD22_16x_0)</f>
        <v>0</v>
      </c>
      <c r="E91" s="1"/>
      <c r="F91" s="5">
        <f t="shared" si="68"/>
        <v>0</v>
      </c>
      <c r="G91" s="1"/>
      <c r="H91" s="1">
        <f>SUM(OSRRefH22_16x_0)</f>
        <v>0</v>
      </c>
      <c r="I91" s="1"/>
      <c r="J91" s="5">
        <f t="shared" si="69"/>
        <v>0</v>
      </c>
      <c r="K91" s="1"/>
      <c r="L91" s="1">
        <f t="shared" si="70"/>
        <v>0</v>
      </c>
      <c r="M91" s="1"/>
      <c r="N91" s="5">
        <f t="shared" si="71"/>
        <v>0</v>
      </c>
      <c r="O91" s="13"/>
      <c r="P91" s="1">
        <f>SUM(OSRRefP22_16x_0)</f>
        <v>164</v>
      </c>
      <c r="Q91" s="1"/>
      <c r="R91" s="5">
        <f t="shared" si="72"/>
        <v>3.2713219679363374E-4</v>
      </c>
      <c r="S91" s="1"/>
      <c r="T91" s="1">
        <f>SUM(OSRRefT22_16x_0)</f>
        <v>0</v>
      </c>
      <c r="U91" s="1"/>
      <c r="V91" s="5">
        <f t="shared" si="73"/>
        <v>0</v>
      </c>
      <c r="W91" s="1"/>
      <c r="X91" s="1">
        <f t="shared" si="74"/>
        <v>164</v>
      </c>
      <c r="Y91" s="1"/>
      <c r="Z91" s="5">
        <f t="shared" si="75"/>
        <v>0</v>
      </c>
    </row>
    <row r="92" spans="1:26" s="24" customFormat="1" hidden="1" outlineLevel="2" x14ac:dyDescent="0.25">
      <c r="A92" s="25"/>
      <c r="B92" s="11" t="str">
        <f>CONCATENATE("          ", "6376", " - ", "TRAINING")</f>
        <v xml:space="preserve">          6376 - TRAINING</v>
      </c>
      <c r="C92" s="11"/>
      <c r="D92" s="7"/>
      <c r="E92" s="2"/>
      <c r="F92" s="6">
        <f t="shared" si="68"/>
        <v>0</v>
      </c>
      <c r="G92" s="2"/>
      <c r="H92" s="7"/>
      <c r="I92" s="2"/>
      <c r="J92" s="6">
        <f t="shared" si="69"/>
        <v>0</v>
      </c>
      <c r="K92" s="2"/>
      <c r="L92" s="7">
        <f t="shared" si="70"/>
        <v>0</v>
      </c>
      <c r="M92" s="2"/>
      <c r="N92" s="6">
        <f t="shared" si="71"/>
        <v>0</v>
      </c>
      <c r="O92" s="11"/>
      <c r="P92" s="7">
        <v>164</v>
      </c>
      <c r="Q92" s="2"/>
      <c r="R92" s="6">
        <f t="shared" si="72"/>
        <v>3.2713219679363374E-4</v>
      </c>
      <c r="S92" s="2"/>
      <c r="T92" s="7"/>
      <c r="U92" s="2"/>
      <c r="V92" s="6">
        <f t="shared" si="73"/>
        <v>0</v>
      </c>
      <c r="W92" s="2"/>
      <c r="X92" s="7">
        <f t="shared" si="74"/>
        <v>164</v>
      </c>
      <c r="Y92" s="2"/>
      <c r="Z92" s="6">
        <f t="shared" si="75"/>
        <v>0</v>
      </c>
    </row>
    <row r="93" spans="1:26" s="27" customFormat="1" outlineLevel="1" collapsed="1" x14ac:dyDescent="0.25">
      <c r="A93" s="26"/>
      <c r="B93" s="13" t="str">
        <f>CONCATENATE("     ","Travel                                            ")</f>
        <v xml:space="preserve">     Travel                                            </v>
      </c>
      <c r="C93" s="13"/>
      <c r="D93" s="1">
        <f>SUM(OSRRefD22_17x_0)</f>
        <v>0</v>
      </c>
      <c r="E93" s="1"/>
      <c r="F93" s="5">
        <f t="shared" si="68"/>
        <v>0</v>
      </c>
      <c r="G93" s="1"/>
      <c r="H93" s="1">
        <f>SUM(OSRRefH22_17x_0)</f>
        <v>0</v>
      </c>
      <c r="I93" s="1"/>
      <c r="J93" s="5">
        <f t="shared" si="69"/>
        <v>0</v>
      </c>
      <c r="K93" s="1"/>
      <c r="L93" s="1">
        <f t="shared" si="70"/>
        <v>0</v>
      </c>
      <c r="M93" s="1"/>
      <c r="N93" s="5">
        <f t="shared" si="71"/>
        <v>0</v>
      </c>
      <c r="O93" s="13"/>
      <c r="P93" s="1">
        <f>SUM(OSRRefP22_17x_0)</f>
        <v>0</v>
      </c>
      <c r="Q93" s="1"/>
      <c r="R93" s="5">
        <f t="shared" si="72"/>
        <v>0</v>
      </c>
      <c r="S93" s="1"/>
      <c r="T93" s="1">
        <f>SUM(OSRRefT22_17x_0)</f>
        <v>1200</v>
      </c>
      <c r="U93" s="1"/>
      <c r="V93" s="5">
        <f t="shared" si="73"/>
        <v>2.2495079201424687E-3</v>
      </c>
      <c r="W93" s="1"/>
      <c r="X93" s="1">
        <f t="shared" si="74"/>
        <v>-1200</v>
      </c>
      <c r="Y93" s="1"/>
      <c r="Z93" s="5">
        <f t="shared" si="75"/>
        <v>-1</v>
      </c>
    </row>
    <row r="94" spans="1:26" s="24" customFormat="1" hidden="1" outlineLevel="2" x14ac:dyDescent="0.25">
      <c r="A94" s="25"/>
      <c r="B94" s="11" t="str">
        <f>CONCATENATE("          ", "6292", " - ", "TRAVEL/CONFERENCE")</f>
        <v xml:space="preserve">          6292 - TRAVEL/CONFERENCE</v>
      </c>
      <c r="C94" s="11"/>
      <c r="D94" s="7"/>
      <c r="E94" s="2"/>
      <c r="F94" s="6">
        <f t="shared" si="68"/>
        <v>0</v>
      </c>
      <c r="G94" s="2"/>
      <c r="H94" s="7"/>
      <c r="I94" s="2"/>
      <c r="J94" s="6">
        <f t="shared" si="69"/>
        <v>0</v>
      </c>
      <c r="K94" s="2"/>
      <c r="L94" s="7">
        <f t="shared" si="70"/>
        <v>0</v>
      </c>
      <c r="M94" s="2"/>
      <c r="N94" s="6">
        <f t="shared" si="71"/>
        <v>0</v>
      </c>
      <c r="O94" s="11"/>
      <c r="P94" s="7"/>
      <c r="Q94" s="2"/>
      <c r="R94" s="6">
        <f t="shared" si="72"/>
        <v>0</v>
      </c>
      <c r="S94" s="2"/>
      <c r="T94" s="7">
        <v>1200</v>
      </c>
      <c r="U94" s="2"/>
      <c r="V94" s="6">
        <f t="shared" si="73"/>
        <v>2.2495079201424687E-3</v>
      </c>
      <c r="W94" s="2"/>
      <c r="X94" s="7">
        <f t="shared" si="74"/>
        <v>-1200</v>
      </c>
      <c r="Y94" s="2"/>
      <c r="Z94" s="6">
        <f t="shared" si="75"/>
        <v>-1</v>
      </c>
    </row>
    <row r="95" spans="1:26" s="24" customFormat="1" hidden="1" outlineLevel="2" x14ac:dyDescent="0.25">
      <c r="A95" s="25"/>
      <c r="B95" s="11" t="str">
        <f>CONCATENATE("          ", "6298", " - ", "VEHICLE MILEAGE")</f>
        <v xml:space="preserve">          6298 - VEHICLE MILEAGE</v>
      </c>
      <c r="C95" s="11"/>
      <c r="D95" s="7"/>
      <c r="E95" s="2"/>
      <c r="F95" s="6">
        <f t="shared" si="68"/>
        <v>0</v>
      </c>
      <c r="G95" s="2"/>
      <c r="H95" s="7"/>
      <c r="I95" s="2"/>
      <c r="J95" s="6">
        <f t="shared" si="69"/>
        <v>0</v>
      </c>
      <c r="K95" s="2"/>
      <c r="L95" s="7">
        <f t="shared" si="70"/>
        <v>0</v>
      </c>
      <c r="M95" s="2"/>
      <c r="N95" s="6">
        <f t="shared" si="71"/>
        <v>0</v>
      </c>
      <c r="O95" s="11"/>
      <c r="P95" s="7"/>
      <c r="Q95" s="2"/>
      <c r="R95" s="6">
        <f t="shared" si="72"/>
        <v>0</v>
      </c>
      <c r="S95" s="2"/>
      <c r="T95" s="7">
        <v>0</v>
      </c>
      <c r="U95" s="2"/>
      <c r="V95" s="6">
        <f t="shared" si="73"/>
        <v>0</v>
      </c>
      <c r="W95" s="2"/>
      <c r="X95" s="7">
        <f t="shared" si="74"/>
        <v>0</v>
      </c>
      <c r="Y95" s="2"/>
      <c r="Z95" s="6">
        <f t="shared" si="75"/>
        <v>0</v>
      </c>
    </row>
    <row r="96" spans="1:26" s="27" customFormat="1" outlineLevel="1" collapsed="1" x14ac:dyDescent="0.25">
      <c r="A96" s="26"/>
      <c r="B96" s="13" t="str">
        <f>CONCATENATE("     ","Utilities                                         ")</f>
        <v xml:space="preserve">     Utilities                                         </v>
      </c>
      <c r="C96" s="13"/>
      <c r="D96" s="1">
        <f>SUM(OSRRefD22_18x_0)</f>
        <v>2312</v>
      </c>
      <c r="E96" s="1"/>
      <c r="F96" s="5">
        <f t="shared" ref="F96:F97" si="76">IF(D$12=0,0,D96/D$12)</f>
        <v>4.6818413406590383E-2</v>
      </c>
      <c r="G96" s="1"/>
      <c r="H96" s="1">
        <f>SUM(OSRRefH22_18x_0)</f>
        <v>2100</v>
      </c>
      <c r="I96" s="1"/>
      <c r="J96" s="5">
        <f t="shared" ref="J96:J97" si="77">IF(H$12=0,0,H96/H$12)</f>
        <v>4.085603112840467E-2</v>
      </c>
      <c r="K96" s="1"/>
      <c r="L96" s="1">
        <f t="shared" ref="L96:L97" si="78">+D96-H96</f>
        <v>212</v>
      </c>
      <c r="M96" s="1"/>
      <c r="N96" s="5">
        <f t="shared" ref="N96:N97" si="79">IF(H96=0,0,L96/H96)</f>
        <v>0.10095238095238095</v>
      </c>
      <c r="O96" s="13"/>
      <c r="P96" s="1">
        <f>SUM(OSRRefP22_18x_0)</f>
        <v>15524</v>
      </c>
      <c r="Q96" s="1"/>
      <c r="R96" s="5">
        <f t="shared" ref="R96:R97" si="80">IF(P$12=0,0,P96/P$12)</f>
        <v>3.096585501844128E-2</v>
      </c>
      <c r="S96" s="1"/>
      <c r="T96" s="1">
        <f>SUM(OSRRefT22_18x_0)</f>
        <v>14700</v>
      </c>
      <c r="U96" s="1"/>
      <c r="V96" s="5">
        <f t="shared" ref="V96:V97" si="81">IF(T$12=0,0,T96/T$12)</f>
        <v>2.7556472021745243E-2</v>
      </c>
      <c r="W96" s="1"/>
      <c r="X96" s="1">
        <f t="shared" ref="X96:X97" si="82">+P96-T96</f>
        <v>824</v>
      </c>
      <c r="Y96" s="1"/>
      <c r="Z96" s="5">
        <f t="shared" ref="Z96:Z97" si="83">IF(T96=0,0,X96/T96)</f>
        <v>5.605442176870748E-2</v>
      </c>
    </row>
    <row r="97" spans="1:26" s="24" customFormat="1" hidden="1" outlineLevel="2" x14ac:dyDescent="0.25">
      <c r="A97" s="25"/>
      <c r="B97" s="11" t="str">
        <f>CONCATENATE("          ", "6274", " - ", "UTILITIES")</f>
        <v xml:space="preserve">          6274 - UTILITIES</v>
      </c>
      <c r="C97" s="11"/>
      <c r="D97" s="7">
        <v>2312</v>
      </c>
      <c r="E97" s="2"/>
      <c r="F97" s="6">
        <f t="shared" si="76"/>
        <v>4.6818413406590383E-2</v>
      </c>
      <c r="G97" s="2"/>
      <c r="H97" s="7">
        <v>2100</v>
      </c>
      <c r="I97" s="2"/>
      <c r="J97" s="6">
        <f t="shared" si="77"/>
        <v>4.085603112840467E-2</v>
      </c>
      <c r="K97" s="2"/>
      <c r="L97" s="7">
        <f t="shared" si="78"/>
        <v>212</v>
      </c>
      <c r="M97" s="2"/>
      <c r="N97" s="6">
        <f t="shared" si="79"/>
        <v>0.10095238095238095</v>
      </c>
      <c r="O97" s="11"/>
      <c r="P97" s="7">
        <v>15524</v>
      </c>
      <c r="Q97" s="2"/>
      <c r="R97" s="6">
        <f t="shared" si="80"/>
        <v>3.096585501844128E-2</v>
      </c>
      <c r="S97" s="2"/>
      <c r="T97" s="7">
        <v>14700</v>
      </c>
      <c r="U97" s="2"/>
      <c r="V97" s="6">
        <f t="shared" si="81"/>
        <v>2.7556472021745243E-2</v>
      </c>
      <c r="W97" s="2"/>
      <c r="X97" s="7">
        <f t="shared" si="82"/>
        <v>824</v>
      </c>
      <c r="Y97" s="2"/>
      <c r="Z97" s="6">
        <f t="shared" si="83"/>
        <v>5.605442176870748E-2</v>
      </c>
    </row>
    <row r="98" spans="1:26" s="53" customFormat="1" x14ac:dyDescent="0.25">
      <c r="A98" s="36"/>
      <c r="B98" s="36"/>
      <c r="C98" s="36"/>
      <c r="D98" s="1"/>
      <c r="E98" s="1"/>
      <c r="F98" s="5"/>
      <c r="G98" s="1"/>
      <c r="H98" s="1"/>
      <c r="I98" s="1"/>
      <c r="J98" s="5"/>
      <c r="K98" s="1"/>
      <c r="L98" s="1"/>
      <c r="M98" s="1"/>
      <c r="N98" s="5"/>
      <c r="O98" s="36"/>
      <c r="P98" s="1"/>
      <c r="Q98" s="1"/>
      <c r="R98" s="5"/>
      <c r="S98" s="1"/>
      <c r="T98" s="1"/>
      <c r="U98" s="1"/>
      <c r="V98" s="5"/>
      <c r="W98" s="1"/>
      <c r="X98" s="1"/>
      <c r="Y98" s="1"/>
      <c r="Z98" s="5"/>
    </row>
    <row r="99" spans="1:26" s="23" customFormat="1" collapsed="1" x14ac:dyDescent="0.25">
      <c r="A99" s="10"/>
      <c r="B99" s="28" t="s">
        <v>0</v>
      </c>
      <c r="C99" s="10"/>
      <c r="D99" s="4">
        <f>SUM(OSRRefD25x_0)</f>
        <v>0</v>
      </c>
      <c r="E99" s="4"/>
      <c r="F99" s="12">
        <f t="shared" ref="F99:F100" si="84">IF(D$12=0,0,D99/D$12)</f>
        <v>0</v>
      </c>
      <c r="G99" s="4"/>
      <c r="H99" s="4">
        <f>SUM(OSRRefH25x_0)</f>
        <v>0</v>
      </c>
      <c r="I99" s="4"/>
      <c r="J99" s="12">
        <f t="shared" ref="J99:J100" si="85">IF(H$12=0,0,H99/H$12)</f>
        <v>0</v>
      </c>
      <c r="K99" s="4"/>
      <c r="L99" s="4">
        <f t="shared" ref="L99:L100" si="86">+D99-H99</f>
        <v>0</v>
      </c>
      <c r="M99" s="4"/>
      <c r="N99" s="12">
        <f t="shared" ref="N99:N100" si="87">IF(H99=0,0,L99/H99)</f>
        <v>0</v>
      </c>
      <c r="O99" s="10"/>
      <c r="P99" s="4">
        <f>SUM(OSRRefP25x_0)</f>
        <v>68.760000000000005</v>
      </c>
      <c r="Q99" s="4"/>
      <c r="R99" s="12">
        <f t="shared" ref="R99:R100" si="88">IF(P$12=0,0,P99/P$12)</f>
        <v>1.3715615763128204E-4</v>
      </c>
      <c r="S99" s="4"/>
      <c r="T99" s="4">
        <f>SUM(OSRRefT25x_0)</f>
        <v>0</v>
      </c>
      <c r="U99" s="4"/>
      <c r="V99" s="12">
        <f t="shared" ref="V99:V100" si="89">IF(T$12=0,0,T99/T$12)</f>
        <v>0</v>
      </c>
      <c r="W99" s="4"/>
      <c r="X99" s="4">
        <f t="shared" ref="X99:X100" si="90">+P99-T99</f>
        <v>68.760000000000005</v>
      </c>
      <c r="Y99" s="4"/>
      <c r="Z99" s="12">
        <f t="shared" ref="Z99:Z100" si="91">IF(T99=0,0,X99/T99)</f>
        <v>0</v>
      </c>
    </row>
    <row r="100" spans="1:26" s="24" customFormat="1" hidden="1" outlineLevel="1" x14ac:dyDescent="0.25">
      <c r="A100" s="44"/>
      <c r="B100" s="11" t="str">
        <f>CONCATENATE("          ", "9150", " - ", "MISC. INCOME")</f>
        <v xml:space="preserve">          9150 - MISC. INCOME</v>
      </c>
      <c r="C100" s="11"/>
      <c r="D100" s="2">
        <f>0</f>
        <v>0</v>
      </c>
      <c r="E100" s="2"/>
      <c r="F100" s="19">
        <f t="shared" si="84"/>
        <v>0</v>
      </c>
      <c r="G100" s="2"/>
      <c r="H100" s="2"/>
      <c r="I100" s="2"/>
      <c r="J100" s="19">
        <f t="shared" si="85"/>
        <v>0</v>
      </c>
      <c r="K100" s="2"/>
      <c r="L100" s="2">
        <f t="shared" si="86"/>
        <v>0</v>
      </c>
      <c r="M100" s="2"/>
      <c r="N100" s="19">
        <f t="shared" si="87"/>
        <v>0</v>
      </c>
      <c r="O100" s="11"/>
      <c r="P100" s="2">
        <f>--68.76</f>
        <v>68.760000000000005</v>
      </c>
      <c r="Q100" s="2"/>
      <c r="R100" s="19">
        <f t="shared" si="88"/>
        <v>1.3715615763128204E-4</v>
      </c>
      <c r="S100" s="2"/>
      <c r="T100" s="2"/>
      <c r="U100" s="2"/>
      <c r="V100" s="19">
        <f t="shared" si="89"/>
        <v>0</v>
      </c>
      <c r="W100" s="2"/>
      <c r="X100" s="2">
        <f t="shared" si="90"/>
        <v>68.760000000000005</v>
      </c>
      <c r="Y100" s="2"/>
      <c r="Z100" s="19">
        <f t="shared" si="91"/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9" t="s">
        <v>3</v>
      </c>
      <c r="C102" s="29"/>
      <c r="D102" s="21">
        <f>+D22-D24+D99</f>
        <v>-32970.949999999997</v>
      </c>
      <c r="E102" s="14"/>
      <c r="F102" s="20">
        <f>IF(D$12=0,0,D102/D$12)</f>
        <v>-0.66766763300519938</v>
      </c>
      <c r="G102" s="14"/>
      <c r="H102" s="21">
        <f>+H22-H24+H99</f>
        <v>-36667.121314884629</v>
      </c>
      <c r="I102" s="14"/>
      <c r="J102" s="20">
        <f>IF(H$12=0,0,H102/H$12)</f>
        <v>-0.713368118966627</v>
      </c>
      <c r="K102" s="16"/>
      <c r="L102" s="21">
        <f>+D102-H102</f>
        <v>3696.171314884632</v>
      </c>
      <c r="M102" s="16"/>
      <c r="N102" s="20">
        <f>IF(H102=0,0,L102/H102)</f>
        <v>-0.10080342231240855</v>
      </c>
      <c r="O102" s="28"/>
      <c r="P102" s="21">
        <f>+P22-P24+P99</f>
        <v>-151764.90999999997</v>
      </c>
      <c r="Q102" s="14"/>
      <c r="R102" s="20">
        <f>IF(P$12=0,0,P102/P$12)</f>
        <v>-0.30272675856395181</v>
      </c>
      <c r="S102" s="14"/>
      <c r="T102" s="21">
        <f>+T22-T24+T99</f>
        <v>-106586.18629750004</v>
      </c>
      <c r="U102" s="14"/>
      <c r="V102" s="20">
        <f>IF(T$12=0,0,T102/T$12)</f>
        <v>-0.19980539187833918</v>
      </c>
      <c r="W102" s="16"/>
      <c r="X102" s="21">
        <f>+P102-T102</f>
        <v>-45178.723702499934</v>
      </c>
      <c r="Y102" s="16"/>
      <c r="Z102" s="20">
        <f>IF(T102=0,0,X102/T102)</f>
        <v>0.42387034635424981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>
        <v>3467.8</v>
      </c>
      <c r="E104" s="4"/>
      <c r="F104" s="12">
        <f>IF(D$12=0,0,D104/D$12)</f>
        <v>7.0223570074123762E-2</v>
      </c>
      <c r="G104" s="4"/>
      <c r="H104" s="4">
        <v>3585</v>
      </c>
      <c r="I104" s="4"/>
      <c r="J104" s="12">
        <f>IF(H$12=0,0,H104/H$12)</f>
        <v>6.9747081712062259E-2</v>
      </c>
      <c r="K104" s="4"/>
      <c r="L104" s="4">
        <f>+D104-H104</f>
        <v>-117.19999999999982</v>
      </c>
      <c r="M104" s="4"/>
      <c r="N104" s="12">
        <f>IF(H104=0,0,L104/H104)</f>
        <v>-3.2691771269177078E-2</v>
      </c>
      <c r="O104" s="10"/>
      <c r="P104" s="4">
        <v>52281.24</v>
      </c>
      <c r="Q104" s="4"/>
      <c r="R104" s="12">
        <f>IF(P$12=0,0,P104/P$12)</f>
        <v>0.10428583470911704</v>
      </c>
      <c r="S104" s="4"/>
      <c r="T104" s="4">
        <v>65680</v>
      </c>
      <c r="U104" s="4"/>
      <c r="V104" s="12">
        <f>IF(T$12=0,0,T104/T$12)</f>
        <v>0.12312306682913113</v>
      </c>
      <c r="W104" s="4"/>
      <c r="X104" s="4">
        <f>+P104-T104</f>
        <v>-13398.760000000002</v>
      </c>
      <c r="Y104" s="4"/>
      <c r="Z104" s="12">
        <f>IF(T104=0,0,X104/T104)</f>
        <v>-0.20400060901339834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9" t="s">
        <v>4</v>
      </c>
      <c r="C106" s="29"/>
      <c r="D106" s="34">
        <f>+D102-D104</f>
        <v>-36438.75</v>
      </c>
      <c r="E106" s="14"/>
      <c r="F106" s="32">
        <f>IF(D$12=0,0,D106/D$12)</f>
        <v>-0.73789120307932321</v>
      </c>
      <c r="G106" s="14"/>
      <c r="H106" s="34">
        <f>+H102-H104</f>
        <v>-40252.121314884629</v>
      </c>
      <c r="I106" s="14"/>
      <c r="J106" s="32">
        <f>IF(H$12=0,0,H106/H$12)</f>
        <v>-0.78311520067868923</v>
      </c>
      <c r="K106" s="16"/>
      <c r="L106" s="34">
        <f>D106-H106</f>
        <v>3813.3713148846291</v>
      </c>
      <c r="M106" s="16"/>
      <c r="N106" s="32">
        <f>IF(H106=0,0,L106/H106)</f>
        <v>-9.4737151492050725E-2</v>
      </c>
      <c r="O106" s="28"/>
      <c r="P106" s="34">
        <f>+P102-P104</f>
        <v>-204046.14999999997</v>
      </c>
      <c r="Q106" s="14"/>
      <c r="R106" s="32">
        <f>IF(P$12=0,0,P106/P$12)</f>
        <v>-0.40701259327306888</v>
      </c>
      <c r="S106" s="14"/>
      <c r="T106" s="34">
        <f>+T102-T104</f>
        <v>-172266.18629750004</v>
      </c>
      <c r="U106" s="14"/>
      <c r="V106" s="32">
        <f>IF(T$12=0,0,T106/T$12)</f>
        <v>-0.32292845870747033</v>
      </c>
      <c r="W106" s="16"/>
      <c r="X106" s="34">
        <f>P106-T106</f>
        <v>-31779.963702499925</v>
      </c>
      <c r="Y106" s="16"/>
      <c r="Z106" s="32">
        <f>IF(T106=0,0,X106/T106)</f>
        <v>0.18448172787442221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9" t="s">
        <v>5</v>
      </c>
      <c r="C109" s="29"/>
      <c r="D109" s="31">
        <f>SUM(D106:D108)</f>
        <v>-36438.75</v>
      </c>
      <c r="E109" s="14"/>
      <c r="F109" s="30">
        <f>IF(D$12=0,0,D109/D$12)</f>
        <v>-0.73789120307932321</v>
      </c>
      <c r="G109" s="14"/>
      <c r="H109" s="31">
        <f>SUM(H106:H108)</f>
        <v>-40252.121314884629</v>
      </c>
      <c r="I109" s="14"/>
      <c r="J109" s="30">
        <f>IF(H$12=0,0,H109/H$12)</f>
        <v>-0.78311520067868923</v>
      </c>
      <c r="K109" s="16"/>
      <c r="L109" s="31">
        <f>+D109-H109</f>
        <v>3813.3713148846291</v>
      </c>
      <c r="M109" s="16"/>
      <c r="N109" s="30">
        <f>IF(H109=0,0,L109/H109)</f>
        <v>-9.4737151492050725E-2</v>
      </c>
      <c r="O109" s="28"/>
      <c r="P109" s="31">
        <f>SUM(P106:P108)</f>
        <v>-204046.14999999997</v>
      </c>
      <c r="Q109" s="14"/>
      <c r="R109" s="30">
        <f>IF(P$12=0,0,P109/P$12)</f>
        <v>-0.40701259327306888</v>
      </c>
      <c r="S109" s="14"/>
      <c r="T109" s="31">
        <f>SUM(T106:T108)</f>
        <v>-172266.18629750004</v>
      </c>
      <c r="U109" s="14"/>
      <c r="V109" s="30">
        <f>IF(T$12=0,0,T109/T$12)</f>
        <v>-0.32292845870747033</v>
      </c>
      <c r="W109" s="16"/>
      <c r="X109" s="31">
        <f>+P109-T109</f>
        <v>-31779.963702499925</v>
      </c>
      <c r="Y109" s="16"/>
      <c r="Z109" s="30">
        <f>IF(T109=0,0,X109/T109)</f>
        <v>0.18448172787442221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63">
        <v>43879.546561226853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7" t="s">
        <v>314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60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","418", " - ", "Nugget")</f>
        <v>Department 418 - Nugget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89800.709999999992</v>
      </c>
      <c r="E12" s="4"/>
      <c r="F12" s="12"/>
      <c r="G12" s="4"/>
      <c r="H12" s="4">
        <f>SUM(OSRRefH13x_0)</f>
        <v>102750</v>
      </c>
      <c r="I12" s="4"/>
      <c r="J12" s="12"/>
      <c r="K12" s="4"/>
      <c r="L12" s="4">
        <f t="shared" ref="L12:L16" si="0">+D12-H12</f>
        <v>-12949.290000000008</v>
      </c>
      <c r="M12" s="4"/>
      <c r="N12" s="12">
        <f t="shared" ref="N12:N16" si="1">IF(H12=0,0,L12/H12)</f>
        <v>-0.12602715328467162</v>
      </c>
      <c r="O12" s="10"/>
      <c r="P12" s="4">
        <f>SUM(OSRRefP13x_0)</f>
        <v>846375.1100000001</v>
      </c>
      <c r="Q12" s="4"/>
      <c r="R12" s="12"/>
      <c r="S12" s="4"/>
      <c r="T12" s="4">
        <f>SUM(OSRRefT13x_0)</f>
        <v>898050</v>
      </c>
      <c r="U12" s="4"/>
      <c r="V12" s="12"/>
      <c r="W12" s="4"/>
      <c r="X12" s="4">
        <f t="shared" ref="X12:X16" si="2">+P12-T12</f>
        <v>-51674.889999999898</v>
      </c>
      <c r="Y12" s="4"/>
      <c r="Z12" s="12">
        <f t="shared" ref="Z12:Z16" si="3">IF(T12=0,0,X12/T12)</f>
        <v>-5.7541217081454148E-2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39900</v>
      </c>
      <c r="I13" s="2"/>
      <c r="J13" s="19"/>
      <c r="K13" s="2"/>
      <c r="L13" s="2">
        <f t="shared" si="0"/>
        <v>-39900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351940</v>
      </c>
      <c r="U13" s="2"/>
      <c r="V13" s="19"/>
      <c r="W13" s="2"/>
      <c r="X13" s="2">
        <f t="shared" si="2"/>
        <v>-351940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--31360</f>
        <v>31360</v>
      </c>
      <c r="E14" s="2"/>
      <c r="F14" s="19"/>
      <c r="G14" s="2"/>
      <c r="H14" s="2"/>
      <c r="I14" s="2"/>
      <c r="J14" s="19"/>
      <c r="K14" s="2"/>
      <c r="L14" s="2">
        <f t="shared" si="0"/>
        <v>31360</v>
      </c>
      <c r="M14" s="2"/>
      <c r="N14" s="19">
        <f t="shared" si="1"/>
        <v>0</v>
      </c>
      <c r="O14" s="11"/>
      <c r="P14" s="2">
        <f>--303213.95</f>
        <v>303213.95</v>
      </c>
      <c r="Q14" s="2"/>
      <c r="R14" s="19"/>
      <c r="S14" s="2"/>
      <c r="T14" s="2"/>
      <c r="U14" s="2"/>
      <c r="V14" s="19"/>
      <c r="W14" s="2"/>
      <c r="X14" s="2">
        <f t="shared" si="2"/>
        <v>303213.95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62850</v>
      </c>
      <c r="I15" s="2"/>
      <c r="J15" s="19"/>
      <c r="K15" s="2"/>
      <c r="L15" s="2">
        <f t="shared" si="0"/>
        <v>-62850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546110</v>
      </c>
      <c r="U15" s="2"/>
      <c r="V15" s="19"/>
      <c r="W15" s="2"/>
      <c r="X15" s="2">
        <f t="shared" si="2"/>
        <v>-546110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>--58440.71</f>
        <v>58440.71</v>
      </c>
      <c r="E16" s="2"/>
      <c r="F16" s="19"/>
      <c r="G16" s="2"/>
      <c r="H16" s="2"/>
      <c r="I16" s="2"/>
      <c r="J16" s="19"/>
      <c r="K16" s="2"/>
      <c r="L16" s="2">
        <f t="shared" si="0"/>
        <v>58440.71</v>
      </c>
      <c r="M16" s="2"/>
      <c r="N16" s="19">
        <f t="shared" si="1"/>
        <v>0</v>
      </c>
      <c r="O16" s="11"/>
      <c r="P16" s="2">
        <f>--543161.16</f>
        <v>543161.16</v>
      </c>
      <c r="Q16" s="2"/>
      <c r="R16" s="19"/>
      <c r="S16" s="2"/>
      <c r="T16" s="2"/>
      <c r="U16" s="2"/>
      <c r="V16" s="19"/>
      <c r="W16" s="2"/>
      <c r="X16" s="2">
        <f t="shared" si="2"/>
        <v>543161.16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36191.35</v>
      </c>
      <c r="E18" s="4"/>
      <c r="F18" s="12">
        <f t="shared" ref="F18:F21" si="4">IF(D$12=0,0,D18/D$12)</f>
        <v>0.40301852847265907</v>
      </c>
      <c r="G18" s="4"/>
      <c r="H18" s="4">
        <f>SUM(OSRRefH16x_0)</f>
        <v>31350</v>
      </c>
      <c r="I18" s="4"/>
      <c r="J18" s="12">
        <f t="shared" ref="J18:J21" si="5">IF(H$12=0,0,H18/H$12)</f>
        <v>0.30510948905109492</v>
      </c>
      <c r="K18" s="4"/>
      <c r="L18" s="4">
        <f t="shared" ref="L18:L21" si="6">+D18-H18</f>
        <v>4841.3499999999985</v>
      </c>
      <c r="M18" s="4"/>
      <c r="N18" s="12">
        <f t="shared" ref="N18:N21" si="7">IF(H18=0,0,L18/H18)</f>
        <v>0.15442902711323758</v>
      </c>
      <c r="O18" s="10"/>
      <c r="P18" s="4">
        <f>SUM(OSRRefP16x_0)</f>
        <v>282237.07999999996</v>
      </c>
      <c r="Q18" s="4"/>
      <c r="R18" s="12">
        <f t="shared" ref="R18:R21" si="8">IF(P$12=0,0,P18/P$12)</f>
        <v>0.33346571356522986</v>
      </c>
      <c r="S18" s="4"/>
      <c r="T18" s="4">
        <f>SUM(OSRRefT16x_0)</f>
        <v>276314</v>
      </c>
      <c r="U18" s="4"/>
      <c r="V18" s="12">
        <f t="shared" ref="V18:V21" si="9">IF(T$12=0,0,T18/T$12)</f>
        <v>0.30768220032292187</v>
      </c>
      <c r="W18" s="4"/>
      <c r="X18" s="4">
        <f t="shared" ref="X18:X21" si="10">+P18-T18</f>
        <v>5923.0799999999581</v>
      </c>
      <c r="Y18" s="4"/>
      <c r="Z18" s="12">
        <f t="shared" ref="Z18:Z21" si="11">IF(T18=0,0,X18/T18)</f>
        <v>2.1436047395354409E-2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31350</v>
      </c>
      <c r="I19" s="2"/>
      <c r="J19" s="19">
        <f t="shared" si="5"/>
        <v>0.30510948905109492</v>
      </c>
      <c r="K19" s="2"/>
      <c r="L19" s="2">
        <f t="shared" si="6"/>
        <v>-31350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276314</v>
      </c>
      <c r="U19" s="2"/>
      <c r="V19" s="19">
        <f t="shared" si="9"/>
        <v>0.30768220032292187</v>
      </c>
      <c r="W19" s="2"/>
      <c r="X19" s="2">
        <f t="shared" si="10"/>
        <v>-276314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31746.68</v>
      </c>
      <c r="E20" s="2"/>
      <c r="F20" s="19">
        <f t="shared" si="4"/>
        <v>0.35352370822012436</v>
      </c>
      <c r="G20" s="2"/>
      <c r="H20" s="2"/>
      <c r="I20" s="2"/>
      <c r="J20" s="19">
        <f t="shared" si="5"/>
        <v>0</v>
      </c>
      <c r="K20" s="2"/>
      <c r="L20" s="2">
        <f t="shared" si="6"/>
        <v>31746.68</v>
      </c>
      <c r="M20" s="2"/>
      <c r="N20" s="19">
        <f t="shared" si="7"/>
        <v>0</v>
      </c>
      <c r="O20" s="11"/>
      <c r="P20" s="2">
        <v>286893.40999999997</v>
      </c>
      <c r="Q20" s="2"/>
      <c r="R20" s="19">
        <f t="shared" si="8"/>
        <v>0.33896721041335909</v>
      </c>
      <c r="S20" s="2"/>
      <c r="T20" s="2"/>
      <c r="U20" s="2"/>
      <c r="V20" s="19">
        <f t="shared" si="9"/>
        <v>0</v>
      </c>
      <c r="W20" s="2"/>
      <c r="X20" s="2">
        <f t="shared" si="10"/>
        <v>286893.40999999997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4444.67</v>
      </c>
      <c r="E21" s="2"/>
      <c r="F21" s="19">
        <f t="shared" si="4"/>
        <v>4.9494820252534759E-2</v>
      </c>
      <c r="G21" s="2"/>
      <c r="H21" s="2"/>
      <c r="I21" s="2"/>
      <c r="J21" s="19">
        <f t="shared" si="5"/>
        <v>0</v>
      </c>
      <c r="K21" s="2"/>
      <c r="L21" s="2">
        <f t="shared" si="6"/>
        <v>4444.67</v>
      </c>
      <c r="M21" s="2"/>
      <c r="N21" s="19">
        <f t="shared" si="7"/>
        <v>0</v>
      </c>
      <c r="O21" s="11"/>
      <c r="P21" s="2">
        <v>-4656.33</v>
      </c>
      <c r="Q21" s="2"/>
      <c r="R21" s="19">
        <f t="shared" si="8"/>
        <v>-5.5014968481291934E-3</v>
      </c>
      <c r="S21" s="2"/>
      <c r="T21" s="2"/>
      <c r="U21" s="2"/>
      <c r="V21" s="19">
        <f t="shared" si="9"/>
        <v>0</v>
      </c>
      <c r="W21" s="2"/>
      <c r="X21" s="2">
        <f t="shared" si="10"/>
        <v>-4656.33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1">
        <f>D12-D18</f>
        <v>53609.359999999993</v>
      </c>
      <c r="E23" s="14"/>
      <c r="F23" s="20">
        <f>IF(D$12=0,0,D23/D$12)</f>
        <v>0.59698147152734093</v>
      </c>
      <c r="G23" s="14"/>
      <c r="H23" s="21">
        <f>H12-H18</f>
        <v>71400</v>
      </c>
      <c r="I23" s="14"/>
      <c r="J23" s="20">
        <f>IF(H$12=0,0,H23/H$12)</f>
        <v>0.69489051094890508</v>
      </c>
      <c r="K23" s="16"/>
      <c r="L23" s="21">
        <f>+D23-H23</f>
        <v>-17790.640000000007</v>
      </c>
      <c r="M23" s="16"/>
      <c r="N23" s="20">
        <f>IF(H23=0,0,L23/H23)</f>
        <v>-0.24916862745098048</v>
      </c>
      <c r="O23" s="28"/>
      <c r="P23" s="21">
        <f>P12-P18</f>
        <v>564138.03000000014</v>
      </c>
      <c r="Q23" s="14"/>
      <c r="R23" s="20">
        <f>IF(P$12=0,0,P23/P$12)</f>
        <v>0.66653428643477008</v>
      </c>
      <c r="S23" s="14"/>
      <c r="T23" s="21">
        <f>T12-T18</f>
        <v>621736</v>
      </c>
      <c r="U23" s="14"/>
      <c r="V23" s="20">
        <f>IF(T$12=0,0,T23/T$12)</f>
        <v>0.69231779967707807</v>
      </c>
      <c r="W23" s="16"/>
      <c r="X23" s="21">
        <f>+P23-T23</f>
        <v>-57597.969999999856</v>
      </c>
      <c r="Y23" s="16"/>
      <c r="Z23" s="20">
        <f>IF(T23=0,0,X23/T23)</f>
        <v>-9.2640558050361976E-2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2">
        <f>SUM(OSRRefD22x_0)</f>
        <v>65696.899999999994</v>
      </c>
      <c r="E25" s="22"/>
      <c r="F25" s="35">
        <f t="shared" ref="F25:F35" si="12">IF(D$12=0,0,D25/D$12)</f>
        <v>0.73158552978033242</v>
      </c>
      <c r="G25" s="22"/>
      <c r="H25" s="22">
        <f>SUM(OSRRefH22x_0)</f>
        <v>57318.464316726953</v>
      </c>
      <c r="I25" s="22"/>
      <c r="J25" s="35">
        <f t="shared" ref="J25:J35" si="13">IF(H$12=0,0,H25/H$12)</f>
        <v>0.55784393495598006</v>
      </c>
      <c r="K25" s="4"/>
      <c r="L25" s="22">
        <f t="shared" ref="L25:L35" si="14">+D25-H25</f>
        <v>8378.4356832730409</v>
      </c>
      <c r="M25" s="4"/>
      <c r="N25" s="35">
        <f t="shared" ref="N25:N35" si="15">IF(H25=0,0,L25/H25)</f>
        <v>0.14617341520135607</v>
      </c>
      <c r="O25" s="10"/>
      <c r="P25" s="22">
        <f>SUM(OSRRefP22x_0)</f>
        <v>432665.19000000006</v>
      </c>
      <c r="Q25" s="22"/>
      <c r="R25" s="35">
        <f t="shared" ref="R25:R35" si="16">IF(P$12=0,0,P25/P$12)</f>
        <v>0.51119791318059904</v>
      </c>
      <c r="S25" s="22"/>
      <c r="T25" s="22">
        <f>SUM(OSRRefT22x_0)</f>
        <v>439501.74150701932</v>
      </c>
      <c r="U25" s="22"/>
      <c r="V25" s="35">
        <f t="shared" ref="V25:V35" si="17">IF(T$12=0,0,T25/T$12)</f>
        <v>0.48939562552978044</v>
      </c>
      <c r="W25" s="4"/>
      <c r="X25" s="22">
        <f t="shared" ref="X25:X35" si="18">+P25-T25</f>
        <v>-6836.5515070192632</v>
      </c>
      <c r="Y25" s="4"/>
      <c r="Z25" s="35">
        <f t="shared" ref="Z25:Z35" si="19">IF(T25=0,0,X25/T25)</f>
        <v>-1.5555231894138185E-2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10893.82</v>
      </c>
      <c r="E26" s="1"/>
      <c r="F26" s="5">
        <f t="shared" si="12"/>
        <v>0.12131106758510039</v>
      </c>
      <c r="G26" s="1"/>
      <c r="H26" s="1">
        <f>SUM(OSRRefH22_0x_0)</f>
        <v>10572.581162880757</v>
      </c>
      <c r="I26" s="1"/>
      <c r="J26" s="5">
        <f t="shared" si="13"/>
        <v>0.10289616703533583</v>
      </c>
      <c r="K26" s="1"/>
      <c r="L26" s="1">
        <f t="shared" si="14"/>
        <v>321.23883711924282</v>
      </c>
      <c r="M26" s="1"/>
      <c r="N26" s="5">
        <f t="shared" si="15"/>
        <v>3.0384144814804476E-2</v>
      </c>
      <c r="O26" s="13"/>
      <c r="P26" s="1">
        <f>SUM(OSRRefP22_0x_0)</f>
        <v>60778.11</v>
      </c>
      <c r="Q26" s="1"/>
      <c r="R26" s="5">
        <f t="shared" si="16"/>
        <v>7.1809897623289029E-2</v>
      </c>
      <c r="S26" s="1"/>
      <c r="T26" s="1">
        <f>SUM(OSRRefT22_0x_0)</f>
        <v>72649.970353173063</v>
      </c>
      <c r="U26" s="1"/>
      <c r="V26" s="5">
        <f t="shared" si="17"/>
        <v>8.0897467126744685E-2</v>
      </c>
      <c r="W26" s="1"/>
      <c r="X26" s="1">
        <f t="shared" si="18"/>
        <v>-11871.860353173062</v>
      </c>
      <c r="Y26" s="1"/>
      <c r="Z26" s="5">
        <f t="shared" si="19"/>
        <v>-0.16341177147713104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1613.91</v>
      </c>
      <c r="E27" s="2"/>
      <c r="F27" s="6">
        <f t="shared" si="12"/>
        <v>1.7972129619019717E-2</v>
      </c>
      <c r="G27" s="2"/>
      <c r="H27" s="7">
        <v>1114.9800812653802</v>
      </c>
      <c r="I27" s="2"/>
      <c r="J27" s="6">
        <f t="shared" si="13"/>
        <v>1.0851387652217813E-2</v>
      </c>
      <c r="K27" s="2"/>
      <c r="L27" s="7">
        <f t="shared" si="14"/>
        <v>498.92991873461983</v>
      </c>
      <c r="M27" s="2"/>
      <c r="N27" s="6">
        <f t="shared" si="15"/>
        <v>0.44747877304533462</v>
      </c>
      <c r="O27" s="11"/>
      <c r="P27" s="7">
        <v>12666.18</v>
      </c>
      <c r="Q27" s="2"/>
      <c r="R27" s="6">
        <f t="shared" si="16"/>
        <v>1.4965208511389234E-2</v>
      </c>
      <c r="S27" s="2"/>
      <c r="T27" s="7">
        <v>7405.5027158653747</v>
      </c>
      <c r="U27" s="2"/>
      <c r="V27" s="6">
        <f t="shared" si="17"/>
        <v>8.2462031243977219E-3</v>
      </c>
      <c r="W27" s="2"/>
      <c r="X27" s="7">
        <f t="shared" si="18"/>
        <v>5260.6772841346256</v>
      </c>
      <c r="Y27" s="2"/>
      <c r="Z27" s="6">
        <f t="shared" si="19"/>
        <v>0.71037409423458509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918.44</v>
      </c>
      <c r="E28" s="2"/>
      <c r="F28" s="6">
        <f t="shared" si="12"/>
        <v>1.0227536062910863E-2</v>
      </c>
      <c r="G28" s="2"/>
      <c r="H28" s="7">
        <v>1233.6261970769199</v>
      </c>
      <c r="I28" s="2"/>
      <c r="J28" s="6">
        <f t="shared" si="13"/>
        <v>1.2006094375444476E-2</v>
      </c>
      <c r="K28" s="2"/>
      <c r="L28" s="7">
        <f t="shared" si="14"/>
        <v>-315.18619707691983</v>
      </c>
      <c r="M28" s="2"/>
      <c r="N28" s="6">
        <f t="shared" si="15"/>
        <v>-0.25549570674143773</v>
      </c>
      <c r="O28" s="11"/>
      <c r="P28" s="7">
        <v>6724.77</v>
      </c>
      <c r="Q28" s="2"/>
      <c r="R28" s="6">
        <f t="shared" si="16"/>
        <v>7.9453777888151746E-3</v>
      </c>
      <c r="S28" s="2"/>
      <c r="T28" s="7">
        <v>9318.9766130769221</v>
      </c>
      <c r="U28" s="2"/>
      <c r="V28" s="6">
        <f t="shared" si="17"/>
        <v>1.0376901746090888E-2</v>
      </c>
      <c r="W28" s="2"/>
      <c r="X28" s="7">
        <f t="shared" si="18"/>
        <v>-2594.2066130769217</v>
      </c>
      <c r="Y28" s="2"/>
      <c r="Z28" s="6">
        <f t="shared" si="19"/>
        <v>-0.27837891656864794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5413.82</v>
      </c>
      <c r="E29" s="2"/>
      <c r="F29" s="6">
        <f t="shared" si="12"/>
        <v>6.028705118255747E-2</v>
      </c>
      <c r="G29" s="2"/>
      <c r="H29" s="7">
        <v>5091.6769230769205</v>
      </c>
      <c r="I29" s="2"/>
      <c r="J29" s="6">
        <f t="shared" si="13"/>
        <v>4.9554033314617232E-2</v>
      </c>
      <c r="K29" s="2"/>
      <c r="L29" s="7">
        <f t="shared" si="14"/>
        <v>322.14307692307921</v>
      </c>
      <c r="M29" s="2"/>
      <c r="N29" s="6">
        <f t="shared" si="15"/>
        <v>6.3268561966890638E-2</v>
      </c>
      <c r="O29" s="11"/>
      <c r="P29" s="7">
        <v>25842.12</v>
      </c>
      <c r="Q29" s="2"/>
      <c r="R29" s="6">
        <f t="shared" si="16"/>
        <v>3.0532703165148601E-2</v>
      </c>
      <c r="S29" s="2"/>
      <c r="T29" s="7">
        <v>34911.769230769241</v>
      </c>
      <c r="U29" s="2"/>
      <c r="V29" s="6">
        <f t="shared" si="17"/>
        <v>3.8875084049628909E-2</v>
      </c>
      <c r="W29" s="2"/>
      <c r="X29" s="7">
        <f t="shared" si="18"/>
        <v>-9069.6492307692424</v>
      </c>
      <c r="Y29" s="2"/>
      <c r="Z29" s="6">
        <f t="shared" si="19"/>
        <v>-0.25978772862578881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61.55</v>
      </c>
      <c r="E30" s="2"/>
      <c r="F30" s="6">
        <f t="shared" si="12"/>
        <v>6.8540660758695563E-4</v>
      </c>
      <c r="G30" s="2"/>
      <c r="H30" s="7">
        <v>82.665672999999998</v>
      </c>
      <c r="I30" s="2"/>
      <c r="J30" s="6">
        <f t="shared" si="13"/>
        <v>8.0453209732360095E-4</v>
      </c>
      <c r="K30" s="2"/>
      <c r="L30" s="7">
        <f t="shared" si="14"/>
        <v>-21.115673000000001</v>
      </c>
      <c r="M30" s="2"/>
      <c r="N30" s="6">
        <f t="shared" si="15"/>
        <v>-0.25543459859088063</v>
      </c>
      <c r="O30" s="11"/>
      <c r="P30" s="7">
        <v>587.9</v>
      </c>
      <c r="Q30" s="2"/>
      <c r="R30" s="6">
        <f t="shared" si="16"/>
        <v>6.9460927318621161E-4</v>
      </c>
      <c r="S30" s="2"/>
      <c r="T30" s="7">
        <v>624.46750499999996</v>
      </c>
      <c r="U30" s="2"/>
      <c r="V30" s="6">
        <f t="shared" si="17"/>
        <v>6.9535939535660595E-4</v>
      </c>
      <c r="W30" s="2"/>
      <c r="X30" s="7">
        <f t="shared" si="18"/>
        <v>-36.567504999999983</v>
      </c>
      <c r="Y30" s="2"/>
      <c r="Z30" s="6">
        <f t="shared" si="19"/>
        <v>-5.855789886136667E-2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948.56</v>
      </c>
      <c r="E31" s="2"/>
      <c r="F31" s="6">
        <f t="shared" si="12"/>
        <v>1.0562945437736518E-2</v>
      </c>
      <c r="G31" s="2"/>
      <c r="H31" s="7">
        <v>970.97307692307697</v>
      </c>
      <c r="I31" s="2"/>
      <c r="J31" s="6">
        <f t="shared" si="13"/>
        <v>9.4498596294216742E-3</v>
      </c>
      <c r="K31" s="2"/>
      <c r="L31" s="7">
        <f t="shared" si="14"/>
        <v>-22.413076923077028</v>
      </c>
      <c r="M31" s="2"/>
      <c r="N31" s="6">
        <f t="shared" si="15"/>
        <v>-2.3083108539015289E-2</v>
      </c>
      <c r="O31" s="11"/>
      <c r="P31" s="7">
        <v>3850.11</v>
      </c>
      <c r="Q31" s="2"/>
      <c r="R31" s="6">
        <f t="shared" si="16"/>
        <v>4.548940481012018E-3</v>
      </c>
      <c r="S31" s="2"/>
      <c r="T31" s="7">
        <v>6020.0330769230786</v>
      </c>
      <c r="U31" s="2"/>
      <c r="V31" s="6">
        <f t="shared" si="17"/>
        <v>6.7034497822204536E-3</v>
      </c>
      <c r="W31" s="2"/>
      <c r="X31" s="7">
        <f t="shared" si="18"/>
        <v>-2169.9230769230785</v>
      </c>
      <c r="Y31" s="2"/>
      <c r="Z31" s="6">
        <f t="shared" si="19"/>
        <v>-0.36045035786284346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7">
        <v>647.76</v>
      </c>
      <c r="E33" s="2"/>
      <c r="F33" s="6">
        <f t="shared" si="12"/>
        <v>7.2133059972465706E-3</v>
      </c>
      <c r="G33" s="2"/>
      <c r="H33" s="7">
        <v>696.30323076923094</v>
      </c>
      <c r="I33" s="2"/>
      <c r="J33" s="6">
        <f t="shared" si="13"/>
        <v>6.7766737787759703E-3</v>
      </c>
      <c r="K33" s="2"/>
      <c r="L33" s="7">
        <f t="shared" si="14"/>
        <v>-48.543230769230945</v>
      </c>
      <c r="M33" s="2"/>
      <c r="N33" s="6">
        <f t="shared" si="15"/>
        <v>-6.9715647758238186E-2</v>
      </c>
      <c r="O33" s="11"/>
      <c r="P33" s="7">
        <v>4068.67</v>
      </c>
      <c r="Q33" s="2"/>
      <c r="R33" s="6">
        <f t="shared" si="16"/>
        <v>4.8071711371569037E-3</v>
      </c>
      <c r="S33" s="2"/>
      <c r="T33" s="7">
        <v>4367.0192307692332</v>
      </c>
      <c r="U33" s="2"/>
      <c r="V33" s="6">
        <f t="shared" si="17"/>
        <v>4.8627796122367719E-3</v>
      </c>
      <c r="W33" s="2"/>
      <c r="X33" s="7">
        <f t="shared" si="18"/>
        <v>-298.34923076923315</v>
      </c>
      <c r="Y33" s="2"/>
      <c r="Z33" s="6">
        <f t="shared" si="19"/>
        <v>-6.8318735275337938E-2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7">
        <v>680.72</v>
      </c>
      <c r="E34" s="2"/>
      <c r="F34" s="6">
        <f t="shared" si="12"/>
        <v>7.5803409572151497E-3</v>
      </c>
      <c r="G34" s="2"/>
      <c r="H34" s="7">
        <v>1232.35598076923</v>
      </c>
      <c r="I34" s="2"/>
      <c r="J34" s="6">
        <f t="shared" si="13"/>
        <v>1.1993732172936545E-2</v>
      </c>
      <c r="K34" s="2"/>
      <c r="L34" s="7">
        <f t="shared" si="14"/>
        <v>-551.63598076922995</v>
      </c>
      <c r="M34" s="2"/>
      <c r="N34" s="6">
        <f t="shared" si="15"/>
        <v>-0.4476271380814022</v>
      </c>
      <c r="O34" s="11"/>
      <c r="P34" s="7">
        <v>4180.62</v>
      </c>
      <c r="Q34" s="2"/>
      <c r="R34" s="6">
        <f t="shared" si="16"/>
        <v>4.9394410948592283E-3</v>
      </c>
      <c r="S34" s="2"/>
      <c r="T34" s="7">
        <v>8952.2019807692159</v>
      </c>
      <c r="U34" s="2"/>
      <c r="V34" s="6">
        <f t="shared" si="17"/>
        <v>9.9684894836247605E-3</v>
      </c>
      <c r="W34" s="2"/>
      <c r="X34" s="7">
        <f t="shared" si="18"/>
        <v>-4771.581980769216</v>
      </c>
      <c r="Y34" s="2"/>
      <c r="Z34" s="6">
        <f t="shared" si="19"/>
        <v>-0.533006515158991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7">
        <v>609.05999999999995</v>
      </c>
      <c r="E35" s="2"/>
      <c r="F35" s="6">
        <f t="shared" si="12"/>
        <v>6.7823517208271513E-3</v>
      </c>
      <c r="G35" s="2"/>
      <c r="H35" s="7">
        <v>150</v>
      </c>
      <c r="I35" s="2"/>
      <c r="J35" s="6">
        <f t="shared" si="13"/>
        <v>1.4598540145985401E-3</v>
      </c>
      <c r="K35" s="2"/>
      <c r="L35" s="7">
        <f t="shared" si="14"/>
        <v>459.05999999999995</v>
      </c>
      <c r="M35" s="2"/>
      <c r="N35" s="6">
        <f t="shared" si="15"/>
        <v>3.0603999999999996</v>
      </c>
      <c r="O35" s="11"/>
      <c r="P35" s="7">
        <v>2857.74</v>
      </c>
      <c r="Q35" s="2"/>
      <c r="R35" s="6">
        <f t="shared" si="16"/>
        <v>3.3764461717216607E-3</v>
      </c>
      <c r="S35" s="2"/>
      <c r="T35" s="7">
        <v>1050</v>
      </c>
      <c r="U35" s="2"/>
      <c r="V35" s="6">
        <f t="shared" si="17"/>
        <v>1.1691999331885753E-3</v>
      </c>
      <c r="W35" s="2"/>
      <c r="X35" s="7">
        <f t="shared" si="18"/>
        <v>1807.7399999999998</v>
      </c>
      <c r="Y35" s="2"/>
      <c r="Z35" s="6">
        <f t="shared" si="19"/>
        <v>1.7216571428571426</v>
      </c>
    </row>
    <row r="36" spans="1:26" s="27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33110.880000000005</v>
      </c>
      <c r="E36" s="1"/>
      <c r="F36" s="5">
        <f t="shared" ref="F36:F46" si="20">IF(D$12=0,0,D36/D$12)</f>
        <v>0.36871512485814428</v>
      </c>
      <c r="G36" s="1"/>
      <c r="H36" s="1">
        <f>SUM(OSRRefH22_1x_0)</f>
        <v>30401.8831538462</v>
      </c>
      <c r="I36" s="1"/>
      <c r="J36" s="5">
        <f t="shared" ref="J36:J46" si="21">IF(H$12=0,0,H36/H$12)</f>
        <v>0.29588207448998732</v>
      </c>
      <c r="K36" s="1"/>
      <c r="L36" s="1">
        <f t="shared" ref="L36:L46" si="22">+D36-H36</f>
        <v>2708.9968461538047</v>
      </c>
      <c r="M36" s="1"/>
      <c r="N36" s="5">
        <f t="shared" ref="N36:N46" si="23">IF(H36=0,0,L36/H36)</f>
        <v>8.9106218599852891E-2</v>
      </c>
      <c r="O36" s="13"/>
      <c r="P36" s="1">
        <f>SUM(OSRRefP22_1x_0)</f>
        <v>229649.16000000003</v>
      </c>
      <c r="Q36" s="1"/>
      <c r="R36" s="5">
        <f t="shared" ref="R36:R46" si="24">IF(P$12=0,0,P36/P$12)</f>
        <v>0.27133260097877882</v>
      </c>
      <c r="S36" s="1"/>
      <c r="T36" s="1">
        <f>SUM(OSRRefT22_1x_0)</f>
        <v>231445.77115384629</v>
      </c>
      <c r="U36" s="1"/>
      <c r="V36" s="5">
        <f t="shared" ref="V36:V46" si="25">IF(T$12=0,0,T36/T$12)</f>
        <v>0.25772036206652893</v>
      </c>
      <c r="W36" s="1"/>
      <c r="X36" s="1">
        <f t="shared" ref="X36:X46" si="26">+P36-T36</f>
        <v>-1796.6111538462574</v>
      </c>
      <c r="Y36" s="1"/>
      <c r="Z36" s="5">
        <f t="shared" ref="Z36:Z46" si="27">IF(T36=0,0,X36/T36)</f>
        <v>-7.762557703644612E-3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7">
        <v>10826</v>
      </c>
      <c r="E38" s="2"/>
      <c r="F38" s="6">
        <f t="shared" si="20"/>
        <v>0.12055583970327184</v>
      </c>
      <c r="G38" s="2"/>
      <c r="H38" s="7">
        <v>10161.346153846202</v>
      </c>
      <c r="I38" s="2"/>
      <c r="J38" s="6">
        <f t="shared" si="21"/>
        <v>9.8893879842785415E-2</v>
      </c>
      <c r="K38" s="2"/>
      <c r="L38" s="7">
        <f t="shared" si="22"/>
        <v>664.65384615379844</v>
      </c>
      <c r="M38" s="2"/>
      <c r="N38" s="6">
        <f t="shared" si="23"/>
        <v>6.5410019114664084E-2</v>
      </c>
      <c r="O38" s="11"/>
      <c r="P38" s="7">
        <v>55442</v>
      </c>
      <c r="Q38" s="2"/>
      <c r="R38" s="6">
        <f t="shared" si="24"/>
        <v>6.5505234434410517E-2</v>
      </c>
      <c r="S38" s="2"/>
      <c r="T38" s="7">
        <v>63000.34615384628</v>
      </c>
      <c r="U38" s="2"/>
      <c r="V38" s="6">
        <f t="shared" si="25"/>
        <v>7.0152381441842077E-2</v>
      </c>
      <c r="W38" s="2"/>
      <c r="X38" s="7">
        <f t="shared" si="26"/>
        <v>-7558.3461538462798</v>
      </c>
      <c r="Y38" s="2"/>
      <c r="Z38" s="6">
        <f t="shared" si="27"/>
        <v>-0.11997308928095199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7">
        <v>4734.8599999999997</v>
      </c>
      <c r="E40" s="2"/>
      <c r="F40" s="6">
        <f t="shared" si="20"/>
        <v>5.2726309179515395E-2</v>
      </c>
      <c r="G40" s="2"/>
      <c r="H40" s="7">
        <v>3015.2370000000001</v>
      </c>
      <c r="I40" s="2"/>
      <c r="J40" s="6">
        <f t="shared" si="21"/>
        <v>2.9345372262773724E-2</v>
      </c>
      <c r="K40" s="2"/>
      <c r="L40" s="7">
        <f t="shared" si="22"/>
        <v>1719.6229999999996</v>
      </c>
      <c r="M40" s="2"/>
      <c r="N40" s="6">
        <f t="shared" si="23"/>
        <v>0.57031105680913297</v>
      </c>
      <c r="O40" s="11"/>
      <c r="P40" s="7">
        <v>26562.070000000003</v>
      </c>
      <c r="Q40" s="2"/>
      <c r="R40" s="6">
        <f t="shared" si="24"/>
        <v>3.13833307314531E-2</v>
      </c>
      <c r="S40" s="2"/>
      <c r="T40" s="7">
        <v>22496.625</v>
      </c>
      <c r="U40" s="2"/>
      <c r="V40" s="6">
        <f t="shared" si="25"/>
        <v>2.5050526139969935E-2</v>
      </c>
      <c r="W40" s="2"/>
      <c r="X40" s="7">
        <f t="shared" si="26"/>
        <v>4065.4450000000033</v>
      </c>
      <c r="Y40" s="2"/>
      <c r="Z40" s="6">
        <f t="shared" si="27"/>
        <v>0.18071355147716617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7">
        <v>6786.93</v>
      </c>
      <c r="E41" s="2"/>
      <c r="F41" s="6">
        <f t="shared" si="20"/>
        <v>7.5577687526078588E-2</v>
      </c>
      <c r="G41" s="2"/>
      <c r="H41" s="7">
        <v>6201.3</v>
      </c>
      <c r="I41" s="2"/>
      <c r="J41" s="6">
        <f t="shared" si="21"/>
        <v>6.035328467153285E-2</v>
      </c>
      <c r="K41" s="2"/>
      <c r="L41" s="7">
        <f t="shared" si="22"/>
        <v>585.63000000000011</v>
      </c>
      <c r="M41" s="2"/>
      <c r="N41" s="6">
        <f t="shared" si="23"/>
        <v>9.4436650379759096E-2</v>
      </c>
      <c r="O41" s="11"/>
      <c r="P41" s="7">
        <v>65194.879999999997</v>
      </c>
      <c r="Q41" s="2"/>
      <c r="R41" s="6">
        <f t="shared" si="24"/>
        <v>7.7028352121555163E-2</v>
      </c>
      <c r="S41" s="2"/>
      <c r="T41" s="7">
        <v>61604.800000000003</v>
      </c>
      <c r="U41" s="2"/>
      <c r="V41" s="6">
        <f t="shared" si="25"/>
        <v>6.8598407661043373E-2</v>
      </c>
      <c r="W41" s="2"/>
      <c r="X41" s="7">
        <f t="shared" si="26"/>
        <v>3590.0799999999945</v>
      </c>
      <c r="Y41" s="2"/>
      <c r="Z41" s="6">
        <f t="shared" si="27"/>
        <v>5.8275978495182103E-2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>
        <v>7215.01</v>
      </c>
      <c r="Q42" s="2"/>
      <c r="R42" s="6">
        <f t="shared" si="24"/>
        <v>8.524600871119661E-3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7215.01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7">
        <v>10763.09</v>
      </c>
      <c r="E43" s="2"/>
      <c r="F43" s="6">
        <f t="shared" si="20"/>
        <v>0.11985528844927842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10763.09</v>
      </c>
      <c r="M43" s="2"/>
      <c r="N43" s="6">
        <f t="shared" si="23"/>
        <v>0</v>
      </c>
      <c r="O43" s="11"/>
      <c r="P43" s="7">
        <v>73405.2</v>
      </c>
      <c r="Q43" s="2"/>
      <c r="R43" s="6">
        <f t="shared" si="24"/>
        <v>8.6728920939085727E-2</v>
      </c>
      <c r="S43" s="2"/>
      <c r="T43" s="7">
        <v>2535</v>
      </c>
      <c r="U43" s="2"/>
      <c r="V43" s="6">
        <f t="shared" si="25"/>
        <v>2.8227826958409888E-3</v>
      </c>
      <c r="W43" s="2"/>
      <c r="X43" s="7">
        <f t="shared" si="26"/>
        <v>70870.2</v>
      </c>
      <c r="Y43" s="2"/>
      <c r="Z43" s="6">
        <f t="shared" si="27"/>
        <v>27.956686390532543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11024</v>
      </c>
      <c r="I44" s="2"/>
      <c r="J44" s="6">
        <f t="shared" si="21"/>
        <v>0.10728953771289537</v>
      </c>
      <c r="K44" s="2"/>
      <c r="L44" s="7">
        <f t="shared" si="22"/>
        <v>-11024</v>
      </c>
      <c r="M44" s="2"/>
      <c r="N44" s="6">
        <f t="shared" si="23"/>
        <v>-1</v>
      </c>
      <c r="O44" s="11"/>
      <c r="P44" s="7">
        <v>1830</v>
      </c>
      <c r="Q44" s="2"/>
      <c r="R44" s="6">
        <f t="shared" si="24"/>
        <v>2.1621618811545626E-3</v>
      </c>
      <c r="S44" s="2"/>
      <c r="T44" s="7">
        <v>81809</v>
      </c>
      <c r="U44" s="2"/>
      <c r="V44" s="6">
        <f t="shared" si="25"/>
        <v>9.1096264127832532E-2</v>
      </c>
      <c r="W44" s="2"/>
      <c r="X44" s="7">
        <f t="shared" si="26"/>
        <v>-79979</v>
      </c>
      <c r="Y44" s="2"/>
      <c r="Z44" s="6">
        <f t="shared" si="27"/>
        <v>-0.97763082301458271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7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1054.52</v>
      </c>
      <c r="E47" s="1"/>
      <c r="F47" s="5">
        <f t="shared" ref="F47:F56" si="28">IF(D$12=0,0,D47/D$12)</f>
        <v>1.1742891565111234E-2</v>
      </c>
      <c r="G47" s="1"/>
      <c r="H47" s="1">
        <f>SUM(OSRRefH22_2x_0)</f>
        <v>550</v>
      </c>
      <c r="I47" s="1"/>
      <c r="J47" s="5">
        <f t="shared" ref="J47:J56" si="29">IF(H$12=0,0,H47/H$12)</f>
        <v>5.3527980535279804E-3</v>
      </c>
      <c r="K47" s="1"/>
      <c r="L47" s="1">
        <f t="shared" ref="L47:L56" si="30">+D47-H47</f>
        <v>504.52</v>
      </c>
      <c r="M47" s="1"/>
      <c r="N47" s="5">
        <f t="shared" ref="N47:N56" si="31">IF(H47=0,0,L47/H47)</f>
        <v>0.91730909090909085</v>
      </c>
      <c r="O47" s="13"/>
      <c r="P47" s="1">
        <f>SUM(OSRRefP22_2x_0)</f>
        <v>4095.63</v>
      </c>
      <c r="Q47" s="1"/>
      <c r="R47" s="5">
        <f t="shared" ref="R47:R56" si="32">IF(P$12=0,0,P47/P$12)</f>
        <v>4.8390246258541315E-3</v>
      </c>
      <c r="S47" s="1"/>
      <c r="T47" s="1">
        <f>SUM(OSRRefT22_2x_0)</f>
        <v>5380</v>
      </c>
      <c r="U47" s="1"/>
      <c r="V47" s="5">
        <f t="shared" ref="V47:V56" si="33">IF(T$12=0,0,T47/T$12)</f>
        <v>5.9907577529090808E-3</v>
      </c>
      <c r="W47" s="1"/>
      <c r="X47" s="1">
        <f t="shared" ref="X47:X56" si="34">+P47-T47</f>
        <v>-1284.3699999999999</v>
      </c>
      <c r="Y47" s="1"/>
      <c r="Z47" s="5">
        <f t="shared" ref="Z47:Z56" si="35">IF(T47=0,0,X47/T47)</f>
        <v>-0.23873048327137544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7">
        <v>1054.52</v>
      </c>
      <c r="E48" s="2"/>
      <c r="F48" s="6">
        <f t="shared" si="28"/>
        <v>1.1742891565111234E-2</v>
      </c>
      <c r="G48" s="2"/>
      <c r="H48" s="7">
        <v>550</v>
      </c>
      <c r="I48" s="2"/>
      <c r="J48" s="6">
        <f t="shared" si="29"/>
        <v>5.3527980535279804E-3</v>
      </c>
      <c r="K48" s="2"/>
      <c r="L48" s="7">
        <f t="shared" si="30"/>
        <v>504.52</v>
      </c>
      <c r="M48" s="2"/>
      <c r="N48" s="6">
        <f t="shared" si="31"/>
        <v>0.91730909090909085</v>
      </c>
      <c r="O48" s="11"/>
      <c r="P48" s="7">
        <v>4095.63</v>
      </c>
      <c r="Q48" s="2"/>
      <c r="R48" s="6">
        <f t="shared" si="32"/>
        <v>4.8390246258541315E-3</v>
      </c>
      <c r="S48" s="2"/>
      <c r="T48" s="7">
        <v>5380</v>
      </c>
      <c r="U48" s="2"/>
      <c r="V48" s="6">
        <f t="shared" si="33"/>
        <v>5.9907577529090808E-3</v>
      </c>
      <c r="W48" s="2"/>
      <c r="X48" s="7">
        <f t="shared" si="34"/>
        <v>-1284.3699999999999</v>
      </c>
      <c r="Y48" s="2"/>
      <c r="Z48" s="6">
        <f t="shared" si="35"/>
        <v>-0.23873048327137544</v>
      </c>
    </row>
    <row r="49" spans="1:26" s="27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-287.11</v>
      </c>
      <c r="E49" s="1"/>
      <c r="F49" s="5">
        <f t="shared" si="28"/>
        <v>-3.1971907571777553E-3</v>
      </c>
      <c r="G49" s="1"/>
      <c r="H49" s="1">
        <f>SUM(OSRRefH22_3x_0)</f>
        <v>10</v>
      </c>
      <c r="I49" s="1"/>
      <c r="J49" s="5">
        <f t="shared" si="29"/>
        <v>9.7323600973236009E-5</v>
      </c>
      <c r="K49" s="1"/>
      <c r="L49" s="1">
        <f t="shared" si="30"/>
        <v>-297.11</v>
      </c>
      <c r="M49" s="1"/>
      <c r="N49" s="5">
        <f t="shared" si="31"/>
        <v>-29.711000000000002</v>
      </c>
      <c r="O49" s="13"/>
      <c r="P49" s="1">
        <f>SUM(OSRRefP22_3x_0)</f>
        <v>-323.87</v>
      </c>
      <c r="Q49" s="1"/>
      <c r="R49" s="5">
        <f t="shared" si="32"/>
        <v>-3.8265539259537058E-4</v>
      </c>
      <c r="S49" s="1"/>
      <c r="T49" s="1">
        <f>SUM(OSRRefT22_3x_0)</f>
        <v>70</v>
      </c>
      <c r="U49" s="1"/>
      <c r="V49" s="5">
        <f t="shared" si="33"/>
        <v>7.7946662212571686E-5</v>
      </c>
      <c r="W49" s="1"/>
      <c r="X49" s="1">
        <f t="shared" si="34"/>
        <v>-393.87</v>
      </c>
      <c r="Y49" s="1"/>
      <c r="Z49" s="5">
        <f t="shared" si="35"/>
        <v>-5.6267142857142858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7">
        <v>-287.11</v>
      </c>
      <c r="E50" s="2"/>
      <c r="F50" s="6">
        <f t="shared" si="28"/>
        <v>-3.1971907571777553E-3</v>
      </c>
      <c r="G50" s="2"/>
      <c r="H50" s="7">
        <v>10</v>
      </c>
      <c r="I50" s="2"/>
      <c r="J50" s="6">
        <f t="shared" si="29"/>
        <v>9.7323600973236009E-5</v>
      </c>
      <c r="K50" s="2"/>
      <c r="L50" s="7">
        <f t="shared" si="30"/>
        <v>-297.11</v>
      </c>
      <c r="M50" s="2"/>
      <c r="N50" s="6">
        <f t="shared" si="31"/>
        <v>-29.711000000000002</v>
      </c>
      <c r="O50" s="11"/>
      <c r="P50" s="7">
        <v>-323.87</v>
      </c>
      <c r="Q50" s="2"/>
      <c r="R50" s="6">
        <f t="shared" si="32"/>
        <v>-3.8265539259537058E-4</v>
      </c>
      <c r="S50" s="2"/>
      <c r="T50" s="7">
        <v>70</v>
      </c>
      <c r="U50" s="2"/>
      <c r="V50" s="6">
        <f t="shared" si="33"/>
        <v>7.7946662212571686E-5</v>
      </c>
      <c r="W50" s="2"/>
      <c r="X50" s="7">
        <f t="shared" si="34"/>
        <v>-393.87</v>
      </c>
      <c r="Y50" s="2"/>
      <c r="Z50" s="6">
        <f t="shared" si="35"/>
        <v>-5.6267142857142858</v>
      </c>
    </row>
    <row r="51" spans="1:26" s="27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3025.86</v>
      </c>
      <c r="E51" s="1"/>
      <c r="F51" s="5">
        <f t="shared" si="28"/>
        <v>3.3695279246678568E-2</v>
      </c>
      <c r="G51" s="1"/>
      <c r="H51" s="1">
        <f>SUM(OSRRefH22_4x_0)</f>
        <v>3740</v>
      </c>
      <c r="I51" s="1"/>
      <c r="J51" s="5">
        <f t="shared" si="29"/>
        <v>3.6399026763990268E-2</v>
      </c>
      <c r="K51" s="1"/>
      <c r="L51" s="1">
        <f t="shared" si="30"/>
        <v>-714.13999999999987</v>
      </c>
      <c r="M51" s="1"/>
      <c r="N51" s="5">
        <f t="shared" si="31"/>
        <v>-0.19094652406417109</v>
      </c>
      <c r="O51" s="13"/>
      <c r="P51" s="1">
        <f>SUM(OSRRefP22_4x_0)</f>
        <v>33916.19</v>
      </c>
      <c r="Q51" s="1"/>
      <c r="R51" s="5">
        <f t="shared" si="32"/>
        <v>4.0072291350817246E-2</v>
      </c>
      <c r="S51" s="1"/>
      <c r="T51" s="1">
        <f>SUM(OSRRefT22_4x_0)</f>
        <v>33000</v>
      </c>
      <c r="U51" s="1"/>
      <c r="V51" s="5">
        <f t="shared" si="33"/>
        <v>3.6746283614498082E-2</v>
      </c>
      <c r="W51" s="1"/>
      <c r="X51" s="1">
        <f t="shared" si="34"/>
        <v>916.19000000000233</v>
      </c>
      <c r="Y51" s="1"/>
      <c r="Z51" s="5">
        <f t="shared" si="35"/>
        <v>2.7763333333333404E-2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7">
        <v>3025.86</v>
      </c>
      <c r="E52" s="2"/>
      <c r="F52" s="6">
        <f t="shared" si="28"/>
        <v>3.3695279246678568E-2</v>
      </c>
      <c r="G52" s="2"/>
      <c r="H52" s="7">
        <v>3740</v>
      </c>
      <c r="I52" s="2"/>
      <c r="J52" s="6">
        <f t="shared" si="29"/>
        <v>3.6399026763990268E-2</v>
      </c>
      <c r="K52" s="2"/>
      <c r="L52" s="7">
        <f t="shared" si="30"/>
        <v>-714.13999999999987</v>
      </c>
      <c r="M52" s="2"/>
      <c r="N52" s="6">
        <f t="shared" si="31"/>
        <v>-0.19094652406417109</v>
      </c>
      <c r="O52" s="11"/>
      <c r="P52" s="7">
        <v>33916.19</v>
      </c>
      <c r="Q52" s="2"/>
      <c r="R52" s="6">
        <f t="shared" si="32"/>
        <v>4.0072291350817246E-2</v>
      </c>
      <c r="S52" s="2"/>
      <c r="T52" s="7">
        <v>33000</v>
      </c>
      <c r="U52" s="2"/>
      <c r="V52" s="6">
        <f t="shared" si="33"/>
        <v>3.6746283614498082E-2</v>
      </c>
      <c r="W52" s="2"/>
      <c r="X52" s="7">
        <f t="shared" si="34"/>
        <v>916.19000000000233</v>
      </c>
      <c r="Y52" s="2"/>
      <c r="Z52" s="6">
        <f t="shared" si="35"/>
        <v>2.7763333333333404E-2</v>
      </c>
    </row>
    <row r="53" spans="1:26" s="27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8263.4700000000012</v>
      </c>
      <c r="E53" s="1"/>
      <c r="F53" s="5">
        <f t="shared" si="28"/>
        <v>9.2020096500350632E-2</v>
      </c>
      <c r="G53" s="1"/>
      <c r="H53" s="1">
        <f>SUM(OSRRefH22_5x_0)</f>
        <v>8780</v>
      </c>
      <c r="I53" s="1"/>
      <c r="J53" s="5">
        <f t="shared" si="29"/>
        <v>8.5450121654501221E-2</v>
      </c>
      <c r="K53" s="1"/>
      <c r="L53" s="1">
        <f t="shared" si="30"/>
        <v>-516.52999999999884</v>
      </c>
      <c r="M53" s="1"/>
      <c r="N53" s="5">
        <f t="shared" si="31"/>
        <v>-5.8830296127562506E-2</v>
      </c>
      <c r="O53" s="13"/>
      <c r="P53" s="1">
        <f>SUM(OSRRefP22_5x_0)</f>
        <v>57844.29</v>
      </c>
      <c r="Q53" s="1"/>
      <c r="R53" s="5">
        <f t="shared" si="32"/>
        <v>6.8343562229754129E-2</v>
      </c>
      <c r="S53" s="1"/>
      <c r="T53" s="1">
        <f>SUM(OSRRefT22_5x_0)</f>
        <v>60992</v>
      </c>
      <c r="U53" s="1"/>
      <c r="V53" s="5">
        <f t="shared" si="33"/>
        <v>6.7916040309559597E-2</v>
      </c>
      <c r="W53" s="1"/>
      <c r="X53" s="1">
        <f t="shared" si="34"/>
        <v>-3147.7099999999991</v>
      </c>
      <c r="Y53" s="1"/>
      <c r="Z53" s="5">
        <f t="shared" si="35"/>
        <v>-5.1608571615949617E-2</v>
      </c>
    </row>
    <row r="54" spans="1:26" s="24" customFormat="1" hidden="1" outlineLevel="2" x14ac:dyDescent="0.25">
      <c r="A54" s="25"/>
      <c r="B54" s="11" t="str">
        <f>CONCATENATE("          ", "6321", " - ", "BUILDING DEPRECIATION")</f>
        <v xml:space="preserve">          6321 - BUILDING DEPRECIATION</v>
      </c>
      <c r="C54" s="11"/>
      <c r="D54" s="7">
        <v>6537.05</v>
      </c>
      <c r="E54" s="2"/>
      <c r="F54" s="6">
        <f t="shared" si="28"/>
        <v>7.2795081464277961E-2</v>
      </c>
      <c r="G54" s="2"/>
      <c r="H54" s="7">
        <v>6537</v>
      </c>
      <c r="I54" s="2"/>
      <c r="J54" s="6">
        <f t="shared" si="29"/>
        <v>6.3620437956204381E-2</v>
      </c>
      <c r="K54" s="2"/>
      <c r="L54" s="7">
        <f t="shared" si="30"/>
        <v>5.0000000000181899E-2</v>
      </c>
      <c r="M54" s="2"/>
      <c r="N54" s="6">
        <f t="shared" si="31"/>
        <v>7.6487685482915549E-6</v>
      </c>
      <c r="O54" s="11"/>
      <c r="P54" s="7">
        <v>45759.35</v>
      </c>
      <c r="Q54" s="2"/>
      <c r="R54" s="6">
        <f t="shared" si="32"/>
        <v>5.4065094140114768E-2</v>
      </c>
      <c r="S54" s="2"/>
      <c r="T54" s="7">
        <v>45759</v>
      </c>
      <c r="U54" s="2"/>
      <c r="V54" s="6">
        <f t="shared" si="33"/>
        <v>5.0953733088358107E-2</v>
      </c>
      <c r="W54" s="2"/>
      <c r="X54" s="7">
        <f t="shared" si="34"/>
        <v>0.34999999999854481</v>
      </c>
      <c r="Y54" s="2"/>
      <c r="Z54" s="6">
        <f t="shared" si="35"/>
        <v>7.6487685482319288E-6</v>
      </c>
    </row>
    <row r="55" spans="1:26" s="24" customFormat="1" hidden="1" outlineLevel="2" x14ac:dyDescent="0.25">
      <c r="A55" s="25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1726.42</v>
      </c>
      <c r="E55" s="2"/>
      <c r="F55" s="6">
        <f t="shared" si="28"/>
        <v>1.9225015036072657E-2</v>
      </c>
      <c r="G55" s="2"/>
      <c r="H55" s="7">
        <v>1726</v>
      </c>
      <c r="I55" s="2"/>
      <c r="J55" s="6">
        <f t="shared" si="29"/>
        <v>1.6798053527980535E-2</v>
      </c>
      <c r="K55" s="2"/>
      <c r="L55" s="7">
        <f t="shared" si="30"/>
        <v>0.42000000000007276</v>
      </c>
      <c r="M55" s="2"/>
      <c r="N55" s="6">
        <f t="shared" si="31"/>
        <v>2.4333719582854738E-4</v>
      </c>
      <c r="O55" s="11"/>
      <c r="P55" s="7">
        <v>12084.94</v>
      </c>
      <c r="Q55" s="2"/>
      <c r="R55" s="6">
        <f t="shared" si="32"/>
        <v>1.4278468089639356E-2</v>
      </c>
      <c r="S55" s="2"/>
      <c r="T55" s="7">
        <v>12082</v>
      </c>
      <c r="U55" s="2"/>
      <c r="V55" s="6">
        <f t="shared" si="33"/>
        <v>1.3453593897889873E-2</v>
      </c>
      <c r="W55" s="2"/>
      <c r="X55" s="7">
        <f t="shared" si="34"/>
        <v>2.9400000000005093</v>
      </c>
      <c r="Y55" s="2"/>
      <c r="Z55" s="6">
        <f t="shared" si="35"/>
        <v>2.4333719582854738E-4</v>
      </c>
    </row>
    <row r="56" spans="1:26" s="24" customFormat="1" hidden="1" outlineLevel="2" x14ac:dyDescent="0.25">
      <c r="A56" s="25"/>
      <c r="B56" s="11" t="str">
        <f>CONCATENATE("          ", "6324", " - ", "FURNITURE + FIXT DEPRECIATION")</f>
        <v xml:space="preserve">          6324 - FURNITURE + FIXT DEPRECIATION</v>
      </c>
      <c r="C56" s="11"/>
      <c r="D56" s="7"/>
      <c r="E56" s="2"/>
      <c r="F56" s="6">
        <f t="shared" si="28"/>
        <v>0</v>
      </c>
      <c r="G56" s="2"/>
      <c r="H56" s="7">
        <v>517</v>
      </c>
      <c r="I56" s="2"/>
      <c r="J56" s="6">
        <f t="shared" si="29"/>
        <v>5.0316301703163015E-3</v>
      </c>
      <c r="K56" s="2"/>
      <c r="L56" s="7">
        <f t="shared" si="30"/>
        <v>-517</v>
      </c>
      <c r="M56" s="2"/>
      <c r="N56" s="6">
        <f t="shared" si="31"/>
        <v>-1</v>
      </c>
      <c r="O56" s="11"/>
      <c r="P56" s="7"/>
      <c r="Q56" s="2"/>
      <c r="R56" s="6">
        <f t="shared" si="32"/>
        <v>0</v>
      </c>
      <c r="S56" s="2"/>
      <c r="T56" s="7">
        <v>3151</v>
      </c>
      <c r="U56" s="2"/>
      <c r="V56" s="6">
        <f t="shared" si="33"/>
        <v>3.5087133233116198E-3</v>
      </c>
      <c r="W56" s="2"/>
      <c r="X56" s="7">
        <f t="shared" si="34"/>
        <v>-3151</v>
      </c>
      <c r="Y56" s="2"/>
      <c r="Z56" s="6">
        <f t="shared" si="35"/>
        <v>-1</v>
      </c>
    </row>
    <row r="57" spans="1:26" s="27" customFormat="1" outlineLevel="1" collapsed="1" x14ac:dyDescent="0.25">
      <c r="A57" s="26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SUM(OSRRefD22_6x_0)</f>
        <v>0.09</v>
      </c>
      <c r="E57" s="1"/>
      <c r="F57" s="5">
        <f t="shared" ref="F57:F67" si="36">IF(D$12=0,0,D57/D$12)</f>
        <v>1.0022192474870189E-6</v>
      </c>
      <c r="G57" s="1"/>
      <c r="H57" s="1">
        <f>SUM(OSRRefH22_6x_0)</f>
        <v>0</v>
      </c>
      <c r="I57" s="1"/>
      <c r="J57" s="5">
        <f t="shared" ref="J57:J67" si="37">IF(H$12=0,0,H57/H$12)</f>
        <v>0</v>
      </c>
      <c r="K57" s="1"/>
      <c r="L57" s="1">
        <f t="shared" ref="L57:L67" si="38">+D57-H57</f>
        <v>0.09</v>
      </c>
      <c r="M57" s="1"/>
      <c r="N57" s="5">
        <f t="shared" ref="N57:N67" si="39">IF(H57=0,0,L57/H57)</f>
        <v>0</v>
      </c>
      <c r="O57" s="13"/>
      <c r="P57" s="1">
        <f>SUM(OSRRefP22_6x_0)</f>
        <v>0.09</v>
      </c>
      <c r="Q57" s="1"/>
      <c r="R57" s="5">
        <f t="shared" ref="R57:R67" si="40">IF(P$12=0,0,P57/P$12)</f>
        <v>1.0633583022071619E-7</v>
      </c>
      <c r="S57" s="1"/>
      <c r="T57" s="1">
        <f>SUM(OSRRefT22_6x_0)</f>
        <v>0</v>
      </c>
      <c r="U57" s="1"/>
      <c r="V57" s="5">
        <f t="shared" ref="V57:V67" si="41">IF(T$12=0,0,T57/T$12)</f>
        <v>0</v>
      </c>
      <c r="W57" s="1"/>
      <c r="X57" s="1">
        <f t="shared" ref="X57:X67" si="42">+P57-T57</f>
        <v>0.09</v>
      </c>
      <c r="Y57" s="1"/>
      <c r="Z57" s="5">
        <f t="shared" ref="Z57:Z67" si="43">IF(T57=0,0,X57/T57)</f>
        <v>0</v>
      </c>
    </row>
    <row r="58" spans="1:26" s="24" customFormat="1" hidden="1" outlineLevel="2" x14ac:dyDescent="0.25">
      <c r="A58" s="25"/>
      <c r="B58" s="11" t="str">
        <f>CONCATENATE("          ", "6382", " - ", "DISCOUNTS/MARK DOWNS")</f>
        <v xml:space="preserve">          6382 - DISCOUNTS/MARK DOWNS</v>
      </c>
      <c r="C58" s="11"/>
      <c r="D58" s="7">
        <v>0.09</v>
      </c>
      <c r="E58" s="2"/>
      <c r="F58" s="6">
        <f t="shared" si="36"/>
        <v>1.0022192474870189E-6</v>
      </c>
      <c r="G58" s="2"/>
      <c r="H58" s="7"/>
      <c r="I58" s="2"/>
      <c r="J58" s="6">
        <f t="shared" si="37"/>
        <v>0</v>
      </c>
      <c r="K58" s="2"/>
      <c r="L58" s="7">
        <f t="shared" si="38"/>
        <v>0.09</v>
      </c>
      <c r="M58" s="2"/>
      <c r="N58" s="6">
        <f t="shared" si="39"/>
        <v>0</v>
      </c>
      <c r="O58" s="11"/>
      <c r="P58" s="7">
        <v>0.09</v>
      </c>
      <c r="Q58" s="2"/>
      <c r="R58" s="6">
        <f t="shared" si="40"/>
        <v>1.0633583022071619E-7</v>
      </c>
      <c r="S58" s="2"/>
      <c r="T58" s="7"/>
      <c r="U58" s="2"/>
      <c r="V58" s="6">
        <f t="shared" si="41"/>
        <v>0</v>
      </c>
      <c r="W58" s="2"/>
      <c r="X58" s="7">
        <f t="shared" si="42"/>
        <v>0.09</v>
      </c>
      <c r="Y58" s="2"/>
      <c r="Z58" s="6">
        <f t="shared" si="43"/>
        <v>0</v>
      </c>
    </row>
    <row r="59" spans="1:26" s="27" customFormat="1" outlineLevel="1" collapsed="1" x14ac:dyDescent="0.25">
      <c r="A59" s="26"/>
      <c r="B59" s="13" t="str">
        <f>CONCATENATE("     ","Donations                                         ")</f>
        <v xml:space="preserve">     Donations                                         </v>
      </c>
      <c r="C59" s="13"/>
      <c r="D59" s="1">
        <f>SUM(OSRRefD22_7x_0)</f>
        <v>0</v>
      </c>
      <c r="E59" s="1"/>
      <c r="F59" s="5">
        <f t="shared" si="36"/>
        <v>0</v>
      </c>
      <c r="G59" s="1"/>
      <c r="H59" s="1">
        <f>SUM(OSRRefH22_7x_0)</f>
        <v>0</v>
      </c>
      <c r="I59" s="1"/>
      <c r="J59" s="5">
        <f t="shared" si="37"/>
        <v>0</v>
      </c>
      <c r="K59" s="1"/>
      <c r="L59" s="1">
        <f t="shared" si="38"/>
        <v>0</v>
      </c>
      <c r="M59" s="1"/>
      <c r="N59" s="5">
        <f t="shared" si="39"/>
        <v>0</v>
      </c>
      <c r="O59" s="13"/>
      <c r="P59" s="1">
        <f>SUM(OSRRefP22_7x_0)</f>
        <v>73</v>
      </c>
      <c r="Q59" s="1"/>
      <c r="R59" s="5">
        <f t="shared" si="40"/>
        <v>8.625017340124758E-5</v>
      </c>
      <c r="S59" s="1"/>
      <c r="T59" s="1">
        <f>SUM(OSRRefT22_7x_0)</f>
        <v>0</v>
      </c>
      <c r="U59" s="1"/>
      <c r="V59" s="5">
        <f t="shared" si="41"/>
        <v>0</v>
      </c>
      <c r="W59" s="1"/>
      <c r="X59" s="1">
        <f t="shared" si="42"/>
        <v>73</v>
      </c>
      <c r="Y59" s="1"/>
      <c r="Z59" s="5">
        <f t="shared" si="43"/>
        <v>0</v>
      </c>
    </row>
    <row r="60" spans="1:26" s="24" customFormat="1" hidden="1" outlineLevel="2" x14ac:dyDescent="0.25">
      <c r="A60" s="25"/>
      <c r="B60" s="11" t="str">
        <f>CONCATENATE("          ", "6399", " - ", "DONATION-ON CAMPUS")</f>
        <v xml:space="preserve">          6399 - DONATION-ON CAMPUS</v>
      </c>
      <c r="C60" s="11"/>
      <c r="D60" s="7"/>
      <c r="E60" s="2"/>
      <c r="F60" s="6">
        <f t="shared" si="36"/>
        <v>0</v>
      </c>
      <c r="G60" s="2"/>
      <c r="H60" s="7"/>
      <c r="I60" s="2"/>
      <c r="J60" s="6">
        <f t="shared" si="37"/>
        <v>0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73</v>
      </c>
      <c r="Q60" s="2"/>
      <c r="R60" s="6">
        <f t="shared" si="40"/>
        <v>8.625017340124758E-5</v>
      </c>
      <c r="S60" s="2"/>
      <c r="T60" s="7"/>
      <c r="U60" s="2"/>
      <c r="V60" s="6">
        <f t="shared" si="41"/>
        <v>0</v>
      </c>
      <c r="W60" s="2"/>
      <c r="X60" s="7">
        <f t="shared" si="42"/>
        <v>73</v>
      </c>
      <c r="Y60" s="2"/>
      <c r="Z60" s="6">
        <f t="shared" si="43"/>
        <v>0</v>
      </c>
    </row>
    <row r="61" spans="1:26" s="27" customFormat="1" outlineLevel="1" collapsed="1" x14ac:dyDescent="0.25">
      <c r="A61" s="26"/>
      <c r="B61" s="13" t="str">
        <f>CONCATENATE("     ","Employees' Appreciation                           ")</f>
        <v xml:space="preserve">     Employees' Appreciation                           </v>
      </c>
      <c r="C61" s="13"/>
      <c r="D61" s="1">
        <f>SUM(OSRRefD22_8x_0)</f>
        <v>0</v>
      </c>
      <c r="E61" s="1"/>
      <c r="F61" s="5">
        <f t="shared" si="36"/>
        <v>0</v>
      </c>
      <c r="G61" s="1"/>
      <c r="H61" s="1">
        <f>SUM(OSRRefH22_8x_0)</f>
        <v>75</v>
      </c>
      <c r="I61" s="1"/>
      <c r="J61" s="5">
        <f t="shared" si="37"/>
        <v>7.2992700729927003E-4</v>
      </c>
      <c r="K61" s="1"/>
      <c r="L61" s="1">
        <f t="shared" si="38"/>
        <v>-75</v>
      </c>
      <c r="M61" s="1"/>
      <c r="N61" s="5">
        <f t="shared" si="39"/>
        <v>-1</v>
      </c>
      <c r="O61" s="13"/>
      <c r="P61" s="1">
        <f>SUM(OSRRefP22_8x_0)</f>
        <v>8.25</v>
      </c>
      <c r="Q61" s="1"/>
      <c r="R61" s="5">
        <f t="shared" si="40"/>
        <v>9.7474511035656499E-6</v>
      </c>
      <c r="S61" s="1"/>
      <c r="T61" s="1">
        <f>SUM(OSRRefT22_8x_0)</f>
        <v>650</v>
      </c>
      <c r="U61" s="1"/>
      <c r="V61" s="5">
        <f t="shared" si="41"/>
        <v>7.2379043483102273E-4</v>
      </c>
      <c r="W61" s="1"/>
      <c r="X61" s="1">
        <f t="shared" si="42"/>
        <v>-641.75</v>
      </c>
      <c r="Y61" s="1"/>
      <c r="Z61" s="5">
        <f t="shared" si="43"/>
        <v>-0.98730769230769233</v>
      </c>
    </row>
    <row r="62" spans="1:26" s="24" customFormat="1" hidden="1" outlineLevel="2" x14ac:dyDescent="0.25">
      <c r="A62" s="25"/>
      <c r="B62" s="11" t="str">
        <f>CONCATENATE("          ", "6277", " - ", "EMPLOYEE APPRECIATION")</f>
        <v xml:space="preserve">          6277 - EMPLOYEE APPRECIATION</v>
      </c>
      <c r="C62" s="11"/>
      <c r="D62" s="7"/>
      <c r="E62" s="2"/>
      <c r="F62" s="6">
        <f t="shared" si="36"/>
        <v>0</v>
      </c>
      <c r="G62" s="2"/>
      <c r="H62" s="7">
        <v>75</v>
      </c>
      <c r="I62" s="2"/>
      <c r="J62" s="6">
        <f t="shared" si="37"/>
        <v>7.2992700729927003E-4</v>
      </c>
      <c r="K62" s="2"/>
      <c r="L62" s="7">
        <f t="shared" si="38"/>
        <v>-75</v>
      </c>
      <c r="M62" s="2"/>
      <c r="N62" s="6">
        <f t="shared" si="39"/>
        <v>-1</v>
      </c>
      <c r="O62" s="11"/>
      <c r="P62" s="7">
        <v>8.25</v>
      </c>
      <c r="Q62" s="2"/>
      <c r="R62" s="6">
        <f t="shared" si="40"/>
        <v>9.7474511035656499E-6</v>
      </c>
      <c r="S62" s="2"/>
      <c r="T62" s="7">
        <v>650</v>
      </c>
      <c r="U62" s="2"/>
      <c r="V62" s="6">
        <f t="shared" si="41"/>
        <v>7.2379043483102273E-4</v>
      </c>
      <c r="W62" s="2"/>
      <c r="X62" s="7">
        <f t="shared" si="42"/>
        <v>-641.75</v>
      </c>
      <c r="Y62" s="2"/>
      <c r="Z62" s="6">
        <f t="shared" si="43"/>
        <v>-0.98730769230769233</v>
      </c>
    </row>
    <row r="63" spans="1:26" s="27" customFormat="1" outlineLevel="1" collapsed="1" x14ac:dyDescent="0.25">
      <c r="A63" s="26"/>
      <c r="B63" s="13" t="str">
        <f>CONCATENATE("     ","Equipment Rental                                  ")</f>
        <v xml:space="preserve">     Equipment Rental                                  </v>
      </c>
      <c r="C63" s="13"/>
      <c r="D63" s="1">
        <f>SUM(OSRRefD22_9x_0)</f>
        <v>2316.36</v>
      </c>
      <c r="E63" s="1"/>
      <c r="F63" s="5">
        <f t="shared" si="36"/>
        <v>2.5794450845655899E-2</v>
      </c>
      <c r="G63" s="1"/>
      <c r="H63" s="1">
        <f>SUM(OSRRefH22_9x_0)</f>
        <v>55</v>
      </c>
      <c r="I63" s="1"/>
      <c r="J63" s="5">
        <f t="shared" si="37"/>
        <v>5.3527980535279806E-4</v>
      </c>
      <c r="K63" s="1"/>
      <c r="L63" s="1">
        <f t="shared" si="38"/>
        <v>2261.36</v>
      </c>
      <c r="M63" s="1"/>
      <c r="N63" s="5">
        <f t="shared" si="39"/>
        <v>41.115636363636369</v>
      </c>
      <c r="O63" s="13"/>
      <c r="P63" s="1">
        <f>SUM(OSRRefP22_9x_0)</f>
        <v>5304.03</v>
      </c>
      <c r="Q63" s="1"/>
      <c r="R63" s="5">
        <f t="shared" si="40"/>
        <v>6.2667603729509476E-3</v>
      </c>
      <c r="S63" s="1"/>
      <c r="T63" s="1">
        <f>SUM(OSRRefT22_9x_0)</f>
        <v>661</v>
      </c>
      <c r="U63" s="1"/>
      <c r="V63" s="5">
        <f t="shared" si="41"/>
        <v>7.3603919603585548E-4</v>
      </c>
      <c r="W63" s="1"/>
      <c r="X63" s="1">
        <f t="shared" si="42"/>
        <v>4643.03</v>
      </c>
      <c r="Y63" s="1"/>
      <c r="Z63" s="5">
        <f t="shared" si="43"/>
        <v>7.0242511346444774</v>
      </c>
    </row>
    <row r="64" spans="1:26" s="24" customFormat="1" hidden="1" outlineLevel="2" x14ac:dyDescent="0.25">
      <c r="A64" s="25"/>
      <c r="B64" s="11" t="str">
        <f>CONCATENATE("          ", "6351", " - ", "EQUIPMENT RENTAL")</f>
        <v xml:space="preserve">          6351 - EQUIPMENT RENTAL</v>
      </c>
      <c r="C64" s="11"/>
      <c r="D64" s="7">
        <v>2316.36</v>
      </c>
      <c r="E64" s="2"/>
      <c r="F64" s="6">
        <f t="shared" si="36"/>
        <v>2.5794450845655899E-2</v>
      </c>
      <c r="G64" s="2"/>
      <c r="H64" s="7">
        <v>55</v>
      </c>
      <c r="I64" s="2"/>
      <c r="J64" s="6">
        <f t="shared" si="37"/>
        <v>5.3527980535279806E-4</v>
      </c>
      <c r="K64" s="2"/>
      <c r="L64" s="7">
        <f t="shared" si="38"/>
        <v>2261.36</v>
      </c>
      <c r="M64" s="2"/>
      <c r="N64" s="6">
        <f t="shared" si="39"/>
        <v>41.115636363636369</v>
      </c>
      <c r="O64" s="11"/>
      <c r="P64" s="7">
        <v>5304.03</v>
      </c>
      <c r="Q64" s="2"/>
      <c r="R64" s="6">
        <f t="shared" si="40"/>
        <v>6.2667603729509476E-3</v>
      </c>
      <c r="S64" s="2"/>
      <c r="T64" s="7">
        <v>661</v>
      </c>
      <c r="U64" s="2"/>
      <c r="V64" s="6">
        <f t="shared" si="41"/>
        <v>7.3603919603585548E-4</v>
      </c>
      <c r="W64" s="2"/>
      <c r="X64" s="7">
        <f t="shared" si="42"/>
        <v>4643.03</v>
      </c>
      <c r="Y64" s="2"/>
      <c r="Z64" s="6">
        <f t="shared" si="43"/>
        <v>7.0242511346444774</v>
      </c>
    </row>
    <row r="65" spans="1:26" s="27" customFormat="1" outlineLevel="1" collapsed="1" x14ac:dyDescent="0.25">
      <c r="A65" s="26"/>
      <c r="B65" s="13" t="str">
        <f>CONCATENATE("     ","General                                           ")</f>
        <v xml:space="preserve">     General                                           </v>
      </c>
      <c r="C65" s="13"/>
      <c r="D65" s="1">
        <f>SUM(OSRRefD22_10x_0)</f>
        <v>1780.7</v>
      </c>
      <c r="E65" s="1"/>
      <c r="F65" s="5">
        <f t="shared" si="36"/>
        <v>1.9829464600001494E-2</v>
      </c>
      <c r="G65" s="1"/>
      <c r="H65" s="1">
        <f>SUM(OSRRefH22_10x_0)</f>
        <v>350</v>
      </c>
      <c r="I65" s="1"/>
      <c r="J65" s="5">
        <f t="shared" si="37"/>
        <v>3.4063260340632603E-3</v>
      </c>
      <c r="K65" s="1"/>
      <c r="L65" s="1">
        <f t="shared" si="38"/>
        <v>1430.7</v>
      </c>
      <c r="M65" s="1"/>
      <c r="N65" s="5">
        <f t="shared" si="39"/>
        <v>4.0877142857142861</v>
      </c>
      <c r="O65" s="13"/>
      <c r="P65" s="1">
        <f>SUM(OSRRefP22_10x_0)</f>
        <v>10559.48</v>
      </c>
      <c r="Q65" s="1"/>
      <c r="R65" s="5">
        <f t="shared" si="40"/>
        <v>1.2476123027767202E-2</v>
      </c>
      <c r="S65" s="1"/>
      <c r="T65" s="1">
        <f>SUM(OSRRefT22_10x_0)</f>
        <v>4700</v>
      </c>
      <c r="U65" s="1"/>
      <c r="V65" s="5">
        <f t="shared" si="41"/>
        <v>5.2335616057012412E-3</v>
      </c>
      <c r="W65" s="1"/>
      <c r="X65" s="1">
        <f t="shared" si="42"/>
        <v>5859.48</v>
      </c>
      <c r="Y65" s="1"/>
      <c r="Z65" s="5">
        <f t="shared" si="43"/>
        <v>1.2466978723404254</v>
      </c>
    </row>
    <row r="66" spans="1:26" s="24" customFormat="1" hidden="1" outlineLevel="2" x14ac:dyDescent="0.25">
      <c r="A66" s="25"/>
      <c r="B66" s="11" t="str">
        <f>CONCATENATE("          ", "6269", " - ", "ENTERTAINMENT")</f>
        <v xml:space="preserve">          6269 - ENTERTAINMENT</v>
      </c>
      <c r="C66" s="11"/>
      <c r="D66" s="7"/>
      <c r="E66" s="2"/>
      <c r="F66" s="6">
        <f t="shared" si="36"/>
        <v>0</v>
      </c>
      <c r="G66" s="2"/>
      <c r="H66" s="7">
        <v>350</v>
      </c>
      <c r="I66" s="2"/>
      <c r="J66" s="6">
        <f t="shared" si="37"/>
        <v>3.4063260340632603E-3</v>
      </c>
      <c r="K66" s="2"/>
      <c r="L66" s="7">
        <f t="shared" si="38"/>
        <v>-350</v>
      </c>
      <c r="M66" s="2"/>
      <c r="N66" s="6">
        <f t="shared" si="39"/>
        <v>-1</v>
      </c>
      <c r="O66" s="11"/>
      <c r="P66" s="7">
        <v>7350</v>
      </c>
      <c r="Q66" s="2"/>
      <c r="R66" s="6">
        <f t="shared" si="40"/>
        <v>8.6840928013584891E-3</v>
      </c>
      <c r="S66" s="2"/>
      <c r="T66" s="7">
        <v>4700</v>
      </c>
      <c r="U66" s="2"/>
      <c r="V66" s="6">
        <f t="shared" si="41"/>
        <v>5.2335616057012412E-3</v>
      </c>
      <c r="W66" s="2"/>
      <c r="X66" s="7">
        <f t="shared" si="42"/>
        <v>2650</v>
      </c>
      <c r="Y66" s="2"/>
      <c r="Z66" s="6">
        <f t="shared" si="43"/>
        <v>0.56382978723404253</v>
      </c>
    </row>
    <row r="67" spans="1:26" s="24" customFormat="1" hidden="1" outlineLevel="2" x14ac:dyDescent="0.25">
      <c r="A67" s="25"/>
      <c r="B67" s="11" t="str">
        <f>CONCATENATE("          ", "6279", " - ", "GENERAL EXPENSE")</f>
        <v xml:space="preserve">          6279 - GENERAL EXPENSE</v>
      </c>
      <c r="C67" s="11"/>
      <c r="D67" s="7">
        <v>1780.7</v>
      </c>
      <c r="E67" s="2"/>
      <c r="F67" s="6">
        <f t="shared" si="36"/>
        <v>1.9829464600001494E-2</v>
      </c>
      <c r="G67" s="2"/>
      <c r="H67" s="7"/>
      <c r="I67" s="2"/>
      <c r="J67" s="6">
        <f t="shared" si="37"/>
        <v>0</v>
      </c>
      <c r="K67" s="2"/>
      <c r="L67" s="7">
        <f t="shared" si="38"/>
        <v>1780.7</v>
      </c>
      <c r="M67" s="2"/>
      <c r="N67" s="6">
        <f t="shared" si="39"/>
        <v>0</v>
      </c>
      <c r="O67" s="11"/>
      <c r="P67" s="7">
        <v>3209.48</v>
      </c>
      <c r="Q67" s="2"/>
      <c r="R67" s="6">
        <f t="shared" si="40"/>
        <v>3.7920302264087134E-3</v>
      </c>
      <c r="S67" s="2"/>
      <c r="T67" s="7"/>
      <c r="U67" s="2"/>
      <c r="V67" s="6">
        <f t="shared" si="41"/>
        <v>0</v>
      </c>
      <c r="W67" s="2"/>
      <c r="X67" s="7">
        <f t="shared" si="42"/>
        <v>3209.48</v>
      </c>
      <c r="Y67" s="2"/>
      <c r="Z67" s="6">
        <f t="shared" si="43"/>
        <v>0</v>
      </c>
    </row>
    <row r="68" spans="1:26" s="27" customFormat="1" outlineLevel="1" collapsed="1" x14ac:dyDescent="0.25">
      <c r="A68" s="26"/>
      <c r="B68" s="13" t="str">
        <f>CONCATENATE("     ","Repair and Maintenance                            ")</f>
        <v xml:space="preserve">     Repair and Maintenance                            </v>
      </c>
      <c r="C68" s="13"/>
      <c r="D68" s="1">
        <f>SUM(OSRRefD22_11x_0)</f>
        <v>3012.26</v>
      </c>
      <c r="E68" s="1"/>
      <c r="F68" s="5">
        <f t="shared" ref="F68:F71" si="44">IF(D$12=0,0,D68/D$12)</f>
        <v>3.3543832782613865E-2</v>
      </c>
      <c r="G68" s="1"/>
      <c r="H68" s="1">
        <f>SUM(OSRRefH22_11x_0)</f>
        <v>1000</v>
      </c>
      <c r="I68" s="1"/>
      <c r="J68" s="5">
        <f t="shared" ref="J68:J71" si="45">IF(H$12=0,0,H68/H$12)</f>
        <v>9.7323600973236012E-3</v>
      </c>
      <c r="K68" s="1"/>
      <c r="L68" s="1">
        <f t="shared" ref="L68:L71" si="46">+D68-H68</f>
        <v>2012.2600000000002</v>
      </c>
      <c r="M68" s="1"/>
      <c r="N68" s="5">
        <f t="shared" ref="N68:N71" si="47">IF(H68=0,0,L68/H68)</f>
        <v>2.0122600000000004</v>
      </c>
      <c r="O68" s="13"/>
      <c r="P68" s="1">
        <f>SUM(OSRRefP22_11x_0)</f>
        <v>16779.79</v>
      </c>
      <c r="Q68" s="1"/>
      <c r="R68" s="5">
        <f t="shared" ref="R68:R71" si="48">IF(P$12=0,0,P68/P$12)</f>
        <v>1.9825476673103016E-2</v>
      </c>
      <c r="S68" s="1"/>
      <c r="T68" s="1">
        <f>SUM(OSRRefT22_11x_0)</f>
        <v>9301</v>
      </c>
      <c r="U68" s="1"/>
      <c r="V68" s="5">
        <f t="shared" ref="V68:V71" si="49">IF(T$12=0,0,T68/T$12)</f>
        <v>1.0356884360558989E-2</v>
      </c>
      <c r="W68" s="1"/>
      <c r="X68" s="1">
        <f t="shared" ref="X68:X71" si="50">+P68-T68</f>
        <v>7478.7900000000009</v>
      </c>
      <c r="Y68" s="1"/>
      <c r="Z68" s="5">
        <f t="shared" ref="Z68:Z71" si="51">IF(T68=0,0,X68/T68)</f>
        <v>0.80408450704225365</v>
      </c>
    </row>
    <row r="69" spans="1:26" s="24" customFormat="1" hidden="1" outlineLevel="2" x14ac:dyDescent="0.25">
      <c r="A69" s="25"/>
      <c r="B69" s="11" t="str">
        <f>CONCATENATE("          ", "6371", " - ", "COMPUTER SOFTWARE MAINTENANCE")</f>
        <v xml:space="preserve">          6371 - COMPUTER SOFTWARE MAINTENANCE</v>
      </c>
      <c r="C69" s="11"/>
      <c r="D69" s="7"/>
      <c r="E69" s="2"/>
      <c r="F69" s="6">
        <f t="shared" si="44"/>
        <v>0</v>
      </c>
      <c r="G69" s="2"/>
      <c r="H69" s="7"/>
      <c r="I69" s="2"/>
      <c r="J69" s="6">
        <f t="shared" si="45"/>
        <v>0</v>
      </c>
      <c r="K69" s="2"/>
      <c r="L69" s="7">
        <f t="shared" si="46"/>
        <v>0</v>
      </c>
      <c r="M69" s="2"/>
      <c r="N69" s="6">
        <f t="shared" si="47"/>
        <v>0</v>
      </c>
      <c r="O69" s="11"/>
      <c r="P69" s="7">
        <v>2623.85</v>
      </c>
      <c r="Q69" s="2"/>
      <c r="R69" s="6">
        <f t="shared" si="48"/>
        <v>3.1001029791625128E-3</v>
      </c>
      <c r="S69" s="2"/>
      <c r="T69" s="7"/>
      <c r="U69" s="2"/>
      <c r="V69" s="6">
        <f t="shared" si="49"/>
        <v>0</v>
      </c>
      <c r="W69" s="2"/>
      <c r="X69" s="7">
        <f t="shared" si="50"/>
        <v>2623.85</v>
      </c>
      <c r="Y69" s="2"/>
      <c r="Z69" s="6">
        <f t="shared" si="51"/>
        <v>0</v>
      </c>
    </row>
    <row r="70" spans="1:26" s="24" customFormat="1" hidden="1" outlineLevel="2" x14ac:dyDescent="0.25">
      <c r="A70" s="25"/>
      <c r="B70" s="11" t="str">
        <f>CONCATENATE("          ", "6373", " - ", "MAINTENANCE CONTRACTS")</f>
        <v xml:space="preserve">          6373 - MAINTENANCE CONTRACTS</v>
      </c>
      <c r="C70" s="11"/>
      <c r="D70" s="7"/>
      <c r="E70" s="2"/>
      <c r="F70" s="6">
        <f t="shared" si="44"/>
        <v>0</v>
      </c>
      <c r="G70" s="2"/>
      <c r="H70" s="7"/>
      <c r="I70" s="2"/>
      <c r="J70" s="6">
        <f t="shared" si="45"/>
        <v>0</v>
      </c>
      <c r="K70" s="2"/>
      <c r="L70" s="7">
        <f t="shared" si="46"/>
        <v>0</v>
      </c>
      <c r="M70" s="2"/>
      <c r="N70" s="6">
        <f t="shared" si="47"/>
        <v>0</v>
      </c>
      <c r="O70" s="11"/>
      <c r="P70" s="7">
        <v>1245.08</v>
      </c>
      <c r="Q70" s="2"/>
      <c r="R70" s="6">
        <f t="shared" si="48"/>
        <v>1.4710735054578811E-3</v>
      </c>
      <c r="S70" s="2"/>
      <c r="T70" s="7">
        <v>376</v>
      </c>
      <c r="U70" s="2"/>
      <c r="V70" s="6">
        <f t="shared" si="49"/>
        <v>4.1868492845609933E-4</v>
      </c>
      <c r="W70" s="2"/>
      <c r="X70" s="7">
        <f t="shared" si="50"/>
        <v>869.07999999999993</v>
      </c>
      <c r="Y70" s="2"/>
      <c r="Z70" s="6">
        <f t="shared" si="51"/>
        <v>2.3113829787234041</v>
      </c>
    </row>
    <row r="71" spans="1:26" s="24" customFormat="1" hidden="1" outlineLevel="2" x14ac:dyDescent="0.25">
      <c r="A71" s="25"/>
      <c r="B71" s="11" t="str">
        <f>CONCATENATE("          ", "6375", " - ", "OUTSIDE REPAIRS &amp; MAINTENANCE")</f>
        <v xml:space="preserve">          6375 - OUTSIDE REPAIRS &amp; MAINTENANCE</v>
      </c>
      <c r="C71" s="11"/>
      <c r="D71" s="7">
        <v>3012.26</v>
      </c>
      <c r="E71" s="2"/>
      <c r="F71" s="6">
        <f t="shared" si="44"/>
        <v>3.3543832782613865E-2</v>
      </c>
      <c r="G71" s="2"/>
      <c r="H71" s="7">
        <v>1000</v>
      </c>
      <c r="I71" s="2"/>
      <c r="J71" s="6">
        <f t="shared" si="45"/>
        <v>9.7323600973236012E-3</v>
      </c>
      <c r="K71" s="2"/>
      <c r="L71" s="7">
        <f t="shared" si="46"/>
        <v>2012.2600000000002</v>
      </c>
      <c r="M71" s="2"/>
      <c r="N71" s="6">
        <f t="shared" si="47"/>
        <v>2.0122600000000004</v>
      </c>
      <c r="O71" s="11"/>
      <c r="P71" s="7">
        <v>12910.86</v>
      </c>
      <c r="Q71" s="2"/>
      <c r="R71" s="6">
        <f t="shared" si="48"/>
        <v>1.525430018848262E-2</v>
      </c>
      <c r="S71" s="2"/>
      <c r="T71" s="7">
        <v>8925</v>
      </c>
      <c r="U71" s="2"/>
      <c r="V71" s="6">
        <f t="shared" si="49"/>
        <v>9.9381994321028899E-3</v>
      </c>
      <c r="W71" s="2"/>
      <c r="X71" s="7">
        <f t="shared" si="50"/>
        <v>3985.8600000000006</v>
      </c>
      <c r="Y71" s="2"/>
      <c r="Z71" s="6">
        <f t="shared" si="51"/>
        <v>0.44659495798319332</v>
      </c>
    </row>
    <row r="72" spans="1:26" s="27" customFormat="1" outlineLevel="1" collapsed="1" x14ac:dyDescent="0.25">
      <c r="A72" s="26"/>
      <c r="B72" s="13" t="str">
        <f>CONCATENATE("     ","Services                                          ")</f>
        <v xml:space="preserve">     Services                                          </v>
      </c>
      <c r="C72" s="13"/>
      <c r="D72" s="1">
        <f>SUM(OSRRefD22_12x_0)</f>
        <v>813.5</v>
      </c>
      <c r="E72" s="1"/>
      <c r="F72" s="5">
        <f t="shared" ref="F72:F75" si="52">IF(D$12=0,0,D72/D$12)</f>
        <v>9.0589484203409988E-3</v>
      </c>
      <c r="G72" s="1"/>
      <c r="H72" s="1">
        <f>SUM(OSRRefH22_12x_0)</f>
        <v>590</v>
      </c>
      <c r="I72" s="1"/>
      <c r="J72" s="5">
        <f t="shared" ref="J72:J75" si="53">IF(H$12=0,0,H72/H$12)</f>
        <v>5.7420924574209248E-3</v>
      </c>
      <c r="K72" s="1"/>
      <c r="L72" s="1">
        <f t="shared" ref="L72:L75" si="54">+D72-H72</f>
        <v>223.5</v>
      </c>
      <c r="M72" s="1"/>
      <c r="N72" s="5">
        <f t="shared" ref="N72:N75" si="55">IF(H72=0,0,L72/H72)</f>
        <v>0.37881355932203392</v>
      </c>
      <c r="O72" s="13"/>
      <c r="P72" s="1">
        <f>SUM(OSRRefP22_12x_0)</f>
        <v>2434.65</v>
      </c>
      <c r="Q72" s="1"/>
      <c r="R72" s="5">
        <f t="shared" ref="R72:R75" si="56">IF(P$12=0,0,P72/P$12)</f>
        <v>2.8765614338540743E-3</v>
      </c>
      <c r="S72" s="1"/>
      <c r="T72" s="1">
        <f>SUM(OSRRefT22_12x_0)</f>
        <v>4209</v>
      </c>
      <c r="U72" s="1"/>
      <c r="V72" s="5">
        <f t="shared" ref="V72:V75" si="57">IF(T$12=0,0,T72/T$12)</f>
        <v>4.6868214464673456E-3</v>
      </c>
      <c r="W72" s="1"/>
      <c r="X72" s="1">
        <f t="shared" ref="X72:X75" si="58">+P72-T72</f>
        <v>-1774.35</v>
      </c>
      <c r="Y72" s="1"/>
      <c r="Z72" s="5">
        <f t="shared" ref="Z72:Z75" si="59">IF(T72=0,0,X72/T72)</f>
        <v>-0.42156094084105489</v>
      </c>
    </row>
    <row r="73" spans="1:26" s="24" customFormat="1" hidden="1" outlineLevel="2" x14ac:dyDescent="0.25">
      <c r="A73" s="25"/>
      <c r="B73" s="11" t="str">
        <f>CONCATENATE("          ", "6283", " - ", "PLANT SERVICE")</f>
        <v xml:space="preserve">          6283 - PLANT SERVICE</v>
      </c>
      <c r="C73" s="11"/>
      <c r="D73" s="7"/>
      <c r="E73" s="2"/>
      <c r="F73" s="6">
        <f t="shared" si="52"/>
        <v>0</v>
      </c>
      <c r="G73" s="2"/>
      <c r="H73" s="7">
        <v>30</v>
      </c>
      <c r="I73" s="2"/>
      <c r="J73" s="6">
        <f t="shared" si="53"/>
        <v>2.9197080291970805E-4</v>
      </c>
      <c r="K73" s="2"/>
      <c r="L73" s="7">
        <f t="shared" si="54"/>
        <v>-30</v>
      </c>
      <c r="M73" s="2"/>
      <c r="N73" s="6">
        <f t="shared" si="55"/>
        <v>-1</v>
      </c>
      <c r="O73" s="11"/>
      <c r="P73" s="7">
        <v>159</v>
      </c>
      <c r="Q73" s="2"/>
      <c r="R73" s="6">
        <f t="shared" si="56"/>
        <v>1.8785996672326526E-4</v>
      </c>
      <c r="S73" s="2"/>
      <c r="T73" s="7">
        <v>210</v>
      </c>
      <c r="U73" s="2"/>
      <c r="V73" s="6">
        <f t="shared" si="57"/>
        <v>2.3383998663771506E-4</v>
      </c>
      <c r="W73" s="2"/>
      <c r="X73" s="7">
        <f t="shared" si="58"/>
        <v>-51</v>
      </c>
      <c r="Y73" s="2"/>
      <c r="Z73" s="6">
        <f t="shared" si="59"/>
        <v>-0.24285714285714285</v>
      </c>
    </row>
    <row r="74" spans="1:26" s="24" customFormat="1" hidden="1" outlineLevel="2" x14ac:dyDescent="0.25">
      <c r="A74" s="25"/>
      <c r="B74" s="11" t="str">
        <f>CONCATENATE("          ", "6285", " - ", "JANITORIAL SERVICES")</f>
        <v xml:space="preserve">          6285 - JANITORIAL SERVICES</v>
      </c>
      <c r="C74" s="11"/>
      <c r="D74" s="7">
        <v>584</v>
      </c>
      <c r="E74" s="2"/>
      <c r="F74" s="6">
        <f t="shared" si="52"/>
        <v>6.5032893392490999E-3</v>
      </c>
      <c r="G74" s="2"/>
      <c r="H74" s="7">
        <v>360</v>
      </c>
      <c r="I74" s="2"/>
      <c r="J74" s="6">
        <f t="shared" si="53"/>
        <v>3.5036496350364962E-3</v>
      </c>
      <c r="K74" s="2"/>
      <c r="L74" s="7">
        <f t="shared" si="54"/>
        <v>224</v>
      </c>
      <c r="M74" s="2"/>
      <c r="N74" s="6">
        <f t="shared" si="55"/>
        <v>0.62222222222222223</v>
      </c>
      <c r="O74" s="11"/>
      <c r="P74" s="7">
        <v>934</v>
      </c>
      <c r="Q74" s="2"/>
      <c r="R74" s="6">
        <f t="shared" si="56"/>
        <v>1.1035296158460992E-3</v>
      </c>
      <c r="S74" s="2"/>
      <c r="T74" s="7">
        <v>2232</v>
      </c>
      <c r="U74" s="2"/>
      <c r="V74" s="6">
        <f t="shared" si="57"/>
        <v>2.4853850008351428E-3</v>
      </c>
      <c r="W74" s="2"/>
      <c r="X74" s="7">
        <f t="shared" si="58"/>
        <v>-1298</v>
      </c>
      <c r="Y74" s="2"/>
      <c r="Z74" s="6">
        <f t="shared" si="59"/>
        <v>-0.5815412186379928</v>
      </c>
    </row>
    <row r="75" spans="1:26" s="24" customFormat="1" hidden="1" outlineLevel="2" x14ac:dyDescent="0.25">
      <c r="A75" s="25"/>
      <c r="B75" s="11" t="str">
        <f>CONCATENATE("          ", "6286", " - ", "LAUNDRY EXPENSE")</f>
        <v xml:space="preserve">          6286 - LAUNDRY EXPENSE</v>
      </c>
      <c r="C75" s="11"/>
      <c r="D75" s="7">
        <v>229.5</v>
      </c>
      <c r="E75" s="2"/>
      <c r="F75" s="6">
        <f t="shared" si="52"/>
        <v>2.555659081091898E-3</v>
      </c>
      <c r="G75" s="2"/>
      <c r="H75" s="7">
        <v>200</v>
      </c>
      <c r="I75" s="2"/>
      <c r="J75" s="6">
        <f t="shared" si="53"/>
        <v>1.9464720194647203E-3</v>
      </c>
      <c r="K75" s="2"/>
      <c r="L75" s="7">
        <f t="shared" si="54"/>
        <v>29.5</v>
      </c>
      <c r="M75" s="2"/>
      <c r="N75" s="6">
        <f t="shared" si="55"/>
        <v>0.14749999999999999</v>
      </c>
      <c r="O75" s="11"/>
      <c r="P75" s="7">
        <v>1341.65</v>
      </c>
      <c r="Q75" s="2"/>
      <c r="R75" s="6">
        <f t="shared" si="56"/>
        <v>1.5851718512847098E-3</v>
      </c>
      <c r="S75" s="2"/>
      <c r="T75" s="7">
        <v>1767</v>
      </c>
      <c r="U75" s="2"/>
      <c r="V75" s="6">
        <f t="shared" si="57"/>
        <v>1.9675964589944881E-3</v>
      </c>
      <c r="W75" s="2"/>
      <c r="X75" s="7">
        <f t="shared" si="58"/>
        <v>-425.34999999999991</v>
      </c>
      <c r="Y75" s="2"/>
      <c r="Z75" s="6">
        <f t="shared" si="59"/>
        <v>-0.24071873231465757</v>
      </c>
    </row>
    <row r="76" spans="1:26" s="27" customFormat="1" outlineLevel="1" collapsed="1" x14ac:dyDescent="0.25">
      <c r="A76" s="26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SUM(OSRRefD22_13x_0)</f>
        <v>196.71</v>
      </c>
      <c r="E76" s="1"/>
      <c r="F76" s="5">
        <f t="shared" ref="F76:F78" si="60">IF(D$12=0,0,D76/D$12)</f>
        <v>2.1905172019241275E-3</v>
      </c>
      <c r="G76" s="1"/>
      <c r="H76" s="1">
        <f>SUM(OSRRefH22_13x_0)</f>
        <v>194</v>
      </c>
      <c r="I76" s="1"/>
      <c r="J76" s="5">
        <f t="shared" ref="J76:J78" si="61">IF(H$12=0,0,H76/H$12)</f>
        <v>1.8880778588807785E-3</v>
      </c>
      <c r="K76" s="1"/>
      <c r="L76" s="1">
        <f t="shared" ref="L76:L78" si="62">+D76-H76</f>
        <v>2.710000000000008</v>
      </c>
      <c r="M76" s="1"/>
      <c r="N76" s="5">
        <f t="shared" ref="N76:N78" si="63">IF(H76=0,0,L76/H76)</f>
        <v>1.3969072164948495E-2</v>
      </c>
      <c r="O76" s="13"/>
      <c r="P76" s="1">
        <f>SUM(OSRRefP22_13x_0)</f>
        <v>2354.9700000000003</v>
      </c>
      <c r="Q76" s="1"/>
      <c r="R76" s="5">
        <f t="shared" ref="R76:R78" si="64">IF(P$12=0,0,P76/P$12)</f>
        <v>2.7824187788320002E-3</v>
      </c>
      <c r="S76" s="1"/>
      <c r="T76" s="1">
        <f>SUM(OSRRefT22_13x_0)</f>
        <v>1183</v>
      </c>
      <c r="U76" s="1"/>
      <c r="V76" s="5">
        <f t="shared" ref="V76:V78" si="65">IF(T$12=0,0,T76/T$12)</f>
        <v>1.3172985913924614E-3</v>
      </c>
      <c r="W76" s="1"/>
      <c r="X76" s="1">
        <f t="shared" ref="X76:X78" si="66">+P76-T76</f>
        <v>1171.9700000000003</v>
      </c>
      <c r="Y76" s="1"/>
      <c r="Z76" s="5">
        <f t="shared" ref="Z76:Z78" si="67">IF(T76=0,0,X76/T76)</f>
        <v>0.99067624683009325</v>
      </c>
    </row>
    <row r="77" spans="1:26" s="24" customFormat="1" hidden="1" outlineLevel="2" x14ac:dyDescent="0.25">
      <c r="A77" s="25"/>
      <c r="B77" s="11" t="str">
        <f>CONCATENATE("          ", "6258", " - ", "MEMBERSHIP DUES")</f>
        <v xml:space="preserve">          6258 - MEMBERSHIP DUES</v>
      </c>
      <c r="C77" s="11"/>
      <c r="D77" s="7"/>
      <c r="E77" s="2"/>
      <c r="F77" s="6">
        <f t="shared" si="60"/>
        <v>0</v>
      </c>
      <c r="G77" s="2"/>
      <c r="H77" s="7"/>
      <c r="I77" s="2"/>
      <c r="J77" s="6">
        <f t="shared" si="61"/>
        <v>0</v>
      </c>
      <c r="K77" s="2"/>
      <c r="L77" s="7">
        <f t="shared" si="62"/>
        <v>0</v>
      </c>
      <c r="M77" s="2"/>
      <c r="N77" s="6">
        <f t="shared" si="63"/>
        <v>0</v>
      </c>
      <c r="O77" s="11"/>
      <c r="P77" s="7">
        <v>978</v>
      </c>
      <c r="Q77" s="2"/>
      <c r="R77" s="6">
        <f t="shared" si="64"/>
        <v>1.1555160217317825E-3</v>
      </c>
      <c r="S77" s="2"/>
      <c r="T77" s="7"/>
      <c r="U77" s="2"/>
      <c r="V77" s="6">
        <f t="shared" si="65"/>
        <v>0</v>
      </c>
      <c r="W77" s="2"/>
      <c r="X77" s="7">
        <f t="shared" si="66"/>
        <v>978</v>
      </c>
      <c r="Y77" s="2"/>
      <c r="Z77" s="6">
        <f t="shared" si="67"/>
        <v>0</v>
      </c>
    </row>
    <row r="78" spans="1:26" s="24" customFormat="1" hidden="1" outlineLevel="2" x14ac:dyDescent="0.25">
      <c r="A78" s="25"/>
      <c r="B78" s="11" t="str">
        <f>CONCATENATE("          ", "6275", " - ", "SUBSCRIPTIONS")</f>
        <v xml:space="preserve">          6275 - SUBSCRIPTIONS</v>
      </c>
      <c r="C78" s="11"/>
      <c r="D78" s="7">
        <v>196.71</v>
      </c>
      <c r="E78" s="2"/>
      <c r="F78" s="6">
        <f t="shared" si="60"/>
        <v>2.1905172019241275E-3</v>
      </c>
      <c r="G78" s="2"/>
      <c r="H78" s="7">
        <v>194</v>
      </c>
      <c r="I78" s="2"/>
      <c r="J78" s="6">
        <f t="shared" si="61"/>
        <v>1.8880778588807785E-3</v>
      </c>
      <c r="K78" s="2"/>
      <c r="L78" s="7">
        <f t="shared" si="62"/>
        <v>2.710000000000008</v>
      </c>
      <c r="M78" s="2"/>
      <c r="N78" s="6">
        <f t="shared" si="63"/>
        <v>1.3969072164948495E-2</v>
      </c>
      <c r="O78" s="11"/>
      <c r="P78" s="7">
        <v>1376.97</v>
      </c>
      <c r="Q78" s="2"/>
      <c r="R78" s="6">
        <f t="shared" si="64"/>
        <v>1.6269027571002175E-3</v>
      </c>
      <c r="S78" s="2"/>
      <c r="T78" s="7">
        <v>1183</v>
      </c>
      <c r="U78" s="2"/>
      <c r="V78" s="6">
        <f t="shared" si="65"/>
        <v>1.3172985913924614E-3</v>
      </c>
      <c r="W78" s="2"/>
      <c r="X78" s="7">
        <f t="shared" si="66"/>
        <v>193.97000000000003</v>
      </c>
      <c r="Y78" s="2"/>
      <c r="Z78" s="6">
        <f t="shared" si="67"/>
        <v>0.16396449704142013</v>
      </c>
    </row>
    <row r="79" spans="1:26" s="27" customFormat="1" outlineLevel="1" collapsed="1" x14ac:dyDescent="0.25">
      <c r="A79" s="26"/>
      <c r="B79" s="13" t="str">
        <f>CONCATENATE("     ","Supplies                                          ")</f>
        <v xml:space="preserve">     Supplies                                          </v>
      </c>
      <c r="C79" s="13"/>
      <c r="D79" s="1">
        <f>SUM(OSRRefD22_14x_0)</f>
        <v>1358.99</v>
      </c>
      <c r="E79" s="1"/>
      <c r="F79" s="5">
        <f t="shared" ref="F79:F86" si="68">IF(D$12=0,0,D79/D$12)</f>
        <v>1.5133399279359819E-2</v>
      </c>
      <c r="G79" s="1"/>
      <c r="H79" s="1">
        <f>SUM(OSRRefH22_14x_0)</f>
        <v>840</v>
      </c>
      <c r="I79" s="1"/>
      <c r="J79" s="5">
        <f t="shared" ref="J79:J86" si="69">IF(H$12=0,0,H79/H$12)</f>
        <v>8.1751824817518255E-3</v>
      </c>
      <c r="K79" s="1"/>
      <c r="L79" s="1">
        <f t="shared" ref="L79:L86" si="70">+D79-H79</f>
        <v>518.99</v>
      </c>
      <c r="M79" s="1"/>
      <c r="N79" s="5">
        <f t="shared" ref="N79:N86" si="71">IF(H79=0,0,L79/H79)</f>
        <v>0.61784523809523806</v>
      </c>
      <c r="O79" s="13"/>
      <c r="P79" s="1">
        <f>SUM(OSRRefP22_14x_0)</f>
        <v>7901.27</v>
      </c>
      <c r="Q79" s="1"/>
      <c r="R79" s="5">
        <f t="shared" ref="R79:R86" si="72">IF(P$12=0,0,P79/P$12)</f>
        <v>9.33542339164487E-3</v>
      </c>
      <c r="S79" s="1"/>
      <c r="T79" s="1">
        <f>SUM(OSRRefT22_14x_0)</f>
        <v>11820</v>
      </c>
      <c r="U79" s="1"/>
      <c r="V79" s="5">
        <f t="shared" ref="V79:V86" si="73">IF(T$12=0,0,T79/T$12)</f>
        <v>1.3161850676465676E-2</v>
      </c>
      <c r="W79" s="1"/>
      <c r="X79" s="1">
        <f t="shared" ref="X79:X86" si="74">+P79-T79</f>
        <v>-3918.7299999999996</v>
      </c>
      <c r="Y79" s="1"/>
      <c r="Z79" s="5">
        <f t="shared" ref="Z79:Z86" si="75">IF(T79=0,0,X79/T79)</f>
        <v>-0.33153384094754651</v>
      </c>
    </row>
    <row r="80" spans="1:26" s="24" customFormat="1" hidden="1" outlineLevel="2" x14ac:dyDescent="0.25">
      <c r="A80" s="25"/>
      <c r="B80" s="11" t="str">
        <f>CONCATENATE("          ", "6237", " - ", "JANITORIAL SUPPLIES")</f>
        <v xml:space="preserve">          6237 - JANITORIAL SUPPLIES</v>
      </c>
      <c r="C80" s="11"/>
      <c r="D80" s="7">
        <v>17.62</v>
      </c>
      <c r="E80" s="2"/>
      <c r="F80" s="6">
        <f t="shared" si="68"/>
        <v>1.9621225711912525E-4</v>
      </c>
      <c r="G80" s="2"/>
      <c r="H80" s="7">
        <v>40</v>
      </c>
      <c r="I80" s="2"/>
      <c r="J80" s="6">
        <f t="shared" si="69"/>
        <v>3.8929440389294404E-4</v>
      </c>
      <c r="K80" s="2"/>
      <c r="L80" s="7">
        <f t="shared" si="70"/>
        <v>-22.38</v>
      </c>
      <c r="M80" s="2"/>
      <c r="N80" s="6">
        <f t="shared" si="71"/>
        <v>-0.5595</v>
      </c>
      <c r="O80" s="11"/>
      <c r="P80" s="7">
        <v>17.62</v>
      </c>
      <c r="Q80" s="2"/>
      <c r="R80" s="6">
        <f t="shared" si="72"/>
        <v>2.0818192538766881E-5</v>
      </c>
      <c r="S80" s="2"/>
      <c r="T80" s="7">
        <v>2640</v>
      </c>
      <c r="U80" s="2"/>
      <c r="V80" s="6">
        <f t="shared" si="73"/>
        <v>2.9397026891598461E-3</v>
      </c>
      <c r="W80" s="2"/>
      <c r="X80" s="7">
        <f t="shared" si="74"/>
        <v>-2622.38</v>
      </c>
      <c r="Y80" s="2"/>
      <c r="Z80" s="6">
        <f t="shared" si="75"/>
        <v>-0.99332575757575758</v>
      </c>
    </row>
    <row r="81" spans="1:26" s="24" customFormat="1" hidden="1" outlineLevel="2" x14ac:dyDescent="0.25">
      <c r="A81" s="25"/>
      <c r="B81" s="11" t="str">
        <f>CONCATENATE("          ", "6239", " - ", "KITCHEN SUPPLIES")</f>
        <v xml:space="preserve">          6239 - KITCHEN SUPPLIES</v>
      </c>
      <c r="C81" s="11"/>
      <c r="D81" s="7">
        <v>77.55</v>
      </c>
      <c r="E81" s="2"/>
      <c r="F81" s="6">
        <f t="shared" si="68"/>
        <v>8.6357891825131455E-4</v>
      </c>
      <c r="G81" s="2"/>
      <c r="H81" s="7">
        <v>300</v>
      </c>
      <c r="I81" s="2"/>
      <c r="J81" s="6">
        <f t="shared" si="69"/>
        <v>2.9197080291970801E-3</v>
      </c>
      <c r="K81" s="2"/>
      <c r="L81" s="7">
        <f t="shared" si="70"/>
        <v>-222.45</v>
      </c>
      <c r="M81" s="2"/>
      <c r="N81" s="6">
        <f t="shared" si="71"/>
        <v>-0.74149999999999994</v>
      </c>
      <c r="O81" s="11"/>
      <c r="P81" s="7">
        <v>788.08</v>
      </c>
      <c r="Q81" s="2"/>
      <c r="R81" s="6">
        <f t="shared" si="72"/>
        <v>9.3112378978157798E-4</v>
      </c>
      <c r="S81" s="2"/>
      <c r="T81" s="7">
        <v>525</v>
      </c>
      <c r="U81" s="2"/>
      <c r="V81" s="6">
        <f t="shared" si="73"/>
        <v>5.8459996659428767E-4</v>
      </c>
      <c r="W81" s="2"/>
      <c r="X81" s="7">
        <f t="shared" si="74"/>
        <v>263.08000000000004</v>
      </c>
      <c r="Y81" s="2"/>
      <c r="Z81" s="6">
        <f t="shared" si="75"/>
        <v>0.50110476190476194</v>
      </c>
    </row>
    <row r="82" spans="1:26" s="24" customFormat="1" hidden="1" outlineLevel="2" x14ac:dyDescent="0.25">
      <c r="A82" s="25"/>
      <c r="B82" s="11" t="str">
        <f>CONCATENATE("          ", "6241", " - ", "OFFICE EXPENSE")</f>
        <v xml:space="preserve">          6241 - OFFICE EXPENSE</v>
      </c>
      <c r="C82" s="11"/>
      <c r="D82" s="7">
        <v>34.51</v>
      </c>
      <c r="E82" s="2"/>
      <c r="F82" s="6">
        <f t="shared" si="68"/>
        <v>3.8429540256418912E-4</v>
      </c>
      <c r="G82" s="2"/>
      <c r="H82" s="7"/>
      <c r="I82" s="2"/>
      <c r="J82" s="6">
        <f t="shared" si="69"/>
        <v>0</v>
      </c>
      <c r="K82" s="2"/>
      <c r="L82" s="7">
        <f t="shared" si="70"/>
        <v>34.51</v>
      </c>
      <c r="M82" s="2"/>
      <c r="N82" s="6">
        <f t="shared" si="71"/>
        <v>0</v>
      </c>
      <c r="O82" s="11"/>
      <c r="P82" s="7">
        <v>1632.14</v>
      </c>
      <c r="Q82" s="2"/>
      <c r="R82" s="6">
        <f t="shared" si="72"/>
        <v>1.9283884659604415E-3</v>
      </c>
      <c r="S82" s="2"/>
      <c r="T82" s="7">
        <v>980</v>
      </c>
      <c r="U82" s="2"/>
      <c r="V82" s="6">
        <f t="shared" si="73"/>
        <v>1.0912532709760035E-3</v>
      </c>
      <c r="W82" s="2"/>
      <c r="X82" s="7">
        <f t="shared" si="74"/>
        <v>652.1400000000001</v>
      </c>
      <c r="Y82" s="2"/>
      <c r="Z82" s="6">
        <f t="shared" si="75"/>
        <v>0.6654489795918368</v>
      </c>
    </row>
    <row r="83" spans="1:26" s="24" customFormat="1" hidden="1" outlineLevel="2" x14ac:dyDescent="0.25">
      <c r="A83" s="25"/>
      <c r="B83" s="11" t="str">
        <f>CONCATENATE("          ", "6243", " - ", "PAPER SUPPLIES")</f>
        <v xml:space="preserve">          6243 - PAPER SUPPLIES</v>
      </c>
      <c r="C83" s="11"/>
      <c r="D83" s="7">
        <v>1109.31</v>
      </c>
      <c r="E83" s="2"/>
      <c r="F83" s="6">
        <f t="shared" si="68"/>
        <v>1.2353020371442498E-2</v>
      </c>
      <c r="G83" s="2"/>
      <c r="H83" s="7">
        <v>500</v>
      </c>
      <c r="I83" s="2"/>
      <c r="J83" s="6">
        <f t="shared" si="69"/>
        <v>4.8661800486618006E-3</v>
      </c>
      <c r="K83" s="2"/>
      <c r="L83" s="7">
        <f t="shared" si="70"/>
        <v>609.30999999999995</v>
      </c>
      <c r="M83" s="2"/>
      <c r="N83" s="6">
        <f t="shared" si="71"/>
        <v>1.2186199999999998</v>
      </c>
      <c r="O83" s="11"/>
      <c r="P83" s="7">
        <v>3276.53</v>
      </c>
      <c r="Q83" s="2"/>
      <c r="R83" s="6">
        <f t="shared" si="72"/>
        <v>3.8712504199231472E-3</v>
      </c>
      <c r="S83" s="2"/>
      <c r="T83" s="7">
        <v>5075</v>
      </c>
      <c r="U83" s="2"/>
      <c r="V83" s="6">
        <f t="shared" si="73"/>
        <v>5.6511330104114469E-3</v>
      </c>
      <c r="W83" s="2"/>
      <c r="X83" s="7">
        <f t="shared" si="74"/>
        <v>-1798.4699999999998</v>
      </c>
      <c r="Y83" s="2"/>
      <c r="Z83" s="6">
        <f t="shared" si="75"/>
        <v>-0.35437832512315265</v>
      </c>
    </row>
    <row r="84" spans="1:26" s="24" customFormat="1" hidden="1" outlineLevel="2" x14ac:dyDescent="0.25">
      <c r="A84" s="25"/>
      <c r="B84" s="11" t="str">
        <f>CONCATENATE("          ", "6245", " - ", "PRINTING")</f>
        <v xml:space="preserve">          6245 - PRINTING</v>
      </c>
      <c r="C84" s="11"/>
      <c r="D84" s="7"/>
      <c r="E84" s="2"/>
      <c r="F84" s="6">
        <f t="shared" si="68"/>
        <v>0</v>
      </c>
      <c r="G84" s="2"/>
      <c r="H84" s="7"/>
      <c r="I84" s="2"/>
      <c r="J84" s="6">
        <f t="shared" si="69"/>
        <v>0</v>
      </c>
      <c r="K84" s="2"/>
      <c r="L84" s="7">
        <f t="shared" si="70"/>
        <v>0</v>
      </c>
      <c r="M84" s="2"/>
      <c r="N84" s="6">
        <f t="shared" si="71"/>
        <v>0</v>
      </c>
      <c r="O84" s="11"/>
      <c r="P84" s="7">
        <v>22.05</v>
      </c>
      <c r="Q84" s="2"/>
      <c r="R84" s="6">
        <f t="shared" si="72"/>
        <v>2.6052278404075466E-5</v>
      </c>
      <c r="S84" s="2"/>
      <c r="T84" s="7"/>
      <c r="U84" s="2"/>
      <c r="V84" s="6">
        <f t="shared" si="73"/>
        <v>0</v>
      </c>
      <c r="W84" s="2"/>
      <c r="X84" s="7">
        <f t="shared" si="74"/>
        <v>22.05</v>
      </c>
      <c r="Y84" s="2"/>
      <c r="Z84" s="6">
        <f t="shared" si="75"/>
        <v>0</v>
      </c>
    </row>
    <row r="85" spans="1:26" s="24" customFormat="1" hidden="1" outlineLevel="2" x14ac:dyDescent="0.25">
      <c r="A85" s="25"/>
      <c r="B85" s="11" t="str">
        <f>CONCATENATE("          ", "6247", " - ", "STORE SUPPLIES")</f>
        <v xml:space="preserve">          6247 - STORE SUPPLIES</v>
      </c>
      <c r="C85" s="11"/>
      <c r="D85" s="7">
        <v>120</v>
      </c>
      <c r="E85" s="2"/>
      <c r="F85" s="6">
        <f t="shared" si="68"/>
        <v>1.3362923299826918E-3</v>
      </c>
      <c r="G85" s="2"/>
      <c r="H85" s="7"/>
      <c r="I85" s="2"/>
      <c r="J85" s="6">
        <f t="shared" si="69"/>
        <v>0</v>
      </c>
      <c r="K85" s="2"/>
      <c r="L85" s="7">
        <f t="shared" si="70"/>
        <v>120</v>
      </c>
      <c r="M85" s="2"/>
      <c r="N85" s="6">
        <f t="shared" si="71"/>
        <v>0</v>
      </c>
      <c r="O85" s="11"/>
      <c r="P85" s="7">
        <v>1384.61</v>
      </c>
      <c r="Q85" s="2"/>
      <c r="R85" s="6">
        <f t="shared" si="72"/>
        <v>1.6359294875767315E-3</v>
      </c>
      <c r="S85" s="2"/>
      <c r="T85" s="7">
        <v>1000</v>
      </c>
      <c r="U85" s="2"/>
      <c r="V85" s="6">
        <f t="shared" si="73"/>
        <v>1.1135237458938811E-3</v>
      </c>
      <c r="W85" s="2"/>
      <c r="X85" s="7">
        <f t="shared" si="74"/>
        <v>384.6099999999999</v>
      </c>
      <c r="Y85" s="2"/>
      <c r="Z85" s="6">
        <f t="shared" si="75"/>
        <v>0.3846099999999999</v>
      </c>
    </row>
    <row r="86" spans="1:26" s="24" customFormat="1" hidden="1" outlineLevel="2" x14ac:dyDescent="0.25">
      <c r="A86" s="25"/>
      <c r="B86" s="11" t="str">
        <f>CONCATENATE("          ", "6248", " - ", "UNIFORMS")</f>
        <v xml:space="preserve">          6248 - UNIFORMS</v>
      </c>
      <c r="C86" s="11"/>
      <c r="D86" s="7"/>
      <c r="E86" s="2"/>
      <c r="F86" s="6">
        <f t="shared" si="68"/>
        <v>0</v>
      </c>
      <c r="G86" s="2"/>
      <c r="H86" s="7"/>
      <c r="I86" s="2"/>
      <c r="J86" s="6">
        <f t="shared" si="69"/>
        <v>0</v>
      </c>
      <c r="K86" s="2"/>
      <c r="L86" s="7">
        <f t="shared" si="70"/>
        <v>0</v>
      </c>
      <c r="M86" s="2"/>
      <c r="N86" s="6">
        <f t="shared" si="71"/>
        <v>0</v>
      </c>
      <c r="O86" s="11"/>
      <c r="P86" s="7">
        <v>780.24</v>
      </c>
      <c r="Q86" s="2"/>
      <c r="R86" s="6">
        <f t="shared" si="72"/>
        <v>9.2186075746012895E-4</v>
      </c>
      <c r="S86" s="2"/>
      <c r="T86" s="7">
        <v>1600</v>
      </c>
      <c r="U86" s="2"/>
      <c r="V86" s="6">
        <f t="shared" si="73"/>
        <v>1.7816379934302098E-3</v>
      </c>
      <c r="W86" s="2"/>
      <c r="X86" s="7">
        <f t="shared" si="74"/>
        <v>-819.76</v>
      </c>
      <c r="Y86" s="2"/>
      <c r="Z86" s="6">
        <f t="shared" si="75"/>
        <v>-0.51234999999999997</v>
      </c>
    </row>
    <row r="87" spans="1:26" s="27" customFormat="1" outlineLevel="1" collapsed="1" x14ac:dyDescent="0.25">
      <c r="A87" s="26"/>
      <c r="B87" s="13" t="str">
        <f>CONCATENATE("     ","Telephone/Data Lines                              ")</f>
        <v xml:space="preserve">     Telephone/Data Lines                              </v>
      </c>
      <c r="C87" s="13"/>
      <c r="D87" s="1">
        <f>SUM(OSRRefD22_15x_0)</f>
        <v>156.85</v>
      </c>
      <c r="E87" s="1"/>
      <c r="F87" s="5">
        <f t="shared" ref="F87:F92" si="76">IF(D$12=0,0,D87/D$12)</f>
        <v>1.7466454329815434E-3</v>
      </c>
      <c r="G87" s="1"/>
      <c r="H87" s="1">
        <f>SUM(OSRRefH22_15x_0)</f>
        <v>160</v>
      </c>
      <c r="I87" s="1"/>
      <c r="J87" s="5">
        <f t="shared" ref="J87:J92" si="77">IF(H$12=0,0,H87/H$12)</f>
        <v>1.5571776155717761E-3</v>
      </c>
      <c r="K87" s="1"/>
      <c r="L87" s="1">
        <f t="shared" ref="L87:L92" si="78">+D87-H87</f>
        <v>-3.1500000000000057</v>
      </c>
      <c r="M87" s="1"/>
      <c r="N87" s="5">
        <f t="shared" ref="N87:N92" si="79">IF(H87=0,0,L87/H87)</f>
        <v>-1.9687500000000035E-2</v>
      </c>
      <c r="O87" s="13"/>
      <c r="P87" s="1">
        <f>SUM(OSRRefP22_15x_0)</f>
        <v>1010.2</v>
      </c>
      <c r="Q87" s="1"/>
      <c r="R87" s="5">
        <f t="shared" ref="R87:R92" si="80">IF(P$12=0,0,P87/P$12)</f>
        <v>1.1935606187663055E-3</v>
      </c>
      <c r="S87" s="1"/>
      <c r="T87" s="1">
        <f>SUM(OSRRefT22_15x_0)</f>
        <v>1120</v>
      </c>
      <c r="U87" s="1"/>
      <c r="V87" s="5">
        <f t="shared" ref="V87:V92" si="81">IF(T$12=0,0,T87/T$12)</f>
        <v>1.247146595401147E-3</v>
      </c>
      <c r="W87" s="1"/>
      <c r="X87" s="1">
        <f t="shared" ref="X87:X92" si="82">+P87-T87</f>
        <v>-109.79999999999995</v>
      </c>
      <c r="Y87" s="1"/>
      <c r="Z87" s="5">
        <f t="shared" ref="Z87:Z92" si="83">IF(T87=0,0,X87/T87)</f>
        <v>-9.803571428571424E-2</v>
      </c>
    </row>
    <row r="88" spans="1:26" s="24" customFormat="1" hidden="1" outlineLevel="2" x14ac:dyDescent="0.25">
      <c r="A88" s="25"/>
      <c r="B88" s="11" t="str">
        <f>CONCATENATE("          ", "6309", " - ", "TELEPHONE")</f>
        <v xml:space="preserve">          6309 - TELEPHONE</v>
      </c>
      <c r="C88" s="11"/>
      <c r="D88" s="7">
        <v>156.85</v>
      </c>
      <c r="E88" s="2"/>
      <c r="F88" s="6">
        <f t="shared" si="76"/>
        <v>1.7466454329815434E-3</v>
      </c>
      <c r="G88" s="2"/>
      <c r="H88" s="7">
        <v>160</v>
      </c>
      <c r="I88" s="2"/>
      <c r="J88" s="6">
        <f t="shared" si="77"/>
        <v>1.5571776155717761E-3</v>
      </c>
      <c r="K88" s="2"/>
      <c r="L88" s="7">
        <f t="shared" si="78"/>
        <v>-3.1500000000000057</v>
      </c>
      <c r="M88" s="2"/>
      <c r="N88" s="6">
        <f t="shared" si="79"/>
        <v>-1.9687500000000035E-2</v>
      </c>
      <c r="O88" s="11"/>
      <c r="P88" s="7">
        <v>1010.2</v>
      </c>
      <c r="Q88" s="2"/>
      <c r="R88" s="6">
        <f t="shared" si="80"/>
        <v>1.1935606187663055E-3</v>
      </c>
      <c r="S88" s="2"/>
      <c r="T88" s="7">
        <v>1120</v>
      </c>
      <c r="U88" s="2"/>
      <c r="V88" s="6">
        <f t="shared" si="81"/>
        <v>1.247146595401147E-3</v>
      </c>
      <c r="W88" s="2"/>
      <c r="X88" s="7">
        <f t="shared" si="82"/>
        <v>-109.79999999999995</v>
      </c>
      <c r="Y88" s="2"/>
      <c r="Z88" s="6">
        <f t="shared" si="83"/>
        <v>-9.803571428571424E-2</v>
      </c>
    </row>
    <row r="89" spans="1:26" s="27" customFormat="1" outlineLevel="1" collapsed="1" x14ac:dyDescent="0.25">
      <c r="A89" s="26"/>
      <c r="B89" s="13" t="str">
        <f>CONCATENATE("     ","Training                                          ")</f>
        <v xml:space="preserve">     Training                                          </v>
      </c>
      <c r="C89" s="13"/>
      <c r="D89" s="1">
        <f>SUM(OSRRefD22_16x_0)</f>
        <v>0</v>
      </c>
      <c r="E89" s="1"/>
      <c r="F89" s="5">
        <f t="shared" si="76"/>
        <v>0</v>
      </c>
      <c r="G89" s="1"/>
      <c r="H89" s="1">
        <f>SUM(OSRRefH22_16x_0)</f>
        <v>0</v>
      </c>
      <c r="I89" s="1"/>
      <c r="J89" s="5">
        <f t="shared" si="77"/>
        <v>0</v>
      </c>
      <c r="K89" s="1"/>
      <c r="L89" s="1">
        <f t="shared" si="78"/>
        <v>0</v>
      </c>
      <c r="M89" s="1"/>
      <c r="N89" s="5">
        <f t="shared" si="79"/>
        <v>0</v>
      </c>
      <c r="O89" s="13"/>
      <c r="P89" s="1">
        <f>SUM(OSRRefP22_16x_0)</f>
        <v>279.95</v>
      </c>
      <c r="Q89" s="1"/>
      <c r="R89" s="5">
        <f t="shared" si="80"/>
        <v>3.3076350744766107E-4</v>
      </c>
      <c r="S89" s="1"/>
      <c r="T89" s="1">
        <f>SUM(OSRRefT22_16x_0)</f>
        <v>320</v>
      </c>
      <c r="U89" s="1"/>
      <c r="V89" s="5">
        <f t="shared" si="81"/>
        <v>3.5632759868604196E-4</v>
      </c>
      <c r="W89" s="1"/>
      <c r="X89" s="1">
        <f t="shared" si="82"/>
        <v>-40.050000000000011</v>
      </c>
      <c r="Y89" s="1"/>
      <c r="Z89" s="5">
        <f t="shared" si="83"/>
        <v>-0.12515625000000002</v>
      </c>
    </row>
    <row r="90" spans="1:26" s="24" customFormat="1" hidden="1" outlineLevel="2" x14ac:dyDescent="0.25">
      <c r="A90" s="25"/>
      <c r="B90" s="11" t="str">
        <f>CONCATENATE("          ", "6376", " - ", "TRAINING")</f>
        <v xml:space="preserve">          6376 - TRAINING</v>
      </c>
      <c r="C90" s="11"/>
      <c r="D90" s="7"/>
      <c r="E90" s="2"/>
      <c r="F90" s="6">
        <f t="shared" si="76"/>
        <v>0</v>
      </c>
      <c r="G90" s="2"/>
      <c r="H90" s="7"/>
      <c r="I90" s="2"/>
      <c r="J90" s="6">
        <f t="shared" si="77"/>
        <v>0</v>
      </c>
      <c r="K90" s="2"/>
      <c r="L90" s="7">
        <f t="shared" si="78"/>
        <v>0</v>
      </c>
      <c r="M90" s="2"/>
      <c r="N90" s="6">
        <f t="shared" si="79"/>
        <v>0</v>
      </c>
      <c r="O90" s="11"/>
      <c r="P90" s="7">
        <v>279.95</v>
      </c>
      <c r="Q90" s="2"/>
      <c r="R90" s="6">
        <f t="shared" si="80"/>
        <v>3.3076350744766107E-4</v>
      </c>
      <c r="S90" s="2"/>
      <c r="T90" s="7">
        <v>320</v>
      </c>
      <c r="U90" s="2"/>
      <c r="V90" s="6">
        <f t="shared" si="81"/>
        <v>3.5632759868604196E-4</v>
      </c>
      <c r="W90" s="2"/>
      <c r="X90" s="7">
        <f t="shared" si="82"/>
        <v>-40.050000000000011</v>
      </c>
      <c r="Y90" s="2"/>
      <c r="Z90" s="6">
        <f t="shared" si="83"/>
        <v>-0.12515625000000002</v>
      </c>
    </row>
    <row r="91" spans="1:26" s="27" customFormat="1" outlineLevel="1" collapsed="1" x14ac:dyDescent="0.25">
      <c r="A91" s="26"/>
      <c r="B91" s="13" t="str">
        <f>CONCATENATE("     ","Travel                                            ")</f>
        <v xml:space="preserve">     Travel                                            </v>
      </c>
      <c r="C91" s="13"/>
      <c r="D91" s="1">
        <f>SUM(OSRRefD22_17x_0)</f>
        <v>0</v>
      </c>
      <c r="E91" s="1"/>
      <c r="F91" s="5">
        <f t="shared" si="76"/>
        <v>0</v>
      </c>
      <c r="G91" s="1"/>
      <c r="H91" s="1">
        <f>SUM(OSRRefH22_17x_0)</f>
        <v>0</v>
      </c>
      <c r="I91" s="1"/>
      <c r="J91" s="5">
        <f t="shared" si="77"/>
        <v>0</v>
      </c>
      <c r="K91" s="1"/>
      <c r="L91" s="1">
        <f t="shared" si="78"/>
        <v>0</v>
      </c>
      <c r="M91" s="1"/>
      <c r="N91" s="5">
        <f t="shared" si="79"/>
        <v>0</v>
      </c>
      <c r="O91" s="13"/>
      <c r="P91" s="1">
        <f>SUM(OSRRefP22_17x_0)</f>
        <v>0</v>
      </c>
      <c r="Q91" s="1"/>
      <c r="R91" s="5">
        <f t="shared" si="80"/>
        <v>0</v>
      </c>
      <c r="S91" s="1"/>
      <c r="T91" s="1">
        <f>SUM(OSRRefT22_17x_0)</f>
        <v>2000</v>
      </c>
      <c r="U91" s="1"/>
      <c r="V91" s="5">
        <f t="shared" si="81"/>
        <v>2.2270474917877622E-3</v>
      </c>
      <c r="W91" s="1"/>
      <c r="X91" s="1">
        <f t="shared" si="82"/>
        <v>-2000</v>
      </c>
      <c r="Y91" s="1"/>
      <c r="Z91" s="5">
        <f t="shared" si="83"/>
        <v>-1</v>
      </c>
    </row>
    <row r="92" spans="1:26" s="24" customFormat="1" hidden="1" outlineLevel="2" x14ac:dyDescent="0.25">
      <c r="A92" s="25"/>
      <c r="B92" s="11" t="str">
        <f>CONCATENATE("          ", "6292", " - ", "TRAVEL/CONFERENCE")</f>
        <v xml:space="preserve">          6292 - TRAVEL/CONFERENCE</v>
      </c>
      <c r="C92" s="11"/>
      <c r="D92" s="7"/>
      <c r="E92" s="2"/>
      <c r="F92" s="6">
        <f t="shared" si="76"/>
        <v>0</v>
      </c>
      <c r="G92" s="2"/>
      <c r="H92" s="7"/>
      <c r="I92" s="2"/>
      <c r="J92" s="6">
        <f t="shared" si="77"/>
        <v>0</v>
      </c>
      <c r="K92" s="2"/>
      <c r="L92" s="7">
        <f t="shared" si="78"/>
        <v>0</v>
      </c>
      <c r="M92" s="2"/>
      <c r="N92" s="6">
        <f t="shared" si="79"/>
        <v>0</v>
      </c>
      <c r="O92" s="11"/>
      <c r="P92" s="7"/>
      <c r="Q92" s="2"/>
      <c r="R92" s="6">
        <f t="shared" si="80"/>
        <v>0</v>
      </c>
      <c r="S92" s="2"/>
      <c r="T92" s="7">
        <v>2000</v>
      </c>
      <c r="U92" s="2"/>
      <c r="V92" s="6">
        <f t="shared" si="81"/>
        <v>2.2270474917877622E-3</v>
      </c>
      <c r="W92" s="2"/>
      <c r="X92" s="7">
        <f t="shared" si="82"/>
        <v>-2000</v>
      </c>
      <c r="Y92" s="2"/>
      <c r="Z92" s="6">
        <f t="shared" si="83"/>
        <v>-1</v>
      </c>
    </row>
    <row r="93" spans="1:26" s="53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8" t="s">
        <v>0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9" t="s">
        <v>3</v>
      </c>
      <c r="C96" s="29"/>
      <c r="D96" s="21">
        <f>+D23-D25+D94</f>
        <v>-12087.54</v>
      </c>
      <c r="E96" s="14"/>
      <c r="F96" s="20">
        <f>IF(D$12=0,0,D96/D$12)</f>
        <v>-0.13460405825299157</v>
      </c>
      <c r="G96" s="14"/>
      <c r="H96" s="21">
        <f>+H23-H25+H94</f>
        <v>14081.535683273047</v>
      </c>
      <c r="I96" s="14"/>
      <c r="J96" s="20">
        <f>IF(H$12=0,0,H96/H$12)</f>
        <v>0.13704657599292502</v>
      </c>
      <c r="K96" s="16"/>
      <c r="L96" s="21">
        <f>+D96-H96</f>
        <v>-26169.075683273048</v>
      </c>
      <c r="M96" s="16"/>
      <c r="N96" s="20">
        <f>IF(H96=0,0,L96/H96)</f>
        <v>-1.858396432880425</v>
      </c>
      <c r="O96" s="28"/>
      <c r="P96" s="21">
        <f>+P23-P25+P94</f>
        <v>131472.84000000008</v>
      </c>
      <c r="Q96" s="14"/>
      <c r="R96" s="20">
        <f>IF(P$12=0,0,P96/P$12)</f>
        <v>0.15533637325417105</v>
      </c>
      <c r="S96" s="14"/>
      <c r="T96" s="21">
        <f>+T23-T25+T94</f>
        <v>182234.25849298068</v>
      </c>
      <c r="U96" s="14"/>
      <c r="V96" s="20">
        <f>IF(T$12=0,0,T96/T$12)</f>
        <v>0.20292217414729768</v>
      </c>
      <c r="W96" s="16"/>
      <c r="X96" s="21">
        <f>+P96-T96</f>
        <v>-50761.418492980592</v>
      </c>
      <c r="Y96" s="16"/>
      <c r="Z96" s="20">
        <f>IF(T96=0,0,X96/T96)</f>
        <v>-0.27855036101752417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14</v>
      </c>
      <c r="C98" s="10"/>
      <c r="D98" s="4">
        <v>6549.08</v>
      </c>
      <c r="E98" s="4"/>
      <c r="F98" s="12">
        <f>IF(D$12=0,0,D98/D$12)</f>
        <v>7.292904477035872E-2</v>
      </c>
      <c r="G98" s="4"/>
      <c r="H98" s="4">
        <v>8125</v>
      </c>
      <c r="I98" s="4"/>
      <c r="J98" s="12">
        <f>IF(H$12=0,0,H98/H$12)</f>
        <v>7.9075425790754258E-2</v>
      </c>
      <c r="K98" s="4"/>
      <c r="L98" s="4">
        <f>+D98-H98</f>
        <v>-1575.92</v>
      </c>
      <c r="M98" s="4"/>
      <c r="N98" s="12">
        <f>IF(H98=0,0,L98/H98)</f>
        <v>-0.19395938461538462</v>
      </c>
      <c r="O98" s="10"/>
      <c r="P98" s="4">
        <v>88264.94</v>
      </c>
      <c r="Q98" s="4"/>
      <c r="R98" s="12">
        <f>IF(P$12=0,0,P98/P$12)</f>
        <v>0.10428584082535224</v>
      </c>
      <c r="S98" s="4"/>
      <c r="T98" s="4">
        <v>110573</v>
      </c>
      <c r="U98" s="4"/>
      <c r="V98" s="12">
        <f>IF(T$12=0,0,T98/T$12)</f>
        <v>0.12312566115472412</v>
      </c>
      <c r="W98" s="4"/>
      <c r="X98" s="4">
        <f>+P98-T98</f>
        <v>-22308.059999999998</v>
      </c>
      <c r="Y98" s="4"/>
      <c r="Z98" s="12">
        <f>IF(T98=0,0,X98/T98)</f>
        <v>-0.20174961337758762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9" t="s">
        <v>4</v>
      </c>
      <c r="C100" s="29"/>
      <c r="D100" s="34">
        <f>+D96-D98</f>
        <v>-18636.620000000003</v>
      </c>
      <c r="E100" s="14"/>
      <c r="F100" s="32">
        <f>IF(D$12=0,0,D100/D$12)</f>
        <v>-0.20753310302335032</v>
      </c>
      <c r="G100" s="14"/>
      <c r="H100" s="34">
        <f>+H96-H98</f>
        <v>5956.5356832730467</v>
      </c>
      <c r="I100" s="14"/>
      <c r="J100" s="32">
        <f>IF(H$12=0,0,H100/H$12)</f>
        <v>5.7971150202170772E-2</v>
      </c>
      <c r="K100" s="16"/>
      <c r="L100" s="34">
        <f>D100-H100</f>
        <v>-24593.155683273049</v>
      </c>
      <c r="M100" s="16"/>
      <c r="N100" s="32">
        <f>IF(H100=0,0,L100/H100)</f>
        <v>-4.1287682960306551</v>
      </c>
      <c r="O100" s="28"/>
      <c r="P100" s="34">
        <f>+P96-P98</f>
        <v>43207.900000000081</v>
      </c>
      <c r="Q100" s="14"/>
      <c r="R100" s="32">
        <f>IF(P$12=0,0,P100/P$12)</f>
        <v>5.1050532428818796E-2</v>
      </c>
      <c r="S100" s="14"/>
      <c r="T100" s="34">
        <f>+T96-T98</f>
        <v>71661.258492980676</v>
      </c>
      <c r="U100" s="14"/>
      <c r="V100" s="32">
        <f>IF(T$12=0,0,T100/T$12)</f>
        <v>7.9796512992573551E-2</v>
      </c>
      <c r="W100" s="16"/>
      <c r="X100" s="34">
        <f>P100-T100</f>
        <v>-28453.358492980595</v>
      </c>
      <c r="Y100" s="16"/>
      <c r="Z100" s="32">
        <f>IF(T100=0,0,X100/T100)</f>
        <v>-0.39705356968811317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9" t="s">
        <v>5</v>
      </c>
      <c r="C103" s="29"/>
      <c r="D103" s="31">
        <f>SUM(D100:D102)</f>
        <v>-18636.620000000003</v>
      </c>
      <c r="E103" s="14"/>
      <c r="F103" s="30">
        <f>IF(D$12=0,0,D103/D$12)</f>
        <v>-0.20753310302335032</v>
      </c>
      <c r="G103" s="14"/>
      <c r="H103" s="31">
        <f>SUM(H100:H102)</f>
        <v>5956.5356832730467</v>
      </c>
      <c r="I103" s="14"/>
      <c r="J103" s="30">
        <f>IF(H$12=0,0,H103/H$12)</f>
        <v>5.7971150202170772E-2</v>
      </c>
      <c r="K103" s="16"/>
      <c r="L103" s="31">
        <f>+D103-H103</f>
        <v>-24593.155683273049</v>
      </c>
      <c r="M103" s="16"/>
      <c r="N103" s="30">
        <f>IF(H103=0,0,L103/H103)</f>
        <v>-4.1287682960306551</v>
      </c>
      <c r="O103" s="28"/>
      <c r="P103" s="31">
        <f>SUM(P100:P102)</f>
        <v>43207.900000000081</v>
      </c>
      <c r="Q103" s="14"/>
      <c r="R103" s="30">
        <f>IF(P$12=0,0,P103/P$12)</f>
        <v>5.1050532428818796E-2</v>
      </c>
      <c r="S103" s="14"/>
      <c r="T103" s="31">
        <f>SUM(T100:T102)</f>
        <v>71661.258492980676</v>
      </c>
      <c r="U103" s="14"/>
      <c r="V103" s="30">
        <f>IF(T$12=0,0,T103/T$12)</f>
        <v>7.9796512992573551E-2</v>
      </c>
      <c r="W103" s="16"/>
      <c r="X103" s="31">
        <f>+P103-T103</f>
        <v>-28453.358492980595</v>
      </c>
      <c r="Y103" s="16"/>
      <c r="Z103" s="30">
        <f>IF(T103=0,0,X103/T103)</f>
        <v>-0.39705356968811317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63">
        <v>43879.546592013889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7" t="s">
        <v>314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60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","423", " - ", "Contract Revenue")</f>
        <v>Department 423 - Contract Revenue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8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-805.48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-805.48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-805.48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-805.48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1">
        <f>D12-D14</f>
        <v>0</v>
      </c>
      <c r="E17" s="14"/>
      <c r="F17" s="20">
        <f>IF(D$12=0,0,D17/D$12)</f>
        <v>0</v>
      </c>
      <c r="G17" s="14"/>
      <c r="H17" s="21">
        <f>H12-H14</f>
        <v>0</v>
      </c>
      <c r="I17" s="14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8"/>
      <c r="P17" s="21">
        <f>P12-P14</f>
        <v>805.48</v>
      </c>
      <c r="Q17" s="14"/>
      <c r="R17" s="20">
        <f>IF(P$12=0,0,P17/P$12)</f>
        <v>0</v>
      </c>
      <c r="S17" s="14"/>
      <c r="T17" s="21">
        <f>T12-T14</f>
        <v>0</v>
      </c>
      <c r="U17" s="14"/>
      <c r="V17" s="20">
        <f>IF(T$12=0,0,T17/T$12)</f>
        <v>0</v>
      </c>
      <c r="W17" s="16"/>
      <c r="X17" s="21">
        <f>+P17-T17</f>
        <v>805.48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8884.119999999999</v>
      </c>
      <c r="E19" s="22"/>
      <c r="F19" s="35">
        <f t="shared" ref="F19:F29" si="8">IF(D$12=0,0,D19/D$12)</f>
        <v>0</v>
      </c>
      <c r="G19" s="22"/>
      <c r="H19" s="22">
        <f>SUM(OSRRefH22x_0)</f>
        <v>7835.8691635480764</v>
      </c>
      <c r="I19" s="22"/>
      <c r="J19" s="35">
        <f t="shared" ref="J19:J29" si="9">IF(H$12=0,0,H19/H$12)</f>
        <v>0</v>
      </c>
      <c r="K19" s="4"/>
      <c r="L19" s="22">
        <f t="shared" ref="L19:L29" si="10">+D19-H19</f>
        <v>1048.2508364519226</v>
      </c>
      <c r="M19" s="4"/>
      <c r="N19" s="35">
        <f t="shared" ref="N19:N29" si="11">IF(H19=0,0,L19/H19)</f>
        <v>0.13377594936478945</v>
      </c>
      <c r="O19" s="10"/>
      <c r="P19" s="22">
        <f>SUM(OSRRefP22x_0)</f>
        <v>77859.519999999975</v>
      </c>
      <c r="Q19" s="22"/>
      <c r="R19" s="35">
        <f t="shared" ref="R19:R29" si="12">IF(P$12=0,0,P19/P$12)</f>
        <v>0</v>
      </c>
      <c r="S19" s="22"/>
      <c r="T19" s="22">
        <f>SUM(OSRRefT22x_0)</f>
        <v>52451.788813998057</v>
      </c>
      <c r="U19" s="22"/>
      <c r="V19" s="35">
        <f t="shared" ref="V19:V29" si="13">IF(T$12=0,0,T19/T$12)</f>
        <v>0</v>
      </c>
      <c r="W19" s="4"/>
      <c r="X19" s="22">
        <f t="shared" ref="X19:X29" si="14">+P19-T19</f>
        <v>25407.731186001918</v>
      </c>
      <c r="Y19" s="4"/>
      <c r="Z19" s="35">
        <f t="shared" ref="Z19:Z29" si="15">IF(T19=0,0,X19/T19)</f>
        <v>0.48440161452074704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3069.4399999999996</v>
      </c>
      <c r="E20" s="1"/>
      <c r="F20" s="5">
        <f t="shared" si="8"/>
        <v>0</v>
      </c>
      <c r="G20" s="1"/>
      <c r="H20" s="1">
        <f>SUM(OSRRefH22_0x_0)</f>
        <v>2465.0386827788461</v>
      </c>
      <c r="I20" s="1"/>
      <c r="J20" s="5">
        <f t="shared" si="9"/>
        <v>0</v>
      </c>
      <c r="K20" s="1"/>
      <c r="L20" s="1">
        <f t="shared" si="10"/>
        <v>604.40131722115348</v>
      </c>
      <c r="M20" s="1"/>
      <c r="N20" s="5">
        <f t="shared" si="11"/>
        <v>0.2451893844277567</v>
      </c>
      <c r="O20" s="13"/>
      <c r="P20" s="1">
        <f>SUM(OSRRefP22_0x_0)</f>
        <v>30526.05</v>
      </c>
      <c r="Q20" s="1"/>
      <c r="R20" s="5">
        <f t="shared" si="12"/>
        <v>0</v>
      </c>
      <c r="S20" s="1"/>
      <c r="T20" s="1">
        <f>SUM(OSRRefT22_0x_0)</f>
        <v>15955.639833228848</v>
      </c>
      <c r="U20" s="1"/>
      <c r="V20" s="5">
        <f t="shared" si="13"/>
        <v>0</v>
      </c>
      <c r="W20" s="1"/>
      <c r="X20" s="1">
        <f t="shared" si="14"/>
        <v>14570.410166771151</v>
      </c>
      <c r="Y20" s="1"/>
      <c r="Z20" s="5">
        <f t="shared" si="15"/>
        <v>0.91318244326543085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7">
        <v>384.92</v>
      </c>
      <c r="E21" s="2"/>
      <c r="F21" s="6">
        <f t="shared" si="8"/>
        <v>0</v>
      </c>
      <c r="G21" s="2"/>
      <c r="H21" s="7">
        <v>437.56711854807702</v>
      </c>
      <c r="I21" s="2"/>
      <c r="J21" s="6">
        <f t="shared" si="9"/>
        <v>0</v>
      </c>
      <c r="K21" s="2"/>
      <c r="L21" s="7">
        <f t="shared" si="10"/>
        <v>-52.647118548077003</v>
      </c>
      <c r="M21" s="2"/>
      <c r="N21" s="6">
        <f t="shared" si="11"/>
        <v>-0.12031781255129316</v>
      </c>
      <c r="O21" s="11"/>
      <c r="P21" s="7">
        <v>4174.2299999999996</v>
      </c>
      <c r="Q21" s="2"/>
      <c r="R21" s="6">
        <f t="shared" si="12"/>
        <v>0</v>
      </c>
      <c r="S21" s="2"/>
      <c r="T21" s="7">
        <v>2712.9161349980791</v>
      </c>
      <c r="U21" s="2"/>
      <c r="V21" s="6">
        <f t="shared" si="13"/>
        <v>0</v>
      </c>
      <c r="W21" s="2"/>
      <c r="X21" s="7">
        <f t="shared" si="14"/>
        <v>1461.3138650019205</v>
      </c>
      <c r="Y21" s="2"/>
      <c r="Z21" s="6">
        <f t="shared" si="15"/>
        <v>0.53865058567428037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7">
        <v>17.11</v>
      </c>
      <c r="E22" s="2"/>
      <c r="F22" s="6">
        <f t="shared" si="8"/>
        <v>0</v>
      </c>
      <c r="G22" s="2"/>
      <c r="H22" s="7">
        <v>108.634199038462</v>
      </c>
      <c r="I22" s="2"/>
      <c r="J22" s="6">
        <f t="shared" si="9"/>
        <v>0</v>
      </c>
      <c r="K22" s="2"/>
      <c r="L22" s="7">
        <f t="shared" si="10"/>
        <v>-91.524199038462001</v>
      </c>
      <c r="M22" s="2"/>
      <c r="N22" s="6">
        <f t="shared" si="11"/>
        <v>-0.84249895381525119</v>
      </c>
      <c r="O22" s="11"/>
      <c r="P22" s="7">
        <v>142.21</v>
      </c>
      <c r="Q22" s="2"/>
      <c r="R22" s="6">
        <f t="shared" si="12"/>
        <v>0</v>
      </c>
      <c r="S22" s="2"/>
      <c r="T22" s="7">
        <v>673.53203403846283</v>
      </c>
      <c r="U22" s="2"/>
      <c r="V22" s="6">
        <f t="shared" si="13"/>
        <v>0</v>
      </c>
      <c r="W22" s="2"/>
      <c r="X22" s="7">
        <f t="shared" si="14"/>
        <v>-531.32203403846279</v>
      </c>
      <c r="Y22" s="2"/>
      <c r="Z22" s="6">
        <f t="shared" si="15"/>
        <v>-0.7888593373245868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7">
        <v>1016.65</v>
      </c>
      <c r="E23" s="2"/>
      <c r="F23" s="6">
        <f t="shared" si="8"/>
        <v>0</v>
      </c>
      <c r="G23" s="2"/>
      <c r="H23" s="7">
        <v>690.5</v>
      </c>
      <c r="I23" s="2"/>
      <c r="J23" s="6">
        <f t="shared" si="9"/>
        <v>0</v>
      </c>
      <c r="K23" s="2"/>
      <c r="L23" s="7">
        <f t="shared" si="10"/>
        <v>326.14999999999998</v>
      </c>
      <c r="M23" s="2"/>
      <c r="N23" s="6">
        <f t="shared" si="11"/>
        <v>0.47233888486603909</v>
      </c>
      <c r="O23" s="11"/>
      <c r="P23" s="7">
        <v>7085.23</v>
      </c>
      <c r="Q23" s="2"/>
      <c r="R23" s="6">
        <f t="shared" si="12"/>
        <v>0</v>
      </c>
      <c r="S23" s="2"/>
      <c r="T23" s="7">
        <v>4833.5</v>
      </c>
      <c r="U23" s="2"/>
      <c r="V23" s="6">
        <f t="shared" si="13"/>
        <v>0</v>
      </c>
      <c r="W23" s="2"/>
      <c r="X23" s="7">
        <f t="shared" si="14"/>
        <v>2251.7299999999996</v>
      </c>
      <c r="Y23" s="2"/>
      <c r="Z23" s="6">
        <f t="shared" si="15"/>
        <v>0.46585910830661004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7">
        <v>13.08</v>
      </c>
      <c r="E24" s="2"/>
      <c r="F24" s="6">
        <f t="shared" si="8"/>
        <v>0</v>
      </c>
      <c r="G24" s="2"/>
      <c r="H24" s="7">
        <v>14.8657325</v>
      </c>
      <c r="I24" s="2"/>
      <c r="J24" s="6">
        <f t="shared" si="9"/>
        <v>0</v>
      </c>
      <c r="K24" s="2"/>
      <c r="L24" s="7">
        <f t="shared" si="10"/>
        <v>-1.7857324999999999</v>
      </c>
      <c r="M24" s="2"/>
      <c r="N24" s="6">
        <f t="shared" si="11"/>
        <v>-0.12012408403016804</v>
      </c>
      <c r="O24" s="11"/>
      <c r="P24" s="7">
        <v>121.23</v>
      </c>
      <c r="Q24" s="2"/>
      <c r="R24" s="6">
        <f t="shared" si="12"/>
        <v>0</v>
      </c>
      <c r="S24" s="2"/>
      <c r="T24" s="7">
        <v>92.167541499999999</v>
      </c>
      <c r="U24" s="2"/>
      <c r="V24" s="6">
        <f t="shared" si="13"/>
        <v>0</v>
      </c>
      <c r="W24" s="2"/>
      <c r="X24" s="7">
        <f t="shared" si="14"/>
        <v>29.062458500000005</v>
      </c>
      <c r="Y24" s="2"/>
      <c r="Z24" s="6">
        <f t="shared" si="15"/>
        <v>0.31532205402267355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7">
        <v>771.4</v>
      </c>
      <c r="E25" s="2"/>
      <c r="F25" s="6">
        <f t="shared" si="8"/>
        <v>0</v>
      </c>
      <c r="G25" s="2"/>
      <c r="H25" s="7">
        <v>491.71269038461503</v>
      </c>
      <c r="I25" s="2"/>
      <c r="J25" s="6">
        <f t="shared" si="9"/>
        <v>0</v>
      </c>
      <c r="K25" s="2"/>
      <c r="L25" s="7">
        <f t="shared" si="10"/>
        <v>279.68730961538495</v>
      </c>
      <c r="M25" s="2"/>
      <c r="N25" s="6">
        <f t="shared" si="11"/>
        <v>0.56880230078384808</v>
      </c>
      <c r="O25" s="11"/>
      <c r="P25" s="7">
        <v>4766.34</v>
      </c>
      <c r="Q25" s="2"/>
      <c r="R25" s="6">
        <f t="shared" si="12"/>
        <v>0</v>
      </c>
      <c r="S25" s="2"/>
      <c r="T25" s="7">
        <v>3048.6186803846126</v>
      </c>
      <c r="U25" s="2"/>
      <c r="V25" s="6">
        <f t="shared" si="13"/>
        <v>0</v>
      </c>
      <c r="W25" s="2"/>
      <c r="X25" s="7">
        <f t="shared" si="14"/>
        <v>1717.7213196153875</v>
      </c>
      <c r="Y25" s="2"/>
      <c r="Z25" s="6">
        <f t="shared" si="15"/>
        <v>0.56344249632383692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8"/>
        <v>0</v>
      </c>
      <c r="G26" s="2"/>
      <c r="H26" s="7">
        <v>0</v>
      </c>
      <c r="I26" s="2"/>
      <c r="J26" s="6">
        <f t="shared" si="9"/>
        <v>0</v>
      </c>
      <c r="K26" s="2"/>
      <c r="L26" s="7">
        <f t="shared" si="10"/>
        <v>0</v>
      </c>
      <c r="M26" s="2"/>
      <c r="N26" s="6">
        <f t="shared" si="11"/>
        <v>0</v>
      </c>
      <c r="O26" s="11"/>
      <c r="P26" s="7"/>
      <c r="Q26" s="2"/>
      <c r="R26" s="6">
        <f t="shared" si="12"/>
        <v>0</v>
      </c>
      <c r="S26" s="2"/>
      <c r="T26" s="7">
        <v>0</v>
      </c>
      <c r="U26" s="2"/>
      <c r="V26" s="6">
        <f t="shared" si="13"/>
        <v>0</v>
      </c>
      <c r="W26" s="2"/>
      <c r="X26" s="7">
        <f t="shared" si="14"/>
        <v>0</v>
      </c>
      <c r="Y26" s="2"/>
      <c r="Z26" s="6">
        <f t="shared" si="15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7">
        <v>464.78</v>
      </c>
      <c r="E27" s="2"/>
      <c r="F27" s="6">
        <f t="shared" si="8"/>
        <v>0</v>
      </c>
      <c r="G27" s="2"/>
      <c r="H27" s="7">
        <v>571.758942307692</v>
      </c>
      <c r="I27" s="2"/>
      <c r="J27" s="6">
        <f t="shared" si="9"/>
        <v>0</v>
      </c>
      <c r="K27" s="2"/>
      <c r="L27" s="7">
        <f t="shared" si="10"/>
        <v>-106.97894230769202</v>
      </c>
      <c r="M27" s="2"/>
      <c r="N27" s="6">
        <f t="shared" si="11"/>
        <v>-0.18710497447737567</v>
      </c>
      <c r="O27" s="11"/>
      <c r="P27" s="7">
        <v>4848.59</v>
      </c>
      <c r="Q27" s="2"/>
      <c r="R27" s="6">
        <f t="shared" si="12"/>
        <v>0</v>
      </c>
      <c r="S27" s="2"/>
      <c r="T27" s="7">
        <v>3544.9054423076923</v>
      </c>
      <c r="U27" s="2"/>
      <c r="V27" s="6">
        <f t="shared" si="13"/>
        <v>0</v>
      </c>
      <c r="W27" s="2"/>
      <c r="X27" s="7">
        <f t="shared" si="14"/>
        <v>1303.6845576923079</v>
      </c>
      <c r="Y27" s="2"/>
      <c r="Z27" s="6">
        <f t="shared" si="15"/>
        <v>0.36776285825091692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7">
        <v>232.08</v>
      </c>
      <c r="E28" s="2"/>
      <c r="F28" s="6">
        <f t="shared" si="8"/>
        <v>0</v>
      </c>
      <c r="G28" s="2"/>
      <c r="H28" s="7">
        <v>0</v>
      </c>
      <c r="I28" s="2"/>
      <c r="J28" s="6">
        <f t="shared" si="9"/>
        <v>0</v>
      </c>
      <c r="K28" s="2"/>
      <c r="L28" s="7">
        <f t="shared" si="10"/>
        <v>232.08</v>
      </c>
      <c r="M28" s="2"/>
      <c r="N28" s="6">
        <f t="shared" si="11"/>
        <v>0</v>
      </c>
      <c r="O28" s="11"/>
      <c r="P28" s="7">
        <v>8352.0400000000009</v>
      </c>
      <c r="Q28" s="2"/>
      <c r="R28" s="6">
        <f t="shared" si="12"/>
        <v>0</v>
      </c>
      <c r="S28" s="2"/>
      <c r="T28" s="7">
        <v>0</v>
      </c>
      <c r="U28" s="2"/>
      <c r="V28" s="6">
        <f t="shared" si="13"/>
        <v>0</v>
      </c>
      <c r="W28" s="2"/>
      <c r="X28" s="7">
        <f t="shared" si="14"/>
        <v>8352.0400000000009</v>
      </c>
      <c r="Y28" s="2"/>
      <c r="Z28" s="6">
        <f t="shared" si="15"/>
        <v>0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7">
        <v>169.42</v>
      </c>
      <c r="E29" s="2"/>
      <c r="F29" s="6">
        <f t="shared" si="8"/>
        <v>0</v>
      </c>
      <c r="G29" s="2"/>
      <c r="H29" s="7">
        <v>150</v>
      </c>
      <c r="I29" s="2"/>
      <c r="J29" s="6">
        <f t="shared" si="9"/>
        <v>0</v>
      </c>
      <c r="K29" s="2"/>
      <c r="L29" s="7">
        <f t="shared" si="10"/>
        <v>19.419999999999987</v>
      </c>
      <c r="M29" s="2"/>
      <c r="N29" s="6">
        <f t="shared" si="11"/>
        <v>0.12946666666666659</v>
      </c>
      <c r="O29" s="11"/>
      <c r="P29" s="7">
        <v>1036.18</v>
      </c>
      <c r="Q29" s="2"/>
      <c r="R29" s="6">
        <f t="shared" si="12"/>
        <v>0</v>
      </c>
      <c r="S29" s="2"/>
      <c r="T29" s="7">
        <v>1050</v>
      </c>
      <c r="U29" s="2"/>
      <c r="V29" s="6">
        <f t="shared" si="13"/>
        <v>0</v>
      </c>
      <c r="W29" s="2"/>
      <c r="X29" s="7">
        <f t="shared" si="14"/>
        <v>-13.819999999999936</v>
      </c>
      <c r="Y29" s="2"/>
      <c r="Z29" s="6">
        <f t="shared" si="15"/>
        <v>-1.3161904761904701E-2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5534.77</v>
      </c>
      <c r="E30" s="1"/>
      <c r="F30" s="5">
        <f t="shared" ref="F30:F40" si="16">IF(D$12=0,0,D30/D$12)</f>
        <v>0</v>
      </c>
      <c r="G30" s="1"/>
      <c r="H30" s="1">
        <f>SUM(OSRRefH22_1x_0)</f>
        <v>5145.8304807692302</v>
      </c>
      <c r="I30" s="1"/>
      <c r="J30" s="5">
        <f t="shared" ref="J30:J40" si="17">IF(H$12=0,0,H30/H$12)</f>
        <v>0</v>
      </c>
      <c r="K30" s="1"/>
      <c r="L30" s="1">
        <f t="shared" ref="L30:L40" si="18">+D30-H30</f>
        <v>388.9395192307702</v>
      </c>
      <c r="M30" s="1"/>
      <c r="N30" s="5">
        <f t="shared" ref="N30:N40" si="19">IF(H30=0,0,L30/H30)</f>
        <v>7.5583430251792733E-2</v>
      </c>
      <c r="O30" s="13"/>
      <c r="P30" s="1">
        <f>SUM(OSRRefP22_1x_0)</f>
        <v>33413.879999999997</v>
      </c>
      <c r="Q30" s="1"/>
      <c r="R30" s="5">
        <f t="shared" ref="R30:R40" si="20">IF(P$12=0,0,P30/P$12)</f>
        <v>0</v>
      </c>
      <c r="S30" s="1"/>
      <c r="T30" s="1">
        <f>SUM(OSRRefT22_1x_0)</f>
        <v>31904.148980769209</v>
      </c>
      <c r="U30" s="1"/>
      <c r="V30" s="5">
        <f t="shared" ref="V30:V40" si="21">IF(T$12=0,0,T30/T$12)</f>
        <v>0</v>
      </c>
      <c r="W30" s="1"/>
      <c r="X30" s="1">
        <f t="shared" ref="X30:X40" si="22">+P30-T30</f>
        <v>1509.7310192307887</v>
      </c>
      <c r="Y30" s="1"/>
      <c r="Z30" s="5">
        <f t="shared" ref="Z30:Z40" si="23">IF(T30=0,0,X30/T30)</f>
        <v>4.7320836551409215E-2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7">
        <v>5534.77</v>
      </c>
      <c r="E31" s="2"/>
      <c r="F31" s="6">
        <f t="shared" si="16"/>
        <v>0</v>
      </c>
      <c r="G31" s="2"/>
      <c r="H31" s="7">
        <v>5145.8304807692302</v>
      </c>
      <c r="I31" s="2"/>
      <c r="J31" s="6">
        <f t="shared" si="17"/>
        <v>0</v>
      </c>
      <c r="K31" s="2"/>
      <c r="L31" s="7">
        <f t="shared" si="18"/>
        <v>388.9395192307702</v>
      </c>
      <c r="M31" s="2"/>
      <c r="N31" s="6">
        <f t="shared" si="19"/>
        <v>7.5583430251792733E-2</v>
      </c>
      <c r="O31" s="11"/>
      <c r="P31" s="7">
        <v>33413.879999999997</v>
      </c>
      <c r="Q31" s="2"/>
      <c r="R31" s="6">
        <f t="shared" si="20"/>
        <v>0</v>
      </c>
      <c r="S31" s="2"/>
      <c r="T31" s="7">
        <v>31904.148980769209</v>
      </c>
      <c r="U31" s="2"/>
      <c r="V31" s="6">
        <f t="shared" si="21"/>
        <v>0</v>
      </c>
      <c r="W31" s="2"/>
      <c r="X31" s="7">
        <f t="shared" si="22"/>
        <v>1509.7310192307887</v>
      </c>
      <c r="Y31" s="2"/>
      <c r="Z31" s="6">
        <f t="shared" si="23"/>
        <v>4.7320836551409215E-2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16"/>
        <v>0</v>
      </c>
      <c r="G32" s="2"/>
      <c r="H32" s="7">
        <v>0</v>
      </c>
      <c r="I32" s="2"/>
      <c r="J32" s="6">
        <f t="shared" si="17"/>
        <v>0</v>
      </c>
      <c r="K32" s="2"/>
      <c r="L32" s="7">
        <f t="shared" si="18"/>
        <v>0</v>
      </c>
      <c r="M32" s="2"/>
      <c r="N32" s="6">
        <f t="shared" si="19"/>
        <v>0</v>
      </c>
      <c r="O32" s="11"/>
      <c r="P32" s="7"/>
      <c r="Q32" s="2"/>
      <c r="R32" s="6">
        <f t="shared" si="20"/>
        <v>0</v>
      </c>
      <c r="S32" s="2"/>
      <c r="T32" s="7">
        <v>0</v>
      </c>
      <c r="U32" s="2"/>
      <c r="V32" s="6">
        <f t="shared" si="21"/>
        <v>0</v>
      </c>
      <c r="W32" s="2"/>
      <c r="X32" s="7">
        <f t="shared" si="22"/>
        <v>0</v>
      </c>
      <c r="Y32" s="2"/>
      <c r="Z32" s="6">
        <f t="shared" si="23"/>
        <v>0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6"/>
        <v>0</v>
      </c>
      <c r="G33" s="2"/>
      <c r="H33" s="7">
        <v>0</v>
      </c>
      <c r="I33" s="2"/>
      <c r="J33" s="6">
        <f t="shared" si="17"/>
        <v>0</v>
      </c>
      <c r="K33" s="2"/>
      <c r="L33" s="7">
        <f t="shared" si="18"/>
        <v>0</v>
      </c>
      <c r="M33" s="2"/>
      <c r="N33" s="6">
        <f t="shared" si="19"/>
        <v>0</v>
      </c>
      <c r="O33" s="11"/>
      <c r="P33" s="7"/>
      <c r="Q33" s="2"/>
      <c r="R33" s="6">
        <f t="shared" si="20"/>
        <v>0</v>
      </c>
      <c r="S33" s="2"/>
      <c r="T33" s="7">
        <v>0</v>
      </c>
      <c r="U33" s="2"/>
      <c r="V33" s="6">
        <f t="shared" si="21"/>
        <v>0</v>
      </c>
      <c r="W33" s="2"/>
      <c r="X33" s="7">
        <f t="shared" si="22"/>
        <v>0</v>
      </c>
      <c r="Y33" s="2"/>
      <c r="Z33" s="6">
        <f t="shared" si="23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6"/>
        <v>0</v>
      </c>
      <c r="G34" s="2"/>
      <c r="H34" s="7">
        <v>0</v>
      </c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/>
      <c r="Q34" s="2"/>
      <c r="R34" s="6">
        <f t="shared" si="20"/>
        <v>0</v>
      </c>
      <c r="S34" s="2"/>
      <c r="T34" s="7">
        <v>0</v>
      </c>
      <c r="U34" s="2"/>
      <c r="V34" s="6">
        <f t="shared" si="21"/>
        <v>0</v>
      </c>
      <c r="W34" s="2"/>
      <c r="X34" s="7">
        <f t="shared" si="22"/>
        <v>0</v>
      </c>
      <c r="Y34" s="2"/>
      <c r="Z34" s="6">
        <f t="shared" si="23"/>
        <v>0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16"/>
        <v>0</v>
      </c>
      <c r="G35" s="2"/>
      <c r="H35" s="7">
        <v>0</v>
      </c>
      <c r="I35" s="2"/>
      <c r="J35" s="6">
        <f t="shared" si="17"/>
        <v>0</v>
      </c>
      <c r="K35" s="2"/>
      <c r="L35" s="7">
        <f t="shared" si="18"/>
        <v>0</v>
      </c>
      <c r="M35" s="2"/>
      <c r="N35" s="6">
        <f t="shared" si="19"/>
        <v>0</v>
      </c>
      <c r="O35" s="11"/>
      <c r="P35" s="7"/>
      <c r="Q35" s="2"/>
      <c r="R35" s="6">
        <f t="shared" si="20"/>
        <v>0</v>
      </c>
      <c r="S35" s="2"/>
      <c r="T35" s="7">
        <v>0</v>
      </c>
      <c r="U35" s="2"/>
      <c r="V35" s="6">
        <f t="shared" si="21"/>
        <v>0</v>
      </c>
      <c r="W35" s="2"/>
      <c r="X35" s="7">
        <f t="shared" si="22"/>
        <v>0</v>
      </c>
      <c r="Y35" s="2"/>
      <c r="Z35" s="6">
        <f t="shared" si="23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6"/>
        <v>0</v>
      </c>
      <c r="G36" s="2"/>
      <c r="H36" s="7">
        <v>0</v>
      </c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/>
      <c r="Q36" s="2"/>
      <c r="R36" s="6">
        <f t="shared" si="20"/>
        <v>0</v>
      </c>
      <c r="S36" s="2"/>
      <c r="T36" s="7">
        <v>0</v>
      </c>
      <c r="U36" s="2"/>
      <c r="V36" s="6">
        <f t="shared" si="21"/>
        <v>0</v>
      </c>
      <c r="W36" s="2"/>
      <c r="X36" s="7">
        <f t="shared" si="22"/>
        <v>0</v>
      </c>
      <c r="Y36" s="2"/>
      <c r="Z36" s="6">
        <f t="shared" si="23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16"/>
        <v>0</v>
      </c>
      <c r="G37" s="2"/>
      <c r="H37" s="7">
        <v>0</v>
      </c>
      <c r="I37" s="2"/>
      <c r="J37" s="6">
        <f t="shared" si="17"/>
        <v>0</v>
      </c>
      <c r="K37" s="2"/>
      <c r="L37" s="7">
        <f t="shared" si="18"/>
        <v>0</v>
      </c>
      <c r="M37" s="2"/>
      <c r="N37" s="6">
        <f t="shared" si="19"/>
        <v>0</v>
      </c>
      <c r="O37" s="11"/>
      <c r="P37" s="7"/>
      <c r="Q37" s="2"/>
      <c r="R37" s="6">
        <f t="shared" si="20"/>
        <v>0</v>
      </c>
      <c r="S37" s="2"/>
      <c r="T37" s="7">
        <v>0</v>
      </c>
      <c r="U37" s="2"/>
      <c r="V37" s="6">
        <f t="shared" si="21"/>
        <v>0</v>
      </c>
      <c r="W37" s="2"/>
      <c r="X37" s="7">
        <f t="shared" si="22"/>
        <v>0</v>
      </c>
      <c r="Y37" s="2"/>
      <c r="Z37" s="6">
        <f t="shared" si="23"/>
        <v>0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6"/>
        <v>0</v>
      </c>
      <c r="G38" s="2"/>
      <c r="H38" s="7">
        <v>0</v>
      </c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/>
      <c r="Q38" s="2"/>
      <c r="R38" s="6">
        <f t="shared" si="20"/>
        <v>0</v>
      </c>
      <c r="S38" s="2"/>
      <c r="T38" s="7">
        <v>0</v>
      </c>
      <c r="U38" s="2"/>
      <c r="V38" s="6">
        <f t="shared" si="21"/>
        <v>0</v>
      </c>
      <c r="W38" s="2"/>
      <c r="X38" s="7">
        <f t="shared" si="22"/>
        <v>0</v>
      </c>
      <c r="Y38" s="2"/>
      <c r="Z38" s="6">
        <f t="shared" si="23"/>
        <v>0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6"/>
        <v>0</v>
      </c>
      <c r="G39" s="2"/>
      <c r="H39" s="7">
        <v>0</v>
      </c>
      <c r="I39" s="2"/>
      <c r="J39" s="6">
        <f t="shared" si="17"/>
        <v>0</v>
      </c>
      <c r="K39" s="2"/>
      <c r="L39" s="7">
        <f t="shared" si="18"/>
        <v>0</v>
      </c>
      <c r="M39" s="2"/>
      <c r="N39" s="6">
        <f t="shared" si="19"/>
        <v>0</v>
      </c>
      <c r="O39" s="11"/>
      <c r="P39" s="7"/>
      <c r="Q39" s="2"/>
      <c r="R39" s="6">
        <f t="shared" si="20"/>
        <v>0</v>
      </c>
      <c r="S39" s="2"/>
      <c r="T39" s="7">
        <v>0</v>
      </c>
      <c r="U39" s="2"/>
      <c r="V39" s="6">
        <f t="shared" si="21"/>
        <v>0</v>
      </c>
      <c r="W39" s="2"/>
      <c r="X39" s="7">
        <f t="shared" si="22"/>
        <v>0</v>
      </c>
      <c r="Y39" s="2"/>
      <c r="Z39" s="6">
        <f t="shared" si="23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6"/>
        <v>0</v>
      </c>
      <c r="G40" s="2"/>
      <c r="H40" s="7">
        <v>0</v>
      </c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0</v>
      </c>
      <c r="U40" s="2"/>
      <c r="V40" s="6">
        <f t="shared" si="21"/>
        <v>0</v>
      </c>
      <c r="W40" s="2"/>
      <c r="X40" s="7">
        <f t="shared" si="22"/>
        <v>0</v>
      </c>
      <c r="Y40" s="2"/>
      <c r="Z40" s="6">
        <f t="shared" si="23"/>
        <v>0</v>
      </c>
    </row>
    <row r="41" spans="1:26" s="27" customFormat="1" outlineLevel="1" collapsed="1" x14ac:dyDescent="0.25">
      <c r="A41" s="26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SUM(OSRRefD22_2x_0)</f>
        <v>0</v>
      </c>
      <c r="E41" s="1"/>
      <c r="F41" s="5">
        <f t="shared" ref="F41:F48" si="24">IF(D$12=0,0,D41/D$12)</f>
        <v>0</v>
      </c>
      <c r="G41" s="1"/>
      <c r="H41" s="1">
        <f>SUM(OSRRefH22_2x_0)</f>
        <v>0</v>
      </c>
      <c r="I41" s="1"/>
      <c r="J41" s="5">
        <f t="shared" ref="J41:J48" si="25">IF(H$12=0,0,H41/H$12)</f>
        <v>0</v>
      </c>
      <c r="K41" s="1"/>
      <c r="L41" s="1">
        <f t="shared" ref="L41:L48" si="26">+D41-H41</f>
        <v>0</v>
      </c>
      <c r="M41" s="1"/>
      <c r="N41" s="5">
        <f t="shared" ref="N41:N48" si="27">IF(H41=0,0,L41/H41)</f>
        <v>0</v>
      </c>
      <c r="O41" s="13"/>
      <c r="P41" s="1">
        <f>SUM(OSRRefP22_2x_0)</f>
        <v>2443.65</v>
      </c>
      <c r="Q41" s="1"/>
      <c r="R41" s="5">
        <f t="shared" ref="R41:R48" si="28">IF(P$12=0,0,P41/P$12)</f>
        <v>0</v>
      </c>
      <c r="S41" s="1"/>
      <c r="T41" s="1">
        <f>SUM(OSRRefT22_2x_0)</f>
        <v>2500</v>
      </c>
      <c r="U41" s="1"/>
      <c r="V41" s="5">
        <f t="shared" ref="V41:V48" si="29">IF(T$12=0,0,T41/T$12)</f>
        <v>0</v>
      </c>
      <c r="W41" s="1"/>
      <c r="X41" s="1">
        <f t="shared" ref="X41:X48" si="30">+P41-T41</f>
        <v>-56.349999999999909</v>
      </c>
      <c r="Y41" s="1"/>
      <c r="Z41" s="5">
        <f t="shared" ref="Z41:Z48" si="31">IF(T41=0,0,X41/T41)</f>
        <v>-2.2539999999999963E-2</v>
      </c>
    </row>
    <row r="42" spans="1:26" s="24" customFormat="1" hidden="1" outlineLevel="2" x14ac:dyDescent="0.25">
      <c r="A42" s="25"/>
      <c r="B42" s="11" t="str">
        <f>CONCATENATE("          ", "6279", " - ", "GENERAL EXPENSE")</f>
        <v xml:space="preserve">          6279 - GENERAL EXPENSE</v>
      </c>
      <c r="C42" s="11"/>
      <c r="D42" s="7"/>
      <c r="E42" s="2"/>
      <c r="F42" s="6">
        <f t="shared" si="24"/>
        <v>0</v>
      </c>
      <c r="G42" s="2"/>
      <c r="H42" s="7"/>
      <c r="I42" s="2"/>
      <c r="J42" s="6">
        <f t="shared" si="25"/>
        <v>0</v>
      </c>
      <c r="K42" s="2"/>
      <c r="L42" s="7">
        <f t="shared" si="26"/>
        <v>0</v>
      </c>
      <c r="M42" s="2"/>
      <c r="N42" s="6">
        <f t="shared" si="27"/>
        <v>0</v>
      </c>
      <c r="O42" s="11"/>
      <c r="P42" s="7">
        <v>2443.65</v>
      </c>
      <c r="Q42" s="2"/>
      <c r="R42" s="6">
        <f t="shared" si="28"/>
        <v>0</v>
      </c>
      <c r="S42" s="2"/>
      <c r="T42" s="7">
        <v>2500</v>
      </c>
      <c r="U42" s="2"/>
      <c r="V42" s="6">
        <f t="shared" si="29"/>
        <v>0</v>
      </c>
      <c r="W42" s="2"/>
      <c r="X42" s="7">
        <f t="shared" si="30"/>
        <v>-56.349999999999909</v>
      </c>
      <c r="Y42" s="2"/>
      <c r="Z42" s="6">
        <f t="shared" si="31"/>
        <v>-2.2539999999999963E-2</v>
      </c>
    </row>
    <row r="43" spans="1:26" s="27" customFormat="1" outlineLevel="1" collapsed="1" x14ac:dyDescent="0.25">
      <c r="A43" s="26"/>
      <c r="B43" s="13" t="str">
        <f>CONCATENATE("     ","Royalty &amp; Commissions                             ")</f>
        <v xml:space="preserve">     Royalty &amp; Commissions                             </v>
      </c>
      <c r="C43" s="13"/>
      <c r="D43" s="1">
        <f>SUM(OSRRefD22_3x_0)</f>
        <v>0</v>
      </c>
      <c r="E43" s="1"/>
      <c r="F43" s="5">
        <f t="shared" si="24"/>
        <v>0</v>
      </c>
      <c r="G43" s="1"/>
      <c r="H43" s="1">
        <f>SUM(OSRRefH22_3x_0)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3"/>
      <c r="P43" s="1">
        <f>SUM(OSRRefP22_3x_0)</f>
        <v>10393.31</v>
      </c>
      <c r="Q43" s="1"/>
      <c r="R43" s="5">
        <f t="shared" si="28"/>
        <v>0</v>
      </c>
      <c r="S43" s="1"/>
      <c r="T43" s="1">
        <f>SUM(OSRRefT22_3x_0)</f>
        <v>1117</v>
      </c>
      <c r="U43" s="1"/>
      <c r="V43" s="5">
        <f t="shared" si="29"/>
        <v>0</v>
      </c>
      <c r="W43" s="1"/>
      <c r="X43" s="1">
        <f t="shared" si="30"/>
        <v>9276.31</v>
      </c>
      <c r="Y43" s="1"/>
      <c r="Z43" s="5">
        <f t="shared" si="31"/>
        <v>8.3046642793196064</v>
      </c>
    </row>
    <row r="44" spans="1:26" s="24" customFormat="1" hidden="1" outlineLevel="2" x14ac:dyDescent="0.25">
      <c r="A44" s="25"/>
      <c r="B44" s="11" t="str">
        <f>CONCATENATE("          ", "6254", " - ", "ROYALTY &amp; COMMISSIONS")</f>
        <v xml:space="preserve">          6254 - ROYALTY &amp; COMMISSIONS</v>
      </c>
      <c r="C44" s="11"/>
      <c r="D44" s="7"/>
      <c r="E44" s="2"/>
      <c r="F44" s="6">
        <f t="shared" si="24"/>
        <v>0</v>
      </c>
      <c r="G44" s="2"/>
      <c r="H44" s="7"/>
      <c r="I44" s="2"/>
      <c r="J44" s="6">
        <f t="shared" si="25"/>
        <v>0</v>
      </c>
      <c r="K44" s="2"/>
      <c r="L44" s="7">
        <f t="shared" si="26"/>
        <v>0</v>
      </c>
      <c r="M44" s="2"/>
      <c r="N44" s="6">
        <f t="shared" si="27"/>
        <v>0</v>
      </c>
      <c r="O44" s="11"/>
      <c r="P44" s="7">
        <v>10393.31</v>
      </c>
      <c r="Q44" s="2"/>
      <c r="R44" s="6">
        <f t="shared" si="28"/>
        <v>0</v>
      </c>
      <c r="S44" s="2"/>
      <c r="T44" s="7">
        <v>1117</v>
      </c>
      <c r="U44" s="2"/>
      <c r="V44" s="6">
        <f t="shared" si="29"/>
        <v>0</v>
      </c>
      <c r="W44" s="2"/>
      <c r="X44" s="7">
        <f t="shared" si="30"/>
        <v>9276.31</v>
      </c>
      <c r="Y44" s="2"/>
      <c r="Z44" s="6">
        <f t="shared" si="31"/>
        <v>8.3046642793196064</v>
      </c>
    </row>
    <row r="45" spans="1:26" s="27" customFormat="1" outlineLevel="1" collapsed="1" x14ac:dyDescent="0.25">
      <c r="A45" s="26"/>
      <c r="B45" s="13" t="str">
        <f>CONCATENATE("     ","Supplies                                          ")</f>
        <v xml:space="preserve">     Supplies                                          </v>
      </c>
      <c r="C45" s="13"/>
      <c r="D45" s="1">
        <f>SUM(OSRRefD22_4x_0)</f>
        <v>11.01</v>
      </c>
      <c r="E45" s="1"/>
      <c r="F45" s="5">
        <f t="shared" si="24"/>
        <v>0</v>
      </c>
      <c r="G45" s="1"/>
      <c r="H45" s="1">
        <f>SUM(OSRRefH22_4x_0)</f>
        <v>0</v>
      </c>
      <c r="I45" s="1"/>
      <c r="J45" s="5">
        <f t="shared" si="25"/>
        <v>0</v>
      </c>
      <c r="K45" s="1"/>
      <c r="L45" s="1">
        <f t="shared" si="26"/>
        <v>11.01</v>
      </c>
      <c r="M45" s="1"/>
      <c r="N45" s="5">
        <f t="shared" si="27"/>
        <v>0</v>
      </c>
      <c r="O45" s="13"/>
      <c r="P45" s="1">
        <f>SUM(OSRRefP22_4x_0)</f>
        <v>76.930000000000007</v>
      </c>
      <c r="Q45" s="1"/>
      <c r="R45" s="5">
        <f t="shared" si="28"/>
        <v>0</v>
      </c>
      <c r="S45" s="1"/>
      <c r="T45" s="1">
        <f>SUM(OSRRefT22_4x_0)</f>
        <v>0</v>
      </c>
      <c r="U45" s="1"/>
      <c r="V45" s="5">
        <f t="shared" si="29"/>
        <v>0</v>
      </c>
      <c r="W45" s="1"/>
      <c r="X45" s="1">
        <f t="shared" si="30"/>
        <v>76.930000000000007</v>
      </c>
      <c r="Y45" s="1"/>
      <c r="Z45" s="5">
        <f t="shared" si="31"/>
        <v>0</v>
      </c>
    </row>
    <row r="46" spans="1:26" s="24" customFormat="1" hidden="1" outlineLevel="2" x14ac:dyDescent="0.25">
      <c r="A46" s="25"/>
      <c r="B46" s="11" t="str">
        <f>CONCATENATE("          ", "6241", " - ", "OFFICE EXPENSE")</f>
        <v xml:space="preserve">          6241 - OFFICE EXPENSE</v>
      </c>
      <c r="C46" s="11"/>
      <c r="D46" s="7">
        <v>11.01</v>
      </c>
      <c r="E46" s="2"/>
      <c r="F46" s="6">
        <f t="shared" si="24"/>
        <v>0</v>
      </c>
      <c r="G46" s="2"/>
      <c r="H46" s="7"/>
      <c r="I46" s="2"/>
      <c r="J46" s="6">
        <f t="shared" si="25"/>
        <v>0</v>
      </c>
      <c r="K46" s="2"/>
      <c r="L46" s="7">
        <f t="shared" si="26"/>
        <v>11.01</v>
      </c>
      <c r="M46" s="2"/>
      <c r="N46" s="6">
        <f t="shared" si="27"/>
        <v>0</v>
      </c>
      <c r="O46" s="11"/>
      <c r="P46" s="7">
        <v>76.930000000000007</v>
      </c>
      <c r="Q46" s="2"/>
      <c r="R46" s="6">
        <f t="shared" si="28"/>
        <v>0</v>
      </c>
      <c r="S46" s="2"/>
      <c r="T46" s="7"/>
      <c r="U46" s="2"/>
      <c r="V46" s="6">
        <f t="shared" si="29"/>
        <v>0</v>
      </c>
      <c r="W46" s="2"/>
      <c r="X46" s="7">
        <f t="shared" si="30"/>
        <v>76.930000000000007</v>
      </c>
      <c r="Y46" s="2"/>
      <c r="Z46" s="6">
        <f t="shared" si="31"/>
        <v>0</v>
      </c>
    </row>
    <row r="47" spans="1:26" s="27" customFormat="1" outlineLevel="1" collapsed="1" x14ac:dyDescent="0.25">
      <c r="A47" s="26"/>
      <c r="B47" s="13" t="str">
        <f>CONCATENATE("     ","Telephone/Data Lines                              ")</f>
        <v xml:space="preserve">     Telephone/Data Lines                              </v>
      </c>
      <c r="C47" s="13"/>
      <c r="D47" s="1">
        <f>SUM(OSRRefD22_5x_0)</f>
        <v>268.89999999999998</v>
      </c>
      <c r="E47" s="1"/>
      <c r="F47" s="5">
        <f t="shared" si="24"/>
        <v>0</v>
      </c>
      <c r="G47" s="1"/>
      <c r="H47" s="1">
        <f>SUM(OSRRefH22_5x_0)</f>
        <v>225</v>
      </c>
      <c r="I47" s="1"/>
      <c r="J47" s="5">
        <f t="shared" si="25"/>
        <v>0</v>
      </c>
      <c r="K47" s="1"/>
      <c r="L47" s="1">
        <f t="shared" si="26"/>
        <v>43.899999999999977</v>
      </c>
      <c r="M47" s="1"/>
      <c r="N47" s="5">
        <f t="shared" si="27"/>
        <v>0.19511111111111101</v>
      </c>
      <c r="O47" s="13"/>
      <c r="P47" s="1">
        <f>SUM(OSRRefP22_5x_0)</f>
        <v>1005.7</v>
      </c>
      <c r="Q47" s="1"/>
      <c r="R47" s="5">
        <f t="shared" si="28"/>
        <v>0</v>
      </c>
      <c r="S47" s="1"/>
      <c r="T47" s="1">
        <f>SUM(OSRRefT22_5x_0)</f>
        <v>975</v>
      </c>
      <c r="U47" s="1"/>
      <c r="V47" s="5">
        <f t="shared" si="29"/>
        <v>0</v>
      </c>
      <c r="W47" s="1"/>
      <c r="X47" s="1">
        <f t="shared" si="30"/>
        <v>30.700000000000045</v>
      </c>
      <c r="Y47" s="1"/>
      <c r="Z47" s="5">
        <f t="shared" si="31"/>
        <v>3.1487179487179537E-2</v>
      </c>
    </row>
    <row r="48" spans="1:26" s="24" customFormat="1" hidden="1" outlineLevel="2" x14ac:dyDescent="0.25">
      <c r="A48" s="25"/>
      <c r="B48" s="11" t="str">
        <f>CONCATENATE("          ", "6309", " - ", "TELEPHONE")</f>
        <v xml:space="preserve">          6309 - TELEPHONE</v>
      </c>
      <c r="C48" s="11"/>
      <c r="D48" s="7">
        <v>268.89999999999998</v>
      </c>
      <c r="E48" s="2"/>
      <c r="F48" s="6">
        <f t="shared" si="24"/>
        <v>0</v>
      </c>
      <c r="G48" s="2"/>
      <c r="H48" s="7">
        <v>225</v>
      </c>
      <c r="I48" s="2"/>
      <c r="J48" s="6">
        <f t="shared" si="25"/>
        <v>0</v>
      </c>
      <c r="K48" s="2"/>
      <c r="L48" s="7">
        <f t="shared" si="26"/>
        <v>43.899999999999977</v>
      </c>
      <c r="M48" s="2"/>
      <c r="N48" s="6">
        <f t="shared" si="27"/>
        <v>0.19511111111111101</v>
      </c>
      <c r="O48" s="11"/>
      <c r="P48" s="7">
        <v>1005.7</v>
      </c>
      <c r="Q48" s="2"/>
      <c r="R48" s="6">
        <f t="shared" si="28"/>
        <v>0</v>
      </c>
      <c r="S48" s="2"/>
      <c r="T48" s="7">
        <v>975</v>
      </c>
      <c r="U48" s="2"/>
      <c r="V48" s="6">
        <f t="shared" si="29"/>
        <v>0</v>
      </c>
      <c r="W48" s="2"/>
      <c r="X48" s="7">
        <f t="shared" si="30"/>
        <v>30.700000000000045</v>
      </c>
      <c r="Y48" s="2"/>
      <c r="Z48" s="6">
        <f t="shared" si="31"/>
        <v>3.1487179487179537E-2</v>
      </c>
    </row>
    <row r="49" spans="1:26" s="53" customFormat="1" x14ac:dyDescent="0.25">
      <c r="A49" s="36"/>
      <c r="B49" s="36"/>
      <c r="C49" s="36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6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collapsed="1" x14ac:dyDescent="0.25">
      <c r="A50" s="10"/>
      <c r="B50" s="28" t="s">
        <v>0</v>
      </c>
      <c r="C50" s="10"/>
      <c r="D50" s="4">
        <f>SUM(OSRRefD25x_0)</f>
        <v>35768.22</v>
      </c>
      <c r="E50" s="4"/>
      <c r="F50" s="12">
        <f t="shared" ref="F50:F51" si="32">IF(D$12=0,0,D50/D$12)</f>
        <v>0</v>
      </c>
      <c r="G50" s="4"/>
      <c r="H50" s="4">
        <f>SUM(OSRRefH25x_0)</f>
        <v>14050</v>
      </c>
      <c r="I50" s="4"/>
      <c r="J50" s="12">
        <f t="shared" ref="J50:J51" si="33">IF(H$12=0,0,H50/H$12)</f>
        <v>0</v>
      </c>
      <c r="K50" s="4"/>
      <c r="L50" s="4">
        <f t="shared" ref="L50:L51" si="34">+D50-H50</f>
        <v>21718.22</v>
      </c>
      <c r="M50" s="4"/>
      <c r="N50" s="12">
        <f t="shared" ref="N50:N51" si="35">IF(H50=0,0,L50/H50)</f>
        <v>1.5457807829181496</v>
      </c>
      <c r="O50" s="10"/>
      <c r="P50" s="4">
        <f>SUM(OSRRefP25x_0)</f>
        <v>114395.62</v>
      </c>
      <c r="Q50" s="4"/>
      <c r="R50" s="12">
        <f t="shared" ref="R50:R51" si="36">IF(P$12=0,0,P50/P$12)</f>
        <v>0</v>
      </c>
      <c r="S50" s="4"/>
      <c r="T50" s="4">
        <f>SUM(OSRRefT25x_0)</f>
        <v>122623</v>
      </c>
      <c r="U50" s="4"/>
      <c r="V50" s="12">
        <f t="shared" ref="V50:V51" si="37">IF(T$12=0,0,T50/T$12)</f>
        <v>0</v>
      </c>
      <c r="W50" s="4"/>
      <c r="X50" s="4">
        <f t="shared" ref="X50:X51" si="38">+P50-T50</f>
        <v>-8227.3800000000047</v>
      </c>
      <c r="Y50" s="4"/>
      <c r="Z50" s="12">
        <f t="shared" ref="Z50:Z51" si="39">IF(T50=0,0,X50/T50)</f>
        <v>-6.7094916940541371E-2</v>
      </c>
    </row>
    <row r="51" spans="1:26" s="24" customFormat="1" hidden="1" outlineLevel="1" x14ac:dyDescent="0.25">
      <c r="A51" s="44"/>
      <c r="B51" s="11" t="str">
        <f>CONCATENATE("          ", "9150", " - ", "MISC. INCOME")</f>
        <v xml:space="preserve">          9150 - MISC. INCOME</v>
      </c>
      <c r="C51" s="11"/>
      <c r="D51" s="2">
        <f>--35768.22</f>
        <v>35768.22</v>
      </c>
      <c r="E51" s="2"/>
      <c r="F51" s="19">
        <f t="shared" si="32"/>
        <v>0</v>
      </c>
      <c r="G51" s="2"/>
      <c r="H51" s="2">
        <v>14050</v>
      </c>
      <c r="I51" s="2"/>
      <c r="J51" s="19">
        <f t="shared" si="33"/>
        <v>0</v>
      </c>
      <c r="K51" s="2"/>
      <c r="L51" s="2">
        <f t="shared" si="34"/>
        <v>21718.22</v>
      </c>
      <c r="M51" s="2"/>
      <c r="N51" s="19">
        <f t="shared" si="35"/>
        <v>1.5457807829181496</v>
      </c>
      <c r="O51" s="11"/>
      <c r="P51" s="2">
        <f>--114395.62</f>
        <v>114395.62</v>
      </c>
      <c r="Q51" s="2"/>
      <c r="R51" s="19">
        <f t="shared" si="36"/>
        <v>0</v>
      </c>
      <c r="S51" s="2"/>
      <c r="T51" s="2">
        <v>122623</v>
      </c>
      <c r="U51" s="2"/>
      <c r="V51" s="19">
        <f t="shared" si="37"/>
        <v>0</v>
      </c>
      <c r="W51" s="2"/>
      <c r="X51" s="2">
        <f t="shared" si="38"/>
        <v>-8227.3800000000047</v>
      </c>
      <c r="Y51" s="2"/>
      <c r="Z51" s="19">
        <f t="shared" si="39"/>
        <v>-6.7094916940541371E-2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9" t="s">
        <v>3</v>
      </c>
      <c r="C53" s="29"/>
      <c r="D53" s="21">
        <f>+D17-D19+D50</f>
        <v>26884.100000000002</v>
      </c>
      <c r="E53" s="14"/>
      <c r="F53" s="20">
        <f>IF(D$12=0,0,D53/D$12)</f>
        <v>0</v>
      </c>
      <c r="G53" s="14"/>
      <c r="H53" s="21">
        <f>+H17-H19+H50</f>
        <v>6214.1308364519236</v>
      </c>
      <c r="I53" s="14"/>
      <c r="J53" s="20">
        <f>IF(H$12=0,0,H53/H$12)</f>
        <v>0</v>
      </c>
      <c r="K53" s="16"/>
      <c r="L53" s="21">
        <f>+D53-H53</f>
        <v>20669.969163548078</v>
      </c>
      <c r="M53" s="16"/>
      <c r="N53" s="20">
        <f>IF(H53=0,0,L53/H53)</f>
        <v>3.326284834927935</v>
      </c>
      <c r="O53" s="28"/>
      <c r="P53" s="21">
        <f>+P17-P19+P50</f>
        <v>37341.580000000016</v>
      </c>
      <c r="Q53" s="14"/>
      <c r="R53" s="20">
        <f>IF(P$12=0,0,P53/P$12)</f>
        <v>0</v>
      </c>
      <c r="S53" s="14"/>
      <c r="T53" s="21">
        <f>+T17-T19+T50</f>
        <v>70171.21118600195</v>
      </c>
      <c r="U53" s="14"/>
      <c r="V53" s="20">
        <f>IF(T$12=0,0,T53/T$12)</f>
        <v>0</v>
      </c>
      <c r="W53" s="16"/>
      <c r="X53" s="21">
        <f>+P53-T53</f>
        <v>-32829.631186001934</v>
      </c>
      <c r="Y53" s="16"/>
      <c r="Z53" s="20">
        <f>IF(T53=0,0,X53/T53)</f>
        <v>-0.46785042799077303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2"/>
      <c r="B55" s="10" t="s">
        <v>14</v>
      </c>
      <c r="C55" s="10"/>
      <c r="D55" s="4"/>
      <c r="E55" s="4"/>
      <c r="F55" s="12">
        <f>IF(D$12=0,0,D55/D$12)</f>
        <v>0</v>
      </c>
      <c r="G55" s="4"/>
      <c r="H55" s="4"/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/>
      <c r="Q55" s="4"/>
      <c r="R55" s="12">
        <f>IF(P$12=0,0,P55/P$12)</f>
        <v>0</v>
      </c>
      <c r="S55" s="4"/>
      <c r="T55" s="4"/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4</v>
      </c>
      <c r="C57" s="29"/>
      <c r="D57" s="34">
        <f>+D53-D55</f>
        <v>26884.100000000002</v>
      </c>
      <c r="E57" s="14"/>
      <c r="F57" s="32">
        <f>IF(D$12=0,0,D57/D$12)</f>
        <v>0</v>
      </c>
      <c r="G57" s="14"/>
      <c r="H57" s="34">
        <f>+H53-H55</f>
        <v>6214.1308364519236</v>
      </c>
      <c r="I57" s="14"/>
      <c r="J57" s="32">
        <f>IF(H$12=0,0,H57/H$12)</f>
        <v>0</v>
      </c>
      <c r="K57" s="16"/>
      <c r="L57" s="34">
        <f>D57-H57</f>
        <v>20669.969163548078</v>
      </c>
      <c r="M57" s="16"/>
      <c r="N57" s="32">
        <f>IF(H57=0,0,L57/H57)</f>
        <v>3.326284834927935</v>
      </c>
      <c r="O57" s="28"/>
      <c r="P57" s="34">
        <f>+P53-P55</f>
        <v>37341.580000000016</v>
      </c>
      <c r="Q57" s="14"/>
      <c r="R57" s="32">
        <f>IF(P$12=0,0,P57/P$12)</f>
        <v>0</v>
      </c>
      <c r="S57" s="14"/>
      <c r="T57" s="34">
        <f>+T53-T55</f>
        <v>70171.21118600195</v>
      </c>
      <c r="U57" s="14"/>
      <c r="V57" s="32">
        <f>IF(T$12=0,0,T57/T$12)</f>
        <v>0</v>
      </c>
      <c r="W57" s="16"/>
      <c r="X57" s="34">
        <f>P57-T57</f>
        <v>-32829.631186001934</v>
      </c>
      <c r="Y57" s="16"/>
      <c r="Z57" s="32">
        <f>IF(T57=0,0,X57/T57)</f>
        <v>-0.46785042799077303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9" t="s">
        <v>5</v>
      </c>
      <c r="C60" s="29"/>
      <c r="D60" s="31">
        <f>SUM(D57:D59)</f>
        <v>26884.100000000002</v>
      </c>
      <c r="E60" s="14"/>
      <c r="F60" s="30">
        <f>IF(D$12=0,0,D60/D$12)</f>
        <v>0</v>
      </c>
      <c r="G60" s="14"/>
      <c r="H60" s="31">
        <f>SUM(H57:H59)</f>
        <v>6214.1308364519236</v>
      </c>
      <c r="I60" s="14"/>
      <c r="J60" s="30">
        <f>IF(H$12=0,0,H60/H$12)</f>
        <v>0</v>
      </c>
      <c r="K60" s="16"/>
      <c r="L60" s="31">
        <f>+D60-H60</f>
        <v>20669.969163548078</v>
      </c>
      <c r="M60" s="16"/>
      <c r="N60" s="30">
        <f>IF(H60=0,0,L60/H60)</f>
        <v>3.326284834927935</v>
      </c>
      <c r="O60" s="28"/>
      <c r="P60" s="31">
        <f>SUM(P57:P59)</f>
        <v>37341.580000000016</v>
      </c>
      <c r="Q60" s="14"/>
      <c r="R60" s="30">
        <f>IF(P$12=0,0,P60/P$12)</f>
        <v>0</v>
      </c>
      <c r="S60" s="14"/>
      <c r="T60" s="31">
        <f>SUM(T57:T59)</f>
        <v>70171.21118600195</v>
      </c>
      <c r="U60" s="14"/>
      <c r="V60" s="30">
        <f>IF(T$12=0,0,T60/T$12)</f>
        <v>0</v>
      </c>
      <c r="W60" s="16"/>
      <c r="X60" s="31">
        <f>+P60-T60</f>
        <v>-32829.631186001934</v>
      </c>
      <c r="Y60" s="16"/>
      <c r="Z60" s="30">
        <f>IF(T60=0,0,X60/T60)</f>
        <v>-0.46785042799077303</v>
      </c>
    </row>
    <row r="61" spans="1:26" ht="15.75" thickTop="1" x14ac:dyDescent="0.25">
      <c r="A61" s="9"/>
      <c r="C61" s="9"/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A62" s="9"/>
      <c r="B62" s="63">
        <v>43879.546621956018</v>
      </c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A63" s="9"/>
      <c r="B63" s="57" t="s">
        <v>314</v>
      </c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25">
      <c r="A64" s="9"/>
      <c r="B64" s="60"/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4:24" x14ac:dyDescent="0.25"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","424", " - ", "Blair Field")</f>
        <v>Department 424 - Blair Field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19851.87</v>
      </c>
      <c r="Q12" s="4"/>
      <c r="R12" s="12"/>
      <c r="S12" s="4"/>
      <c r="T12" s="4">
        <f>SUM(OSRRefT13x_0)</f>
        <v>20000</v>
      </c>
      <c r="U12" s="4"/>
      <c r="V12" s="12"/>
      <c r="W12" s="4"/>
      <c r="X12" s="4">
        <f t="shared" ref="X12:X15" si="2">+P12-T12</f>
        <v>-148.13000000000102</v>
      </c>
      <c r="Y12" s="4"/>
      <c r="Z12" s="12">
        <f t="shared" ref="Z12:Z15" si="3">IF(T12=0,0,X12/T12)</f>
        <v>-7.4065000000000511E-3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5000</v>
      </c>
      <c r="U13" s="2"/>
      <c r="V13" s="19"/>
      <c r="W13" s="2"/>
      <c r="X13" s="2">
        <f t="shared" si="2"/>
        <v>-5000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--19851.87</f>
        <v>19851.87</v>
      </c>
      <c r="Q14" s="2"/>
      <c r="R14" s="19"/>
      <c r="S14" s="2"/>
      <c r="T14" s="2"/>
      <c r="U14" s="2"/>
      <c r="V14" s="19"/>
      <c r="W14" s="2"/>
      <c r="X14" s="2">
        <f t="shared" si="2"/>
        <v>19851.87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v>15000</v>
      </c>
      <c r="U15" s="2"/>
      <c r="V15" s="19"/>
      <c r="W15" s="2"/>
      <c r="X15" s="2">
        <f t="shared" si="2"/>
        <v>-15000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0.15999999999985448</v>
      </c>
      <c r="E17" s="4"/>
      <c r="F17" s="12">
        <f t="shared" ref="F17:F20" si="5">IF(D$12=0,0,D17/D$12)</f>
        <v>0</v>
      </c>
      <c r="G17" s="4"/>
      <c r="H17" s="4">
        <f>SUM(OSRRefH16x_0)</f>
        <v>0</v>
      </c>
      <c r="I17" s="4"/>
      <c r="J17" s="12">
        <f t="shared" ref="J17:J20" si="6">IF(H$12=0,0,H17/H$12)</f>
        <v>0</v>
      </c>
      <c r="K17" s="4"/>
      <c r="L17" s="4">
        <f t="shared" ref="L17:L20" si="7">+D17-H17</f>
        <v>0.15999999999985448</v>
      </c>
      <c r="M17" s="4"/>
      <c r="N17" s="12">
        <f t="shared" ref="N17:N20" si="8">IF(H17=0,0,L17/H17)</f>
        <v>0</v>
      </c>
      <c r="O17" s="10"/>
      <c r="P17" s="4">
        <f>SUM(OSRRefP16x_0)</f>
        <v>9644.9500000000007</v>
      </c>
      <c r="Q17" s="4"/>
      <c r="R17" s="12">
        <f t="shared" ref="R17:R20" si="9">IF(P$12=0,0,P17/P$12)</f>
        <v>0.48584591779011255</v>
      </c>
      <c r="S17" s="4"/>
      <c r="T17" s="4">
        <f>SUM(OSRRefT16x_0)</f>
        <v>5000</v>
      </c>
      <c r="U17" s="4"/>
      <c r="V17" s="12">
        <f t="shared" ref="V17:V20" si="10">IF(T$12=0,0,T17/T$12)</f>
        <v>0.25</v>
      </c>
      <c r="W17" s="4"/>
      <c r="X17" s="4">
        <f t="shared" ref="X17:X20" si="11">+P17-T17</f>
        <v>4644.9500000000007</v>
      </c>
      <c r="Y17" s="4"/>
      <c r="Z17" s="12">
        <f t="shared" ref="Z17:Z20" si="12">IF(T17=0,0,X17/T17)</f>
        <v>0.92899000000000009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/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/>
      <c r="Q18" s="2"/>
      <c r="R18" s="19">
        <f t="shared" si="9"/>
        <v>0</v>
      </c>
      <c r="S18" s="2"/>
      <c r="T18" s="2">
        <v>5000</v>
      </c>
      <c r="U18" s="2"/>
      <c r="V18" s="19">
        <f t="shared" si="10"/>
        <v>0.25</v>
      </c>
      <c r="W18" s="2"/>
      <c r="X18" s="2">
        <f t="shared" si="11"/>
        <v>-5000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10840.16</v>
      </c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10840.16</v>
      </c>
      <c r="M19" s="2"/>
      <c r="N19" s="19">
        <f t="shared" si="8"/>
        <v>0</v>
      </c>
      <c r="O19" s="11"/>
      <c r="P19" s="2">
        <v>17207.95</v>
      </c>
      <c r="Q19" s="2"/>
      <c r="R19" s="19">
        <f t="shared" si="9"/>
        <v>0.86681758443914858</v>
      </c>
      <c r="S19" s="2"/>
      <c r="T19" s="2"/>
      <c r="U19" s="2"/>
      <c r="V19" s="19">
        <f t="shared" si="10"/>
        <v>0</v>
      </c>
      <c r="W19" s="2"/>
      <c r="X19" s="2">
        <f t="shared" si="11"/>
        <v>17207.95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-10840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-10840</v>
      </c>
      <c r="M20" s="2"/>
      <c r="N20" s="19">
        <f t="shared" si="8"/>
        <v>0</v>
      </c>
      <c r="O20" s="11"/>
      <c r="P20" s="2">
        <v>-7563</v>
      </c>
      <c r="Q20" s="2"/>
      <c r="R20" s="19">
        <f t="shared" si="9"/>
        <v>-0.38097166664903609</v>
      </c>
      <c r="S20" s="2"/>
      <c r="T20" s="2"/>
      <c r="U20" s="2"/>
      <c r="V20" s="19">
        <f t="shared" si="10"/>
        <v>0</v>
      </c>
      <c r="W20" s="2"/>
      <c r="X20" s="2">
        <f t="shared" si="11"/>
        <v>-7563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1">
        <f>D12-D17</f>
        <v>-0.15999999999985448</v>
      </c>
      <c r="E22" s="14"/>
      <c r="F22" s="20">
        <f>IF(D$12=0,0,D22/D$12)</f>
        <v>0</v>
      </c>
      <c r="G22" s="14"/>
      <c r="H22" s="21">
        <f>H12-H17</f>
        <v>0</v>
      </c>
      <c r="I22" s="14"/>
      <c r="J22" s="20">
        <f>IF(H$12=0,0,H22/H$12)</f>
        <v>0</v>
      </c>
      <c r="K22" s="16"/>
      <c r="L22" s="21">
        <f>+D22-H22</f>
        <v>-0.15999999999985448</v>
      </c>
      <c r="M22" s="16"/>
      <c r="N22" s="20">
        <f>IF(H22=0,0,L22/H22)</f>
        <v>0</v>
      </c>
      <c r="O22" s="28"/>
      <c r="P22" s="21">
        <f>P12-P17</f>
        <v>10206.919999999998</v>
      </c>
      <c r="Q22" s="14"/>
      <c r="R22" s="20">
        <f>IF(P$12=0,0,P22/P$12)</f>
        <v>0.51415408220988745</v>
      </c>
      <c r="S22" s="14"/>
      <c r="T22" s="21">
        <f>T12-T17</f>
        <v>15000</v>
      </c>
      <c r="U22" s="14"/>
      <c r="V22" s="20">
        <f>IF(T$12=0,0,T22/T$12)</f>
        <v>0.75</v>
      </c>
      <c r="W22" s="16"/>
      <c r="X22" s="21">
        <f>+P22-T22</f>
        <v>-4793.0800000000017</v>
      </c>
      <c r="Y22" s="16"/>
      <c r="Z22" s="20">
        <f>IF(T22=0,0,X22/T22)</f>
        <v>-0.3195386666666668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2">
        <f>SUM(OSRRefD22x_0)</f>
        <v>2030.8000000000002</v>
      </c>
      <c r="E24" s="22"/>
      <c r="F24" s="35">
        <f t="shared" ref="F24:F33" si="13">IF(D$12=0,0,D24/D$12)</f>
        <v>0</v>
      </c>
      <c r="G24" s="22"/>
      <c r="H24" s="22">
        <f>SUM(OSRRefH22x_0)</f>
        <v>6933.4876000000004</v>
      </c>
      <c r="I24" s="22"/>
      <c r="J24" s="35">
        <f t="shared" ref="J24:J33" si="14">IF(H$12=0,0,H24/H$12)</f>
        <v>0</v>
      </c>
      <c r="K24" s="4"/>
      <c r="L24" s="22">
        <f t="shared" ref="L24:L33" si="15">+D24-H24</f>
        <v>-4902.6876000000002</v>
      </c>
      <c r="M24" s="4"/>
      <c r="N24" s="35">
        <f t="shared" ref="N24:N33" si="16">IF(H24=0,0,L24/H24)</f>
        <v>-0.70710267081172828</v>
      </c>
      <c r="O24" s="10"/>
      <c r="P24" s="22">
        <f>SUM(OSRRefP22x_0)</f>
        <v>22671.649999999998</v>
      </c>
      <c r="Q24" s="22"/>
      <c r="R24" s="35">
        <f t="shared" ref="R24:R33" si="17">IF(P$12=0,0,P24/P$12)</f>
        <v>1.142041026865479</v>
      </c>
      <c r="S24" s="22"/>
      <c r="T24" s="22">
        <f>SUM(OSRRefT22x_0)</f>
        <v>30337.8812</v>
      </c>
      <c r="U24" s="22"/>
      <c r="V24" s="35">
        <f t="shared" ref="V24:V33" si="18">IF(T$12=0,0,T24/T$12)</f>
        <v>1.51689406</v>
      </c>
      <c r="W24" s="4"/>
      <c r="X24" s="22">
        <f t="shared" ref="X24:X33" si="19">+P24-T24</f>
        <v>-7666.231200000002</v>
      </c>
      <c r="Y24" s="4"/>
      <c r="Z24" s="35">
        <f t="shared" ref="Z24:Z33" si="20">IF(T24=0,0,X24/T24)</f>
        <v>-0.25269501022371998</v>
      </c>
    </row>
    <row r="25" spans="1:26" s="27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25.15</v>
      </c>
      <c r="E25" s="1"/>
      <c r="F25" s="5">
        <f t="shared" si="13"/>
        <v>0</v>
      </c>
      <c r="G25" s="1"/>
      <c r="H25" s="1">
        <f>SUM(OSRRefH22_0x_0)</f>
        <v>209.48759999999999</v>
      </c>
      <c r="I25" s="1"/>
      <c r="J25" s="5">
        <f t="shared" si="14"/>
        <v>0</v>
      </c>
      <c r="K25" s="1"/>
      <c r="L25" s="1">
        <f t="shared" si="15"/>
        <v>-184.33759999999998</v>
      </c>
      <c r="M25" s="1"/>
      <c r="N25" s="5">
        <f t="shared" si="16"/>
        <v>-0.87994516143198931</v>
      </c>
      <c r="O25" s="13"/>
      <c r="P25" s="1">
        <f>SUM(OSRRefP22_0x_0)</f>
        <v>381.07000000000005</v>
      </c>
      <c r="Q25" s="1"/>
      <c r="R25" s="5">
        <f t="shared" si="17"/>
        <v>1.9195672750224543E-2</v>
      </c>
      <c r="S25" s="1"/>
      <c r="T25" s="1">
        <f>SUM(OSRRefT22_0x_0)</f>
        <v>689.88120000000004</v>
      </c>
      <c r="U25" s="1"/>
      <c r="V25" s="5">
        <f t="shared" si="18"/>
        <v>3.449406E-2</v>
      </c>
      <c r="W25" s="1"/>
      <c r="X25" s="1">
        <f t="shared" si="19"/>
        <v>-308.81119999999999</v>
      </c>
      <c r="Y25" s="1"/>
      <c r="Z25" s="5">
        <f t="shared" si="20"/>
        <v>-0.44762953389656068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7">
        <v>25.15</v>
      </c>
      <c r="E26" s="2"/>
      <c r="F26" s="6">
        <f t="shared" si="13"/>
        <v>0</v>
      </c>
      <c r="G26" s="2"/>
      <c r="H26" s="7">
        <v>0</v>
      </c>
      <c r="I26" s="2"/>
      <c r="J26" s="6">
        <f t="shared" si="14"/>
        <v>0</v>
      </c>
      <c r="K26" s="2"/>
      <c r="L26" s="7">
        <f t="shared" si="15"/>
        <v>25.15</v>
      </c>
      <c r="M26" s="2"/>
      <c r="N26" s="6">
        <f t="shared" si="16"/>
        <v>0</v>
      </c>
      <c r="O26" s="11"/>
      <c r="P26" s="7">
        <v>391.47</v>
      </c>
      <c r="Q26" s="2"/>
      <c r="R26" s="6">
        <f t="shared" si="17"/>
        <v>1.971955286831921E-2</v>
      </c>
      <c r="S26" s="2"/>
      <c r="T26" s="7">
        <v>0</v>
      </c>
      <c r="U26" s="2"/>
      <c r="V26" s="6">
        <f t="shared" si="18"/>
        <v>0</v>
      </c>
      <c r="W26" s="2"/>
      <c r="X26" s="7">
        <f t="shared" si="19"/>
        <v>391.47</v>
      </c>
      <c r="Y26" s="2"/>
      <c r="Z26" s="6">
        <f t="shared" si="20"/>
        <v>0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7"/>
      <c r="E27" s="2"/>
      <c r="F27" s="6">
        <f t="shared" si="13"/>
        <v>0</v>
      </c>
      <c r="G27" s="2"/>
      <c r="H27" s="7">
        <v>0</v>
      </c>
      <c r="I27" s="2"/>
      <c r="J27" s="6">
        <f t="shared" si="14"/>
        <v>0</v>
      </c>
      <c r="K27" s="2"/>
      <c r="L27" s="7">
        <f t="shared" si="15"/>
        <v>0</v>
      </c>
      <c r="M27" s="2"/>
      <c r="N27" s="6">
        <f t="shared" si="16"/>
        <v>0</v>
      </c>
      <c r="O27" s="11"/>
      <c r="P27" s="7">
        <v>-10.4</v>
      </c>
      <c r="Q27" s="2"/>
      <c r="R27" s="6">
        <f t="shared" si="17"/>
        <v>-5.2388011809466816E-4</v>
      </c>
      <c r="S27" s="2"/>
      <c r="T27" s="7">
        <v>0</v>
      </c>
      <c r="U27" s="2"/>
      <c r="V27" s="6">
        <f t="shared" si="18"/>
        <v>0</v>
      </c>
      <c r="W27" s="2"/>
      <c r="X27" s="7">
        <f t="shared" si="19"/>
        <v>-10.4</v>
      </c>
      <c r="Y27" s="2"/>
      <c r="Z27" s="6">
        <f t="shared" si="20"/>
        <v>0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7"/>
      <c r="E28" s="2"/>
      <c r="F28" s="6">
        <f t="shared" si="13"/>
        <v>0</v>
      </c>
      <c r="G28" s="2"/>
      <c r="H28" s="7">
        <v>0</v>
      </c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/>
      <c r="Q28" s="2"/>
      <c r="R28" s="6">
        <f t="shared" si="17"/>
        <v>0</v>
      </c>
      <c r="S28" s="2"/>
      <c r="T28" s="7">
        <v>0</v>
      </c>
      <c r="U28" s="2"/>
      <c r="V28" s="6">
        <f t="shared" si="18"/>
        <v>0</v>
      </c>
      <c r="W28" s="2"/>
      <c r="X28" s="7">
        <f t="shared" si="19"/>
        <v>0</v>
      </c>
      <c r="Y28" s="2"/>
      <c r="Z28" s="6">
        <f t="shared" si="20"/>
        <v>0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7"/>
      <c r="E29" s="2"/>
      <c r="F29" s="6">
        <f t="shared" si="13"/>
        <v>0</v>
      </c>
      <c r="G29" s="2"/>
      <c r="H29" s="7">
        <v>16.707599999999999</v>
      </c>
      <c r="I29" s="2"/>
      <c r="J29" s="6">
        <f t="shared" si="14"/>
        <v>0</v>
      </c>
      <c r="K29" s="2"/>
      <c r="L29" s="7">
        <f t="shared" si="15"/>
        <v>-16.707599999999999</v>
      </c>
      <c r="M29" s="2"/>
      <c r="N29" s="6">
        <f t="shared" si="16"/>
        <v>-1</v>
      </c>
      <c r="O29" s="11"/>
      <c r="P29" s="7"/>
      <c r="Q29" s="2"/>
      <c r="R29" s="6">
        <f t="shared" si="17"/>
        <v>0</v>
      </c>
      <c r="S29" s="2"/>
      <c r="T29" s="7">
        <v>55.0212</v>
      </c>
      <c r="U29" s="2"/>
      <c r="V29" s="6">
        <f t="shared" si="18"/>
        <v>2.7510600000000001E-3</v>
      </c>
      <c r="W29" s="2"/>
      <c r="X29" s="7">
        <f t="shared" si="19"/>
        <v>-55.0212</v>
      </c>
      <c r="Y29" s="2"/>
      <c r="Z29" s="6">
        <f t="shared" si="20"/>
        <v>-1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7"/>
      <c r="E30" s="2"/>
      <c r="F30" s="6">
        <f t="shared" si="13"/>
        <v>0</v>
      </c>
      <c r="G30" s="2"/>
      <c r="H30" s="7">
        <v>0</v>
      </c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/>
      <c r="Q30" s="2"/>
      <c r="R30" s="6">
        <f t="shared" si="17"/>
        <v>0</v>
      </c>
      <c r="S30" s="2"/>
      <c r="T30" s="7">
        <v>0</v>
      </c>
      <c r="U30" s="2"/>
      <c r="V30" s="6">
        <f t="shared" si="18"/>
        <v>0</v>
      </c>
      <c r="W30" s="2"/>
      <c r="X30" s="7">
        <f t="shared" si="19"/>
        <v>0</v>
      </c>
      <c r="Y30" s="2"/>
      <c r="Z30" s="6">
        <f t="shared" si="20"/>
        <v>0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7"/>
      <c r="E33" s="2"/>
      <c r="F33" s="6">
        <f t="shared" si="13"/>
        <v>0</v>
      </c>
      <c r="G33" s="2"/>
      <c r="H33" s="7">
        <v>192.78</v>
      </c>
      <c r="I33" s="2"/>
      <c r="J33" s="6">
        <f t="shared" si="14"/>
        <v>0</v>
      </c>
      <c r="K33" s="2"/>
      <c r="L33" s="7">
        <f t="shared" si="15"/>
        <v>-192.78</v>
      </c>
      <c r="M33" s="2"/>
      <c r="N33" s="6">
        <f t="shared" si="16"/>
        <v>-1</v>
      </c>
      <c r="O33" s="11"/>
      <c r="P33" s="7"/>
      <c r="Q33" s="2"/>
      <c r="R33" s="6">
        <f t="shared" si="17"/>
        <v>0</v>
      </c>
      <c r="S33" s="2"/>
      <c r="T33" s="7">
        <v>634.86</v>
      </c>
      <c r="U33" s="2"/>
      <c r="V33" s="6">
        <f t="shared" si="18"/>
        <v>3.1743E-2</v>
      </c>
      <c r="W33" s="2"/>
      <c r="X33" s="7">
        <f t="shared" si="19"/>
        <v>-634.86</v>
      </c>
      <c r="Y33" s="2"/>
      <c r="Z33" s="6">
        <f t="shared" si="20"/>
        <v>-1</v>
      </c>
    </row>
    <row r="34" spans="1:26" s="27" customFormat="1" outlineLevel="1" collapsed="1" x14ac:dyDescent="0.25">
      <c r="A34" s="26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486.57000000000005</v>
      </c>
      <c r="E34" s="1"/>
      <c r="F34" s="5">
        <f t="shared" ref="F34:F44" si="21">IF(D$12=0,0,D34/D$12)</f>
        <v>0</v>
      </c>
      <c r="G34" s="1"/>
      <c r="H34" s="1">
        <f>SUM(OSRRefH22_1x_0)</f>
        <v>6426</v>
      </c>
      <c r="I34" s="1"/>
      <c r="J34" s="5">
        <f t="shared" ref="J34:J44" si="22">IF(H$12=0,0,H34/H$12)</f>
        <v>0</v>
      </c>
      <c r="K34" s="1"/>
      <c r="L34" s="1">
        <f t="shared" ref="L34:L44" si="23">+D34-H34</f>
        <v>-5939.43</v>
      </c>
      <c r="M34" s="1"/>
      <c r="N34" s="5">
        <f t="shared" ref="N34:N44" si="24">IF(H34=0,0,L34/H34)</f>
        <v>-0.92428104575163406</v>
      </c>
      <c r="O34" s="13"/>
      <c r="P34" s="1">
        <f>SUM(OSRRefP22_1x_0)</f>
        <v>6073.66</v>
      </c>
      <c r="Q34" s="1"/>
      <c r="R34" s="5">
        <f t="shared" ref="R34:R44" si="25">IF(P$12=0,0,P34/P$12)</f>
        <v>0.3059490113525829</v>
      </c>
      <c r="S34" s="1"/>
      <c r="T34" s="1">
        <f>SUM(OSRRefT22_1x_0)</f>
        <v>21162</v>
      </c>
      <c r="U34" s="1"/>
      <c r="V34" s="5">
        <f t="shared" ref="V34:V44" si="26">IF(T$12=0,0,T34/T$12)</f>
        <v>1.0581</v>
      </c>
      <c r="W34" s="1"/>
      <c r="X34" s="1">
        <f t="shared" ref="X34:X44" si="27">+P34-T34</f>
        <v>-15088.34</v>
      </c>
      <c r="Y34" s="1"/>
      <c r="Z34" s="5">
        <f t="shared" ref="Z34:Z44" si="28">IF(T34=0,0,X34/T34)</f>
        <v>-0.71299215575087427</v>
      </c>
    </row>
    <row r="35" spans="1:26" s="24" customFormat="1" hidden="1" outlineLevel="2" x14ac:dyDescent="0.25">
      <c r="A35" s="25"/>
      <c r="B35" s="11" t="str">
        <f>CONCATENATE("          ", "6001", " - ", "ADMINISTRATIVE SALARIES")</f>
        <v xml:space="preserve">          6001 - ADMINISTRATIVE SALARIES</v>
      </c>
      <c r="C35" s="11"/>
      <c r="D35" s="7"/>
      <c r="E35" s="2"/>
      <c r="F35" s="6">
        <f t="shared" si="21"/>
        <v>0</v>
      </c>
      <c r="G35" s="2"/>
      <c r="H35" s="7">
        <v>0</v>
      </c>
      <c r="I35" s="2"/>
      <c r="J35" s="6">
        <f t="shared" si="22"/>
        <v>0</v>
      </c>
      <c r="K35" s="2"/>
      <c r="L35" s="7">
        <f t="shared" si="23"/>
        <v>0</v>
      </c>
      <c r="M35" s="2"/>
      <c r="N35" s="6">
        <f t="shared" si="24"/>
        <v>0</v>
      </c>
      <c r="O35" s="11"/>
      <c r="P35" s="7"/>
      <c r="Q35" s="2"/>
      <c r="R35" s="6">
        <f t="shared" si="25"/>
        <v>0</v>
      </c>
      <c r="S35" s="2"/>
      <c r="T35" s="7">
        <v>0</v>
      </c>
      <c r="U35" s="2"/>
      <c r="V35" s="6">
        <f t="shared" si="26"/>
        <v>0</v>
      </c>
      <c r="W35" s="2"/>
      <c r="X35" s="7">
        <f t="shared" si="27"/>
        <v>0</v>
      </c>
      <c r="Y35" s="2"/>
      <c r="Z35" s="6">
        <f t="shared" si="28"/>
        <v>0</v>
      </c>
    </row>
    <row r="36" spans="1:26" s="24" customFormat="1" hidden="1" outlineLevel="2" x14ac:dyDescent="0.25">
      <c r="A36" s="25"/>
      <c r="B36" s="11" t="str">
        <f>CONCATENATE("          ", "6002", " - ", "STAFF SALARIES")</f>
        <v xml:space="preserve">          6002 - STAFF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5"/>
      <c r="B37" s="11" t="str">
        <f>CONCATENATE("          ", "6003", " - ", "STAFF HOURLY-9 MONTH")</f>
        <v xml:space="preserve">          6003 - STAFF HOURLY-9 MONTH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5"/>
      <c r="B38" s="11" t="str">
        <f>CONCATENATE("          ", "6004", " - ", "STAFF HOURLY")</f>
        <v xml:space="preserve">          6004 - STAFF HOURLY</v>
      </c>
      <c r="C38" s="11"/>
      <c r="D38" s="7">
        <v>152.38</v>
      </c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152.38</v>
      </c>
      <c r="M38" s="2"/>
      <c r="N38" s="6">
        <f t="shared" si="24"/>
        <v>0</v>
      </c>
      <c r="O38" s="11"/>
      <c r="P38" s="7">
        <v>212.94</v>
      </c>
      <c r="Q38" s="2"/>
      <c r="R38" s="6">
        <f t="shared" si="25"/>
        <v>1.0726445417988331E-2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212.94</v>
      </c>
      <c r="Y38" s="2"/>
      <c r="Z38" s="6">
        <f t="shared" si="28"/>
        <v>0</v>
      </c>
    </row>
    <row r="39" spans="1:26" s="24" customFormat="1" hidden="1" outlineLevel="2" x14ac:dyDescent="0.25">
      <c r="A39" s="25"/>
      <c r="B39" s="11" t="str">
        <f>CONCATENATE("          ", "6005", " - ", "TEMPORARY WAGES-HOURLY")</f>
        <v xml:space="preserve">          6005 - TEMPORARY WAGES-HOURLY</v>
      </c>
      <c r="C39" s="11"/>
      <c r="D39" s="7">
        <v>176.47</v>
      </c>
      <c r="E39" s="2"/>
      <c r="F39" s="6">
        <f t="shared" si="21"/>
        <v>0</v>
      </c>
      <c r="G39" s="2"/>
      <c r="H39" s="7">
        <v>1890</v>
      </c>
      <c r="I39" s="2"/>
      <c r="J39" s="6">
        <f t="shared" si="22"/>
        <v>0</v>
      </c>
      <c r="K39" s="2"/>
      <c r="L39" s="7">
        <f t="shared" si="23"/>
        <v>-1713.53</v>
      </c>
      <c r="M39" s="2"/>
      <c r="N39" s="6">
        <f t="shared" si="24"/>
        <v>-0.90662962962962956</v>
      </c>
      <c r="O39" s="11"/>
      <c r="P39" s="7">
        <v>2665.81</v>
      </c>
      <c r="Q39" s="2"/>
      <c r="R39" s="6">
        <f t="shared" si="25"/>
        <v>0.13428508246326418</v>
      </c>
      <c r="S39" s="2"/>
      <c r="T39" s="7">
        <v>12786</v>
      </c>
      <c r="U39" s="2"/>
      <c r="V39" s="6">
        <f t="shared" si="26"/>
        <v>0.63929999999999998</v>
      </c>
      <c r="W39" s="2"/>
      <c r="X39" s="7">
        <f t="shared" si="27"/>
        <v>-10120.19</v>
      </c>
      <c r="Y39" s="2"/>
      <c r="Z39" s="6">
        <f t="shared" si="28"/>
        <v>-0.79150555294853753</v>
      </c>
    </row>
    <row r="40" spans="1:26" s="24" customFormat="1" hidden="1" outlineLevel="2" x14ac:dyDescent="0.25">
      <c r="A40" s="25"/>
      <c r="B40" s="11" t="str">
        <f>CONCATENATE("          ", "6006", " - ", "TEMPORARY PART TIME")</f>
        <v xml:space="preserve">          6006 - TEMPORARY PART TIME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>
        <v>247.5</v>
      </c>
      <c r="Q40" s="2"/>
      <c r="R40" s="6">
        <f t="shared" si="25"/>
        <v>1.2467339348887536E-2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247.5</v>
      </c>
      <c r="Y40" s="2"/>
      <c r="Z40" s="6">
        <f t="shared" si="28"/>
        <v>0</v>
      </c>
    </row>
    <row r="41" spans="1:26" s="24" customFormat="1" hidden="1" outlineLevel="2" x14ac:dyDescent="0.25">
      <c r="A41" s="25"/>
      <c r="B41" s="11" t="str">
        <f>CONCATENATE("          ", "6007", " - ", "STUDENT HOURLY")</f>
        <v xml:space="preserve">          6007 - STUDENT HOURLY</v>
      </c>
      <c r="C41" s="11"/>
      <c r="D41" s="7">
        <v>157.72</v>
      </c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157.72</v>
      </c>
      <c r="M41" s="2"/>
      <c r="N41" s="6">
        <f t="shared" si="24"/>
        <v>0</v>
      </c>
      <c r="O41" s="11"/>
      <c r="P41" s="7">
        <v>2314.41</v>
      </c>
      <c r="Q41" s="2"/>
      <c r="R41" s="6">
        <f t="shared" si="25"/>
        <v>0.11658397924225779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2314.41</v>
      </c>
      <c r="Y41" s="2"/>
      <c r="Z41" s="6">
        <f t="shared" si="28"/>
        <v>0</v>
      </c>
    </row>
    <row r="42" spans="1:26" s="24" customFormat="1" hidden="1" outlineLevel="2" x14ac:dyDescent="0.25">
      <c r="A42" s="25"/>
      <c r="B42" s="11" t="str">
        <f>CONCATENATE("          ", "6008", " - ", "STUDENT HOURLY-FICA EXEMPT")</f>
        <v xml:space="preserve">          6008 - STUDENT HOURLY-FICA EXEMPT</v>
      </c>
      <c r="C42" s="11"/>
      <c r="D42" s="7"/>
      <c r="E42" s="2"/>
      <c r="F42" s="6">
        <f t="shared" si="21"/>
        <v>0</v>
      </c>
      <c r="G42" s="2"/>
      <c r="H42" s="7">
        <v>4536</v>
      </c>
      <c r="I42" s="2"/>
      <c r="J42" s="6">
        <f t="shared" si="22"/>
        <v>0</v>
      </c>
      <c r="K42" s="2"/>
      <c r="L42" s="7">
        <f t="shared" si="23"/>
        <v>-4536</v>
      </c>
      <c r="M42" s="2"/>
      <c r="N42" s="6">
        <f t="shared" si="24"/>
        <v>-1</v>
      </c>
      <c r="O42" s="11"/>
      <c r="P42" s="7">
        <v>633</v>
      </c>
      <c r="Q42" s="2"/>
      <c r="R42" s="6">
        <f t="shared" si="25"/>
        <v>3.1886164880185093E-2</v>
      </c>
      <c r="S42" s="2"/>
      <c r="T42" s="7">
        <v>8376</v>
      </c>
      <c r="U42" s="2"/>
      <c r="V42" s="6">
        <f t="shared" si="26"/>
        <v>0.41880000000000001</v>
      </c>
      <c r="W42" s="2"/>
      <c r="X42" s="7">
        <f t="shared" si="27"/>
        <v>-7743</v>
      </c>
      <c r="Y42" s="2"/>
      <c r="Z42" s="6">
        <f t="shared" si="28"/>
        <v>-0.92442693409742116</v>
      </c>
    </row>
    <row r="43" spans="1:26" s="24" customFormat="1" hidden="1" outlineLevel="2" x14ac:dyDescent="0.25">
      <c r="A43" s="25"/>
      <c r="B43" s="11" t="str">
        <f>CONCATENATE("          ", "6009", " - ", "TEMPORARY-SEASONAL")</f>
        <v xml:space="preserve">          6009 - TEMPORARY-SEASONAL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5"/>
      <c r="B44" s="11" t="str">
        <f>CONCATENATE("          ", "6010", " - ", "GRATUITY")</f>
        <v xml:space="preserve">          6010 - GRATUITY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7" customFormat="1" outlineLevel="1" collapsed="1" x14ac:dyDescent="0.25">
      <c r="A45" s="26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477.35</v>
      </c>
      <c r="E45" s="1"/>
      <c r="F45" s="5">
        <f t="shared" ref="F45:F57" si="29">IF(D$12=0,0,D45/D$12)</f>
        <v>0</v>
      </c>
      <c r="G45" s="1"/>
      <c r="H45" s="1">
        <f>SUM(OSRRefH22_2x_0)</f>
        <v>0</v>
      </c>
      <c r="I45" s="1"/>
      <c r="J45" s="5">
        <f t="shared" ref="J45:J57" si="30">IF(H$12=0,0,H45/H$12)</f>
        <v>0</v>
      </c>
      <c r="K45" s="1"/>
      <c r="L45" s="1">
        <f t="shared" ref="L45:L57" si="31">+D45-H45</f>
        <v>477.35</v>
      </c>
      <c r="M45" s="1"/>
      <c r="N45" s="5">
        <f t="shared" ref="N45:N57" si="32">IF(H45=0,0,L45/H45)</f>
        <v>0</v>
      </c>
      <c r="O45" s="13"/>
      <c r="P45" s="1">
        <f>SUM(OSRRefP22_2x_0)</f>
        <v>2077.88</v>
      </c>
      <c r="Q45" s="1"/>
      <c r="R45" s="5">
        <f t="shared" ref="R45:R57" si="33">IF(P$12=0,0,P45/P$12)</f>
        <v>0.10466923267178357</v>
      </c>
      <c r="S45" s="1"/>
      <c r="T45" s="1">
        <f>SUM(OSRRefT22_2x_0)</f>
        <v>100</v>
      </c>
      <c r="U45" s="1"/>
      <c r="V45" s="5">
        <f t="shared" ref="V45:V57" si="34">IF(T$12=0,0,T45/T$12)</f>
        <v>5.0000000000000001E-3</v>
      </c>
      <c r="W45" s="1"/>
      <c r="X45" s="1">
        <f t="shared" ref="X45:X57" si="35">+P45-T45</f>
        <v>1977.88</v>
      </c>
      <c r="Y45" s="1"/>
      <c r="Z45" s="5">
        <f t="shared" ref="Z45:Z57" si="36">IF(T45=0,0,X45/T45)</f>
        <v>19.7788</v>
      </c>
    </row>
    <row r="46" spans="1:26" s="24" customFormat="1" hidden="1" outlineLevel="2" x14ac:dyDescent="0.25">
      <c r="A46" s="25"/>
      <c r="B46" s="11" t="str">
        <f>CONCATENATE("          ", "6362", " - ", "ADVERTISING EXPENSE")</f>
        <v xml:space="preserve">          6362 - ADVERTISING EXPENSE</v>
      </c>
      <c r="C46" s="11"/>
      <c r="D46" s="7">
        <v>477.35</v>
      </c>
      <c r="E46" s="2"/>
      <c r="F46" s="6">
        <f t="shared" si="29"/>
        <v>0</v>
      </c>
      <c r="G46" s="2"/>
      <c r="H46" s="7"/>
      <c r="I46" s="2"/>
      <c r="J46" s="6">
        <f t="shared" si="30"/>
        <v>0</v>
      </c>
      <c r="K46" s="2"/>
      <c r="L46" s="7">
        <f t="shared" si="31"/>
        <v>477.35</v>
      </c>
      <c r="M46" s="2"/>
      <c r="N46" s="6">
        <f t="shared" si="32"/>
        <v>0</v>
      </c>
      <c r="O46" s="11"/>
      <c r="P46" s="7">
        <v>2077.88</v>
      </c>
      <c r="Q46" s="2"/>
      <c r="R46" s="6">
        <f t="shared" si="33"/>
        <v>0.10466923267178357</v>
      </c>
      <c r="S46" s="2"/>
      <c r="T46" s="7">
        <v>100</v>
      </c>
      <c r="U46" s="2"/>
      <c r="V46" s="6">
        <f t="shared" si="34"/>
        <v>5.0000000000000001E-3</v>
      </c>
      <c r="W46" s="2"/>
      <c r="X46" s="7">
        <f t="shared" si="35"/>
        <v>1977.88</v>
      </c>
      <c r="Y46" s="2"/>
      <c r="Z46" s="6">
        <f t="shared" si="36"/>
        <v>19.7788</v>
      </c>
    </row>
    <row r="47" spans="1:26" s="27" customFormat="1" outlineLevel="1" collapsed="1" x14ac:dyDescent="0.25">
      <c r="A47" s="26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3"/>
      <c r="P47" s="1">
        <f>SUM(OSRRefP22_3x_0)</f>
        <v>1.85</v>
      </c>
      <c r="Q47" s="1"/>
      <c r="R47" s="5">
        <f t="shared" si="33"/>
        <v>9.3190213314916939E-5</v>
      </c>
      <c r="S47" s="1"/>
      <c r="T47" s="1">
        <f>SUM(OSRRefT22_3x_0)</f>
        <v>25</v>
      </c>
      <c r="U47" s="1"/>
      <c r="V47" s="5">
        <f t="shared" si="34"/>
        <v>1.25E-3</v>
      </c>
      <c r="W47" s="1"/>
      <c r="X47" s="1">
        <f t="shared" si="35"/>
        <v>-23.15</v>
      </c>
      <c r="Y47" s="1"/>
      <c r="Z47" s="5">
        <f t="shared" si="36"/>
        <v>-0.92599999999999993</v>
      </c>
    </row>
    <row r="48" spans="1:26" s="24" customFormat="1" hidden="1" outlineLevel="2" x14ac:dyDescent="0.25">
      <c r="A48" s="25"/>
      <c r="B48" s="11" t="str">
        <f>CONCATENATE("          ", "6272", " - ", "CASH (OVER/SHORT)")</f>
        <v xml:space="preserve">          6272 - CASH (OVER/SHORT)</v>
      </c>
      <c r="C48" s="11"/>
      <c r="D48" s="7"/>
      <c r="E48" s="2"/>
      <c r="F48" s="6">
        <f t="shared" si="29"/>
        <v>0</v>
      </c>
      <c r="G48" s="2"/>
      <c r="H48" s="7"/>
      <c r="I48" s="2"/>
      <c r="J48" s="6">
        <f t="shared" si="30"/>
        <v>0</v>
      </c>
      <c r="K48" s="2"/>
      <c r="L48" s="7">
        <f t="shared" si="31"/>
        <v>0</v>
      </c>
      <c r="M48" s="2"/>
      <c r="N48" s="6">
        <f t="shared" si="32"/>
        <v>0</v>
      </c>
      <c r="O48" s="11"/>
      <c r="P48" s="7">
        <v>1.85</v>
      </c>
      <c r="Q48" s="2"/>
      <c r="R48" s="6">
        <f t="shared" si="33"/>
        <v>9.3190213314916939E-5</v>
      </c>
      <c r="S48" s="2"/>
      <c r="T48" s="7">
        <v>25</v>
      </c>
      <c r="U48" s="2"/>
      <c r="V48" s="6">
        <f t="shared" si="34"/>
        <v>1.25E-3</v>
      </c>
      <c r="W48" s="2"/>
      <c r="X48" s="7">
        <f t="shared" si="35"/>
        <v>-23.15</v>
      </c>
      <c r="Y48" s="2"/>
      <c r="Z48" s="6">
        <f t="shared" si="36"/>
        <v>-0.92599999999999993</v>
      </c>
    </row>
    <row r="49" spans="1:26" s="27" customFormat="1" outlineLevel="1" collapsed="1" x14ac:dyDescent="0.25">
      <c r="A49" s="26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0</v>
      </c>
      <c r="E49" s="1"/>
      <c r="F49" s="5">
        <f t="shared" si="29"/>
        <v>0</v>
      </c>
      <c r="G49" s="1"/>
      <c r="H49" s="1">
        <f>SUM(OSRRefH22_4x_0)</f>
        <v>0</v>
      </c>
      <c r="I49" s="1"/>
      <c r="J49" s="5">
        <f t="shared" si="30"/>
        <v>0</v>
      </c>
      <c r="K49" s="1"/>
      <c r="L49" s="1">
        <f t="shared" si="31"/>
        <v>0</v>
      </c>
      <c r="M49" s="1"/>
      <c r="N49" s="5">
        <f t="shared" si="32"/>
        <v>0</v>
      </c>
      <c r="O49" s="13"/>
      <c r="P49" s="1">
        <f>SUM(OSRRefP22_4x_0)</f>
        <v>348.55</v>
      </c>
      <c r="Q49" s="1"/>
      <c r="R49" s="5">
        <f t="shared" si="33"/>
        <v>1.7557539919413136E-2</v>
      </c>
      <c r="S49" s="1"/>
      <c r="T49" s="1">
        <f>SUM(OSRRefT22_4x_0)</f>
        <v>150</v>
      </c>
      <c r="U49" s="1"/>
      <c r="V49" s="5">
        <f t="shared" si="34"/>
        <v>7.4999999999999997E-3</v>
      </c>
      <c r="W49" s="1"/>
      <c r="X49" s="1">
        <f t="shared" si="35"/>
        <v>198.55</v>
      </c>
      <c r="Y49" s="1"/>
      <c r="Z49" s="5">
        <f t="shared" si="36"/>
        <v>1.3236666666666668</v>
      </c>
    </row>
    <row r="50" spans="1:26" s="24" customFormat="1" hidden="1" outlineLevel="2" x14ac:dyDescent="0.25">
      <c r="A50" s="25"/>
      <c r="B50" s="11" t="str">
        <f>CONCATENATE("          ", "6381", " - ", "BANK/CREDIT CARD FEES")</f>
        <v xml:space="preserve">          6381 - BANK/CREDIT CARD FEES</v>
      </c>
      <c r="C50" s="11"/>
      <c r="D50" s="7"/>
      <c r="E50" s="2"/>
      <c r="F50" s="6">
        <f t="shared" si="29"/>
        <v>0</v>
      </c>
      <c r="G50" s="2"/>
      <c r="H50" s="7"/>
      <c r="I50" s="2"/>
      <c r="J50" s="6">
        <f t="shared" si="30"/>
        <v>0</v>
      </c>
      <c r="K50" s="2"/>
      <c r="L50" s="7">
        <f t="shared" si="31"/>
        <v>0</v>
      </c>
      <c r="M50" s="2"/>
      <c r="N50" s="6">
        <f t="shared" si="32"/>
        <v>0</v>
      </c>
      <c r="O50" s="11"/>
      <c r="P50" s="7">
        <v>348.55</v>
      </c>
      <c r="Q50" s="2"/>
      <c r="R50" s="6">
        <f t="shared" si="33"/>
        <v>1.7557539919413136E-2</v>
      </c>
      <c r="S50" s="2"/>
      <c r="T50" s="7">
        <v>150</v>
      </c>
      <c r="U50" s="2"/>
      <c r="V50" s="6">
        <f t="shared" si="34"/>
        <v>7.4999999999999997E-3</v>
      </c>
      <c r="W50" s="2"/>
      <c r="X50" s="7">
        <f t="shared" si="35"/>
        <v>198.55</v>
      </c>
      <c r="Y50" s="2"/>
      <c r="Z50" s="6">
        <f t="shared" si="36"/>
        <v>1.3236666666666668</v>
      </c>
    </row>
    <row r="51" spans="1:26" s="27" customFormat="1" outlineLevel="1" collapsed="1" x14ac:dyDescent="0.25">
      <c r="A51" s="26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SUM(OSRRefD22_5x_0)</f>
        <v>78.63</v>
      </c>
      <c r="E51" s="1"/>
      <c r="F51" s="5">
        <f t="shared" si="29"/>
        <v>0</v>
      </c>
      <c r="G51" s="1"/>
      <c r="H51" s="1">
        <f>SUM(OSRRefH22_5x_0)</f>
        <v>0</v>
      </c>
      <c r="I51" s="1"/>
      <c r="J51" s="5">
        <f t="shared" si="30"/>
        <v>0</v>
      </c>
      <c r="K51" s="1"/>
      <c r="L51" s="1">
        <f t="shared" si="31"/>
        <v>78.63</v>
      </c>
      <c r="M51" s="1"/>
      <c r="N51" s="5">
        <f t="shared" si="32"/>
        <v>0</v>
      </c>
      <c r="O51" s="13"/>
      <c r="P51" s="1">
        <f>SUM(OSRRefP22_5x_0)</f>
        <v>193.27</v>
      </c>
      <c r="Q51" s="1"/>
      <c r="R51" s="5">
        <f t="shared" si="33"/>
        <v>9.7356067715535129E-3</v>
      </c>
      <c r="S51" s="1"/>
      <c r="T51" s="1">
        <f>SUM(OSRRefT22_5x_0)</f>
        <v>100</v>
      </c>
      <c r="U51" s="1"/>
      <c r="V51" s="5">
        <f t="shared" si="34"/>
        <v>5.0000000000000001E-3</v>
      </c>
      <c r="W51" s="1"/>
      <c r="X51" s="1">
        <f t="shared" si="35"/>
        <v>93.27000000000001</v>
      </c>
      <c r="Y51" s="1"/>
      <c r="Z51" s="5">
        <f t="shared" si="36"/>
        <v>0.93270000000000008</v>
      </c>
    </row>
    <row r="52" spans="1:26" s="24" customFormat="1" hidden="1" outlineLevel="2" x14ac:dyDescent="0.25">
      <c r="A52" s="25"/>
      <c r="B52" s="11" t="str">
        <f>CONCATENATE("          ", "6277", " - ", "EMPLOYEE APPRECIATION")</f>
        <v xml:space="preserve">          6277 - EMPLOYEE APPRECIATION</v>
      </c>
      <c r="C52" s="11"/>
      <c r="D52" s="7">
        <v>78.63</v>
      </c>
      <c r="E52" s="2"/>
      <c r="F52" s="6">
        <f t="shared" si="29"/>
        <v>0</v>
      </c>
      <c r="G52" s="2"/>
      <c r="H52" s="7"/>
      <c r="I52" s="2"/>
      <c r="J52" s="6">
        <f t="shared" si="30"/>
        <v>0</v>
      </c>
      <c r="K52" s="2"/>
      <c r="L52" s="7">
        <f t="shared" si="31"/>
        <v>78.63</v>
      </c>
      <c r="M52" s="2"/>
      <c r="N52" s="6">
        <f t="shared" si="32"/>
        <v>0</v>
      </c>
      <c r="O52" s="11"/>
      <c r="P52" s="7">
        <v>193.27</v>
      </c>
      <c r="Q52" s="2"/>
      <c r="R52" s="6">
        <f t="shared" si="33"/>
        <v>9.7356067715535129E-3</v>
      </c>
      <c r="S52" s="2"/>
      <c r="T52" s="7">
        <v>100</v>
      </c>
      <c r="U52" s="2"/>
      <c r="V52" s="6">
        <f t="shared" si="34"/>
        <v>5.0000000000000001E-3</v>
      </c>
      <c r="W52" s="2"/>
      <c r="X52" s="7">
        <f t="shared" si="35"/>
        <v>93.27000000000001</v>
      </c>
      <c r="Y52" s="2"/>
      <c r="Z52" s="6">
        <f t="shared" si="36"/>
        <v>0.93270000000000008</v>
      </c>
    </row>
    <row r="53" spans="1:26" s="27" customFormat="1" outlineLevel="1" collapsed="1" x14ac:dyDescent="0.25">
      <c r="A53" s="26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SUM(OSRRefD22_6x_0)</f>
        <v>142.19999999999999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142.19999999999999</v>
      </c>
      <c r="M53" s="1"/>
      <c r="N53" s="5">
        <f t="shared" si="32"/>
        <v>0</v>
      </c>
      <c r="O53" s="13"/>
      <c r="P53" s="1">
        <f>SUM(OSRRefP22_6x_0)</f>
        <v>3413.95</v>
      </c>
      <c r="Q53" s="1"/>
      <c r="R53" s="5">
        <f t="shared" si="33"/>
        <v>0.17197120472781657</v>
      </c>
      <c r="S53" s="1"/>
      <c r="T53" s="1">
        <f>SUM(OSRRefT22_6x_0)</f>
        <v>0</v>
      </c>
      <c r="U53" s="1"/>
      <c r="V53" s="5">
        <f t="shared" si="34"/>
        <v>0</v>
      </c>
      <c r="W53" s="1"/>
      <c r="X53" s="1">
        <f t="shared" si="35"/>
        <v>3413.95</v>
      </c>
      <c r="Y53" s="1"/>
      <c r="Z53" s="5">
        <f t="shared" si="36"/>
        <v>0</v>
      </c>
    </row>
    <row r="54" spans="1:26" s="24" customFormat="1" hidden="1" outlineLevel="2" x14ac:dyDescent="0.25">
      <c r="A54" s="25"/>
      <c r="B54" s="11" t="str">
        <f>CONCATENATE("          ", "6279", " - ", "GENERAL EXPENSE")</f>
        <v xml:space="preserve">          6279 - GENERAL EXPENSE</v>
      </c>
      <c r="C54" s="11"/>
      <c r="D54" s="7">
        <v>142.19999999999999</v>
      </c>
      <c r="E54" s="2"/>
      <c r="F54" s="6">
        <f t="shared" si="29"/>
        <v>0</v>
      </c>
      <c r="G54" s="2"/>
      <c r="H54" s="7"/>
      <c r="I54" s="2"/>
      <c r="J54" s="6">
        <f t="shared" si="30"/>
        <v>0</v>
      </c>
      <c r="K54" s="2"/>
      <c r="L54" s="7">
        <f t="shared" si="31"/>
        <v>142.19999999999999</v>
      </c>
      <c r="M54" s="2"/>
      <c r="N54" s="6">
        <f t="shared" si="32"/>
        <v>0</v>
      </c>
      <c r="O54" s="11"/>
      <c r="P54" s="7">
        <v>3413.95</v>
      </c>
      <c r="Q54" s="2"/>
      <c r="R54" s="6">
        <f t="shared" si="33"/>
        <v>0.17197120472781657</v>
      </c>
      <c r="S54" s="2"/>
      <c r="T54" s="7"/>
      <c r="U54" s="2"/>
      <c r="V54" s="6">
        <f t="shared" si="34"/>
        <v>0</v>
      </c>
      <c r="W54" s="2"/>
      <c r="X54" s="7">
        <f t="shared" si="35"/>
        <v>3413.95</v>
      </c>
      <c r="Y54" s="2"/>
      <c r="Z54" s="6">
        <f t="shared" si="36"/>
        <v>0</v>
      </c>
    </row>
    <row r="55" spans="1:26" s="27" customFormat="1" outlineLevel="1" collapsed="1" x14ac:dyDescent="0.25">
      <c r="A55" s="26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SUM(OSRRefD22_7x_0)</f>
        <v>0</v>
      </c>
      <c r="E55" s="1"/>
      <c r="F55" s="5">
        <f t="shared" si="29"/>
        <v>0</v>
      </c>
      <c r="G55" s="1"/>
      <c r="H55" s="1">
        <f>SUM(OSRRefH22_7x_0)</f>
        <v>0</v>
      </c>
      <c r="I55" s="1"/>
      <c r="J55" s="5">
        <f t="shared" si="30"/>
        <v>0</v>
      </c>
      <c r="K55" s="1"/>
      <c r="L55" s="1">
        <f t="shared" si="31"/>
        <v>0</v>
      </c>
      <c r="M55" s="1"/>
      <c r="N55" s="5">
        <f t="shared" si="32"/>
        <v>0</v>
      </c>
      <c r="O55" s="13"/>
      <c r="P55" s="1">
        <f>SUM(OSRRefP22_7x_0)</f>
        <v>434.72</v>
      </c>
      <c r="Q55" s="1"/>
      <c r="R55" s="5">
        <f t="shared" si="33"/>
        <v>2.1898188936357133E-2</v>
      </c>
      <c r="S55" s="1"/>
      <c r="T55" s="1">
        <f>SUM(OSRRefT22_7x_0)</f>
        <v>1500</v>
      </c>
      <c r="U55" s="1"/>
      <c r="V55" s="5">
        <f t="shared" si="34"/>
        <v>7.4999999999999997E-2</v>
      </c>
      <c r="W55" s="1"/>
      <c r="X55" s="1">
        <f t="shared" si="35"/>
        <v>-1065.28</v>
      </c>
      <c r="Y55" s="1"/>
      <c r="Z55" s="5">
        <f t="shared" si="36"/>
        <v>-0.71018666666666663</v>
      </c>
    </row>
    <row r="56" spans="1:26" s="24" customFormat="1" hidden="1" outlineLevel="2" x14ac:dyDescent="0.25">
      <c r="A56" s="25"/>
      <c r="B56" s="11" t="str">
        <f>CONCATENATE("          ", "6373", " - ", "MAINTENANCE CONTRACTS")</f>
        <v xml:space="preserve">          6373 - MAINTENANCE CONTRACTS</v>
      </c>
      <c r="C56" s="11"/>
      <c r="D56" s="7"/>
      <c r="E56" s="2"/>
      <c r="F56" s="6">
        <f t="shared" si="29"/>
        <v>0</v>
      </c>
      <c r="G56" s="2"/>
      <c r="H56" s="7"/>
      <c r="I56" s="2"/>
      <c r="J56" s="6">
        <f t="shared" si="30"/>
        <v>0</v>
      </c>
      <c r="K56" s="2"/>
      <c r="L56" s="7">
        <f t="shared" si="31"/>
        <v>0</v>
      </c>
      <c r="M56" s="2"/>
      <c r="N56" s="6">
        <f t="shared" si="32"/>
        <v>0</v>
      </c>
      <c r="O56" s="11"/>
      <c r="P56" s="7">
        <v>296.64</v>
      </c>
      <c r="Q56" s="2"/>
      <c r="R56" s="6">
        <f t="shared" si="33"/>
        <v>1.4942672906884842E-2</v>
      </c>
      <c r="S56" s="2"/>
      <c r="T56" s="7"/>
      <c r="U56" s="2"/>
      <c r="V56" s="6">
        <f t="shared" si="34"/>
        <v>0</v>
      </c>
      <c r="W56" s="2"/>
      <c r="X56" s="7">
        <f t="shared" si="35"/>
        <v>296.64</v>
      </c>
      <c r="Y56" s="2"/>
      <c r="Z56" s="6">
        <f t="shared" si="36"/>
        <v>0</v>
      </c>
    </row>
    <row r="57" spans="1:26" s="24" customFormat="1" hidden="1" outlineLevel="2" x14ac:dyDescent="0.25">
      <c r="A57" s="25"/>
      <c r="B57" s="11" t="str">
        <f>CONCATENATE("          ", "6375", " - ", "OUTSIDE REPAIRS &amp; MAINTENANCE")</f>
        <v xml:space="preserve">          6375 - OUTSIDE REPAIRS &amp; MAINTENANCE</v>
      </c>
      <c r="C57" s="11"/>
      <c r="D57" s="7"/>
      <c r="E57" s="2"/>
      <c r="F57" s="6">
        <f t="shared" si="29"/>
        <v>0</v>
      </c>
      <c r="G57" s="2"/>
      <c r="H57" s="7"/>
      <c r="I57" s="2"/>
      <c r="J57" s="6">
        <f t="shared" si="30"/>
        <v>0</v>
      </c>
      <c r="K57" s="2"/>
      <c r="L57" s="7">
        <f t="shared" si="31"/>
        <v>0</v>
      </c>
      <c r="M57" s="2"/>
      <c r="N57" s="6">
        <f t="shared" si="32"/>
        <v>0</v>
      </c>
      <c r="O57" s="11"/>
      <c r="P57" s="7">
        <v>138.08000000000001</v>
      </c>
      <c r="Q57" s="2"/>
      <c r="R57" s="6">
        <f t="shared" si="33"/>
        <v>6.9555160294722876E-3</v>
      </c>
      <c r="S57" s="2"/>
      <c r="T57" s="7">
        <v>1500</v>
      </c>
      <c r="U57" s="2"/>
      <c r="V57" s="6">
        <f t="shared" si="34"/>
        <v>7.4999999999999997E-2</v>
      </c>
      <c r="W57" s="2"/>
      <c r="X57" s="7">
        <f t="shared" si="35"/>
        <v>-1361.92</v>
      </c>
      <c r="Y57" s="2"/>
      <c r="Z57" s="6">
        <f t="shared" si="36"/>
        <v>-0.90794666666666668</v>
      </c>
    </row>
    <row r="58" spans="1:26" s="27" customFormat="1" outlineLevel="1" collapsed="1" x14ac:dyDescent="0.25">
      <c r="A58" s="26"/>
      <c r="B58" s="13" t="str">
        <f>CONCATENATE("     ","Royalty &amp; Commissions                             ")</f>
        <v xml:space="preserve">     Royalty &amp; Commissions                             </v>
      </c>
      <c r="C58" s="13"/>
      <c r="D58" s="1">
        <f>SUM(OSRRefD22_8x_0)</f>
        <v>0</v>
      </c>
      <c r="E58" s="1"/>
      <c r="F58" s="5">
        <f t="shared" ref="F58:F60" si="37">IF(D$12=0,0,D58/D$12)</f>
        <v>0</v>
      </c>
      <c r="G58" s="1"/>
      <c r="H58" s="1">
        <f>SUM(OSRRefH22_8x_0)</f>
        <v>0</v>
      </c>
      <c r="I58" s="1"/>
      <c r="J58" s="5">
        <f t="shared" ref="J58:J60" si="38">IF(H$12=0,0,H58/H$12)</f>
        <v>0</v>
      </c>
      <c r="K58" s="1"/>
      <c r="L58" s="1">
        <f t="shared" ref="L58:L60" si="39">+D58-H58</f>
        <v>0</v>
      </c>
      <c r="M58" s="1"/>
      <c r="N58" s="5">
        <f t="shared" ref="N58:N60" si="40">IF(H58=0,0,L58/H58)</f>
        <v>0</v>
      </c>
      <c r="O58" s="13"/>
      <c r="P58" s="1">
        <f>SUM(OSRRefP22_8x_0)</f>
        <v>6595.88</v>
      </c>
      <c r="Q58" s="1"/>
      <c r="R58" s="5">
        <f t="shared" ref="R58:R60" si="41">IF(P$12=0,0,P58/P$12)</f>
        <v>0.33225484551329426</v>
      </c>
      <c r="S58" s="1"/>
      <c r="T58" s="1">
        <f>SUM(OSRRefT22_8x_0)</f>
        <v>4000</v>
      </c>
      <c r="U58" s="1"/>
      <c r="V58" s="5">
        <f t="shared" ref="V58:V60" si="42">IF(T$12=0,0,T58/T$12)</f>
        <v>0.2</v>
      </c>
      <c r="W58" s="1"/>
      <c r="X58" s="1">
        <f t="shared" ref="X58:X60" si="43">+P58-T58</f>
        <v>2595.88</v>
      </c>
      <c r="Y58" s="1"/>
      <c r="Z58" s="5">
        <f t="shared" ref="Z58:Z60" si="44">IF(T58=0,0,X58/T58)</f>
        <v>0.64897000000000005</v>
      </c>
    </row>
    <row r="59" spans="1:26" s="24" customFormat="1" hidden="1" outlineLevel="2" x14ac:dyDescent="0.25">
      <c r="A59" s="25"/>
      <c r="B59" s="11" t="str">
        <f>CONCATENATE("          ", "6253", " - ", "ROYALTY DUE ATHLETICS-LRG")</f>
        <v xml:space="preserve">          6253 - ROYALTY DUE ATHLETICS-LRG</v>
      </c>
      <c r="C59" s="11"/>
      <c r="D59" s="7"/>
      <c r="E59" s="2"/>
      <c r="F59" s="6">
        <f t="shared" si="37"/>
        <v>0</v>
      </c>
      <c r="G59" s="2"/>
      <c r="H59" s="7"/>
      <c r="I59" s="2"/>
      <c r="J59" s="6">
        <f t="shared" si="38"/>
        <v>0</v>
      </c>
      <c r="K59" s="2"/>
      <c r="L59" s="7">
        <f t="shared" si="39"/>
        <v>0</v>
      </c>
      <c r="M59" s="2"/>
      <c r="N59" s="6">
        <f t="shared" si="40"/>
        <v>0</v>
      </c>
      <c r="O59" s="11"/>
      <c r="P59" s="7"/>
      <c r="Q59" s="2"/>
      <c r="R59" s="6">
        <f t="shared" si="41"/>
        <v>0</v>
      </c>
      <c r="S59" s="2"/>
      <c r="T59" s="7">
        <v>4000</v>
      </c>
      <c r="U59" s="2"/>
      <c r="V59" s="6">
        <f t="shared" si="42"/>
        <v>0.2</v>
      </c>
      <c r="W59" s="2"/>
      <c r="X59" s="7">
        <f t="shared" si="43"/>
        <v>-4000</v>
      </c>
      <c r="Y59" s="2"/>
      <c r="Z59" s="6">
        <f t="shared" si="44"/>
        <v>-1</v>
      </c>
    </row>
    <row r="60" spans="1:26" s="24" customFormat="1" hidden="1" outlineLevel="2" x14ac:dyDescent="0.25">
      <c r="A60" s="25"/>
      <c r="B60" s="11" t="str">
        <f>CONCATENATE("          ", "6254", " - ", "ROYALTY &amp; COMMISSIONS")</f>
        <v xml:space="preserve">          6254 - ROYALTY &amp; COMMISSIONS</v>
      </c>
      <c r="C60" s="11"/>
      <c r="D60" s="7"/>
      <c r="E60" s="2"/>
      <c r="F60" s="6">
        <f t="shared" si="37"/>
        <v>0</v>
      </c>
      <c r="G60" s="2"/>
      <c r="H60" s="7"/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>
        <v>6595.88</v>
      </c>
      <c r="Q60" s="2"/>
      <c r="R60" s="6">
        <f t="shared" si="41"/>
        <v>0.33225484551329426</v>
      </c>
      <c r="S60" s="2"/>
      <c r="T60" s="7"/>
      <c r="U60" s="2"/>
      <c r="V60" s="6">
        <f t="shared" si="42"/>
        <v>0</v>
      </c>
      <c r="W60" s="2"/>
      <c r="X60" s="7">
        <f t="shared" si="43"/>
        <v>6595.88</v>
      </c>
      <c r="Y60" s="2"/>
      <c r="Z60" s="6">
        <f t="shared" si="44"/>
        <v>0</v>
      </c>
    </row>
    <row r="61" spans="1:26" s="27" customFormat="1" outlineLevel="1" collapsed="1" x14ac:dyDescent="0.25">
      <c r="A61" s="26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SUM(OSRRefD22_9x_0)</f>
        <v>12.25</v>
      </c>
      <c r="E61" s="1"/>
      <c r="F61" s="5">
        <f t="shared" ref="F61:F67" si="45">IF(D$12=0,0,D61/D$12)</f>
        <v>0</v>
      </c>
      <c r="G61" s="1"/>
      <c r="H61" s="1">
        <f>SUM(OSRRefH22_9x_0)</f>
        <v>0</v>
      </c>
      <c r="I61" s="1"/>
      <c r="J61" s="5">
        <f t="shared" ref="J61:J67" si="46">IF(H$12=0,0,H61/H$12)</f>
        <v>0</v>
      </c>
      <c r="K61" s="1"/>
      <c r="L61" s="1">
        <f t="shared" ref="L61:L67" si="47">+D61-H61</f>
        <v>12.25</v>
      </c>
      <c r="M61" s="1"/>
      <c r="N61" s="5">
        <f t="shared" ref="N61:N67" si="48">IF(H61=0,0,L61/H61)</f>
        <v>0</v>
      </c>
      <c r="O61" s="13"/>
      <c r="P61" s="1">
        <f>SUM(OSRRefP22_9x_0)</f>
        <v>44.75</v>
      </c>
      <c r="Q61" s="1"/>
      <c r="R61" s="5">
        <f t="shared" ref="R61:R67" si="49">IF(P$12=0,0,P61/P$12)</f>
        <v>2.2541957004554233E-3</v>
      </c>
      <c r="S61" s="1"/>
      <c r="T61" s="1">
        <f>SUM(OSRRefT22_9x_0)</f>
        <v>25</v>
      </c>
      <c r="U61" s="1"/>
      <c r="V61" s="5">
        <f t="shared" ref="V61:V67" si="50">IF(T$12=0,0,T61/T$12)</f>
        <v>1.25E-3</v>
      </c>
      <c r="W61" s="1"/>
      <c r="X61" s="1">
        <f t="shared" ref="X61:X67" si="51">+P61-T61</f>
        <v>19.75</v>
      </c>
      <c r="Y61" s="1"/>
      <c r="Z61" s="5">
        <f t="shared" ref="Z61:Z67" si="52">IF(T61=0,0,X61/T61)</f>
        <v>0.79</v>
      </c>
    </row>
    <row r="62" spans="1:26" s="24" customFormat="1" hidden="1" outlineLevel="2" x14ac:dyDescent="0.25">
      <c r="A62" s="25"/>
      <c r="B62" s="11" t="str">
        <f>CONCATENATE("          ", "6286", " - ", "LAUNDRY EXPENSE")</f>
        <v xml:space="preserve">          6286 - LAUNDRY EXPENSE</v>
      </c>
      <c r="C62" s="11"/>
      <c r="D62" s="7">
        <v>12.25</v>
      </c>
      <c r="E62" s="2"/>
      <c r="F62" s="6">
        <f t="shared" si="45"/>
        <v>0</v>
      </c>
      <c r="G62" s="2"/>
      <c r="H62" s="7"/>
      <c r="I62" s="2"/>
      <c r="J62" s="6">
        <f t="shared" si="46"/>
        <v>0</v>
      </c>
      <c r="K62" s="2"/>
      <c r="L62" s="7">
        <f t="shared" si="47"/>
        <v>12.25</v>
      </c>
      <c r="M62" s="2"/>
      <c r="N62" s="6">
        <f t="shared" si="48"/>
        <v>0</v>
      </c>
      <c r="O62" s="11"/>
      <c r="P62" s="7">
        <v>44.75</v>
      </c>
      <c r="Q62" s="2"/>
      <c r="R62" s="6">
        <f t="shared" si="49"/>
        <v>2.2541957004554233E-3</v>
      </c>
      <c r="S62" s="2"/>
      <c r="T62" s="7">
        <v>25</v>
      </c>
      <c r="U62" s="2"/>
      <c r="V62" s="6">
        <f t="shared" si="50"/>
        <v>1.25E-3</v>
      </c>
      <c r="W62" s="2"/>
      <c r="X62" s="7">
        <f t="shared" si="51"/>
        <v>19.75</v>
      </c>
      <c r="Y62" s="2"/>
      <c r="Z62" s="6">
        <f t="shared" si="52"/>
        <v>0.79</v>
      </c>
    </row>
    <row r="63" spans="1:26" s="27" customFormat="1" outlineLevel="1" collapsed="1" x14ac:dyDescent="0.25">
      <c r="A63" s="26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SUM(OSRRefD22_10x_0)</f>
        <v>594.64</v>
      </c>
      <c r="E63" s="1"/>
      <c r="F63" s="5">
        <f t="shared" si="45"/>
        <v>0</v>
      </c>
      <c r="G63" s="1"/>
      <c r="H63" s="1">
        <f>SUM(OSRRefH22_10x_0)</f>
        <v>0</v>
      </c>
      <c r="I63" s="1"/>
      <c r="J63" s="5">
        <f t="shared" si="46"/>
        <v>0</v>
      </c>
      <c r="K63" s="1"/>
      <c r="L63" s="1">
        <f t="shared" si="47"/>
        <v>594.64</v>
      </c>
      <c r="M63" s="1"/>
      <c r="N63" s="5">
        <f t="shared" si="48"/>
        <v>0</v>
      </c>
      <c r="O63" s="13"/>
      <c r="P63" s="1">
        <f>SUM(OSRRefP22_10x_0)</f>
        <v>1608.01</v>
      </c>
      <c r="Q63" s="1"/>
      <c r="R63" s="5">
        <f t="shared" si="49"/>
        <v>8.1000429682443018E-2</v>
      </c>
      <c r="S63" s="1"/>
      <c r="T63" s="1">
        <f>SUM(OSRRefT22_10x_0)</f>
        <v>500</v>
      </c>
      <c r="U63" s="1"/>
      <c r="V63" s="5">
        <f t="shared" si="50"/>
        <v>2.5000000000000001E-2</v>
      </c>
      <c r="W63" s="1"/>
      <c r="X63" s="1">
        <f t="shared" si="51"/>
        <v>1108.01</v>
      </c>
      <c r="Y63" s="1"/>
      <c r="Z63" s="5">
        <f t="shared" si="52"/>
        <v>2.2160199999999999</v>
      </c>
    </row>
    <row r="64" spans="1:26" s="24" customFormat="1" hidden="1" outlineLevel="2" x14ac:dyDescent="0.25">
      <c r="A64" s="25"/>
      <c r="B64" s="11" t="str">
        <f>CONCATENATE("          ", "6239", " - ", "KITCHEN SUPPLIES")</f>
        <v xml:space="preserve">          6239 - KITCHEN SUPPLIES</v>
      </c>
      <c r="C64" s="11"/>
      <c r="D64" s="7"/>
      <c r="E64" s="2"/>
      <c r="F64" s="6">
        <f t="shared" si="45"/>
        <v>0</v>
      </c>
      <c r="G64" s="2"/>
      <c r="H64" s="7"/>
      <c r="I64" s="2"/>
      <c r="J64" s="6">
        <f t="shared" si="46"/>
        <v>0</v>
      </c>
      <c r="K64" s="2"/>
      <c r="L64" s="7">
        <f t="shared" si="47"/>
        <v>0</v>
      </c>
      <c r="M64" s="2"/>
      <c r="N64" s="6">
        <f t="shared" si="48"/>
        <v>0</v>
      </c>
      <c r="O64" s="11"/>
      <c r="P64" s="7">
        <v>875.42</v>
      </c>
      <c r="Q64" s="2"/>
      <c r="R64" s="6">
        <f t="shared" si="49"/>
        <v>4.4097608940618691E-2</v>
      </c>
      <c r="S64" s="2"/>
      <c r="T64" s="7"/>
      <c r="U64" s="2"/>
      <c r="V64" s="6">
        <f t="shared" si="50"/>
        <v>0</v>
      </c>
      <c r="W64" s="2"/>
      <c r="X64" s="7">
        <f t="shared" si="51"/>
        <v>875.42</v>
      </c>
      <c r="Y64" s="2"/>
      <c r="Z64" s="6">
        <f t="shared" si="52"/>
        <v>0</v>
      </c>
    </row>
    <row r="65" spans="1:26" s="24" customFormat="1" hidden="1" outlineLevel="2" x14ac:dyDescent="0.25">
      <c r="A65" s="25"/>
      <c r="B65" s="11" t="str">
        <f>CONCATENATE("          ", "6241", " - ", "OFFICE EXPENSE")</f>
        <v xml:space="preserve">          6241 - OFFICE EXPENSE</v>
      </c>
      <c r="C65" s="11"/>
      <c r="D65" s="7"/>
      <c r="E65" s="2"/>
      <c r="F65" s="6">
        <f t="shared" si="45"/>
        <v>0</v>
      </c>
      <c r="G65" s="2"/>
      <c r="H65" s="7"/>
      <c r="I65" s="2"/>
      <c r="J65" s="6">
        <f t="shared" si="46"/>
        <v>0</v>
      </c>
      <c r="K65" s="2"/>
      <c r="L65" s="7">
        <f t="shared" si="47"/>
        <v>0</v>
      </c>
      <c r="M65" s="2"/>
      <c r="N65" s="6">
        <f t="shared" si="48"/>
        <v>0</v>
      </c>
      <c r="O65" s="11"/>
      <c r="P65" s="7">
        <v>33.06</v>
      </c>
      <c r="Q65" s="2"/>
      <c r="R65" s="6">
        <f t="shared" si="49"/>
        <v>1.6653342984817049E-3</v>
      </c>
      <c r="S65" s="2"/>
      <c r="T65" s="7"/>
      <c r="U65" s="2"/>
      <c r="V65" s="6">
        <f t="shared" si="50"/>
        <v>0</v>
      </c>
      <c r="W65" s="2"/>
      <c r="X65" s="7">
        <f t="shared" si="51"/>
        <v>33.06</v>
      </c>
      <c r="Y65" s="2"/>
      <c r="Z65" s="6">
        <f t="shared" si="52"/>
        <v>0</v>
      </c>
    </row>
    <row r="66" spans="1:26" s="24" customFormat="1" hidden="1" outlineLevel="2" x14ac:dyDescent="0.25">
      <c r="A66" s="25"/>
      <c r="B66" s="11" t="str">
        <f>CONCATENATE("          ", "6243", " - ", "PAPER SUPPLIES")</f>
        <v xml:space="preserve">          6243 - PAPER SUPPLIES</v>
      </c>
      <c r="C66" s="11"/>
      <c r="D66" s="7">
        <v>54.64</v>
      </c>
      <c r="E66" s="2"/>
      <c r="F66" s="6">
        <f t="shared" si="45"/>
        <v>0</v>
      </c>
      <c r="G66" s="2"/>
      <c r="H66" s="7"/>
      <c r="I66" s="2"/>
      <c r="J66" s="6">
        <f t="shared" si="46"/>
        <v>0</v>
      </c>
      <c r="K66" s="2"/>
      <c r="L66" s="7">
        <f t="shared" si="47"/>
        <v>54.64</v>
      </c>
      <c r="M66" s="2"/>
      <c r="N66" s="6">
        <f t="shared" si="48"/>
        <v>0</v>
      </c>
      <c r="O66" s="11"/>
      <c r="P66" s="7">
        <v>54.64</v>
      </c>
      <c r="Q66" s="2"/>
      <c r="R66" s="6">
        <f t="shared" si="49"/>
        <v>2.7523855435281413E-3</v>
      </c>
      <c r="S66" s="2"/>
      <c r="T66" s="7">
        <v>500</v>
      </c>
      <c r="U66" s="2"/>
      <c r="V66" s="6">
        <f t="shared" si="50"/>
        <v>2.5000000000000001E-2</v>
      </c>
      <c r="W66" s="2"/>
      <c r="X66" s="7">
        <f t="shared" si="51"/>
        <v>-445.36</v>
      </c>
      <c r="Y66" s="2"/>
      <c r="Z66" s="6">
        <f t="shared" si="52"/>
        <v>-0.89072000000000007</v>
      </c>
    </row>
    <row r="67" spans="1:26" s="24" customFormat="1" hidden="1" outlineLevel="2" x14ac:dyDescent="0.25">
      <c r="A67" s="25"/>
      <c r="B67" s="11" t="str">
        <f>CONCATENATE("          ", "6247", " - ", "STORE SUPPLIES")</f>
        <v xml:space="preserve">          6247 - STORE SUPPLIES</v>
      </c>
      <c r="C67" s="11"/>
      <c r="D67" s="7">
        <v>540</v>
      </c>
      <c r="E67" s="2"/>
      <c r="F67" s="6">
        <f t="shared" si="45"/>
        <v>0</v>
      </c>
      <c r="G67" s="2"/>
      <c r="H67" s="7"/>
      <c r="I67" s="2"/>
      <c r="J67" s="6">
        <f t="shared" si="46"/>
        <v>0</v>
      </c>
      <c r="K67" s="2"/>
      <c r="L67" s="7">
        <f t="shared" si="47"/>
        <v>540</v>
      </c>
      <c r="M67" s="2"/>
      <c r="N67" s="6">
        <f t="shared" si="48"/>
        <v>0</v>
      </c>
      <c r="O67" s="11"/>
      <c r="P67" s="7">
        <v>644.89</v>
      </c>
      <c r="Q67" s="2"/>
      <c r="R67" s="6">
        <f t="shared" si="49"/>
        <v>3.2485100899814476E-2</v>
      </c>
      <c r="S67" s="2"/>
      <c r="T67" s="7"/>
      <c r="U67" s="2"/>
      <c r="V67" s="6">
        <f t="shared" si="50"/>
        <v>0</v>
      </c>
      <c r="W67" s="2"/>
      <c r="X67" s="7">
        <f t="shared" si="51"/>
        <v>644.89</v>
      </c>
      <c r="Y67" s="2"/>
      <c r="Z67" s="6">
        <f t="shared" si="52"/>
        <v>0</v>
      </c>
    </row>
    <row r="68" spans="1:26" s="27" customFormat="1" outlineLevel="1" collapsed="1" x14ac:dyDescent="0.25">
      <c r="A68" s="26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SUM(OSRRefD22_11x_0)</f>
        <v>214.01</v>
      </c>
      <c r="E68" s="1"/>
      <c r="F68" s="5">
        <f t="shared" ref="F68:F70" si="53">IF(D$12=0,0,D68/D$12)</f>
        <v>0</v>
      </c>
      <c r="G68" s="1"/>
      <c r="H68" s="1">
        <f>SUM(OSRRefH22_11x_0)</f>
        <v>298</v>
      </c>
      <c r="I68" s="1"/>
      <c r="J68" s="5">
        <f t="shared" ref="J68:J70" si="54">IF(H$12=0,0,H68/H$12)</f>
        <v>0</v>
      </c>
      <c r="K68" s="1"/>
      <c r="L68" s="1">
        <f t="shared" ref="L68:L70" si="55">+D68-H68</f>
        <v>-83.990000000000009</v>
      </c>
      <c r="M68" s="1"/>
      <c r="N68" s="5">
        <f t="shared" ref="N68:N70" si="56">IF(H68=0,0,L68/H68)</f>
        <v>-0.28184563758389264</v>
      </c>
      <c r="O68" s="13"/>
      <c r="P68" s="1">
        <f>SUM(OSRRefP22_11x_0)</f>
        <v>1498.06</v>
      </c>
      <c r="Q68" s="1"/>
      <c r="R68" s="5">
        <f t="shared" ref="R68:R70" si="57">IF(P$12=0,0,P68/P$12)</f>
        <v>7.5461908626240248E-2</v>
      </c>
      <c r="S68" s="1"/>
      <c r="T68" s="1">
        <f>SUM(OSRRefT22_11x_0)</f>
        <v>2086</v>
      </c>
      <c r="U68" s="1"/>
      <c r="V68" s="5">
        <f t="shared" ref="V68:V70" si="58">IF(T$12=0,0,T68/T$12)</f>
        <v>0.1043</v>
      </c>
      <c r="W68" s="1"/>
      <c r="X68" s="1">
        <f t="shared" ref="X68:X70" si="59">+P68-T68</f>
        <v>-587.94000000000005</v>
      </c>
      <c r="Y68" s="1"/>
      <c r="Z68" s="5">
        <f t="shared" ref="Z68:Z70" si="60">IF(T68=0,0,X68/T68)</f>
        <v>-0.28185043144774691</v>
      </c>
    </row>
    <row r="69" spans="1:26" s="24" customFormat="1" hidden="1" outlineLevel="2" x14ac:dyDescent="0.25">
      <c r="A69" s="25"/>
      <c r="B69" s="11" t="str">
        <f>CONCATENATE("          ", "6303", " - ", "DATA PHONE LINES")</f>
        <v xml:space="preserve">          6303 - DATA PHONE LINES</v>
      </c>
      <c r="C69" s="11"/>
      <c r="D69" s="7"/>
      <c r="E69" s="2"/>
      <c r="F69" s="6">
        <f t="shared" si="53"/>
        <v>0</v>
      </c>
      <c r="G69" s="2"/>
      <c r="H69" s="7">
        <v>298</v>
      </c>
      <c r="I69" s="2"/>
      <c r="J69" s="6">
        <f t="shared" si="54"/>
        <v>0</v>
      </c>
      <c r="K69" s="2"/>
      <c r="L69" s="7">
        <f t="shared" si="55"/>
        <v>-298</v>
      </c>
      <c r="M69" s="2"/>
      <c r="N69" s="6">
        <f t="shared" si="56"/>
        <v>-1</v>
      </c>
      <c r="O69" s="11"/>
      <c r="P69" s="7"/>
      <c r="Q69" s="2"/>
      <c r="R69" s="6">
        <f t="shared" si="57"/>
        <v>0</v>
      </c>
      <c r="S69" s="2"/>
      <c r="T69" s="7">
        <v>2086</v>
      </c>
      <c r="U69" s="2"/>
      <c r="V69" s="6">
        <f t="shared" si="58"/>
        <v>0.1043</v>
      </c>
      <c r="W69" s="2"/>
      <c r="X69" s="7">
        <f t="shared" si="59"/>
        <v>-2086</v>
      </c>
      <c r="Y69" s="2"/>
      <c r="Z69" s="6">
        <f t="shared" si="60"/>
        <v>-1</v>
      </c>
    </row>
    <row r="70" spans="1:26" s="24" customFormat="1" hidden="1" outlineLevel="2" x14ac:dyDescent="0.25">
      <c r="A70" s="25"/>
      <c r="B70" s="11" t="str">
        <f>CONCATENATE("          ", "6309", " - ", "TELEPHONE")</f>
        <v xml:space="preserve">          6309 - TELEPHONE</v>
      </c>
      <c r="C70" s="11"/>
      <c r="D70" s="7">
        <v>214.01</v>
      </c>
      <c r="E70" s="2"/>
      <c r="F70" s="6">
        <f t="shared" si="53"/>
        <v>0</v>
      </c>
      <c r="G70" s="2"/>
      <c r="H70" s="7"/>
      <c r="I70" s="2"/>
      <c r="J70" s="6">
        <f t="shared" si="54"/>
        <v>0</v>
      </c>
      <c r="K70" s="2"/>
      <c r="L70" s="7">
        <f t="shared" si="55"/>
        <v>214.01</v>
      </c>
      <c r="M70" s="2"/>
      <c r="N70" s="6">
        <f t="shared" si="56"/>
        <v>0</v>
      </c>
      <c r="O70" s="11"/>
      <c r="P70" s="7">
        <v>1498.06</v>
      </c>
      <c r="Q70" s="2"/>
      <c r="R70" s="6">
        <f t="shared" si="57"/>
        <v>7.5461908626240248E-2</v>
      </c>
      <c r="S70" s="2"/>
      <c r="T70" s="7"/>
      <c r="U70" s="2"/>
      <c r="V70" s="6">
        <f t="shared" si="58"/>
        <v>0</v>
      </c>
      <c r="W70" s="2"/>
      <c r="X70" s="7">
        <f t="shared" si="59"/>
        <v>1498.06</v>
      </c>
      <c r="Y70" s="2"/>
      <c r="Z70" s="6">
        <f t="shared" si="60"/>
        <v>0</v>
      </c>
    </row>
    <row r="71" spans="1:26" s="53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25">
      <c r="A72" s="10"/>
      <c r="B72" s="28" t="s">
        <v>0</v>
      </c>
      <c r="C72" s="10"/>
      <c r="D72" s="4">
        <f>SUM(OSRRefD25x_0)</f>
        <v>0</v>
      </c>
      <c r="E72" s="4"/>
      <c r="F72" s="12">
        <f t="shared" ref="F72:F73" si="61">IF(D$12=0,0,D72/D$12)</f>
        <v>0</v>
      </c>
      <c r="G72" s="4"/>
      <c r="H72" s="4">
        <f>SUM(OSRRefH25x_0)</f>
        <v>0</v>
      </c>
      <c r="I72" s="4"/>
      <c r="J72" s="12">
        <f t="shared" ref="J72:J73" si="62">IF(H$12=0,0,H72/H$12)</f>
        <v>0</v>
      </c>
      <c r="K72" s="4"/>
      <c r="L72" s="4">
        <f t="shared" ref="L72:L73" si="63">+D72-H72</f>
        <v>0</v>
      </c>
      <c r="M72" s="4"/>
      <c r="N72" s="12">
        <f t="shared" ref="N72:N73" si="64">IF(H72=0,0,L72/H72)</f>
        <v>0</v>
      </c>
      <c r="O72" s="10"/>
      <c r="P72" s="4">
        <f>SUM(OSRRefP25x_0)</f>
        <v>5494.64</v>
      </c>
      <c r="Q72" s="4"/>
      <c r="R72" s="12">
        <f t="shared" ref="R72:R73" si="65">IF(P$12=0,0,P72/P$12)</f>
        <v>0.27678198577766228</v>
      </c>
      <c r="S72" s="4"/>
      <c r="T72" s="4">
        <f>SUM(OSRRefT25x_0)</f>
        <v>0</v>
      </c>
      <c r="U72" s="4"/>
      <c r="V72" s="12">
        <f t="shared" ref="V72:V73" si="66">IF(T$12=0,0,T72/T$12)</f>
        <v>0</v>
      </c>
      <c r="W72" s="4"/>
      <c r="X72" s="4">
        <f t="shared" ref="X72:X73" si="67">+P72-T72</f>
        <v>5494.64</v>
      </c>
      <c r="Y72" s="4"/>
      <c r="Z72" s="12">
        <f t="shared" ref="Z72:Z73" si="68">IF(T72=0,0,X72/T72)</f>
        <v>0</v>
      </c>
    </row>
    <row r="73" spans="1:26" s="24" customFormat="1" hidden="1" outlineLevel="1" x14ac:dyDescent="0.25">
      <c r="A73" s="44"/>
      <c r="B73" s="11" t="str">
        <f>CONCATENATE("          ", "9150", " - ", "MISC. INCOME")</f>
        <v xml:space="preserve">          9150 - MISC. INCOME</v>
      </c>
      <c r="C73" s="11"/>
      <c r="D73" s="2">
        <f>0</f>
        <v>0</v>
      </c>
      <c r="E73" s="2"/>
      <c r="F73" s="19">
        <f t="shared" si="61"/>
        <v>0</v>
      </c>
      <c r="G73" s="2"/>
      <c r="H73" s="2"/>
      <c r="I73" s="2"/>
      <c r="J73" s="19">
        <f t="shared" si="62"/>
        <v>0</v>
      </c>
      <c r="K73" s="2"/>
      <c r="L73" s="2">
        <f t="shared" si="63"/>
        <v>0</v>
      </c>
      <c r="M73" s="2"/>
      <c r="N73" s="19">
        <f t="shared" si="64"/>
        <v>0</v>
      </c>
      <c r="O73" s="11"/>
      <c r="P73" s="2">
        <f>--5494.64</f>
        <v>5494.64</v>
      </c>
      <c r="Q73" s="2"/>
      <c r="R73" s="19">
        <f t="shared" si="65"/>
        <v>0.27678198577766228</v>
      </c>
      <c r="S73" s="2"/>
      <c r="T73" s="2"/>
      <c r="U73" s="2"/>
      <c r="V73" s="19">
        <f t="shared" si="66"/>
        <v>0</v>
      </c>
      <c r="W73" s="2"/>
      <c r="X73" s="2">
        <f t="shared" si="67"/>
        <v>5494.64</v>
      </c>
      <c r="Y73" s="2"/>
      <c r="Z73" s="19">
        <f t="shared" si="68"/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9" t="s">
        <v>3</v>
      </c>
      <c r="C75" s="29"/>
      <c r="D75" s="21">
        <f>+D22-D24+D72</f>
        <v>-2030.96</v>
      </c>
      <c r="E75" s="14"/>
      <c r="F75" s="20">
        <f>IF(D$12=0,0,D75/D$12)</f>
        <v>0</v>
      </c>
      <c r="G75" s="14"/>
      <c r="H75" s="21">
        <f>+H22-H24+H72</f>
        <v>-6933.4876000000004</v>
      </c>
      <c r="I75" s="14"/>
      <c r="J75" s="20">
        <f>IF(H$12=0,0,H75/H$12)</f>
        <v>0</v>
      </c>
      <c r="K75" s="16"/>
      <c r="L75" s="21">
        <f>+D75-H75</f>
        <v>4902.5276000000003</v>
      </c>
      <c r="M75" s="16"/>
      <c r="N75" s="20">
        <f>IF(H75=0,0,L75/H75)</f>
        <v>-0.70707959440210144</v>
      </c>
      <c r="O75" s="28"/>
      <c r="P75" s="21">
        <f>+P22-P24+P72</f>
        <v>-6970.0899999999992</v>
      </c>
      <c r="Q75" s="14"/>
      <c r="R75" s="20">
        <f>IF(P$12=0,0,P75/P$12)</f>
        <v>-0.35110495887792936</v>
      </c>
      <c r="S75" s="14"/>
      <c r="T75" s="21">
        <f>+T22-T24+T72</f>
        <v>-15337.8812</v>
      </c>
      <c r="U75" s="14"/>
      <c r="V75" s="20">
        <f>IF(T$12=0,0,T75/T$12)</f>
        <v>-0.76689406000000004</v>
      </c>
      <c r="W75" s="16"/>
      <c r="X75" s="21">
        <f>+P75-T75</f>
        <v>8367.7911999999997</v>
      </c>
      <c r="Y75" s="16"/>
      <c r="Z75" s="20">
        <f>IF(T75=0,0,X75/T75)</f>
        <v>-0.54556369885039924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2"/>
      <c r="B77" s="10" t="s">
        <v>14</v>
      </c>
      <c r="C77" s="10"/>
      <c r="D77" s="4">
        <v>-73.88</v>
      </c>
      <c r="E77" s="4"/>
      <c r="F77" s="12">
        <f>IF(D$12=0,0,D77/D$12)</f>
        <v>0</v>
      </c>
      <c r="G77" s="4"/>
      <c r="H77" s="4">
        <v>-114</v>
      </c>
      <c r="I77" s="4"/>
      <c r="J77" s="12">
        <f>IF(H$12=0,0,H77/H$12)</f>
        <v>0</v>
      </c>
      <c r="K77" s="4"/>
      <c r="L77" s="4">
        <f>+D77-H77</f>
        <v>40.120000000000005</v>
      </c>
      <c r="M77" s="4"/>
      <c r="N77" s="12">
        <f>IF(H77=0,0,L77/H77)</f>
        <v>-0.35192982456140354</v>
      </c>
      <c r="O77" s="10"/>
      <c r="P77" s="4">
        <v>2070.27</v>
      </c>
      <c r="Q77" s="4"/>
      <c r="R77" s="12">
        <f>IF(P$12=0,0,P77/P$12)</f>
        <v>0.10428589346998546</v>
      </c>
      <c r="S77" s="4"/>
      <c r="T77" s="4">
        <v>2463</v>
      </c>
      <c r="U77" s="4"/>
      <c r="V77" s="12">
        <f>IF(T$12=0,0,T77/T$12)</f>
        <v>0.12315</v>
      </c>
      <c r="W77" s="4"/>
      <c r="X77" s="4">
        <f>+P77-T77</f>
        <v>-392.73</v>
      </c>
      <c r="Y77" s="4"/>
      <c r="Z77" s="12">
        <f>IF(T77=0,0,X77/T77)</f>
        <v>-0.15945188794153473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9" t="s">
        <v>4</v>
      </c>
      <c r="C79" s="29"/>
      <c r="D79" s="34">
        <f>+D75-D77</f>
        <v>-1957.08</v>
      </c>
      <c r="E79" s="14"/>
      <c r="F79" s="32">
        <f>IF(D$12=0,0,D79/D$12)</f>
        <v>0</v>
      </c>
      <c r="G79" s="14"/>
      <c r="H79" s="34">
        <f>+H75-H77</f>
        <v>-6819.4876000000004</v>
      </c>
      <c r="I79" s="14"/>
      <c r="J79" s="32">
        <f>IF(H$12=0,0,H79/H$12)</f>
        <v>0</v>
      </c>
      <c r="K79" s="16"/>
      <c r="L79" s="34">
        <f>D79-H79</f>
        <v>4862.4076000000005</v>
      </c>
      <c r="M79" s="16"/>
      <c r="N79" s="32">
        <f>IF(H79=0,0,L79/H79)</f>
        <v>-0.71301656153755599</v>
      </c>
      <c r="O79" s="28"/>
      <c r="P79" s="34">
        <f>+P75-P77</f>
        <v>-9040.3599999999988</v>
      </c>
      <c r="Q79" s="14"/>
      <c r="R79" s="32">
        <f>IF(P$12=0,0,P79/P$12)</f>
        <v>-0.45539085234791477</v>
      </c>
      <c r="S79" s="14"/>
      <c r="T79" s="34">
        <f>+T75-T77</f>
        <v>-17800.8812</v>
      </c>
      <c r="U79" s="14"/>
      <c r="V79" s="32">
        <f>IF(T$12=0,0,T79/T$12)</f>
        <v>-0.89004406000000003</v>
      </c>
      <c r="W79" s="16"/>
      <c r="X79" s="34">
        <f>P79-T79</f>
        <v>8760.521200000001</v>
      </c>
      <c r="Y79" s="16"/>
      <c r="Z79" s="32">
        <f>IF(T79=0,0,X79/T79)</f>
        <v>-0.49213974867716104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5</v>
      </c>
      <c r="C82" s="29"/>
      <c r="D82" s="31">
        <f>SUM(D79:D81)</f>
        <v>-1957.08</v>
      </c>
      <c r="E82" s="14"/>
      <c r="F82" s="30">
        <f>IF(D$12=0,0,D82/D$12)</f>
        <v>0</v>
      </c>
      <c r="G82" s="14"/>
      <c r="H82" s="31">
        <f>SUM(H79:H81)</f>
        <v>-6819.4876000000004</v>
      </c>
      <c r="I82" s="14"/>
      <c r="J82" s="30">
        <f>IF(H$12=0,0,H82/H$12)</f>
        <v>0</v>
      </c>
      <c r="K82" s="16"/>
      <c r="L82" s="31">
        <f>+D82-H82</f>
        <v>4862.4076000000005</v>
      </c>
      <c r="M82" s="16"/>
      <c r="N82" s="30">
        <f>IF(H82=0,0,L82/H82)</f>
        <v>-0.71301656153755599</v>
      </c>
      <c r="O82" s="28"/>
      <c r="P82" s="31">
        <f>SUM(P79:P81)</f>
        <v>-9040.3599999999988</v>
      </c>
      <c r="Q82" s="14"/>
      <c r="R82" s="30">
        <f>IF(P$12=0,0,P82/P$12)</f>
        <v>-0.45539085234791477</v>
      </c>
      <c r="S82" s="14"/>
      <c r="T82" s="31">
        <f>SUM(T79:T81)</f>
        <v>-17800.8812</v>
      </c>
      <c r="U82" s="14"/>
      <c r="V82" s="30">
        <f>IF(T$12=0,0,T82/T$12)</f>
        <v>-0.89004406000000003</v>
      </c>
      <c r="W82" s="16"/>
      <c r="X82" s="31">
        <f>+P82-T82</f>
        <v>8760.521200000001</v>
      </c>
      <c r="Y82" s="16"/>
      <c r="Z82" s="30">
        <f>IF(T82=0,0,X82/T82)</f>
        <v>-0.49213974867716104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63">
        <v>43879.546637766201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7" t="s">
        <v>314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60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300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5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5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5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5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7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2" t="e">
        <f ca="1">IF(D$12=0,0,D31/D$12)</f>
        <v>#NAME?</v>
      </c>
      <c r="G31" s="14"/>
      <c r="H31" s="34" t="e">
        <f ca="1">+H27-H29</f>
        <v>#NAME?</v>
      </c>
      <c r="I31" s="14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8"/>
      <c r="P31" s="34" t="e">
        <f ca="1">+P27-P29</f>
        <v>#NAME?</v>
      </c>
      <c r="Q31" s="14"/>
      <c r="R31" s="32" t="e">
        <f ca="1">IF(P$12=0,0,P31/P$12)</f>
        <v>#NAME?</v>
      </c>
      <c r="S31" s="14"/>
      <c r="T31" s="34" t="e">
        <f ca="1">+T27-T29</f>
        <v>#NAME?</v>
      </c>
      <c r="U31" s="14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1" t="e">
        <f ca="1">SUM(D31:D35)</f>
        <v>#NAME?</v>
      </c>
      <c r="E36" s="14"/>
      <c r="F36" s="30" t="e">
        <f ca="1">IF(D$12=0,0,D36/D$12)</f>
        <v>#NAME?</v>
      </c>
      <c r="G36" s="14"/>
      <c r="H36" s="31" t="e">
        <f ca="1">SUM(H31:H35)</f>
        <v>#NAME?</v>
      </c>
      <c r="I36" s="14"/>
      <c r="J36" s="30" t="e">
        <f ca="1">IF(H$12=0,0,H36/H$12)</f>
        <v>#NAME?</v>
      </c>
      <c r="K36" s="16"/>
      <c r="L36" s="31" t="e">
        <f ca="1">+D36-H36</f>
        <v>#NAME?</v>
      </c>
      <c r="M36" s="16"/>
      <c r="N36" s="30" t="e">
        <f ca="1">IF(H36=0,0,L36/H36)</f>
        <v>#NAME?</v>
      </c>
      <c r="O36" s="28"/>
      <c r="P36" s="31" t="e">
        <f ca="1">SUM(P31:P35)</f>
        <v>#NAME?</v>
      </c>
      <c r="Q36" s="14"/>
      <c r="R36" s="30" t="e">
        <f ca="1">IF(P$12=0,0,P36/P$12)</f>
        <v>#NAME?</v>
      </c>
      <c r="S36" s="14"/>
      <c r="T36" s="31" t="e">
        <f ca="1">SUM(T31:T35)</f>
        <v>#NAME?</v>
      </c>
      <c r="U36" s="14"/>
      <c r="V36" s="30" t="e">
        <f ca="1">IF(T$12=0,0,T36/T$12)</f>
        <v>#NAME?</v>
      </c>
      <c r="W36" s="16"/>
      <c r="X36" s="31" t="e">
        <f ca="1">+P36-T36</f>
        <v>#NAME?</v>
      </c>
      <c r="Y36" s="16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7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","425", " - ", "Events Center")</f>
        <v>Department 425 - Events Center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86744.7</v>
      </c>
      <c r="E12" s="4"/>
      <c r="F12" s="12"/>
      <c r="G12" s="4"/>
      <c r="H12" s="4">
        <f>SUM(OSRRefH13x_0)</f>
        <v>80000</v>
      </c>
      <c r="I12" s="4"/>
      <c r="J12" s="12"/>
      <c r="K12" s="4"/>
      <c r="L12" s="4">
        <f t="shared" ref="L12:L17" si="0">+D12-H12</f>
        <v>6744.6999999999971</v>
      </c>
      <c r="M12" s="4"/>
      <c r="N12" s="12">
        <f t="shared" ref="N12:N17" si="1">IF(H12=0,0,L12/H12)</f>
        <v>8.430874999999996E-2</v>
      </c>
      <c r="O12" s="10"/>
      <c r="P12" s="4">
        <f>SUM(OSRRefP13x_0)</f>
        <v>289154.87</v>
      </c>
      <c r="Q12" s="4"/>
      <c r="R12" s="12"/>
      <c r="S12" s="4"/>
      <c r="T12" s="4">
        <f>SUM(OSRRefT13x_0)</f>
        <v>310000</v>
      </c>
      <c r="U12" s="4"/>
      <c r="V12" s="12"/>
      <c r="W12" s="4"/>
      <c r="X12" s="4">
        <f t="shared" ref="X12:X17" si="2">+P12-T12</f>
        <v>-20845.130000000005</v>
      </c>
      <c r="Y12" s="4"/>
      <c r="Z12" s="12">
        <f t="shared" ref="Z12:Z17" si="3">IF(T12=0,0,X12/T12)</f>
        <v>-6.7242354838709689E-2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20000</v>
      </c>
      <c r="I13" s="2"/>
      <c r="J13" s="19"/>
      <c r="K13" s="2"/>
      <c r="L13" s="2">
        <f t="shared" si="0"/>
        <v>-20000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77500</v>
      </c>
      <c r="U13" s="2"/>
      <c r="V13" s="19"/>
      <c r="W13" s="2"/>
      <c r="X13" s="2">
        <f t="shared" si="2"/>
        <v>-77500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--77303.26</f>
        <v>77303.259999999995</v>
      </c>
      <c r="E14" s="2"/>
      <c r="F14" s="19"/>
      <c r="G14" s="2"/>
      <c r="H14" s="2"/>
      <c r="I14" s="2"/>
      <c r="J14" s="19"/>
      <c r="K14" s="2"/>
      <c r="L14" s="2">
        <f t="shared" si="0"/>
        <v>77303.259999999995</v>
      </c>
      <c r="M14" s="2"/>
      <c r="N14" s="19">
        <f t="shared" si="1"/>
        <v>0</v>
      </c>
      <c r="O14" s="11"/>
      <c r="P14" s="2">
        <f>--213133.43</f>
        <v>213133.43</v>
      </c>
      <c r="Q14" s="2"/>
      <c r="R14" s="19"/>
      <c r="S14" s="2"/>
      <c r="T14" s="2"/>
      <c r="U14" s="2"/>
      <c r="V14" s="19"/>
      <c r="W14" s="2"/>
      <c r="X14" s="2">
        <f t="shared" si="2"/>
        <v>213133.43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--9441.36</f>
        <v>9441.36</v>
      </c>
      <c r="E15" s="2"/>
      <c r="F15" s="19"/>
      <c r="G15" s="2"/>
      <c r="H15" s="2"/>
      <c r="I15" s="2"/>
      <c r="J15" s="19"/>
      <c r="K15" s="2"/>
      <c r="L15" s="2">
        <f t="shared" si="0"/>
        <v>9441.36</v>
      </c>
      <c r="M15" s="2"/>
      <c r="N15" s="19">
        <f t="shared" si="1"/>
        <v>0</v>
      </c>
      <c r="O15" s="11"/>
      <c r="P15" s="2">
        <f>--76021.36</f>
        <v>76021.36</v>
      </c>
      <c r="Q15" s="2"/>
      <c r="R15" s="19"/>
      <c r="S15" s="2"/>
      <c r="T15" s="2"/>
      <c r="U15" s="2"/>
      <c r="V15" s="19"/>
      <c r="W15" s="2"/>
      <c r="X15" s="2">
        <f t="shared" si="2"/>
        <v>76021.36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0</f>
        <v>0</v>
      </c>
      <c r="E16" s="2"/>
      <c r="F16" s="19"/>
      <c r="G16" s="2"/>
      <c r="H16" s="2">
        <v>60000</v>
      </c>
      <c r="I16" s="2"/>
      <c r="J16" s="19"/>
      <c r="K16" s="2"/>
      <c r="L16" s="2">
        <f t="shared" si="0"/>
        <v>-60000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232500</v>
      </c>
      <c r="U16" s="2"/>
      <c r="V16" s="19"/>
      <c r="W16" s="2"/>
      <c r="X16" s="2">
        <f t="shared" si="2"/>
        <v>-232500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--0.08</f>
        <v>0.08</v>
      </c>
      <c r="E17" s="2"/>
      <c r="F17" s="19"/>
      <c r="G17" s="2"/>
      <c r="H17" s="2"/>
      <c r="I17" s="2"/>
      <c r="J17" s="19"/>
      <c r="K17" s="2"/>
      <c r="L17" s="2">
        <f t="shared" si="0"/>
        <v>0.08</v>
      </c>
      <c r="M17" s="2"/>
      <c r="N17" s="19">
        <f t="shared" si="1"/>
        <v>0</v>
      </c>
      <c r="O17" s="11"/>
      <c r="P17" s="2">
        <f>--0.08</f>
        <v>0.08</v>
      </c>
      <c r="Q17" s="2"/>
      <c r="R17" s="19"/>
      <c r="S17" s="2"/>
      <c r="T17" s="2"/>
      <c r="U17" s="2"/>
      <c r="V17" s="19"/>
      <c r="W17" s="2"/>
      <c r="X17" s="2">
        <f t="shared" si="2"/>
        <v>0.08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8" t="s">
        <v>8</v>
      </c>
      <c r="C19" s="10"/>
      <c r="D19" s="4">
        <f>SUM(OSRRefD16x_0)</f>
        <v>24761.41</v>
      </c>
      <c r="E19" s="4"/>
      <c r="F19" s="12">
        <f t="shared" ref="F19:F22" si="4">IF(D$12=0,0,D19/D$12)</f>
        <v>0.28545156072935868</v>
      </c>
      <c r="G19" s="4"/>
      <c r="H19" s="4">
        <f>SUM(OSRRefH16x_0)</f>
        <v>18400</v>
      </c>
      <c r="I19" s="4"/>
      <c r="J19" s="12">
        <f t="shared" ref="J19:J22" si="5">IF(H$12=0,0,H19/H$12)</f>
        <v>0.23</v>
      </c>
      <c r="K19" s="4"/>
      <c r="L19" s="4">
        <f t="shared" ref="L19:L22" si="6">+D19-H19</f>
        <v>6361.41</v>
      </c>
      <c r="M19" s="4"/>
      <c r="N19" s="12">
        <f t="shared" ref="N19:N22" si="7">IF(H19=0,0,L19/H19)</f>
        <v>0.3457288043478261</v>
      </c>
      <c r="O19" s="10"/>
      <c r="P19" s="4">
        <f>SUM(OSRRefP16x_0)</f>
        <v>72997.58</v>
      </c>
      <c r="Q19" s="4"/>
      <c r="R19" s="12">
        <f t="shared" ref="R19:R22" si="8">IF(P$12=0,0,P19/P$12)</f>
        <v>0.25245149770432712</v>
      </c>
      <c r="S19" s="4"/>
      <c r="T19" s="4">
        <f>SUM(OSRRefT16x_0)</f>
        <v>71300</v>
      </c>
      <c r="U19" s="4"/>
      <c r="V19" s="12">
        <f t="shared" ref="V19:V22" si="9">IF(T$12=0,0,T19/T$12)</f>
        <v>0.23</v>
      </c>
      <c r="W19" s="4"/>
      <c r="X19" s="4">
        <f t="shared" ref="X19:X22" si="10">+P19-T19</f>
        <v>1697.5800000000017</v>
      </c>
      <c r="Y19" s="4"/>
      <c r="Z19" s="12">
        <f t="shared" ref="Z19:Z22" si="11">IF(T19=0,0,X19/T19)</f>
        <v>2.3808976157082773E-2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4"/>
        <v>0</v>
      </c>
      <c r="G20" s="2"/>
      <c r="H20" s="2">
        <v>18400</v>
      </c>
      <c r="I20" s="2"/>
      <c r="J20" s="19">
        <f t="shared" si="5"/>
        <v>0.23</v>
      </c>
      <c r="K20" s="2"/>
      <c r="L20" s="2">
        <f t="shared" si="6"/>
        <v>-18400</v>
      </c>
      <c r="M20" s="2"/>
      <c r="N20" s="19">
        <f t="shared" si="7"/>
        <v>-1</v>
      </c>
      <c r="O20" s="11"/>
      <c r="P20" s="2"/>
      <c r="Q20" s="2"/>
      <c r="R20" s="19">
        <f t="shared" si="8"/>
        <v>0</v>
      </c>
      <c r="S20" s="2"/>
      <c r="T20" s="2">
        <v>71300</v>
      </c>
      <c r="U20" s="2"/>
      <c r="V20" s="19">
        <f t="shared" si="9"/>
        <v>0.23</v>
      </c>
      <c r="W20" s="2"/>
      <c r="X20" s="2">
        <f t="shared" si="10"/>
        <v>-71300</v>
      </c>
      <c r="Y20" s="2"/>
      <c r="Z20" s="19">
        <f t="shared" si="11"/>
        <v>-1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22213.41</v>
      </c>
      <c r="E21" s="2"/>
      <c r="F21" s="19">
        <f t="shared" si="4"/>
        <v>0.25607800822413357</v>
      </c>
      <c r="G21" s="2"/>
      <c r="H21" s="2"/>
      <c r="I21" s="2"/>
      <c r="J21" s="19">
        <f t="shared" si="5"/>
        <v>0</v>
      </c>
      <c r="K21" s="2"/>
      <c r="L21" s="2">
        <f t="shared" si="6"/>
        <v>22213.41</v>
      </c>
      <c r="M21" s="2"/>
      <c r="N21" s="19">
        <f t="shared" si="7"/>
        <v>0</v>
      </c>
      <c r="O21" s="11"/>
      <c r="P21" s="2">
        <v>86661.58</v>
      </c>
      <c r="Q21" s="2"/>
      <c r="R21" s="19">
        <f t="shared" si="8"/>
        <v>0.29970645142514807</v>
      </c>
      <c r="S21" s="2"/>
      <c r="T21" s="2"/>
      <c r="U21" s="2"/>
      <c r="V21" s="19">
        <f t="shared" si="9"/>
        <v>0</v>
      </c>
      <c r="W21" s="2"/>
      <c r="X21" s="2">
        <f t="shared" si="10"/>
        <v>86661.58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2548</v>
      </c>
      <c r="E22" s="2"/>
      <c r="F22" s="19">
        <f t="shared" si="4"/>
        <v>2.9373552505225105E-2</v>
      </c>
      <c r="G22" s="2"/>
      <c r="H22" s="2"/>
      <c r="I22" s="2"/>
      <c r="J22" s="19">
        <f t="shared" si="5"/>
        <v>0</v>
      </c>
      <c r="K22" s="2"/>
      <c r="L22" s="2">
        <f t="shared" si="6"/>
        <v>2548</v>
      </c>
      <c r="M22" s="2"/>
      <c r="N22" s="19">
        <f t="shared" si="7"/>
        <v>0</v>
      </c>
      <c r="O22" s="11"/>
      <c r="P22" s="2">
        <v>-13664</v>
      </c>
      <c r="Q22" s="2"/>
      <c r="R22" s="19">
        <f t="shared" si="8"/>
        <v>-4.7254953720820961E-2</v>
      </c>
      <c r="S22" s="2"/>
      <c r="T22" s="2"/>
      <c r="U22" s="2"/>
      <c r="V22" s="19">
        <f t="shared" si="9"/>
        <v>0</v>
      </c>
      <c r="W22" s="2"/>
      <c r="X22" s="2">
        <f t="shared" si="10"/>
        <v>-13664</v>
      </c>
      <c r="Y22" s="2"/>
      <c r="Z22" s="19">
        <f t="shared" si="11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6</v>
      </c>
      <c r="C24" s="29"/>
      <c r="D24" s="21">
        <f>D12-D19</f>
        <v>61983.289999999994</v>
      </c>
      <c r="E24" s="14"/>
      <c r="F24" s="20">
        <f>IF(D$12=0,0,D24/D$12)</f>
        <v>0.71454843927064127</v>
      </c>
      <c r="G24" s="14"/>
      <c r="H24" s="21">
        <f>H12-H19</f>
        <v>61600</v>
      </c>
      <c r="I24" s="14"/>
      <c r="J24" s="20">
        <f>IF(H$12=0,0,H24/H$12)</f>
        <v>0.77</v>
      </c>
      <c r="K24" s="16"/>
      <c r="L24" s="21">
        <f>+D24-H24</f>
        <v>383.2899999999936</v>
      </c>
      <c r="M24" s="16"/>
      <c r="N24" s="20">
        <f>IF(H24=0,0,L24/H24)</f>
        <v>6.222240259740156E-3</v>
      </c>
      <c r="O24" s="28"/>
      <c r="P24" s="21">
        <f>P12-P19</f>
        <v>216157.28999999998</v>
      </c>
      <c r="Q24" s="14"/>
      <c r="R24" s="20">
        <f>IF(P$12=0,0,P24/P$12)</f>
        <v>0.74754850229567282</v>
      </c>
      <c r="S24" s="14"/>
      <c r="T24" s="21">
        <f>T12-T19</f>
        <v>238700</v>
      </c>
      <c r="U24" s="14"/>
      <c r="V24" s="20">
        <f>IF(T$12=0,0,T24/T$12)</f>
        <v>0.77</v>
      </c>
      <c r="W24" s="16"/>
      <c r="X24" s="21">
        <f>+P24-T24</f>
        <v>-22542.710000000021</v>
      </c>
      <c r="Y24" s="16"/>
      <c r="Z24" s="20">
        <f>IF(T24=0,0,X24/T24)</f>
        <v>-9.4439505655634776E-2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9</v>
      </c>
      <c r="C26" s="10"/>
      <c r="D26" s="22">
        <f>SUM(OSRRefD22x_0)</f>
        <v>56356.98</v>
      </c>
      <c r="E26" s="22"/>
      <c r="F26" s="35">
        <f t="shared" ref="F26:F37" si="12">IF(D$12=0,0,D26/D$12)</f>
        <v>0.64968787718442744</v>
      </c>
      <c r="G26" s="22"/>
      <c r="H26" s="22">
        <f>SUM(OSRRefH22x_0)</f>
        <v>36410.993824999998</v>
      </c>
      <c r="I26" s="22"/>
      <c r="J26" s="35">
        <f t="shared" ref="J26:J37" si="13">IF(H$12=0,0,H26/H$12)</f>
        <v>0.45513742281249997</v>
      </c>
      <c r="K26" s="4"/>
      <c r="L26" s="22">
        <f t="shared" ref="L26:L37" si="14">+D26-H26</f>
        <v>19945.986175000005</v>
      </c>
      <c r="M26" s="4"/>
      <c r="N26" s="35">
        <f t="shared" ref="N26:N37" si="15">IF(H26=0,0,L26/H26)</f>
        <v>0.54780120177068548</v>
      </c>
      <c r="O26" s="10"/>
      <c r="P26" s="22">
        <f>SUM(OSRRefP22x_0)</f>
        <v>228809.34</v>
      </c>
      <c r="Q26" s="22"/>
      <c r="R26" s="35">
        <f t="shared" ref="R26:R37" si="16">IF(P$12=0,0,P26/P$12)</f>
        <v>0.79130377434071919</v>
      </c>
      <c r="S26" s="22"/>
      <c r="T26" s="22">
        <f>SUM(OSRRefT22x_0)</f>
        <v>160676.35699999996</v>
      </c>
      <c r="U26" s="22"/>
      <c r="V26" s="35">
        <f t="shared" ref="V26:V37" si="17">IF(T$12=0,0,T26/T$12)</f>
        <v>0.51831082903225789</v>
      </c>
      <c r="W26" s="4"/>
      <c r="X26" s="22">
        <f t="shared" ref="X26:X37" si="18">+P26-T26</f>
        <v>68132.983000000037</v>
      </c>
      <c r="Y26" s="4"/>
      <c r="Z26" s="35">
        <f t="shared" ref="Z26:Z37" si="19">IF(T26=0,0,X26/T26)</f>
        <v>0.42403863438352696</v>
      </c>
    </row>
    <row r="27" spans="1:26" s="27" customFormat="1" outlineLevel="1" collapsed="1" x14ac:dyDescent="0.25">
      <c r="A27" s="26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4286.6099999999997</v>
      </c>
      <c r="E27" s="1"/>
      <c r="F27" s="5">
        <f t="shared" si="12"/>
        <v>4.941639085730886E-2</v>
      </c>
      <c r="G27" s="1"/>
      <c r="H27" s="1">
        <f>SUM(OSRRefH22_0x_0)</f>
        <v>3439.686132692309</v>
      </c>
      <c r="I27" s="1"/>
      <c r="J27" s="5">
        <f t="shared" si="13"/>
        <v>4.2996076658653862E-2</v>
      </c>
      <c r="K27" s="1"/>
      <c r="L27" s="1">
        <f t="shared" si="14"/>
        <v>846.92386730769067</v>
      </c>
      <c r="M27" s="1"/>
      <c r="N27" s="5">
        <f t="shared" si="15"/>
        <v>0.24622126398631231</v>
      </c>
      <c r="O27" s="13"/>
      <c r="P27" s="1">
        <f>SUM(OSRRefP22_0x_0)</f>
        <v>20873.149999999998</v>
      </c>
      <c r="Q27" s="1"/>
      <c r="R27" s="5">
        <f t="shared" si="16"/>
        <v>7.2186748921088548E-2</v>
      </c>
      <c r="S27" s="1"/>
      <c r="T27" s="1">
        <f>SUM(OSRRefT22_0x_0)</f>
        <v>21163.049307692312</v>
      </c>
      <c r="U27" s="1"/>
      <c r="V27" s="5">
        <f t="shared" si="17"/>
        <v>6.8267900992555849E-2</v>
      </c>
      <c r="W27" s="1"/>
      <c r="X27" s="1">
        <f t="shared" si="18"/>
        <v>-289.89930769231432</v>
      </c>
      <c r="Y27" s="1"/>
      <c r="Z27" s="5">
        <f t="shared" si="19"/>
        <v>-1.3698371320570621E-2</v>
      </c>
    </row>
    <row r="28" spans="1:26" s="24" customFormat="1" hidden="1" outlineLevel="2" x14ac:dyDescent="0.25">
      <c r="A28" s="25"/>
      <c r="B28" s="11" t="str">
        <f>CONCATENATE("          ", "6111", " - ", "F.I.C.A.")</f>
        <v xml:space="preserve">          6111 - F.I.C.A.</v>
      </c>
      <c r="C28" s="11"/>
      <c r="D28" s="7">
        <v>1016.86</v>
      </c>
      <c r="E28" s="2"/>
      <c r="F28" s="6">
        <f t="shared" si="12"/>
        <v>1.1722445290605652E-2</v>
      </c>
      <c r="G28" s="2"/>
      <c r="H28" s="7">
        <v>678.953555769231</v>
      </c>
      <c r="I28" s="2"/>
      <c r="J28" s="6">
        <f t="shared" si="13"/>
        <v>8.4869194471153871E-3</v>
      </c>
      <c r="K28" s="2"/>
      <c r="L28" s="7">
        <f t="shared" si="14"/>
        <v>337.90644423076901</v>
      </c>
      <c r="M28" s="2"/>
      <c r="N28" s="6">
        <f t="shared" si="15"/>
        <v>0.497687126548638</v>
      </c>
      <c r="O28" s="11"/>
      <c r="P28" s="7">
        <v>5172.04</v>
      </c>
      <c r="Q28" s="2"/>
      <c r="R28" s="6">
        <f t="shared" si="16"/>
        <v>1.7886746987868473E-2</v>
      </c>
      <c r="S28" s="2"/>
      <c r="T28" s="7">
        <v>4065.2147307692326</v>
      </c>
      <c r="U28" s="2"/>
      <c r="V28" s="6">
        <f t="shared" si="17"/>
        <v>1.3113595905707202E-2</v>
      </c>
      <c r="W28" s="2"/>
      <c r="X28" s="7">
        <f t="shared" si="18"/>
        <v>1106.8252692307674</v>
      </c>
      <c r="Y28" s="2"/>
      <c r="Z28" s="6">
        <f t="shared" si="19"/>
        <v>0.27226735671631558</v>
      </c>
    </row>
    <row r="29" spans="1:26" s="24" customFormat="1" hidden="1" outlineLevel="2" x14ac:dyDescent="0.25">
      <c r="A29" s="25"/>
      <c r="B29" s="11" t="str">
        <f>CONCATENATE("          ", "6112", " - ", "COMPENSATION INSURANCE")</f>
        <v xml:space="preserve">          6112 - COMPENSATION INSURANCE</v>
      </c>
      <c r="C29" s="11"/>
      <c r="D29" s="7">
        <v>794.26</v>
      </c>
      <c r="E29" s="2"/>
      <c r="F29" s="6">
        <f t="shared" si="12"/>
        <v>9.1562942750392819E-3</v>
      </c>
      <c r="G29" s="2"/>
      <c r="H29" s="7">
        <v>448.11015384615399</v>
      </c>
      <c r="I29" s="2"/>
      <c r="J29" s="6">
        <f t="shared" si="13"/>
        <v>5.6013769230769247E-3</v>
      </c>
      <c r="K29" s="2"/>
      <c r="L29" s="7">
        <f t="shared" si="14"/>
        <v>346.149846153846</v>
      </c>
      <c r="M29" s="2"/>
      <c r="N29" s="6">
        <f t="shared" si="15"/>
        <v>0.77246597333897238</v>
      </c>
      <c r="O29" s="11"/>
      <c r="P29" s="7">
        <v>3240.55</v>
      </c>
      <c r="Q29" s="2"/>
      <c r="R29" s="6">
        <f t="shared" si="16"/>
        <v>1.1206970161007492E-2</v>
      </c>
      <c r="S29" s="2"/>
      <c r="T29" s="7">
        <v>2412.8451538461541</v>
      </c>
      <c r="U29" s="2"/>
      <c r="V29" s="6">
        <f t="shared" si="17"/>
        <v>7.7833714640198519E-3</v>
      </c>
      <c r="W29" s="2"/>
      <c r="X29" s="7">
        <f t="shared" si="18"/>
        <v>827.70484615384612</v>
      </c>
      <c r="Y29" s="2"/>
      <c r="Z29" s="6">
        <f t="shared" si="19"/>
        <v>0.34304101315182101</v>
      </c>
    </row>
    <row r="30" spans="1:26" s="24" customFormat="1" hidden="1" outlineLevel="2" x14ac:dyDescent="0.25">
      <c r="A30" s="25"/>
      <c r="B30" s="11" t="str">
        <f>CONCATENATE("          ", "6113", " - ", "GROUP INSURANCE")</f>
        <v xml:space="preserve">          6113 - GROUP INSURANCE</v>
      </c>
      <c r="C30" s="11"/>
      <c r="D30" s="7">
        <v>733.11</v>
      </c>
      <c r="E30" s="2"/>
      <c r="F30" s="6">
        <f t="shared" si="12"/>
        <v>8.4513520710775419E-3</v>
      </c>
      <c r="G30" s="2"/>
      <c r="H30" s="7">
        <v>663</v>
      </c>
      <c r="I30" s="2"/>
      <c r="J30" s="6">
        <f t="shared" si="13"/>
        <v>8.2874999999999997E-3</v>
      </c>
      <c r="K30" s="2"/>
      <c r="L30" s="7">
        <f t="shared" si="14"/>
        <v>70.110000000000014</v>
      </c>
      <c r="M30" s="2"/>
      <c r="N30" s="6">
        <f t="shared" si="15"/>
        <v>0.10574660633484165</v>
      </c>
      <c r="O30" s="11"/>
      <c r="P30" s="7">
        <v>4922.3100000000004</v>
      </c>
      <c r="Q30" s="2"/>
      <c r="R30" s="6">
        <f t="shared" si="16"/>
        <v>1.7023092158191908E-2</v>
      </c>
      <c r="S30" s="2"/>
      <c r="T30" s="7">
        <v>4641</v>
      </c>
      <c r="U30" s="2"/>
      <c r="V30" s="6">
        <f t="shared" si="17"/>
        <v>1.4970967741935483E-2</v>
      </c>
      <c r="W30" s="2"/>
      <c r="X30" s="7">
        <f t="shared" si="18"/>
        <v>281.3100000000004</v>
      </c>
      <c r="Y30" s="2"/>
      <c r="Z30" s="6">
        <f t="shared" si="19"/>
        <v>6.0614091790562465E-2</v>
      </c>
    </row>
    <row r="31" spans="1:26" s="24" customFormat="1" hidden="1" outlineLevel="2" x14ac:dyDescent="0.25">
      <c r="A31" s="25"/>
      <c r="B31" s="11" t="str">
        <f>CONCATENATE("          ", "6114", " - ", "STATE UNEMPLOYMENT INSURANCE")</f>
        <v xml:space="preserve">          6114 - STATE UNEMPLOYMENT INSURANCE</v>
      </c>
      <c r="C31" s="11"/>
      <c r="D31" s="7">
        <v>53.22</v>
      </c>
      <c r="E31" s="2"/>
      <c r="F31" s="6">
        <f t="shared" si="12"/>
        <v>6.1352451504241763E-4</v>
      </c>
      <c r="G31" s="2"/>
      <c r="H31" s="7">
        <v>36.170499999999997</v>
      </c>
      <c r="I31" s="2"/>
      <c r="J31" s="6">
        <f t="shared" si="13"/>
        <v>4.5213124999999996E-4</v>
      </c>
      <c r="K31" s="2"/>
      <c r="L31" s="7">
        <f t="shared" si="14"/>
        <v>17.049500000000002</v>
      </c>
      <c r="M31" s="2"/>
      <c r="N31" s="6">
        <f t="shared" si="15"/>
        <v>0.4713647862208154</v>
      </c>
      <c r="O31" s="11"/>
      <c r="P31" s="7">
        <v>290.60000000000002</v>
      </c>
      <c r="Q31" s="2"/>
      <c r="R31" s="6">
        <f t="shared" si="16"/>
        <v>1.0049977716093802E-3</v>
      </c>
      <c r="S31" s="2"/>
      <c r="T31" s="7">
        <v>190.4675</v>
      </c>
      <c r="U31" s="2"/>
      <c r="V31" s="6">
        <f t="shared" si="17"/>
        <v>6.1441129032258068E-4</v>
      </c>
      <c r="W31" s="2"/>
      <c r="X31" s="7">
        <f t="shared" si="18"/>
        <v>100.13250000000002</v>
      </c>
      <c r="Y31" s="2"/>
      <c r="Z31" s="6">
        <f t="shared" si="19"/>
        <v>0.52571961095725006</v>
      </c>
    </row>
    <row r="32" spans="1:26" s="24" customFormat="1" hidden="1" outlineLevel="2" x14ac:dyDescent="0.25">
      <c r="A32" s="25"/>
      <c r="B32" s="11" t="str">
        <f>CONCATENATE("          ", "6115", " - ", "P.E.R.S.")</f>
        <v xml:space="preserve">          6115 - P.E.R.S.</v>
      </c>
      <c r="C32" s="11"/>
      <c r="D32" s="7">
        <v>481.48</v>
      </c>
      <c r="E32" s="2"/>
      <c r="F32" s="6">
        <f t="shared" si="12"/>
        <v>5.5505408399590984E-3</v>
      </c>
      <c r="G32" s="2"/>
      <c r="H32" s="7">
        <v>494.00384615384598</v>
      </c>
      <c r="I32" s="2"/>
      <c r="J32" s="6">
        <f t="shared" si="13"/>
        <v>6.1750480769230745E-3</v>
      </c>
      <c r="K32" s="2"/>
      <c r="L32" s="7">
        <f t="shared" si="14"/>
        <v>-12.523846153845966</v>
      </c>
      <c r="M32" s="2"/>
      <c r="N32" s="6">
        <f t="shared" si="15"/>
        <v>-2.5351717909389931E-2</v>
      </c>
      <c r="O32" s="11"/>
      <c r="P32" s="7">
        <v>2407.42</v>
      </c>
      <c r="Q32" s="2"/>
      <c r="R32" s="6">
        <f t="shared" si="16"/>
        <v>8.3257114085610942E-3</v>
      </c>
      <c r="S32" s="2"/>
      <c r="T32" s="7">
        <v>3062.8238461538458</v>
      </c>
      <c r="U32" s="2"/>
      <c r="V32" s="6">
        <f t="shared" si="17"/>
        <v>9.880076923076922E-3</v>
      </c>
      <c r="W32" s="2"/>
      <c r="X32" s="7">
        <f t="shared" si="18"/>
        <v>-655.40384615384573</v>
      </c>
      <c r="Y32" s="2"/>
      <c r="Z32" s="6">
        <f t="shared" si="19"/>
        <v>-0.21398679097293563</v>
      </c>
    </row>
    <row r="33" spans="1:26" s="24" customFormat="1" hidden="1" outlineLevel="2" x14ac:dyDescent="0.25">
      <c r="A33" s="25"/>
      <c r="B33" s="11" t="str">
        <f>CONCATENATE("          ", "6116", " - ", "EDUCATIONAL BENEFITS")</f>
        <v xml:space="preserve">          6116 - EDUCATIONAL BENEFITS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5"/>
      <c r="B34" s="11" t="str">
        <f>CONCATENATE("          ", "6117", " - ", "RETIREMENT STAFF HOURLY")</f>
        <v xml:space="preserve">          6117 - RETIREMENT STAFF HOURLY</v>
      </c>
      <c r="C34" s="11"/>
      <c r="D34" s="7">
        <v>109.98</v>
      </c>
      <c r="E34" s="2"/>
      <c r="F34" s="6">
        <f t="shared" si="12"/>
        <v>1.2678584397663489E-3</v>
      </c>
      <c r="G34" s="2"/>
      <c r="H34" s="7"/>
      <c r="I34" s="2"/>
      <c r="J34" s="6">
        <f t="shared" si="13"/>
        <v>0</v>
      </c>
      <c r="K34" s="2"/>
      <c r="L34" s="7">
        <f t="shared" si="14"/>
        <v>109.98</v>
      </c>
      <c r="M34" s="2"/>
      <c r="N34" s="6">
        <f t="shared" si="15"/>
        <v>0</v>
      </c>
      <c r="O34" s="11"/>
      <c r="P34" s="7">
        <v>109.98</v>
      </c>
      <c r="Q34" s="2"/>
      <c r="R34" s="6">
        <f t="shared" si="16"/>
        <v>3.8034981046661953E-4</v>
      </c>
      <c r="S34" s="2"/>
      <c r="T34" s="7"/>
      <c r="U34" s="2"/>
      <c r="V34" s="6">
        <f t="shared" si="17"/>
        <v>0</v>
      </c>
      <c r="W34" s="2"/>
      <c r="X34" s="7">
        <f t="shared" si="18"/>
        <v>109.98</v>
      </c>
      <c r="Y34" s="2"/>
      <c r="Z34" s="6">
        <f t="shared" si="19"/>
        <v>0</v>
      </c>
    </row>
    <row r="35" spans="1:26" s="24" customFormat="1" hidden="1" outlineLevel="2" x14ac:dyDescent="0.25">
      <c r="A35" s="25"/>
      <c r="B35" s="11" t="str">
        <f>CONCATENATE("          ", "6118", " - ", "VACATION")</f>
        <v xml:space="preserve">          6118 - VACATION</v>
      </c>
      <c r="C35" s="11"/>
      <c r="D35" s="7">
        <v>340.16</v>
      </c>
      <c r="E35" s="2"/>
      <c r="F35" s="6">
        <f t="shared" si="12"/>
        <v>3.9213923156112135E-3</v>
      </c>
      <c r="G35" s="2"/>
      <c r="H35" s="7">
        <v>287.21153846153902</v>
      </c>
      <c r="I35" s="2"/>
      <c r="J35" s="6">
        <f t="shared" si="13"/>
        <v>3.5901442307692379E-3</v>
      </c>
      <c r="K35" s="2"/>
      <c r="L35" s="7">
        <f t="shared" si="14"/>
        <v>52.948461538461004</v>
      </c>
      <c r="M35" s="2"/>
      <c r="N35" s="6">
        <f t="shared" si="15"/>
        <v>0.18435353197187593</v>
      </c>
      <c r="O35" s="11"/>
      <c r="P35" s="7">
        <v>1516.44</v>
      </c>
      <c r="Q35" s="2"/>
      <c r="R35" s="6">
        <f t="shared" si="16"/>
        <v>5.2443868574649985E-3</v>
      </c>
      <c r="S35" s="2"/>
      <c r="T35" s="7">
        <v>1780.7115384615411</v>
      </c>
      <c r="U35" s="2"/>
      <c r="V35" s="6">
        <f t="shared" si="17"/>
        <v>5.7442307692307775E-3</v>
      </c>
      <c r="W35" s="2"/>
      <c r="X35" s="7">
        <f t="shared" si="18"/>
        <v>-264.27153846154101</v>
      </c>
      <c r="Y35" s="2"/>
      <c r="Z35" s="6">
        <f t="shared" si="19"/>
        <v>-0.14840783178720815</v>
      </c>
    </row>
    <row r="36" spans="1:26" s="24" customFormat="1" hidden="1" outlineLevel="2" x14ac:dyDescent="0.25">
      <c r="A36" s="25"/>
      <c r="B36" s="11" t="str">
        <f>CONCATENATE("          ", "6119", " - ", "SICK LEAVE")</f>
        <v xml:space="preserve">          6119 - SICK LEAVE</v>
      </c>
      <c r="C36" s="11"/>
      <c r="D36" s="7">
        <v>407.54</v>
      </c>
      <c r="E36" s="2"/>
      <c r="F36" s="6">
        <f t="shared" si="12"/>
        <v>4.6981544693796857E-3</v>
      </c>
      <c r="G36" s="2"/>
      <c r="H36" s="7">
        <v>532.236538461539</v>
      </c>
      <c r="I36" s="2"/>
      <c r="J36" s="6">
        <f t="shared" si="13"/>
        <v>6.6529567307692375E-3</v>
      </c>
      <c r="K36" s="2"/>
      <c r="L36" s="7">
        <f t="shared" si="14"/>
        <v>-124.69653846153898</v>
      </c>
      <c r="M36" s="2"/>
      <c r="N36" s="6">
        <f t="shared" si="15"/>
        <v>-0.23428782026499281</v>
      </c>
      <c r="O36" s="11"/>
      <c r="P36" s="7">
        <v>1879.12</v>
      </c>
      <c r="Q36" s="2"/>
      <c r="R36" s="6">
        <f t="shared" si="16"/>
        <v>6.4986628100021275E-3</v>
      </c>
      <c r="S36" s="2"/>
      <c r="T36" s="7">
        <v>2909.98653846154</v>
      </c>
      <c r="U36" s="2"/>
      <c r="V36" s="6">
        <f t="shared" si="17"/>
        <v>9.3870533498759349E-3</v>
      </c>
      <c r="W36" s="2"/>
      <c r="X36" s="7">
        <f t="shared" si="18"/>
        <v>-1030.8665384615401</v>
      </c>
      <c r="Y36" s="2"/>
      <c r="Z36" s="6">
        <f t="shared" si="19"/>
        <v>-0.35425130832616897</v>
      </c>
    </row>
    <row r="37" spans="1:26" s="24" customFormat="1" hidden="1" outlineLevel="2" x14ac:dyDescent="0.25">
      <c r="A37" s="25"/>
      <c r="B37" s="11" t="str">
        <f>CONCATENATE("          ", "6156", " - ", "EMPLOYEE MEALS")</f>
        <v xml:space="preserve">          6156 - EMPLOYEE MEALS</v>
      </c>
      <c r="C37" s="11"/>
      <c r="D37" s="7">
        <v>350</v>
      </c>
      <c r="E37" s="2"/>
      <c r="F37" s="6">
        <f t="shared" si="12"/>
        <v>4.0348286408276243E-3</v>
      </c>
      <c r="G37" s="2"/>
      <c r="H37" s="7">
        <v>300</v>
      </c>
      <c r="I37" s="2"/>
      <c r="J37" s="6">
        <f t="shared" si="13"/>
        <v>3.7499999999999999E-3</v>
      </c>
      <c r="K37" s="2"/>
      <c r="L37" s="7">
        <f t="shared" si="14"/>
        <v>50</v>
      </c>
      <c r="M37" s="2"/>
      <c r="N37" s="6">
        <f t="shared" si="15"/>
        <v>0.16666666666666666</v>
      </c>
      <c r="O37" s="11"/>
      <c r="P37" s="7">
        <v>1334.69</v>
      </c>
      <c r="Q37" s="2"/>
      <c r="R37" s="6">
        <f t="shared" si="16"/>
        <v>4.615830955916461E-3</v>
      </c>
      <c r="S37" s="2"/>
      <c r="T37" s="7">
        <v>2100</v>
      </c>
      <c r="U37" s="2"/>
      <c r="V37" s="6">
        <f t="shared" si="17"/>
        <v>6.7741935483870966E-3</v>
      </c>
      <c r="W37" s="2"/>
      <c r="X37" s="7">
        <f t="shared" si="18"/>
        <v>-765.31</v>
      </c>
      <c r="Y37" s="2"/>
      <c r="Z37" s="6">
        <f t="shared" si="19"/>
        <v>-0.36443333333333333</v>
      </c>
    </row>
    <row r="38" spans="1:26" s="27" customFormat="1" outlineLevel="1" collapsed="1" x14ac:dyDescent="0.25">
      <c r="A38" s="26"/>
      <c r="B38" s="13" t="str">
        <f>CONCATENATE("     ","*Payroll                                          ")</f>
        <v xml:space="preserve">     *Payroll                                          </v>
      </c>
      <c r="C38" s="13"/>
      <c r="D38" s="1">
        <f>SUM(OSRRefD22_1x_0)</f>
        <v>29033.409999999996</v>
      </c>
      <c r="E38" s="1"/>
      <c r="F38" s="5">
        <f t="shared" ref="F38:F48" si="20">IF(D$12=0,0,D38/D$12)</f>
        <v>0.33469952631111755</v>
      </c>
      <c r="G38" s="1"/>
      <c r="H38" s="1">
        <f>SUM(OSRRefH22_1x_0)</f>
        <v>13337.307692307691</v>
      </c>
      <c r="I38" s="1"/>
      <c r="J38" s="5">
        <f t="shared" ref="J38:J48" si="21">IF(H$12=0,0,H38/H$12)</f>
        <v>0.16671634615384615</v>
      </c>
      <c r="K38" s="1"/>
      <c r="L38" s="1">
        <f t="shared" ref="L38:L48" si="22">+D38-H38</f>
        <v>15696.102307692305</v>
      </c>
      <c r="M38" s="1"/>
      <c r="N38" s="5">
        <f t="shared" ref="N38:N48" si="23">IF(H38=0,0,L38/H38)</f>
        <v>1.1768568791994694</v>
      </c>
      <c r="O38" s="13"/>
      <c r="P38" s="1">
        <f>SUM(OSRRefP22_1x_0)</f>
        <v>97680.82</v>
      </c>
      <c r="Q38" s="1"/>
      <c r="R38" s="5">
        <f t="shared" ref="R38:R48" si="24">IF(P$12=0,0,P38/P$12)</f>
        <v>0.33781488791802128</v>
      </c>
      <c r="S38" s="1"/>
      <c r="T38" s="1">
        <f>SUM(OSRRefT22_1x_0)</f>
        <v>69695.307692307659</v>
      </c>
      <c r="U38" s="1"/>
      <c r="V38" s="5">
        <f t="shared" ref="V38:V48" si="25">IF(T$12=0,0,T38/T$12)</f>
        <v>0.22482357320099244</v>
      </c>
      <c r="W38" s="1"/>
      <c r="X38" s="1">
        <f t="shared" ref="X38:X48" si="26">+P38-T38</f>
        <v>27985.512307692348</v>
      </c>
      <c r="Y38" s="1"/>
      <c r="Z38" s="5">
        <f t="shared" ref="Z38:Z48" si="27">IF(T38=0,0,X38/T38)</f>
        <v>0.40154083874976759</v>
      </c>
    </row>
    <row r="39" spans="1:26" s="24" customFormat="1" hidden="1" outlineLevel="2" x14ac:dyDescent="0.25">
      <c r="A39" s="25"/>
      <c r="B39" s="11" t="str">
        <f>CONCATENATE("          ", "6001", " - ", "ADMINISTRATIVE SALARIES")</f>
        <v xml:space="preserve">          6001 - ADMINISTRATIVE SALARIES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5"/>
      <c r="B40" s="11" t="str">
        <f>CONCATENATE("          ", "6002", " - ", "STAFF SALARIES")</f>
        <v xml:space="preserve">          6002 - STAFF SALARIES</v>
      </c>
      <c r="C40" s="11"/>
      <c r="D40" s="7">
        <v>5514.61</v>
      </c>
      <c r="E40" s="2"/>
      <c r="F40" s="6">
        <f t="shared" si="20"/>
        <v>6.3572875345698346E-2</v>
      </c>
      <c r="G40" s="2"/>
      <c r="H40" s="7">
        <v>5169.8076923076906</v>
      </c>
      <c r="I40" s="2"/>
      <c r="J40" s="6">
        <f t="shared" si="21"/>
        <v>6.4622596153846135E-2</v>
      </c>
      <c r="K40" s="2"/>
      <c r="L40" s="7">
        <f t="shared" si="22"/>
        <v>344.80230769230911</v>
      </c>
      <c r="M40" s="2"/>
      <c r="N40" s="6">
        <f t="shared" si="23"/>
        <v>6.6695383699736197E-2</v>
      </c>
      <c r="O40" s="11"/>
      <c r="P40" s="7">
        <v>34695.270000000004</v>
      </c>
      <c r="Q40" s="2"/>
      <c r="R40" s="6">
        <f t="shared" si="24"/>
        <v>0.1199885376303709</v>
      </c>
      <c r="S40" s="2"/>
      <c r="T40" s="7">
        <v>32052.807692307666</v>
      </c>
      <c r="U40" s="2"/>
      <c r="V40" s="6">
        <f t="shared" si="25"/>
        <v>0.10339615384615376</v>
      </c>
      <c r="W40" s="2"/>
      <c r="X40" s="7">
        <f t="shared" si="26"/>
        <v>2642.4623076923381</v>
      </c>
      <c r="Y40" s="2"/>
      <c r="Z40" s="6">
        <f t="shared" si="27"/>
        <v>8.2440899813169904E-2</v>
      </c>
    </row>
    <row r="41" spans="1:26" s="24" customFormat="1" hidden="1" outlineLevel="2" x14ac:dyDescent="0.25">
      <c r="A41" s="25"/>
      <c r="B41" s="11" t="str">
        <f>CONCATENATE("          ", "6003", " - ", "STAFF HOURLY-9 MONTH")</f>
        <v xml:space="preserve">          6003 - STAFF HOURLY-9 MONTH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5"/>
      <c r="B42" s="11" t="str">
        <f>CONCATENATE("          ", "6004", " - ", "STAFF HOURLY")</f>
        <v xml:space="preserve">          6004 - STAFF HOURLY</v>
      </c>
      <c r="C42" s="11"/>
      <c r="D42" s="7">
        <v>3021.01</v>
      </c>
      <c r="E42" s="2"/>
      <c r="F42" s="6">
        <f t="shared" si="20"/>
        <v>3.4826450492076173E-2</v>
      </c>
      <c r="G42" s="2"/>
      <c r="H42" s="7">
        <v>2362.5</v>
      </c>
      <c r="I42" s="2"/>
      <c r="J42" s="6">
        <f t="shared" si="21"/>
        <v>2.9531249999999998E-2</v>
      </c>
      <c r="K42" s="2"/>
      <c r="L42" s="7">
        <f t="shared" si="22"/>
        <v>658.51000000000022</v>
      </c>
      <c r="M42" s="2"/>
      <c r="N42" s="6">
        <f t="shared" si="23"/>
        <v>0.27873439153439161</v>
      </c>
      <c r="O42" s="11"/>
      <c r="P42" s="7">
        <v>3021.01</v>
      </c>
      <c r="Q42" s="2"/>
      <c r="R42" s="6">
        <f t="shared" si="24"/>
        <v>1.0447723048897638E-2</v>
      </c>
      <c r="S42" s="2"/>
      <c r="T42" s="7">
        <v>9412.5</v>
      </c>
      <c r="U42" s="2"/>
      <c r="V42" s="6">
        <f t="shared" si="25"/>
        <v>3.036290322580645E-2</v>
      </c>
      <c r="W42" s="2"/>
      <c r="X42" s="7">
        <f t="shared" si="26"/>
        <v>-6391.49</v>
      </c>
      <c r="Y42" s="2"/>
      <c r="Z42" s="6">
        <f t="shared" si="27"/>
        <v>-0.67904276228419658</v>
      </c>
    </row>
    <row r="43" spans="1:26" s="24" customFormat="1" hidden="1" outlineLevel="2" x14ac:dyDescent="0.25">
      <c r="A43" s="25"/>
      <c r="B43" s="11" t="str">
        <f>CONCATENATE("          ", "6005", " - ", "TEMPORARY WAGES-HOURLY")</f>
        <v xml:space="preserve">          6005 - TEMPORARY WAGES-HOURLY</v>
      </c>
      <c r="C43" s="11"/>
      <c r="D43" s="7">
        <v>6166.44</v>
      </c>
      <c r="E43" s="2"/>
      <c r="F43" s="6">
        <f t="shared" si="20"/>
        <v>7.1087224925557413E-2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6166.44</v>
      </c>
      <c r="M43" s="2"/>
      <c r="N43" s="6">
        <f t="shared" si="23"/>
        <v>0</v>
      </c>
      <c r="O43" s="11"/>
      <c r="P43" s="7">
        <v>21627.31</v>
      </c>
      <c r="Q43" s="2"/>
      <c r="R43" s="6">
        <f t="shared" si="24"/>
        <v>7.4794901431194993E-2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21627.31</v>
      </c>
      <c r="Y43" s="2"/>
      <c r="Z43" s="6">
        <f t="shared" si="27"/>
        <v>0</v>
      </c>
    </row>
    <row r="44" spans="1:26" s="24" customFormat="1" hidden="1" outlineLevel="2" x14ac:dyDescent="0.25">
      <c r="A44" s="25"/>
      <c r="B44" s="11" t="str">
        <f>CONCATENATE("          ", "6006", " - ", "TEMPORARY PART TIME")</f>
        <v xml:space="preserve">          6006 - TEMPORARY PART TIME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>
        <v>303.38</v>
      </c>
      <c r="Q44" s="2"/>
      <c r="R44" s="6">
        <f t="shared" si="24"/>
        <v>1.049195540092408E-3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303.38</v>
      </c>
      <c r="Y44" s="2"/>
      <c r="Z44" s="6">
        <f t="shared" si="27"/>
        <v>0</v>
      </c>
    </row>
    <row r="45" spans="1:26" s="24" customFormat="1" hidden="1" outlineLevel="2" x14ac:dyDescent="0.25">
      <c r="A45" s="25"/>
      <c r="B45" s="11" t="str">
        <f>CONCATENATE("          ", "6007", " - ", "STUDENT HOURLY")</f>
        <v xml:space="preserve">          6007 - STUDENT HOURLY</v>
      </c>
      <c r="C45" s="11"/>
      <c r="D45" s="7">
        <v>13577.35</v>
      </c>
      <c r="E45" s="2"/>
      <c r="F45" s="6">
        <f t="shared" si="20"/>
        <v>0.15652080184725983</v>
      </c>
      <c r="G45" s="2"/>
      <c r="H45" s="7">
        <v>765</v>
      </c>
      <c r="I45" s="2"/>
      <c r="J45" s="6">
        <f t="shared" si="21"/>
        <v>9.5624999999999998E-3</v>
      </c>
      <c r="K45" s="2"/>
      <c r="L45" s="7">
        <f t="shared" si="22"/>
        <v>12812.35</v>
      </c>
      <c r="M45" s="2"/>
      <c r="N45" s="6">
        <f t="shared" si="23"/>
        <v>16.748169934640522</v>
      </c>
      <c r="O45" s="11"/>
      <c r="P45" s="7">
        <v>34084.85</v>
      </c>
      <c r="Q45" s="2"/>
      <c r="R45" s="6">
        <f t="shared" si="24"/>
        <v>0.11787748897329656</v>
      </c>
      <c r="S45" s="2"/>
      <c r="T45" s="7">
        <v>8092.5</v>
      </c>
      <c r="U45" s="2"/>
      <c r="V45" s="6">
        <f t="shared" si="25"/>
        <v>2.6104838709677419E-2</v>
      </c>
      <c r="W45" s="2"/>
      <c r="X45" s="7">
        <f t="shared" si="26"/>
        <v>25992.35</v>
      </c>
      <c r="Y45" s="2"/>
      <c r="Z45" s="6">
        <f t="shared" si="27"/>
        <v>3.2119060858819894</v>
      </c>
    </row>
    <row r="46" spans="1:26" s="24" customFormat="1" hidden="1" outlineLevel="2" x14ac:dyDescent="0.25">
      <c r="A46" s="25"/>
      <c r="B46" s="11" t="str">
        <f>CONCATENATE("          ", "6008", " - ", "STUDENT HOURLY-FICA EXEMPT")</f>
        <v xml:space="preserve">          6008 - STUDENT HOURLY-FICA EXEMPT</v>
      </c>
      <c r="C46" s="11"/>
      <c r="D46" s="7">
        <v>754</v>
      </c>
      <c r="E46" s="2"/>
      <c r="F46" s="6">
        <f t="shared" si="20"/>
        <v>8.6921737005257963E-3</v>
      </c>
      <c r="G46" s="2"/>
      <c r="H46" s="7">
        <v>5040</v>
      </c>
      <c r="I46" s="2"/>
      <c r="J46" s="6">
        <f t="shared" si="21"/>
        <v>6.3E-2</v>
      </c>
      <c r="K46" s="2"/>
      <c r="L46" s="7">
        <f t="shared" si="22"/>
        <v>-4286</v>
      </c>
      <c r="M46" s="2"/>
      <c r="N46" s="6">
        <f t="shared" si="23"/>
        <v>-0.85039682539682537</v>
      </c>
      <c r="O46" s="11"/>
      <c r="P46" s="7">
        <v>3949</v>
      </c>
      <c r="Q46" s="2"/>
      <c r="R46" s="6">
        <f t="shared" si="24"/>
        <v>1.3657041294168762E-2</v>
      </c>
      <c r="S46" s="2"/>
      <c r="T46" s="7">
        <v>20137.5</v>
      </c>
      <c r="U46" s="2"/>
      <c r="V46" s="6">
        <f t="shared" si="25"/>
        <v>6.4959677419354836E-2</v>
      </c>
      <c r="W46" s="2"/>
      <c r="X46" s="7">
        <f t="shared" si="26"/>
        <v>-16188.5</v>
      </c>
      <c r="Y46" s="2"/>
      <c r="Z46" s="6">
        <f t="shared" si="27"/>
        <v>-0.80389819987585354</v>
      </c>
    </row>
    <row r="47" spans="1:26" s="24" customFormat="1" hidden="1" outlineLevel="2" x14ac:dyDescent="0.25">
      <c r="A47" s="25"/>
      <c r="B47" s="11" t="str">
        <f>CONCATENATE("          ", "6009", " - ", "TEMPORARY-SEASONAL")</f>
        <v xml:space="preserve">          6009 - TEMPORARY-SEASONAL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4" customFormat="1" hidden="1" outlineLevel="2" x14ac:dyDescent="0.25">
      <c r="A48" s="25"/>
      <c r="B48" s="11" t="str">
        <f>CONCATENATE("          ", "6010", " - ", "GRATUITY")</f>
        <v xml:space="preserve">          6010 - GRATUITY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7" customFormat="1" outlineLevel="1" collapsed="1" x14ac:dyDescent="0.25">
      <c r="A49" s="26"/>
      <c r="B49" s="13" t="str">
        <f>CONCATENATE("     ","Advertising/Promo                                 ")</f>
        <v xml:space="preserve">     Advertising/Promo                                 </v>
      </c>
      <c r="C49" s="13"/>
      <c r="D49" s="1">
        <f>SUM(OSRRefD22_2x_0)</f>
        <v>91.97</v>
      </c>
      <c r="E49" s="1"/>
      <c r="F49" s="5">
        <f t="shared" ref="F49:F57" si="28">IF(D$12=0,0,D49/D$12)</f>
        <v>1.0602376859911902E-3</v>
      </c>
      <c r="G49" s="1"/>
      <c r="H49" s="1">
        <f>SUM(OSRRefH22_2x_0)</f>
        <v>200</v>
      </c>
      <c r="I49" s="1"/>
      <c r="J49" s="5">
        <f t="shared" ref="J49:J57" si="29">IF(H$12=0,0,H49/H$12)</f>
        <v>2.5000000000000001E-3</v>
      </c>
      <c r="K49" s="1"/>
      <c r="L49" s="1">
        <f t="shared" ref="L49:L57" si="30">+D49-H49</f>
        <v>-108.03</v>
      </c>
      <c r="M49" s="1"/>
      <c r="N49" s="5">
        <f t="shared" ref="N49:N57" si="31">IF(H49=0,0,L49/H49)</f>
        <v>-0.54015000000000002</v>
      </c>
      <c r="O49" s="13"/>
      <c r="P49" s="1">
        <f>SUM(OSRRefP22_2x_0)</f>
        <v>1868.45</v>
      </c>
      <c r="Q49" s="1"/>
      <c r="R49" s="5">
        <f t="shared" ref="R49:R57" si="32">IF(P$12=0,0,P49/P$12)</f>
        <v>6.4617621691794441E-3</v>
      </c>
      <c r="S49" s="1"/>
      <c r="T49" s="1">
        <f>SUM(OSRRefT22_2x_0)</f>
        <v>1625</v>
      </c>
      <c r="U49" s="1"/>
      <c r="V49" s="5">
        <f t="shared" ref="V49:V57" si="33">IF(T$12=0,0,T49/T$12)</f>
        <v>5.2419354838709681E-3</v>
      </c>
      <c r="W49" s="1"/>
      <c r="X49" s="1">
        <f t="shared" ref="X49:X57" si="34">+P49-T49</f>
        <v>243.45000000000005</v>
      </c>
      <c r="Y49" s="1"/>
      <c r="Z49" s="5">
        <f t="shared" ref="Z49:Z57" si="35">IF(T49=0,0,X49/T49)</f>
        <v>0.14981538461538466</v>
      </c>
    </row>
    <row r="50" spans="1:26" s="24" customFormat="1" hidden="1" outlineLevel="2" x14ac:dyDescent="0.25">
      <c r="A50" s="25"/>
      <c r="B50" s="11" t="str">
        <f>CONCATENATE("          ", "6362", " - ", "ADVERTISING EXPENSE")</f>
        <v xml:space="preserve">          6362 - ADVERTISING EXPENSE</v>
      </c>
      <c r="C50" s="11"/>
      <c r="D50" s="7">
        <v>91.97</v>
      </c>
      <c r="E50" s="2"/>
      <c r="F50" s="6">
        <f t="shared" si="28"/>
        <v>1.0602376859911902E-3</v>
      </c>
      <c r="G50" s="2"/>
      <c r="H50" s="7">
        <v>200</v>
      </c>
      <c r="I50" s="2"/>
      <c r="J50" s="6">
        <f t="shared" si="29"/>
        <v>2.5000000000000001E-3</v>
      </c>
      <c r="K50" s="2"/>
      <c r="L50" s="7">
        <f t="shared" si="30"/>
        <v>-108.03</v>
      </c>
      <c r="M50" s="2"/>
      <c r="N50" s="6">
        <f t="shared" si="31"/>
        <v>-0.54015000000000002</v>
      </c>
      <c r="O50" s="11"/>
      <c r="P50" s="7">
        <v>1868.45</v>
      </c>
      <c r="Q50" s="2"/>
      <c r="R50" s="6">
        <f t="shared" si="32"/>
        <v>6.4617621691794441E-3</v>
      </c>
      <c r="S50" s="2"/>
      <c r="T50" s="7">
        <v>1625</v>
      </c>
      <c r="U50" s="2"/>
      <c r="V50" s="6">
        <f t="shared" si="33"/>
        <v>5.2419354838709681E-3</v>
      </c>
      <c r="W50" s="2"/>
      <c r="X50" s="7">
        <f t="shared" si="34"/>
        <v>243.45000000000005</v>
      </c>
      <c r="Y50" s="2"/>
      <c r="Z50" s="6">
        <f t="shared" si="35"/>
        <v>0.14981538461538466</v>
      </c>
    </row>
    <row r="51" spans="1:26" s="27" customFormat="1" outlineLevel="1" collapsed="1" x14ac:dyDescent="0.25">
      <c r="A51" s="26"/>
      <c r="B51" s="13" t="str">
        <f>CONCATENATE("     ","Bad Debts/Over/Short                              ")</f>
        <v xml:space="preserve">     Bad Debts/Over/Short                              </v>
      </c>
      <c r="C51" s="13"/>
      <c r="D51" s="1">
        <f>SUM(OSRRefD22_3x_0)</f>
        <v>-180.04</v>
      </c>
      <c r="E51" s="1"/>
      <c r="F51" s="5">
        <f t="shared" si="28"/>
        <v>-2.07551585284173E-3</v>
      </c>
      <c r="G51" s="1"/>
      <c r="H51" s="1">
        <f>SUM(OSRRefH22_3x_0)</f>
        <v>50</v>
      </c>
      <c r="I51" s="1"/>
      <c r="J51" s="5">
        <f t="shared" si="29"/>
        <v>6.2500000000000001E-4</v>
      </c>
      <c r="K51" s="1"/>
      <c r="L51" s="1">
        <f t="shared" si="30"/>
        <v>-230.04</v>
      </c>
      <c r="M51" s="1"/>
      <c r="N51" s="5">
        <f t="shared" si="31"/>
        <v>-4.6007999999999996</v>
      </c>
      <c r="O51" s="13"/>
      <c r="P51" s="1">
        <f>SUM(OSRRefP22_3x_0)</f>
        <v>-180.11</v>
      </c>
      <c r="Q51" s="1"/>
      <c r="R51" s="5">
        <f t="shared" si="32"/>
        <v>-6.2288420042864924E-4</v>
      </c>
      <c r="S51" s="1"/>
      <c r="T51" s="1">
        <f>SUM(OSRRefT22_3x_0)</f>
        <v>350</v>
      </c>
      <c r="U51" s="1"/>
      <c r="V51" s="5">
        <f t="shared" si="33"/>
        <v>1.1290322580645162E-3</v>
      </c>
      <c r="W51" s="1"/>
      <c r="X51" s="1">
        <f t="shared" si="34"/>
        <v>-530.11</v>
      </c>
      <c r="Y51" s="1"/>
      <c r="Z51" s="5">
        <f t="shared" si="35"/>
        <v>-1.5145999999999999</v>
      </c>
    </row>
    <row r="52" spans="1:26" s="24" customFormat="1" hidden="1" outlineLevel="2" x14ac:dyDescent="0.25">
      <c r="A52" s="25"/>
      <c r="B52" s="11" t="str">
        <f>CONCATENATE("          ", "6272", " - ", "CASH (OVER/SHORT)")</f>
        <v xml:space="preserve">          6272 - CASH (OVER/SHORT)</v>
      </c>
      <c r="C52" s="11"/>
      <c r="D52" s="7">
        <v>-180.04</v>
      </c>
      <c r="E52" s="2"/>
      <c r="F52" s="6">
        <f t="shared" si="28"/>
        <v>-2.07551585284173E-3</v>
      </c>
      <c r="G52" s="2"/>
      <c r="H52" s="7">
        <v>50</v>
      </c>
      <c r="I52" s="2"/>
      <c r="J52" s="6">
        <f t="shared" si="29"/>
        <v>6.2500000000000001E-4</v>
      </c>
      <c r="K52" s="2"/>
      <c r="L52" s="7">
        <f t="shared" si="30"/>
        <v>-230.04</v>
      </c>
      <c r="M52" s="2"/>
      <c r="N52" s="6">
        <f t="shared" si="31"/>
        <v>-4.6007999999999996</v>
      </c>
      <c r="O52" s="11"/>
      <c r="P52" s="7">
        <v>-180.11</v>
      </c>
      <c r="Q52" s="2"/>
      <c r="R52" s="6">
        <f t="shared" si="32"/>
        <v>-6.2288420042864924E-4</v>
      </c>
      <c r="S52" s="2"/>
      <c r="T52" s="7">
        <v>350</v>
      </c>
      <c r="U52" s="2"/>
      <c r="V52" s="6">
        <f t="shared" si="33"/>
        <v>1.1290322580645162E-3</v>
      </c>
      <c r="W52" s="2"/>
      <c r="X52" s="7">
        <f t="shared" si="34"/>
        <v>-530.11</v>
      </c>
      <c r="Y52" s="2"/>
      <c r="Z52" s="6">
        <f t="shared" si="35"/>
        <v>-1.5145999999999999</v>
      </c>
    </row>
    <row r="53" spans="1:26" s="27" customFormat="1" outlineLevel="1" collapsed="1" x14ac:dyDescent="0.25">
      <c r="A53" s="26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1336.3</v>
      </c>
      <c r="E53" s="1"/>
      <c r="F53" s="5">
        <f t="shared" si="28"/>
        <v>1.5404975750679869E-2</v>
      </c>
      <c r="G53" s="1"/>
      <c r="H53" s="1">
        <f>SUM(OSRRefH22_4x_0)</f>
        <v>800</v>
      </c>
      <c r="I53" s="1"/>
      <c r="J53" s="5">
        <f t="shared" si="29"/>
        <v>0.01</v>
      </c>
      <c r="K53" s="1"/>
      <c r="L53" s="1">
        <f t="shared" si="30"/>
        <v>536.29999999999995</v>
      </c>
      <c r="M53" s="1"/>
      <c r="N53" s="5">
        <f t="shared" si="31"/>
        <v>0.67037499999999994</v>
      </c>
      <c r="O53" s="13"/>
      <c r="P53" s="1">
        <f>SUM(OSRRefP22_4x_0)</f>
        <v>6127.13</v>
      </c>
      <c r="Q53" s="1"/>
      <c r="R53" s="5">
        <f t="shared" si="32"/>
        <v>2.1189786635791401E-2</v>
      </c>
      <c r="S53" s="1"/>
      <c r="T53" s="1">
        <f>SUM(OSRRefT22_4x_0)</f>
        <v>3100</v>
      </c>
      <c r="U53" s="1"/>
      <c r="V53" s="5">
        <f t="shared" si="33"/>
        <v>0.01</v>
      </c>
      <c r="W53" s="1"/>
      <c r="X53" s="1">
        <f t="shared" si="34"/>
        <v>3027.13</v>
      </c>
      <c r="Y53" s="1"/>
      <c r="Z53" s="5">
        <f t="shared" si="35"/>
        <v>0.97649354838709679</v>
      </c>
    </row>
    <row r="54" spans="1:26" s="24" customFormat="1" hidden="1" outlineLevel="2" x14ac:dyDescent="0.25">
      <c r="A54" s="25"/>
      <c r="B54" s="11" t="str">
        <f>CONCATENATE("          ", "6381", " - ", "BANK/CREDIT CARD FEES")</f>
        <v xml:space="preserve">          6381 - BANK/CREDIT CARD FEES</v>
      </c>
      <c r="C54" s="11"/>
      <c r="D54" s="7">
        <v>1336.3</v>
      </c>
      <c r="E54" s="2"/>
      <c r="F54" s="6">
        <f t="shared" si="28"/>
        <v>1.5404975750679869E-2</v>
      </c>
      <c r="G54" s="2"/>
      <c r="H54" s="7">
        <v>800</v>
      </c>
      <c r="I54" s="2"/>
      <c r="J54" s="6">
        <f t="shared" si="29"/>
        <v>0.01</v>
      </c>
      <c r="K54" s="2"/>
      <c r="L54" s="7">
        <f t="shared" si="30"/>
        <v>536.29999999999995</v>
      </c>
      <c r="M54" s="2"/>
      <c r="N54" s="6">
        <f t="shared" si="31"/>
        <v>0.67037499999999994</v>
      </c>
      <c r="O54" s="11"/>
      <c r="P54" s="7">
        <v>6127.13</v>
      </c>
      <c r="Q54" s="2"/>
      <c r="R54" s="6">
        <f t="shared" si="32"/>
        <v>2.1189786635791401E-2</v>
      </c>
      <c r="S54" s="2"/>
      <c r="T54" s="7">
        <v>3100</v>
      </c>
      <c r="U54" s="2"/>
      <c r="V54" s="6">
        <f t="shared" si="33"/>
        <v>0.01</v>
      </c>
      <c r="W54" s="2"/>
      <c r="X54" s="7">
        <f t="shared" si="34"/>
        <v>3027.13</v>
      </c>
      <c r="Y54" s="2"/>
      <c r="Z54" s="6">
        <f t="shared" si="35"/>
        <v>0.97649354838709679</v>
      </c>
    </row>
    <row r="55" spans="1:26" s="27" customFormat="1" outlineLevel="1" collapsed="1" x14ac:dyDescent="0.25">
      <c r="A55" s="26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SUM(OSRRefD22_5x_0)</f>
        <v>255.35</v>
      </c>
      <c r="E55" s="1"/>
      <c r="F55" s="5">
        <f t="shared" si="28"/>
        <v>2.9436956955295251E-3</v>
      </c>
      <c r="G55" s="1"/>
      <c r="H55" s="1">
        <f>SUM(OSRRefH22_5x_0)</f>
        <v>436</v>
      </c>
      <c r="I55" s="1"/>
      <c r="J55" s="5">
        <f t="shared" si="29"/>
        <v>5.45E-3</v>
      </c>
      <c r="K55" s="1"/>
      <c r="L55" s="1">
        <f t="shared" si="30"/>
        <v>-180.65</v>
      </c>
      <c r="M55" s="1"/>
      <c r="N55" s="5">
        <f t="shared" si="31"/>
        <v>-0.41433486238532113</v>
      </c>
      <c r="O55" s="13"/>
      <c r="P55" s="1">
        <f>SUM(OSRRefP22_5x_0)</f>
        <v>1787.45</v>
      </c>
      <c r="Q55" s="1"/>
      <c r="R55" s="5">
        <f t="shared" si="32"/>
        <v>6.1816354675264503E-3</v>
      </c>
      <c r="S55" s="1"/>
      <c r="T55" s="1">
        <f>SUM(OSRRefT22_5x_0)</f>
        <v>2551</v>
      </c>
      <c r="U55" s="1"/>
      <c r="V55" s="5">
        <f t="shared" si="33"/>
        <v>8.2290322580645166E-3</v>
      </c>
      <c r="W55" s="1"/>
      <c r="X55" s="1">
        <f t="shared" si="34"/>
        <v>-763.55</v>
      </c>
      <c r="Y55" s="1"/>
      <c r="Z55" s="5">
        <f t="shared" si="35"/>
        <v>-0.29931399451195606</v>
      </c>
    </row>
    <row r="56" spans="1:26" s="24" customFormat="1" hidden="1" outlineLevel="2" x14ac:dyDescent="0.25">
      <c r="A56" s="25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255.35</v>
      </c>
      <c r="E56" s="2"/>
      <c r="F56" s="6">
        <f t="shared" si="28"/>
        <v>2.9436956955295251E-3</v>
      </c>
      <c r="G56" s="2"/>
      <c r="H56" s="7">
        <v>269</v>
      </c>
      <c r="I56" s="2"/>
      <c r="J56" s="6">
        <f t="shared" si="29"/>
        <v>3.3625E-3</v>
      </c>
      <c r="K56" s="2"/>
      <c r="L56" s="7">
        <f t="shared" si="30"/>
        <v>-13.650000000000006</v>
      </c>
      <c r="M56" s="2"/>
      <c r="N56" s="6">
        <f t="shared" si="31"/>
        <v>-5.0743494423791842E-2</v>
      </c>
      <c r="O56" s="11"/>
      <c r="P56" s="7">
        <v>1787.45</v>
      </c>
      <c r="Q56" s="2"/>
      <c r="R56" s="6">
        <f t="shared" si="32"/>
        <v>6.1816354675264503E-3</v>
      </c>
      <c r="S56" s="2"/>
      <c r="T56" s="7">
        <v>1883</v>
      </c>
      <c r="U56" s="2"/>
      <c r="V56" s="6">
        <f t="shared" si="33"/>
        <v>6.0741935483870965E-3</v>
      </c>
      <c r="W56" s="2"/>
      <c r="X56" s="7">
        <f t="shared" si="34"/>
        <v>-95.549999999999955</v>
      </c>
      <c r="Y56" s="2"/>
      <c r="Z56" s="6">
        <f t="shared" si="35"/>
        <v>-5.07434944237918E-2</v>
      </c>
    </row>
    <row r="57" spans="1:26" s="24" customFormat="1" hidden="1" outlineLevel="2" x14ac:dyDescent="0.25">
      <c r="A57" s="25"/>
      <c r="B57" s="11" t="str">
        <f>CONCATENATE("          ", "6324", " - ", "FURNITURE + FIXT DEPRECIATION")</f>
        <v xml:space="preserve">          6324 - FURNITURE + FIXT DEPRECIATION</v>
      </c>
      <c r="C57" s="11"/>
      <c r="D57" s="7"/>
      <c r="E57" s="2"/>
      <c r="F57" s="6">
        <f t="shared" si="28"/>
        <v>0</v>
      </c>
      <c r="G57" s="2"/>
      <c r="H57" s="7">
        <v>167</v>
      </c>
      <c r="I57" s="2"/>
      <c r="J57" s="6">
        <f t="shared" si="29"/>
        <v>2.0874999999999999E-3</v>
      </c>
      <c r="K57" s="2"/>
      <c r="L57" s="7">
        <f t="shared" si="30"/>
        <v>-167</v>
      </c>
      <c r="M57" s="2"/>
      <c r="N57" s="6">
        <f t="shared" si="31"/>
        <v>-1</v>
      </c>
      <c r="O57" s="11"/>
      <c r="P57" s="7"/>
      <c r="Q57" s="2"/>
      <c r="R57" s="6">
        <f t="shared" si="32"/>
        <v>0</v>
      </c>
      <c r="S57" s="2"/>
      <c r="T57" s="7">
        <v>668</v>
      </c>
      <c r="U57" s="2"/>
      <c r="V57" s="6">
        <f t="shared" si="33"/>
        <v>2.1548387096774193E-3</v>
      </c>
      <c r="W57" s="2"/>
      <c r="X57" s="7">
        <f t="shared" si="34"/>
        <v>-668</v>
      </c>
      <c r="Y57" s="2"/>
      <c r="Z57" s="6">
        <f t="shared" si="35"/>
        <v>-1</v>
      </c>
    </row>
    <row r="58" spans="1:26" s="27" customFormat="1" outlineLevel="1" collapsed="1" x14ac:dyDescent="0.25">
      <c r="A58" s="26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SUM(OSRRefD22_6x_0)</f>
        <v>0</v>
      </c>
      <c r="E58" s="1"/>
      <c r="F58" s="5">
        <f t="shared" ref="F58:F67" si="36">IF(D$12=0,0,D58/D$12)</f>
        <v>0</v>
      </c>
      <c r="G58" s="1"/>
      <c r="H58" s="1">
        <f>SUM(OSRRefH22_6x_0)</f>
        <v>0</v>
      </c>
      <c r="I58" s="1"/>
      <c r="J58" s="5">
        <f t="shared" ref="J58:J67" si="37">IF(H$12=0,0,H58/H$12)</f>
        <v>0</v>
      </c>
      <c r="K58" s="1"/>
      <c r="L58" s="1">
        <f t="shared" ref="L58:L67" si="38">+D58-H58</f>
        <v>0</v>
      </c>
      <c r="M58" s="1"/>
      <c r="N58" s="5">
        <f t="shared" ref="N58:N67" si="39">IF(H58=0,0,L58/H58)</f>
        <v>0</v>
      </c>
      <c r="O58" s="13"/>
      <c r="P58" s="1">
        <f>SUM(OSRRefP22_6x_0)</f>
        <v>118.6</v>
      </c>
      <c r="Q58" s="1"/>
      <c r="R58" s="5">
        <f t="shared" ref="R58:R67" si="40">IF(P$12=0,0,P58/P$12)</f>
        <v>4.101608248894442E-4</v>
      </c>
      <c r="S58" s="1"/>
      <c r="T58" s="1">
        <f>SUM(OSRRefT22_6x_0)</f>
        <v>250</v>
      </c>
      <c r="U58" s="1"/>
      <c r="V58" s="5">
        <f t="shared" ref="V58:V67" si="41">IF(T$12=0,0,T58/T$12)</f>
        <v>8.0645161290322581E-4</v>
      </c>
      <c r="W58" s="1"/>
      <c r="X58" s="1">
        <f t="shared" ref="X58:X67" si="42">+P58-T58</f>
        <v>-131.4</v>
      </c>
      <c r="Y58" s="1"/>
      <c r="Z58" s="5">
        <f t="shared" ref="Z58:Z67" si="43">IF(T58=0,0,X58/T58)</f>
        <v>-0.52560000000000007</v>
      </c>
    </row>
    <row r="59" spans="1:26" s="24" customFormat="1" hidden="1" outlineLevel="2" x14ac:dyDescent="0.25">
      <c r="A59" s="25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118.6</v>
      </c>
      <c r="Q59" s="2"/>
      <c r="R59" s="6">
        <f t="shared" si="40"/>
        <v>4.101608248894442E-4</v>
      </c>
      <c r="S59" s="2"/>
      <c r="T59" s="7">
        <v>250</v>
      </c>
      <c r="U59" s="2"/>
      <c r="V59" s="6">
        <f t="shared" si="41"/>
        <v>8.0645161290322581E-4</v>
      </c>
      <c r="W59" s="2"/>
      <c r="X59" s="7">
        <f t="shared" si="42"/>
        <v>-131.4</v>
      </c>
      <c r="Y59" s="2"/>
      <c r="Z59" s="6">
        <f t="shared" si="43"/>
        <v>-0.52560000000000007</v>
      </c>
    </row>
    <row r="60" spans="1:26" s="27" customFormat="1" outlineLevel="1" collapsed="1" x14ac:dyDescent="0.25">
      <c r="A60" s="26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SUM(OSRRefD22_7x_0)</f>
        <v>0</v>
      </c>
      <c r="E60" s="1"/>
      <c r="F60" s="5">
        <f t="shared" si="36"/>
        <v>0</v>
      </c>
      <c r="G60" s="1"/>
      <c r="H60" s="1">
        <f>SUM(OSRRefH22_7x_0)</f>
        <v>100</v>
      </c>
      <c r="I60" s="1"/>
      <c r="J60" s="5">
        <f t="shared" si="37"/>
        <v>1.25E-3</v>
      </c>
      <c r="K60" s="1"/>
      <c r="L60" s="1">
        <f t="shared" si="38"/>
        <v>-100</v>
      </c>
      <c r="M60" s="1"/>
      <c r="N60" s="5">
        <f t="shared" si="39"/>
        <v>-1</v>
      </c>
      <c r="O60" s="13"/>
      <c r="P60" s="1">
        <f>SUM(OSRRefP22_7x_0)</f>
        <v>350</v>
      </c>
      <c r="Q60" s="1"/>
      <c r="R60" s="5">
        <f t="shared" si="40"/>
        <v>1.2104240194882418E-3</v>
      </c>
      <c r="S60" s="1"/>
      <c r="T60" s="1">
        <f>SUM(OSRRefT22_7x_0)</f>
        <v>100</v>
      </c>
      <c r="U60" s="1"/>
      <c r="V60" s="5">
        <f t="shared" si="41"/>
        <v>3.2258064516129032E-4</v>
      </c>
      <c r="W60" s="1"/>
      <c r="X60" s="1">
        <f t="shared" si="42"/>
        <v>250</v>
      </c>
      <c r="Y60" s="1"/>
      <c r="Z60" s="5">
        <f t="shared" si="43"/>
        <v>2.5</v>
      </c>
    </row>
    <row r="61" spans="1:26" s="24" customFormat="1" hidden="1" outlineLevel="2" x14ac:dyDescent="0.25">
      <c r="A61" s="25"/>
      <c r="B61" s="11" t="str">
        <f>CONCATENATE("          ", "6351", " - ", "EQUIPMENT RENTAL")</f>
        <v xml:space="preserve">          6351 - EQUIPMENT RENTAL</v>
      </c>
      <c r="C61" s="11"/>
      <c r="D61" s="7"/>
      <c r="E61" s="2"/>
      <c r="F61" s="6">
        <f t="shared" si="36"/>
        <v>0</v>
      </c>
      <c r="G61" s="2"/>
      <c r="H61" s="7">
        <v>100</v>
      </c>
      <c r="I61" s="2"/>
      <c r="J61" s="6">
        <f t="shared" si="37"/>
        <v>1.25E-3</v>
      </c>
      <c r="K61" s="2"/>
      <c r="L61" s="7">
        <f t="shared" si="38"/>
        <v>-100</v>
      </c>
      <c r="M61" s="2"/>
      <c r="N61" s="6">
        <f t="shared" si="39"/>
        <v>-1</v>
      </c>
      <c r="O61" s="11"/>
      <c r="P61" s="7">
        <v>350</v>
      </c>
      <c r="Q61" s="2"/>
      <c r="R61" s="6">
        <f t="shared" si="40"/>
        <v>1.2104240194882418E-3</v>
      </c>
      <c r="S61" s="2"/>
      <c r="T61" s="7">
        <v>100</v>
      </c>
      <c r="U61" s="2"/>
      <c r="V61" s="6">
        <f t="shared" si="41"/>
        <v>3.2258064516129032E-4</v>
      </c>
      <c r="W61" s="2"/>
      <c r="X61" s="7">
        <f t="shared" si="42"/>
        <v>250</v>
      </c>
      <c r="Y61" s="2"/>
      <c r="Z61" s="6">
        <f t="shared" si="43"/>
        <v>2.5</v>
      </c>
    </row>
    <row r="62" spans="1:26" s="27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SUM(OSRRefD22_8x_0)</f>
        <v>2406.8000000000002</v>
      </c>
      <c r="E62" s="1"/>
      <c r="F62" s="5">
        <f t="shared" si="36"/>
        <v>2.7745787350696934E-2</v>
      </c>
      <c r="G62" s="1"/>
      <c r="H62" s="1">
        <f>SUM(OSRRefH22_8x_0)</f>
        <v>0</v>
      </c>
      <c r="I62" s="1"/>
      <c r="J62" s="5">
        <f t="shared" si="37"/>
        <v>0</v>
      </c>
      <c r="K62" s="1"/>
      <c r="L62" s="1">
        <f t="shared" si="38"/>
        <v>2406.8000000000002</v>
      </c>
      <c r="M62" s="1"/>
      <c r="N62" s="5">
        <f t="shared" si="39"/>
        <v>0</v>
      </c>
      <c r="O62" s="13"/>
      <c r="P62" s="1">
        <f>SUM(OSRRefP22_8x_0)</f>
        <v>14920.24</v>
      </c>
      <c r="Q62" s="1"/>
      <c r="R62" s="5">
        <f t="shared" si="40"/>
        <v>5.1599476778654979E-2</v>
      </c>
      <c r="S62" s="1"/>
      <c r="T62" s="1">
        <f>SUM(OSRRefT22_8x_0)</f>
        <v>2050</v>
      </c>
      <c r="U62" s="1"/>
      <c r="V62" s="5">
        <f t="shared" si="41"/>
        <v>6.6129032258064515E-3</v>
      </c>
      <c r="W62" s="1"/>
      <c r="X62" s="1">
        <f t="shared" si="42"/>
        <v>12870.24</v>
      </c>
      <c r="Y62" s="1"/>
      <c r="Z62" s="5">
        <f t="shared" si="43"/>
        <v>6.2781658536585363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7">
        <v>2406.8000000000002</v>
      </c>
      <c r="E63" s="2"/>
      <c r="F63" s="6">
        <f t="shared" si="36"/>
        <v>2.7745787350696934E-2</v>
      </c>
      <c r="G63" s="2"/>
      <c r="H63" s="7"/>
      <c r="I63" s="2"/>
      <c r="J63" s="6">
        <f t="shared" si="37"/>
        <v>0</v>
      </c>
      <c r="K63" s="2"/>
      <c r="L63" s="7">
        <f t="shared" si="38"/>
        <v>2406.8000000000002</v>
      </c>
      <c r="M63" s="2"/>
      <c r="N63" s="6">
        <f t="shared" si="39"/>
        <v>0</v>
      </c>
      <c r="O63" s="11"/>
      <c r="P63" s="7">
        <v>14920.24</v>
      </c>
      <c r="Q63" s="2"/>
      <c r="R63" s="6">
        <f t="shared" si="40"/>
        <v>5.1599476778654979E-2</v>
      </c>
      <c r="S63" s="2"/>
      <c r="T63" s="7">
        <v>2050</v>
      </c>
      <c r="U63" s="2"/>
      <c r="V63" s="6">
        <f t="shared" si="41"/>
        <v>6.6129032258064515E-3</v>
      </c>
      <c r="W63" s="2"/>
      <c r="X63" s="7">
        <f t="shared" si="42"/>
        <v>12870.24</v>
      </c>
      <c r="Y63" s="2"/>
      <c r="Z63" s="6">
        <f t="shared" si="43"/>
        <v>6.2781658536585363</v>
      </c>
    </row>
    <row r="64" spans="1:26" s="27" customFormat="1" outlineLevel="1" collapsed="1" x14ac:dyDescent="0.25">
      <c r="A64" s="26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SUM(OSRRefD22_9x_0)</f>
        <v>0</v>
      </c>
      <c r="E64" s="1"/>
      <c r="F64" s="5">
        <f t="shared" si="36"/>
        <v>0</v>
      </c>
      <c r="G64" s="1"/>
      <c r="H64" s="1">
        <f>SUM(OSRRefH22_9x_0)</f>
        <v>600</v>
      </c>
      <c r="I64" s="1"/>
      <c r="J64" s="5">
        <f t="shared" si="37"/>
        <v>7.4999999999999997E-3</v>
      </c>
      <c r="K64" s="1"/>
      <c r="L64" s="1">
        <f t="shared" si="38"/>
        <v>-600</v>
      </c>
      <c r="M64" s="1"/>
      <c r="N64" s="5">
        <f t="shared" si="39"/>
        <v>-1</v>
      </c>
      <c r="O64" s="13"/>
      <c r="P64" s="1">
        <f>SUM(OSRRefP22_9x_0)</f>
        <v>5381.05</v>
      </c>
      <c r="Q64" s="1"/>
      <c r="R64" s="5">
        <f t="shared" si="40"/>
        <v>1.8609577628763439E-2</v>
      </c>
      <c r="S64" s="1"/>
      <c r="T64" s="1">
        <f>SUM(OSRRefT22_9x_0)</f>
        <v>5050</v>
      </c>
      <c r="U64" s="1"/>
      <c r="V64" s="5">
        <f t="shared" si="41"/>
        <v>1.629032258064516E-2</v>
      </c>
      <c r="W64" s="1"/>
      <c r="X64" s="1">
        <f t="shared" si="42"/>
        <v>331.05000000000018</v>
      </c>
      <c r="Y64" s="1"/>
      <c r="Z64" s="5">
        <f t="shared" si="43"/>
        <v>6.5554455445544585E-2</v>
      </c>
    </row>
    <row r="65" spans="1:26" s="24" customFormat="1" hidden="1" outlineLevel="2" x14ac:dyDescent="0.25">
      <c r="A65" s="25"/>
      <c r="B65" s="11" t="str">
        <f>CONCATENATE("          ", "6371", " - ", "COMPUTER SOFTWARE MAINTENANCE")</f>
        <v xml:space="preserve">          6371 - COMPUTER SOFTWARE MAINTENANCE</v>
      </c>
      <c r="C65" s="11"/>
      <c r="D65" s="7"/>
      <c r="E65" s="2"/>
      <c r="F65" s="6">
        <f t="shared" si="36"/>
        <v>0</v>
      </c>
      <c r="G65" s="2"/>
      <c r="H65" s="7">
        <v>450</v>
      </c>
      <c r="I65" s="2"/>
      <c r="J65" s="6">
        <f t="shared" si="37"/>
        <v>5.6249999999999998E-3</v>
      </c>
      <c r="K65" s="2"/>
      <c r="L65" s="7">
        <f t="shared" si="38"/>
        <v>-450</v>
      </c>
      <c r="M65" s="2"/>
      <c r="N65" s="6">
        <f t="shared" si="39"/>
        <v>-1</v>
      </c>
      <c r="O65" s="11"/>
      <c r="P65" s="7">
        <v>2623.84</v>
      </c>
      <c r="Q65" s="2"/>
      <c r="R65" s="6">
        <f t="shared" si="40"/>
        <v>9.0741684551257952E-3</v>
      </c>
      <c r="S65" s="2"/>
      <c r="T65" s="7">
        <v>450</v>
      </c>
      <c r="U65" s="2"/>
      <c r="V65" s="6">
        <f t="shared" si="41"/>
        <v>1.4516129032258066E-3</v>
      </c>
      <c r="W65" s="2"/>
      <c r="X65" s="7">
        <f t="shared" si="42"/>
        <v>2173.84</v>
      </c>
      <c r="Y65" s="2"/>
      <c r="Z65" s="6">
        <f t="shared" si="43"/>
        <v>4.8307555555555561</v>
      </c>
    </row>
    <row r="66" spans="1:26" s="24" customFormat="1" hidden="1" outlineLevel="2" x14ac:dyDescent="0.25">
      <c r="A66" s="25"/>
      <c r="B66" s="11" t="str">
        <f>CONCATENATE("          ", "6373", " - ", "MAINTENANCE CONTRACTS")</f>
        <v xml:space="preserve">          6373 - MAINTENANCE CONTRACTS</v>
      </c>
      <c r="C66" s="11"/>
      <c r="D66" s="7"/>
      <c r="E66" s="2"/>
      <c r="F66" s="6">
        <f t="shared" si="36"/>
        <v>0</v>
      </c>
      <c r="G66" s="2"/>
      <c r="H66" s="7"/>
      <c r="I66" s="2"/>
      <c r="J66" s="6">
        <f t="shared" si="37"/>
        <v>0</v>
      </c>
      <c r="K66" s="2"/>
      <c r="L66" s="7">
        <f t="shared" si="38"/>
        <v>0</v>
      </c>
      <c r="M66" s="2"/>
      <c r="N66" s="6">
        <f t="shared" si="39"/>
        <v>0</v>
      </c>
      <c r="O66" s="11"/>
      <c r="P66" s="7">
        <v>573</v>
      </c>
      <c r="Q66" s="2"/>
      <c r="R66" s="6">
        <f t="shared" si="40"/>
        <v>1.9816370376193214E-3</v>
      </c>
      <c r="S66" s="2"/>
      <c r="T66" s="7">
        <v>250</v>
      </c>
      <c r="U66" s="2"/>
      <c r="V66" s="6">
        <f t="shared" si="41"/>
        <v>8.0645161290322581E-4</v>
      </c>
      <c r="W66" s="2"/>
      <c r="X66" s="7">
        <f t="shared" si="42"/>
        <v>323</v>
      </c>
      <c r="Y66" s="2"/>
      <c r="Z66" s="6">
        <f t="shared" si="43"/>
        <v>1.292</v>
      </c>
    </row>
    <row r="67" spans="1:26" s="24" customFormat="1" hidden="1" outlineLevel="2" x14ac:dyDescent="0.25">
      <c r="A67" s="25"/>
      <c r="B67" s="11" t="str">
        <f>CONCATENATE("          ", "6375", " - ", "OUTSIDE REPAIRS &amp; MAINTENANCE")</f>
        <v xml:space="preserve">          6375 - OUTSIDE REPAIRS &amp; MAINTENANCE</v>
      </c>
      <c r="C67" s="11"/>
      <c r="D67" s="7"/>
      <c r="E67" s="2"/>
      <c r="F67" s="6">
        <f t="shared" si="36"/>
        <v>0</v>
      </c>
      <c r="G67" s="2"/>
      <c r="H67" s="7">
        <v>150</v>
      </c>
      <c r="I67" s="2"/>
      <c r="J67" s="6">
        <f t="shared" si="37"/>
        <v>1.8749999999999999E-3</v>
      </c>
      <c r="K67" s="2"/>
      <c r="L67" s="7">
        <f t="shared" si="38"/>
        <v>-150</v>
      </c>
      <c r="M67" s="2"/>
      <c r="N67" s="6">
        <f t="shared" si="39"/>
        <v>-1</v>
      </c>
      <c r="O67" s="11"/>
      <c r="P67" s="7">
        <v>2184.21</v>
      </c>
      <c r="Q67" s="2"/>
      <c r="R67" s="6">
        <f t="shared" si="40"/>
        <v>7.5537721360183219E-3</v>
      </c>
      <c r="S67" s="2"/>
      <c r="T67" s="7">
        <v>4350</v>
      </c>
      <c r="U67" s="2"/>
      <c r="V67" s="6">
        <f t="shared" si="41"/>
        <v>1.4032258064516129E-2</v>
      </c>
      <c r="W67" s="2"/>
      <c r="X67" s="7">
        <f t="shared" si="42"/>
        <v>-2165.79</v>
      </c>
      <c r="Y67" s="2"/>
      <c r="Z67" s="6">
        <f t="shared" si="43"/>
        <v>-0.49788275862068965</v>
      </c>
    </row>
    <row r="68" spans="1:26" s="27" customFormat="1" outlineLevel="1" collapsed="1" x14ac:dyDescent="0.25">
      <c r="A68" s="26"/>
      <c r="B68" s="13" t="str">
        <f>CONCATENATE("     ","Royalty &amp; Commissions                             ")</f>
        <v xml:space="preserve">     Royalty &amp; Commissions                             </v>
      </c>
      <c r="C68" s="13"/>
      <c r="D68" s="1">
        <f>SUM(OSRRefD22_10x_0)</f>
        <v>17641.37</v>
      </c>
      <c r="E68" s="1"/>
      <c r="F68" s="5">
        <f t="shared" ref="F68:F70" si="44">IF(D$12=0,0,D68/D$12)</f>
        <v>0.20337115696982064</v>
      </c>
      <c r="G68" s="1"/>
      <c r="H68" s="1">
        <f>SUM(OSRRefH22_10x_0)</f>
        <v>16000</v>
      </c>
      <c r="I68" s="1"/>
      <c r="J68" s="5">
        <f t="shared" ref="J68:J70" si="45">IF(H$12=0,0,H68/H$12)</f>
        <v>0.2</v>
      </c>
      <c r="K68" s="1"/>
      <c r="L68" s="1">
        <f t="shared" ref="L68:L70" si="46">+D68-H68</f>
        <v>1641.369999999999</v>
      </c>
      <c r="M68" s="1"/>
      <c r="N68" s="5">
        <f t="shared" ref="N68:N70" si="47">IF(H68=0,0,L68/H68)</f>
        <v>0.10258562499999993</v>
      </c>
      <c r="O68" s="13"/>
      <c r="P68" s="1">
        <f>SUM(OSRRefP22_10x_0)</f>
        <v>61679.239999999991</v>
      </c>
      <c r="Q68" s="1"/>
      <c r="R68" s="5">
        <f t="shared" ref="R68:R70" si="48">IF(P$12=0,0,P68/P$12)</f>
        <v>0.21330866742794266</v>
      </c>
      <c r="S68" s="1"/>
      <c r="T68" s="1">
        <f>SUM(OSRRefT22_10x_0)</f>
        <v>47000</v>
      </c>
      <c r="U68" s="1"/>
      <c r="V68" s="5">
        <f t="shared" ref="V68:V70" si="49">IF(T$12=0,0,T68/T$12)</f>
        <v>0.15161290322580645</v>
      </c>
      <c r="W68" s="1"/>
      <c r="X68" s="1">
        <f t="shared" ref="X68:X70" si="50">+P68-T68</f>
        <v>14679.239999999991</v>
      </c>
      <c r="Y68" s="1"/>
      <c r="Z68" s="5">
        <f t="shared" ref="Z68:Z70" si="51">IF(T68=0,0,X68/T68)</f>
        <v>0.31232425531914876</v>
      </c>
    </row>
    <row r="69" spans="1:26" s="24" customFormat="1" hidden="1" outlineLevel="2" x14ac:dyDescent="0.25">
      <c r="A69" s="25"/>
      <c r="B69" s="11" t="str">
        <f>CONCATENATE("          ", "6253", " - ", "ROYALTY DUE ATHLETICS-LRG")</f>
        <v xml:space="preserve">          6253 - ROYALTY DUE ATHLETICS-LRG</v>
      </c>
      <c r="C69" s="11"/>
      <c r="D69" s="7"/>
      <c r="E69" s="2"/>
      <c r="F69" s="6">
        <f t="shared" si="44"/>
        <v>0</v>
      </c>
      <c r="G69" s="2"/>
      <c r="H69" s="7">
        <v>16000</v>
      </c>
      <c r="I69" s="2"/>
      <c r="J69" s="6">
        <f t="shared" si="45"/>
        <v>0.2</v>
      </c>
      <c r="K69" s="2"/>
      <c r="L69" s="7">
        <f t="shared" si="46"/>
        <v>-16000</v>
      </c>
      <c r="M69" s="2"/>
      <c r="N69" s="6">
        <f t="shared" si="47"/>
        <v>-1</v>
      </c>
      <c r="O69" s="11"/>
      <c r="P69" s="7"/>
      <c r="Q69" s="2"/>
      <c r="R69" s="6">
        <f t="shared" si="48"/>
        <v>0</v>
      </c>
      <c r="S69" s="2"/>
      <c r="T69" s="7">
        <v>47000</v>
      </c>
      <c r="U69" s="2"/>
      <c r="V69" s="6">
        <f t="shared" si="49"/>
        <v>0.15161290322580645</v>
      </c>
      <c r="W69" s="2"/>
      <c r="X69" s="7">
        <f t="shared" si="50"/>
        <v>-47000</v>
      </c>
      <c r="Y69" s="2"/>
      <c r="Z69" s="6">
        <f t="shared" si="51"/>
        <v>-1</v>
      </c>
    </row>
    <row r="70" spans="1:26" s="24" customFormat="1" hidden="1" outlineLevel="2" x14ac:dyDescent="0.25">
      <c r="A70" s="25"/>
      <c r="B70" s="11" t="str">
        <f>CONCATENATE("          ", "6254", " - ", "ROYALTY &amp; COMMISSIONS")</f>
        <v xml:space="preserve">          6254 - ROYALTY &amp; COMMISSIONS</v>
      </c>
      <c r="C70" s="11"/>
      <c r="D70" s="7">
        <v>17641.37</v>
      </c>
      <c r="E70" s="2"/>
      <c r="F70" s="6">
        <f t="shared" si="44"/>
        <v>0.20337115696982064</v>
      </c>
      <c r="G70" s="2"/>
      <c r="H70" s="7"/>
      <c r="I70" s="2"/>
      <c r="J70" s="6">
        <f t="shared" si="45"/>
        <v>0</v>
      </c>
      <c r="K70" s="2"/>
      <c r="L70" s="7">
        <f t="shared" si="46"/>
        <v>17641.37</v>
      </c>
      <c r="M70" s="2"/>
      <c r="N70" s="6">
        <f t="shared" si="47"/>
        <v>0</v>
      </c>
      <c r="O70" s="11"/>
      <c r="P70" s="7">
        <v>61679.239999999991</v>
      </c>
      <c r="Q70" s="2"/>
      <c r="R70" s="6">
        <f t="shared" si="48"/>
        <v>0.21330866742794266</v>
      </c>
      <c r="S70" s="2"/>
      <c r="T70" s="7"/>
      <c r="U70" s="2"/>
      <c r="V70" s="6">
        <f t="shared" si="49"/>
        <v>0</v>
      </c>
      <c r="W70" s="2"/>
      <c r="X70" s="7">
        <f t="shared" si="50"/>
        <v>61679.239999999991</v>
      </c>
      <c r="Y70" s="2"/>
      <c r="Z70" s="6">
        <f t="shared" si="51"/>
        <v>0</v>
      </c>
    </row>
    <row r="71" spans="1:26" s="27" customFormat="1" outlineLevel="1" collapsed="1" x14ac:dyDescent="0.25">
      <c r="A71" s="26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SUM(OSRRefD22_11x_0)</f>
        <v>307.06</v>
      </c>
      <c r="E71" s="1"/>
      <c r="F71" s="5">
        <f t="shared" ref="F71:F73" si="52">IF(D$12=0,0,D71/D$12)</f>
        <v>3.5398128070072295E-3</v>
      </c>
      <c r="G71" s="1"/>
      <c r="H71" s="1">
        <f>SUM(OSRRefH22_11x_0)</f>
        <v>255</v>
      </c>
      <c r="I71" s="1"/>
      <c r="J71" s="5">
        <f t="shared" ref="J71:J73" si="53">IF(H$12=0,0,H71/H$12)</f>
        <v>3.1874999999999998E-3</v>
      </c>
      <c r="K71" s="1"/>
      <c r="L71" s="1">
        <f t="shared" ref="L71:L73" si="54">+D71-H71</f>
        <v>52.06</v>
      </c>
      <c r="M71" s="1"/>
      <c r="N71" s="5">
        <f t="shared" ref="N71:N73" si="55">IF(H71=0,0,L71/H71)</f>
        <v>0.20415686274509806</v>
      </c>
      <c r="O71" s="13"/>
      <c r="P71" s="1">
        <f>SUM(OSRRefP22_11x_0)</f>
        <v>2188.34</v>
      </c>
      <c r="Q71" s="1"/>
      <c r="R71" s="5">
        <f t="shared" ref="R71:R73" si="56">IF(P$12=0,0,P71/P$12)</f>
        <v>7.5680551394482834E-3</v>
      </c>
      <c r="S71" s="1"/>
      <c r="T71" s="1">
        <f>SUM(OSRRefT22_11x_0)</f>
        <v>1520</v>
      </c>
      <c r="U71" s="1"/>
      <c r="V71" s="5">
        <f t="shared" ref="V71:V73" si="57">IF(T$12=0,0,T71/T$12)</f>
        <v>4.9032258064516127E-3</v>
      </c>
      <c r="W71" s="1"/>
      <c r="X71" s="1">
        <f t="shared" ref="X71:X73" si="58">+P71-T71</f>
        <v>668.34000000000015</v>
      </c>
      <c r="Y71" s="1"/>
      <c r="Z71" s="5">
        <f t="shared" ref="Z71:Z73" si="59">IF(T71=0,0,X71/T71)</f>
        <v>0.43969736842105273</v>
      </c>
    </row>
    <row r="72" spans="1:26" s="24" customFormat="1" hidden="1" outlineLevel="2" x14ac:dyDescent="0.25">
      <c r="A72" s="25"/>
      <c r="B72" s="11" t="str">
        <f>CONCATENATE("          ", "6282", " - ", "JANITORIAL/EXTERMINATOR EXPENS")</f>
        <v xml:space="preserve">          6282 - JANITORIAL/EXTERMINATOR EXPENS</v>
      </c>
      <c r="C72" s="11"/>
      <c r="D72" s="7">
        <v>225.81</v>
      </c>
      <c r="E72" s="2"/>
      <c r="F72" s="6">
        <f t="shared" si="52"/>
        <v>2.6031561582436739E-3</v>
      </c>
      <c r="G72" s="2"/>
      <c r="H72" s="7">
        <v>205</v>
      </c>
      <c r="I72" s="2"/>
      <c r="J72" s="6">
        <f t="shared" si="53"/>
        <v>2.5625000000000001E-3</v>
      </c>
      <c r="K72" s="2"/>
      <c r="L72" s="7">
        <f t="shared" si="54"/>
        <v>20.810000000000002</v>
      </c>
      <c r="M72" s="2"/>
      <c r="N72" s="6">
        <f t="shared" si="55"/>
        <v>0.10151219512195123</v>
      </c>
      <c r="O72" s="11"/>
      <c r="P72" s="7">
        <v>1806.48</v>
      </c>
      <c r="Q72" s="2"/>
      <c r="R72" s="6">
        <f t="shared" si="56"/>
        <v>6.2474479506431967E-3</v>
      </c>
      <c r="S72" s="2"/>
      <c r="T72" s="7">
        <v>1220</v>
      </c>
      <c r="U72" s="2"/>
      <c r="V72" s="6">
        <f t="shared" si="57"/>
        <v>3.9354838709677415E-3</v>
      </c>
      <c r="W72" s="2"/>
      <c r="X72" s="7">
        <f t="shared" si="58"/>
        <v>586.48</v>
      </c>
      <c r="Y72" s="2"/>
      <c r="Z72" s="6">
        <f t="shared" si="59"/>
        <v>0.48072131147540986</v>
      </c>
    </row>
    <row r="73" spans="1:26" s="24" customFormat="1" hidden="1" outlineLevel="2" x14ac:dyDescent="0.25">
      <c r="A73" s="25"/>
      <c r="B73" s="11" t="str">
        <f>CONCATENATE("          ", "6286", " - ", "LAUNDRY EXPENSE")</f>
        <v xml:space="preserve">          6286 - LAUNDRY EXPENSE</v>
      </c>
      <c r="C73" s="11"/>
      <c r="D73" s="7">
        <v>81.25</v>
      </c>
      <c r="E73" s="2"/>
      <c r="F73" s="6">
        <f t="shared" si="52"/>
        <v>9.3665664876355558E-4</v>
      </c>
      <c r="G73" s="2"/>
      <c r="H73" s="7">
        <v>50</v>
      </c>
      <c r="I73" s="2"/>
      <c r="J73" s="6">
        <f t="shared" si="53"/>
        <v>6.2500000000000001E-4</v>
      </c>
      <c r="K73" s="2"/>
      <c r="L73" s="7">
        <f t="shared" si="54"/>
        <v>31.25</v>
      </c>
      <c r="M73" s="2"/>
      <c r="N73" s="6">
        <f t="shared" si="55"/>
        <v>0.625</v>
      </c>
      <c r="O73" s="11"/>
      <c r="P73" s="7">
        <v>381.86</v>
      </c>
      <c r="Q73" s="2"/>
      <c r="R73" s="6">
        <f t="shared" si="56"/>
        <v>1.3206071888050858E-3</v>
      </c>
      <c r="S73" s="2"/>
      <c r="T73" s="7">
        <v>300</v>
      </c>
      <c r="U73" s="2"/>
      <c r="V73" s="6">
        <f t="shared" si="57"/>
        <v>9.6774193548387097E-4</v>
      </c>
      <c r="W73" s="2"/>
      <c r="X73" s="7">
        <f t="shared" si="58"/>
        <v>81.860000000000014</v>
      </c>
      <c r="Y73" s="2"/>
      <c r="Z73" s="6">
        <f t="shared" si="59"/>
        <v>0.2728666666666667</v>
      </c>
    </row>
    <row r="74" spans="1:26" s="27" customFormat="1" outlineLevel="1" collapsed="1" x14ac:dyDescent="0.25">
      <c r="A74" s="26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SUM(OSRRefD22_12x_0)</f>
        <v>865.04</v>
      </c>
      <c r="E74" s="1"/>
      <c r="F74" s="5">
        <f t="shared" ref="F74:F81" si="60">IF(D$12=0,0,D74/D$12)</f>
        <v>9.9722519070329363E-3</v>
      </c>
      <c r="G74" s="1"/>
      <c r="H74" s="1">
        <f>SUM(OSRRefH22_12x_0)</f>
        <v>850</v>
      </c>
      <c r="I74" s="1"/>
      <c r="J74" s="5">
        <f t="shared" ref="J74:J81" si="61">IF(H$12=0,0,H74/H$12)</f>
        <v>1.0625000000000001E-2</v>
      </c>
      <c r="K74" s="1"/>
      <c r="L74" s="1">
        <f t="shared" ref="L74:L81" si="62">+D74-H74</f>
        <v>15.039999999999964</v>
      </c>
      <c r="M74" s="1"/>
      <c r="N74" s="5">
        <f t="shared" ref="N74:N81" si="63">IF(H74=0,0,L74/H74)</f>
        <v>1.769411764705878E-2</v>
      </c>
      <c r="O74" s="13"/>
      <c r="P74" s="1">
        <f>SUM(OSRRefP22_12x_0)</f>
        <v>13601.19</v>
      </c>
      <c r="Q74" s="1"/>
      <c r="R74" s="5">
        <f t="shared" ref="R74:R81" si="64">IF(P$12=0,0,P74/P$12)</f>
        <v>4.7037734484637939E-2</v>
      </c>
      <c r="S74" s="1"/>
      <c r="T74" s="1">
        <f>SUM(OSRRefT22_12x_0)</f>
        <v>3750</v>
      </c>
      <c r="U74" s="1"/>
      <c r="V74" s="5">
        <f t="shared" ref="V74:V81" si="65">IF(T$12=0,0,T74/T$12)</f>
        <v>1.2096774193548387E-2</v>
      </c>
      <c r="W74" s="1"/>
      <c r="X74" s="1">
        <f t="shared" ref="X74:X81" si="66">+P74-T74</f>
        <v>9851.19</v>
      </c>
      <c r="Y74" s="1"/>
      <c r="Z74" s="5">
        <f t="shared" ref="Z74:Z81" si="67">IF(T74=0,0,X74/T74)</f>
        <v>2.6269840000000002</v>
      </c>
    </row>
    <row r="75" spans="1:26" s="24" customFormat="1" hidden="1" outlineLevel="2" x14ac:dyDescent="0.25">
      <c r="A75" s="25"/>
      <c r="B75" s="11" t="str">
        <f>CONCATENATE("          ", "6234", " - ", "EXPENDABLE SUPPLIES &amp; EQUIPMEN")</f>
        <v xml:space="preserve">          6234 - EXPENDABLE SUPPLIES &amp; EQUIPMEN</v>
      </c>
      <c r="C75" s="11"/>
      <c r="D75" s="7"/>
      <c r="E75" s="2"/>
      <c r="F75" s="6">
        <f t="shared" si="60"/>
        <v>0</v>
      </c>
      <c r="G75" s="2"/>
      <c r="H75" s="7"/>
      <c r="I75" s="2"/>
      <c r="J75" s="6">
        <f t="shared" si="61"/>
        <v>0</v>
      </c>
      <c r="K75" s="2"/>
      <c r="L75" s="7">
        <f t="shared" si="62"/>
        <v>0</v>
      </c>
      <c r="M75" s="2"/>
      <c r="N75" s="6">
        <f t="shared" si="63"/>
        <v>0</v>
      </c>
      <c r="O75" s="11"/>
      <c r="P75" s="7">
        <v>3756.46</v>
      </c>
      <c r="Q75" s="2"/>
      <c r="R75" s="6">
        <f t="shared" si="64"/>
        <v>1.2991169749276573E-2</v>
      </c>
      <c r="S75" s="2"/>
      <c r="T75" s="7"/>
      <c r="U75" s="2"/>
      <c r="V75" s="6">
        <f t="shared" si="65"/>
        <v>0</v>
      </c>
      <c r="W75" s="2"/>
      <c r="X75" s="7">
        <f t="shared" si="66"/>
        <v>3756.46</v>
      </c>
      <c r="Y75" s="2"/>
      <c r="Z75" s="6">
        <f t="shared" si="67"/>
        <v>0</v>
      </c>
    </row>
    <row r="76" spans="1:26" s="24" customFormat="1" hidden="1" outlineLevel="2" x14ac:dyDescent="0.25">
      <c r="A76" s="25"/>
      <c r="B76" s="11" t="str">
        <f>CONCATENATE("          ", "6237", " - ", "JANITORIAL SUPPLIES")</f>
        <v xml:space="preserve">          6237 - JANITORIAL SUPPLIES</v>
      </c>
      <c r="C76" s="11"/>
      <c r="D76" s="7">
        <v>507.29</v>
      </c>
      <c r="E76" s="2"/>
      <c r="F76" s="6">
        <f t="shared" si="60"/>
        <v>5.8480806320155591E-3</v>
      </c>
      <c r="G76" s="2"/>
      <c r="H76" s="7"/>
      <c r="I76" s="2"/>
      <c r="J76" s="6">
        <f t="shared" si="61"/>
        <v>0</v>
      </c>
      <c r="K76" s="2"/>
      <c r="L76" s="7">
        <f t="shared" si="62"/>
        <v>507.29</v>
      </c>
      <c r="M76" s="2"/>
      <c r="N76" s="6">
        <f t="shared" si="63"/>
        <v>0</v>
      </c>
      <c r="O76" s="11"/>
      <c r="P76" s="7">
        <v>1239.47</v>
      </c>
      <c r="Q76" s="2"/>
      <c r="R76" s="6">
        <f t="shared" si="64"/>
        <v>4.2865264555288314E-3</v>
      </c>
      <c r="S76" s="2"/>
      <c r="T76" s="7">
        <v>600</v>
      </c>
      <c r="U76" s="2"/>
      <c r="V76" s="6">
        <f t="shared" si="65"/>
        <v>1.9354838709677419E-3</v>
      </c>
      <c r="W76" s="2"/>
      <c r="X76" s="7">
        <f t="shared" si="66"/>
        <v>639.47</v>
      </c>
      <c r="Y76" s="2"/>
      <c r="Z76" s="6">
        <f t="shared" si="67"/>
        <v>1.0657833333333333</v>
      </c>
    </row>
    <row r="77" spans="1:26" s="24" customFormat="1" hidden="1" outlineLevel="2" x14ac:dyDescent="0.25">
      <c r="A77" s="25"/>
      <c r="B77" s="11" t="str">
        <f>CONCATENATE("          ", "6239", " - ", "KITCHEN SUPPLIES")</f>
        <v xml:space="preserve">          6239 - KITCHEN SUPPLIES</v>
      </c>
      <c r="C77" s="11"/>
      <c r="D77" s="7">
        <v>303.58999999999997</v>
      </c>
      <c r="E77" s="2"/>
      <c r="F77" s="6">
        <f t="shared" si="60"/>
        <v>3.4998103630538811E-3</v>
      </c>
      <c r="G77" s="2"/>
      <c r="H77" s="7"/>
      <c r="I77" s="2"/>
      <c r="J77" s="6">
        <f t="shared" si="61"/>
        <v>0</v>
      </c>
      <c r="K77" s="2"/>
      <c r="L77" s="7">
        <f t="shared" si="62"/>
        <v>303.58999999999997</v>
      </c>
      <c r="M77" s="2"/>
      <c r="N77" s="6">
        <f t="shared" si="63"/>
        <v>0</v>
      </c>
      <c r="O77" s="11"/>
      <c r="P77" s="7">
        <v>5765.78</v>
      </c>
      <c r="Q77" s="2"/>
      <c r="R77" s="6">
        <f t="shared" si="64"/>
        <v>1.9940110294528326E-2</v>
      </c>
      <c r="S77" s="2"/>
      <c r="T77" s="7">
        <v>200</v>
      </c>
      <c r="U77" s="2"/>
      <c r="V77" s="6">
        <f t="shared" si="65"/>
        <v>6.4516129032258064E-4</v>
      </c>
      <c r="W77" s="2"/>
      <c r="X77" s="7">
        <f t="shared" si="66"/>
        <v>5565.78</v>
      </c>
      <c r="Y77" s="2"/>
      <c r="Z77" s="6">
        <f t="shared" si="67"/>
        <v>27.828899999999997</v>
      </c>
    </row>
    <row r="78" spans="1:26" s="24" customFormat="1" hidden="1" outlineLevel="2" x14ac:dyDescent="0.25">
      <c r="A78" s="25"/>
      <c r="B78" s="11" t="str">
        <f>CONCATENATE("          ", "6241", " - ", "OFFICE EXPENSE")</f>
        <v xml:space="preserve">          6241 - OFFICE EXPENSE</v>
      </c>
      <c r="C78" s="11"/>
      <c r="D78" s="7"/>
      <c r="E78" s="2"/>
      <c r="F78" s="6">
        <f t="shared" si="60"/>
        <v>0</v>
      </c>
      <c r="G78" s="2"/>
      <c r="H78" s="7"/>
      <c r="I78" s="2"/>
      <c r="J78" s="6">
        <f t="shared" si="61"/>
        <v>0</v>
      </c>
      <c r="K78" s="2"/>
      <c r="L78" s="7">
        <f t="shared" si="62"/>
        <v>0</v>
      </c>
      <c r="M78" s="2"/>
      <c r="N78" s="6">
        <f t="shared" si="63"/>
        <v>0</v>
      </c>
      <c r="O78" s="11"/>
      <c r="P78" s="7">
        <v>599.88</v>
      </c>
      <c r="Q78" s="2"/>
      <c r="R78" s="6">
        <f t="shared" si="64"/>
        <v>2.0745976023160183E-3</v>
      </c>
      <c r="S78" s="2"/>
      <c r="T78" s="7"/>
      <c r="U78" s="2"/>
      <c r="V78" s="6">
        <f t="shared" si="65"/>
        <v>0</v>
      </c>
      <c r="W78" s="2"/>
      <c r="X78" s="7">
        <f t="shared" si="66"/>
        <v>599.88</v>
      </c>
      <c r="Y78" s="2"/>
      <c r="Z78" s="6">
        <f t="shared" si="67"/>
        <v>0</v>
      </c>
    </row>
    <row r="79" spans="1:26" s="24" customFormat="1" hidden="1" outlineLevel="2" x14ac:dyDescent="0.25">
      <c r="A79" s="25"/>
      <c r="B79" s="11" t="str">
        <f>CONCATENATE("          ", "6243", " - ", "PAPER SUPPLIES")</f>
        <v xml:space="preserve">          6243 - PAPER SUPPLIES</v>
      </c>
      <c r="C79" s="11"/>
      <c r="D79" s="7">
        <v>354.16</v>
      </c>
      <c r="E79" s="2"/>
      <c r="F79" s="6">
        <f t="shared" si="60"/>
        <v>4.0827854612443181E-3</v>
      </c>
      <c r="G79" s="2"/>
      <c r="H79" s="7">
        <v>250</v>
      </c>
      <c r="I79" s="2"/>
      <c r="J79" s="6">
        <f t="shared" si="61"/>
        <v>3.1250000000000002E-3</v>
      </c>
      <c r="K79" s="2"/>
      <c r="L79" s="7">
        <f t="shared" si="62"/>
        <v>104.16000000000003</v>
      </c>
      <c r="M79" s="2"/>
      <c r="N79" s="6">
        <f t="shared" si="63"/>
        <v>0.41664000000000012</v>
      </c>
      <c r="O79" s="11"/>
      <c r="P79" s="7">
        <v>2039.96</v>
      </c>
      <c r="Q79" s="2"/>
      <c r="R79" s="6">
        <f t="shared" si="64"/>
        <v>7.0549045222720961E-3</v>
      </c>
      <c r="S79" s="2"/>
      <c r="T79" s="7">
        <v>1750</v>
      </c>
      <c r="U79" s="2"/>
      <c r="V79" s="6">
        <f t="shared" si="65"/>
        <v>5.6451612903225803E-3</v>
      </c>
      <c r="W79" s="2"/>
      <c r="X79" s="7">
        <f t="shared" si="66"/>
        <v>289.96000000000004</v>
      </c>
      <c r="Y79" s="2"/>
      <c r="Z79" s="6">
        <f t="shared" si="67"/>
        <v>0.1656914285714286</v>
      </c>
    </row>
    <row r="80" spans="1:26" s="24" customFormat="1" hidden="1" outlineLevel="2" x14ac:dyDescent="0.25">
      <c r="A80" s="25"/>
      <c r="B80" s="11" t="str">
        <f>CONCATENATE("          ", "6247", " - ", "STORE SUPPLIES")</f>
        <v xml:space="preserve">          6247 - STORE SUPPLIES</v>
      </c>
      <c r="C80" s="11"/>
      <c r="D80" s="7">
        <v>-300</v>
      </c>
      <c r="E80" s="2"/>
      <c r="F80" s="6">
        <f t="shared" si="60"/>
        <v>-3.4584245492808208E-3</v>
      </c>
      <c r="G80" s="2"/>
      <c r="H80" s="7"/>
      <c r="I80" s="2"/>
      <c r="J80" s="6">
        <f t="shared" si="61"/>
        <v>0</v>
      </c>
      <c r="K80" s="2"/>
      <c r="L80" s="7">
        <f t="shared" si="62"/>
        <v>-300</v>
      </c>
      <c r="M80" s="2"/>
      <c r="N80" s="6">
        <f t="shared" si="63"/>
        <v>0</v>
      </c>
      <c r="O80" s="11"/>
      <c r="P80" s="7">
        <v>-254.8</v>
      </c>
      <c r="Q80" s="2"/>
      <c r="R80" s="6">
        <f t="shared" si="64"/>
        <v>-8.8118868618744007E-4</v>
      </c>
      <c r="S80" s="2"/>
      <c r="T80" s="7"/>
      <c r="U80" s="2"/>
      <c r="V80" s="6">
        <f t="shared" si="65"/>
        <v>0</v>
      </c>
      <c r="W80" s="2"/>
      <c r="X80" s="7">
        <f t="shared" si="66"/>
        <v>-254.8</v>
      </c>
      <c r="Y80" s="2"/>
      <c r="Z80" s="6">
        <f t="shared" si="67"/>
        <v>0</v>
      </c>
    </row>
    <row r="81" spans="1:26" s="24" customFormat="1" hidden="1" outlineLevel="2" x14ac:dyDescent="0.25">
      <c r="A81" s="25"/>
      <c r="B81" s="11" t="str">
        <f>CONCATENATE("          ", "6248", " - ", "UNIFORMS")</f>
        <v xml:space="preserve">          6248 - UNIFORMS</v>
      </c>
      <c r="C81" s="11"/>
      <c r="D81" s="7"/>
      <c r="E81" s="2"/>
      <c r="F81" s="6">
        <f t="shared" si="60"/>
        <v>0</v>
      </c>
      <c r="G81" s="2"/>
      <c r="H81" s="7">
        <v>600</v>
      </c>
      <c r="I81" s="2"/>
      <c r="J81" s="6">
        <f t="shared" si="61"/>
        <v>7.4999999999999997E-3</v>
      </c>
      <c r="K81" s="2"/>
      <c r="L81" s="7">
        <f t="shared" si="62"/>
        <v>-600</v>
      </c>
      <c r="M81" s="2"/>
      <c r="N81" s="6">
        <f t="shared" si="63"/>
        <v>-1</v>
      </c>
      <c r="O81" s="11"/>
      <c r="P81" s="7">
        <v>454.44</v>
      </c>
      <c r="Q81" s="2"/>
      <c r="R81" s="6">
        <f t="shared" si="64"/>
        <v>1.5716145469035331E-3</v>
      </c>
      <c r="S81" s="2"/>
      <c r="T81" s="7">
        <v>1200</v>
      </c>
      <c r="U81" s="2"/>
      <c r="V81" s="6">
        <f t="shared" si="65"/>
        <v>3.8709677419354839E-3</v>
      </c>
      <c r="W81" s="2"/>
      <c r="X81" s="7">
        <f t="shared" si="66"/>
        <v>-745.56</v>
      </c>
      <c r="Y81" s="2"/>
      <c r="Z81" s="6">
        <f t="shared" si="67"/>
        <v>-0.62129999999999996</v>
      </c>
    </row>
    <row r="82" spans="1:26" s="27" customFormat="1" outlineLevel="1" collapsed="1" x14ac:dyDescent="0.25">
      <c r="A82" s="26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SUM(OSRRefD22_13x_0)</f>
        <v>313.11</v>
      </c>
      <c r="E82" s="1"/>
      <c r="F82" s="5">
        <f t="shared" ref="F82:F84" si="68">IF(D$12=0,0,D82/D$12)</f>
        <v>3.6095577020843926E-3</v>
      </c>
      <c r="G82" s="1"/>
      <c r="H82" s="1">
        <f>SUM(OSRRefH22_13x_0)</f>
        <v>343</v>
      </c>
      <c r="I82" s="1"/>
      <c r="J82" s="5">
        <f t="shared" ref="J82:J84" si="69">IF(H$12=0,0,H82/H$12)</f>
        <v>4.2874999999999996E-3</v>
      </c>
      <c r="K82" s="1"/>
      <c r="L82" s="1">
        <f t="shared" ref="L82:L84" si="70">+D82-H82</f>
        <v>-29.889999999999986</v>
      </c>
      <c r="M82" s="1"/>
      <c r="N82" s="5">
        <f t="shared" ref="N82:N84" si="71">IF(H82=0,0,L82/H82)</f>
        <v>-8.7142857142857105E-2</v>
      </c>
      <c r="O82" s="13"/>
      <c r="P82" s="1">
        <f>SUM(OSRRefP22_13x_0)</f>
        <v>2175.84</v>
      </c>
      <c r="Q82" s="1"/>
      <c r="R82" s="5">
        <f t="shared" ref="R82:R84" si="72">IF(P$12=0,0,P82/P$12)</f>
        <v>7.5248257101808462E-3</v>
      </c>
      <c r="S82" s="1"/>
      <c r="T82" s="1">
        <f>SUM(OSRRefT22_13x_0)</f>
        <v>1472</v>
      </c>
      <c r="U82" s="1"/>
      <c r="V82" s="5">
        <f t="shared" ref="V82:V84" si="73">IF(T$12=0,0,T82/T$12)</f>
        <v>4.7483870967741934E-3</v>
      </c>
      <c r="W82" s="1"/>
      <c r="X82" s="1">
        <f t="shared" ref="X82:X84" si="74">+P82-T82</f>
        <v>703.84000000000015</v>
      </c>
      <c r="Y82" s="1"/>
      <c r="Z82" s="5">
        <f t="shared" ref="Z82:Z84" si="75">IF(T82=0,0,X82/T82)</f>
        <v>0.4781521739130436</v>
      </c>
    </row>
    <row r="83" spans="1:26" s="24" customFormat="1" hidden="1" outlineLevel="2" x14ac:dyDescent="0.25">
      <c r="A83" s="25"/>
      <c r="B83" s="11" t="str">
        <f>CONCATENATE("          ", "6303", " - ", "DATA PHONE LINES")</f>
        <v xml:space="preserve">          6303 - DATA PHONE LINES</v>
      </c>
      <c r="C83" s="11"/>
      <c r="D83" s="7"/>
      <c r="E83" s="2"/>
      <c r="F83" s="6">
        <f t="shared" si="68"/>
        <v>0</v>
      </c>
      <c r="G83" s="2"/>
      <c r="H83" s="7">
        <v>298</v>
      </c>
      <c r="I83" s="2"/>
      <c r="J83" s="6">
        <f t="shared" si="69"/>
        <v>3.725E-3</v>
      </c>
      <c r="K83" s="2"/>
      <c r="L83" s="7">
        <f t="shared" si="70"/>
        <v>-298</v>
      </c>
      <c r="M83" s="2"/>
      <c r="N83" s="6">
        <f t="shared" si="71"/>
        <v>-1</v>
      </c>
      <c r="O83" s="11"/>
      <c r="P83" s="7"/>
      <c r="Q83" s="2"/>
      <c r="R83" s="6">
        <f t="shared" si="72"/>
        <v>0</v>
      </c>
      <c r="S83" s="2"/>
      <c r="T83" s="7">
        <v>1292</v>
      </c>
      <c r="U83" s="2"/>
      <c r="V83" s="6">
        <f t="shared" si="73"/>
        <v>4.1677419354838709E-3</v>
      </c>
      <c r="W83" s="2"/>
      <c r="X83" s="7">
        <f t="shared" si="74"/>
        <v>-1292</v>
      </c>
      <c r="Y83" s="2"/>
      <c r="Z83" s="6">
        <f t="shared" si="75"/>
        <v>-1</v>
      </c>
    </row>
    <row r="84" spans="1:26" s="24" customFormat="1" hidden="1" outlineLevel="2" x14ac:dyDescent="0.25">
      <c r="A84" s="25"/>
      <c r="B84" s="11" t="str">
        <f>CONCATENATE("          ", "6309", " - ", "TELEPHONE")</f>
        <v xml:space="preserve">          6309 - TELEPHONE</v>
      </c>
      <c r="C84" s="11"/>
      <c r="D84" s="7">
        <v>313.11</v>
      </c>
      <c r="E84" s="2"/>
      <c r="F84" s="6">
        <f t="shared" si="68"/>
        <v>3.6095577020843926E-3</v>
      </c>
      <c r="G84" s="2"/>
      <c r="H84" s="7">
        <v>45</v>
      </c>
      <c r="I84" s="2"/>
      <c r="J84" s="6">
        <f t="shared" si="69"/>
        <v>5.6249999999999996E-4</v>
      </c>
      <c r="K84" s="2"/>
      <c r="L84" s="7">
        <f t="shared" si="70"/>
        <v>268.11</v>
      </c>
      <c r="M84" s="2"/>
      <c r="N84" s="6">
        <f t="shared" si="71"/>
        <v>5.9580000000000002</v>
      </c>
      <c r="O84" s="11"/>
      <c r="P84" s="7">
        <v>2175.84</v>
      </c>
      <c r="Q84" s="2"/>
      <c r="R84" s="6">
        <f t="shared" si="72"/>
        <v>7.5248257101808462E-3</v>
      </c>
      <c r="S84" s="2"/>
      <c r="T84" s="7">
        <v>180</v>
      </c>
      <c r="U84" s="2"/>
      <c r="V84" s="6">
        <f t="shared" si="73"/>
        <v>5.8064516129032254E-4</v>
      </c>
      <c r="W84" s="2"/>
      <c r="X84" s="7">
        <f t="shared" si="74"/>
        <v>1995.8400000000001</v>
      </c>
      <c r="Y84" s="2"/>
      <c r="Z84" s="6">
        <f t="shared" si="75"/>
        <v>11.088000000000001</v>
      </c>
    </row>
    <row r="85" spans="1:26" s="27" customFormat="1" outlineLevel="1" collapsed="1" x14ac:dyDescent="0.25">
      <c r="A85" s="26"/>
      <c r="B85" s="13" t="str">
        <f>CONCATENATE("     ","Training                                          ")</f>
        <v xml:space="preserve">     Training                                          </v>
      </c>
      <c r="C85" s="13"/>
      <c r="D85" s="1">
        <f>SUM(OSRRefD22_14x_0)</f>
        <v>0</v>
      </c>
      <c r="E85" s="1"/>
      <c r="F85" s="5">
        <f t="shared" ref="F85:F88" si="76">IF(D$12=0,0,D85/D$12)</f>
        <v>0</v>
      </c>
      <c r="G85" s="1"/>
      <c r="H85" s="1">
        <f>SUM(OSRRefH22_14x_0)</f>
        <v>0</v>
      </c>
      <c r="I85" s="1"/>
      <c r="J85" s="5">
        <f t="shared" ref="J85:J88" si="77">IF(H$12=0,0,H85/H$12)</f>
        <v>0</v>
      </c>
      <c r="K85" s="1"/>
      <c r="L85" s="1">
        <f t="shared" ref="L85:L88" si="78">+D85-H85</f>
        <v>0</v>
      </c>
      <c r="M85" s="1"/>
      <c r="N85" s="5">
        <f t="shared" ref="N85:N88" si="79">IF(H85=0,0,L85/H85)</f>
        <v>0</v>
      </c>
      <c r="O85" s="13"/>
      <c r="P85" s="1">
        <f>SUM(OSRRefP22_14x_0)</f>
        <v>237.95</v>
      </c>
      <c r="Q85" s="1"/>
      <c r="R85" s="5">
        <f t="shared" ref="R85:R88" si="80">IF(P$12=0,0,P85/P$12)</f>
        <v>8.229154155349346E-4</v>
      </c>
      <c r="S85" s="1"/>
      <c r="T85" s="1">
        <f>SUM(OSRRefT22_14x_0)</f>
        <v>500</v>
      </c>
      <c r="U85" s="1"/>
      <c r="V85" s="5">
        <f t="shared" ref="V85:V88" si="81">IF(T$12=0,0,T85/T$12)</f>
        <v>1.6129032258064516E-3</v>
      </c>
      <c r="W85" s="1"/>
      <c r="X85" s="1">
        <f t="shared" ref="X85:X88" si="82">+P85-T85</f>
        <v>-262.05</v>
      </c>
      <c r="Y85" s="1"/>
      <c r="Z85" s="5">
        <f t="shared" ref="Z85:Z88" si="83">IF(T85=0,0,X85/T85)</f>
        <v>-0.52410000000000001</v>
      </c>
    </row>
    <row r="86" spans="1:26" s="24" customFormat="1" hidden="1" outlineLevel="2" x14ac:dyDescent="0.25">
      <c r="A86" s="25"/>
      <c r="B86" s="11" t="str">
        <f>CONCATENATE("          ", "6376", " - ", "TRAINING")</f>
        <v xml:space="preserve">          6376 - TRAINING</v>
      </c>
      <c r="C86" s="11"/>
      <c r="D86" s="7"/>
      <c r="E86" s="2"/>
      <c r="F86" s="6">
        <f t="shared" si="76"/>
        <v>0</v>
      </c>
      <c r="G86" s="2"/>
      <c r="H86" s="7"/>
      <c r="I86" s="2"/>
      <c r="J86" s="6">
        <f t="shared" si="77"/>
        <v>0</v>
      </c>
      <c r="K86" s="2"/>
      <c r="L86" s="7">
        <f t="shared" si="78"/>
        <v>0</v>
      </c>
      <c r="M86" s="2"/>
      <c r="N86" s="6">
        <f t="shared" si="79"/>
        <v>0</v>
      </c>
      <c r="O86" s="11"/>
      <c r="P86" s="7">
        <v>237.95</v>
      </c>
      <c r="Q86" s="2"/>
      <c r="R86" s="6">
        <f t="shared" si="80"/>
        <v>8.229154155349346E-4</v>
      </c>
      <c r="S86" s="2"/>
      <c r="T86" s="7">
        <v>500</v>
      </c>
      <c r="U86" s="2"/>
      <c r="V86" s="6">
        <f t="shared" si="81"/>
        <v>1.6129032258064516E-3</v>
      </c>
      <c r="W86" s="2"/>
      <c r="X86" s="7">
        <f t="shared" si="82"/>
        <v>-262.05</v>
      </c>
      <c r="Y86" s="2"/>
      <c r="Z86" s="6">
        <f t="shared" si="83"/>
        <v>-0.52410000000000001</v>
      </c>
    </row>
    <row r="87" spans="1:26" s="27" customFormat="1" outlineLevel="1" collapsed="1" x14ac:dyDescent="0.25">
      <c r="A87" s="26"/>
      <c r="B87" s="13" t="str">
        <f>CONCATENATE("     ","Travel                                            ")</f>
        <v xml:space="preserve">     Travel                                            </v>
      </c>
      <c r="C87" s="13"/>
      <c r="D87" s="1">
        <f>SUM(OSRRefD22_15x_0)</f>
        <v>0</v>
      </c>
      <c r="E87" s="1"/>
      <c r="F87" s="5">
        <f t="shared" si="76"/>
        <v>0</v>
      </c>
      <c r="G87" s="1"/>
      <c r="H87" s="1">
        <f>SUM(OSRRefH22_15x_0)</f>
        <v>0</v>
      </c>
      <c r="I87" s="1"/>
      <c r="J87" s="5">
        <f t="shared" si="77"/>
        <v>0</v>
      </c>
      <c r="K87" s="1"/>
      <c r="L87" s="1">
        <f t="shared" si="78"/>
        <v>0</v>
      </c>
      <c r="M87" s="1"/>
      <c r="N87" s="5">
        <f t="shared" si="79"/>
        <v>0</v>
      </c>
      <c r="O87" s="13"/>
      <c r="P87" s="1">
        <f>SUM(OSRRefP22_15x_0)</f>
        <v>0</v>
      </c>
      <c r="Q87" s="1"/>
      <c r="R87" s="5">
        <f t="shared" si="80"/>
        <v>0</v>
      </c>
      <c r="S87" s="1"/>
      <c r="T87" s="1">
        <f>SUM(OSRRefT22_15x_0)</f>
        <v>500</v>
      </c>
      <c r="U87" s="1"/>
      <c r="V87" s="5">
        <f t="shared" si="81"/>
        <v>1.6129032258064516E-3</v>
      </c>
      <c r="W87" s="1"/>
      <c r="X87" s="1">
        <f t="shared" si="82"/>
        <v>-500</v>
      </c>
      <c r="Y87" s="1"/>
      <c r="Z87" s="5">
        <f t="shared" si="83"/>
        <v>-1</v>
      </c>
    </row>
    <row r="88" spans="1:26" s="24" customFormat="1" hidden="1" outlineLevel="2" x14ac:dyDescent="0.25">
      <c r="A88" s="25"/>
      <c r="B88" s="11" t="str">
        <f>CONCATENATE("          ", "6292", " - ", "TRAVEL/CONFERENCE")</f>
        <v xml:space="preserve">          6292 - TRAVEL/CONFERENCE</v>
      </c>
      <c r="C88" s="11"/>
      <c r="D88" s="7"/>
      <c r="E88" s="2"/>
      <c r="F88" s="6">
        <f t="shared" si="76"/>
        <v>0</v>
      </c>
      <c r="G88" s="2"/>
      <c r="H88" s="7"/>
      <c r="I88" s="2"/>
      <c r="J88" s="6">
        <f t="shared" si="77"/>
        <v>0</v>
      </c>
      <c r="K88" s="2"/>
      <c r="L88" s="7">
        <f t="shared" si="78"/>
        <v>0</v>
      </c>
      <c r="M88" s="2"/>
      <c r="N88" s="6">
        <f t="shared" si="79"/>
        <v>0</v>
      </c>
      <c r="O88" s="11"/>
      <c r="P88" s="7"/>
      <c r="Q88" s="2"/>
      <c r="R88" s="6">
        <f t="shared" si="80"/>
        <v>0</v>
      </c>
      <c r="S88" s="2"/>
      <c r="T88" s="7">
        <v>500</v>
      </c>
      <c r="U88" s="2"/>
      <c r="V88" s="6">
        <f t="shared" si="81"/>
        <v>1.6129032258064516E-3</v>
      </c>
      <c r="W88" s="2"/>
      <c r="X88" s="7">
        <f t="shared" si="82"/>
        <v>-500</v>
      </c>
      <c r="Y88" s="2"/>
      <c r="Z88" s="6">
        <f t="shared" si="83"/>
        <v>-1</v>
      </c>
    </row>
    <row r="89" spans="1:26" s="53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collapsed="1" x14ac:dyDescent="0.25">
      <c r="A90" s="10"/>
      <c r="B90" s="28" t="s">
        <v>0</v>
      </c>
      <c r="C90" s="10"/>
      <c r="D90" s="4">
        <f>SUM(OSRRefD25x_0)</f>
        <v>0</v>
      </c>
      <c r="E90" s="4"/>
      <c r="F90" s="12">
        <f t="shared" ref="F90:F91" si="84">IF(D$12=0,0,D90/D$12)</f>
        <v>0</v>
      </c>
      <c r="G90" s="4"/>
      <c r="H90" s="4">
        <f>SUM(OSRRefH25x_0)</f>
        <v>0</v>
      </c>
      <c r="I90" s="4"/>
      <c r="J90" s="12">
        <f t="shared" ref="J90:J91" si="85">IF(H$12=0,0,H90/H$12)</f>
        <v>0</v>
      </c>
      <c r="K90" s="4"/>
      <c r="L90" s="4">
        <f t="shared" ref="L90:L91" si="86">+D90-H90</f>
        <v>0</v>
      </c>
      <c r="M90" s="4"/>
      <c r="N90" s="12">
        <f t="shared" ref="N90:N91" si="87">IF(H90=0,0,L90/H90)</f>
        <v>0</v>
      </c>
      <c r="O90" s="10"/>
      <c r="P90" s="4">
        <f>SUM(OSRRefP25x_0)</f>
        <v>32460.44</v>
      </c>
      <c r="Q90" s="4"/>
      <c r="R90" s="12">
        <f t="shared" ref="R90:R91" si="88">IF(P$12=0,0,P90/P$12)</f>
        <v>0.11225970359759115</v>
      </c>
      <c r="S90" s="4"/>
      <c r="T90" s="4">
        <f>SUM(OSRRefT25x_0)</f>
        <v>4100</v>
      </c>
      <c r="U90" s="4"/>
      <c r="V90" s="12">
        <f t="shared" ref="V90:V91" si="89">IF(T$12=0,0,T90/T$12)</f>
        <v>1.3225806451612903E-2</v>
      </c>
      <c r="W90" s="4"/>
      <c r="X90" s="4">
        <f t="shared" ref="X90:X91" si="90">+P90-T90</f>
        <v>28360.44</v>
      </c>
      <c r="Y90" s="4"/>
      <c r="Z90" s="12">
        <f t="shared" ref="Z90:Z91" si="91">IF(T90=0,0,X90/T90)</f>
        <v>6.9171804878048775</v>
      </c>
    </row>
    <row r="91" spans="1:26" s="24" customFormat="1" hidden="1" outlineLevel="1" x14ac:dyDescent="0.25">
      <c r="A91" s="44"/>
      <c r="B91" s="11" t="str">
        <f>CONCATENATE("          ", "9150", " - ", "MISC. INCOME")</f>
        <v xml:space="preserve">          9150 - MISC. INCOME</v>
      </c>
      <c r="C91" s="11"/>
      <c r="D91" s="2">
        <f>0</f>
        <v>0</v>
      </c>
      <c r="E91" s="2"/>
      <c r="F91" s="19">
        <f t="shared" si="84"/>
        <v>0</v>
      </c>
      <c r="G91" s="2"/>
      <c r="H91" s="2"/>
      <c r="I91" s="2"/>
      <c r="J91" s="19">
        <f t="shared" si="85"/>
        <v>0</v>
      </c>
      <c r="K91" s="2"/>
      <c r="L91" s="2">
        <f t="shared" si="86"/>
        <v>0</v>
      </c>
      <c r="M91" s="2"/>
      <c r="N91" s="19">
        <f t="shared" si="87"/>
        <v>0</v>
      </c>
      <c r="O91" s="11"/>
      <c r="P91" s="2">
        <f>--32460.44</f>
        <v>32460.44</v>
      </c>
      <c r="Q91" s="2"/>
      <c r="R91" s="19">
        <f t="shared" si="88"/>
        <v>0.11225970359759115</v>
      </c>
      <c r="S91" s="2"/>
      <c r="T91" s="2">
        <v>4100</v>
      </c>
      <c r="U91" s="2"/>
      <c r="V91" s="19">
        <f t="shared" si="89"/>
        <v>1.3225806451612903E-2</v>
      </c>
      <c r="W91" s="2"/>
      <c r="X91" s="2">
        <f t="shared" si="90"/>
        <v>28360.44</v>
      </c>
      <c r="Y91" s="2"/>
      <c r="Z91" s="19">
        <f t="shared" si="91"/>
        <v>6.9171804878048775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9" t="s">
        <v>3</v>
      </c>
      <c r="C93" s="29"/>
      <c r="D93" s="21">
        <f>+D24-D26+D90</f>
        <v>5626.3099999999904</v>
      </c>
      <c r="E93" s="14"/>
      <c r="F93" s="20">
        <f>IF(D$12=0,0,D93/D$12)</f>
        <v>6.486056208621381E-2</v>
      </c>
      <c r="G93" s="14"/>
      <c r="H93" s="21">
        <f>+H24-H26+H90</f>
        <v>25189.006175000002</v>
      </c>
      <c r="I93" s="14"/>
      <c r="J93" s="20">
        <f>IF(H$12=0,0,H93/H$12)</f>
        <v>0.31486257718750005</v>
      </c>
      <c r="K93" s="16"/>
      <c r="L93" s="21">
        <f>+D93-H93</f>
        <v>-19562.696175000012</v>
      </c>
      <c r="M93" s="16"/>
      <c r="N93" s="20">
        <f>IF(H93=0,0,L93/H93)</f>
        <v>-0.77663628485731673</v>
      </c>
      <c r="O93" s="28"/>
      <c r="P93" s="21">
        <f>+P24-P26+P90</f>
        <v>19808.389999999981</v>
      </c>
      <c r="Q93" s="14"/>
      <c r="R93" s="20">
        <f>IF(P$12=0,0,P93/P$12)</f>
        <v>6.8504431552544778E-2</v>
      </c>
      <c r="S93" s="14"/>
      <c r="T93" s="21">
        <f>+T24-T26+T90</f>
        <v>82123.64300000004</v>
      </c>
      <c r="U93" s="14"/>
      <c r="V93" s="20">
        <f>IF(T$12=0,0,T93/T$12)</f>
        <v>0.26491497741935499</v>
      </c>
      <c r="W93" s="16"/>
      <c r="X93" s="21">
        <f>+P93-T93</f>
        <v>-62315.253000000055</v>
      </c>
      <c r="Y93" s="16"/>
      <c r="Z93" s="20">
        <f>IF(T93=0,0,X93/T93)</f>
        <v>-0.75879796272554578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2"/>
      <c r="B95" s="10" t="s">
        <v>14</v>
      </c>
      <c r="C95" s="10"/>
      <c r="D95" s="4">
        <v>8292.9</v>
      </c>
      <c r="E95" s="4"/>
      <c r="F95" s="12">
        <f>IF(D$12=0,0,D95/D$12)</f>
        <v>9.5601229815769725E-2</v>
      </c>
      <c r="G95" s="4"/>
      <c r="H95" s="4">
        <v>8541</v>
      </c>
      <c r="I95" s="4"/>
      <c r="J95" s="12">
        <f>IF(H$12=0,0,H95/H$12)</f>
        <v>0.1067625</v>
      </c>
      <c r="K95" s="4"/>
      <c r="L95" s="4">
        <f>+D95-H95</f>
        <v>-248.10000000000036</v>
      </c>
      <c r="M95" s="4"/>
      <c r="N95" s="12">
        <f>IF(H95=0,0,L95/H95)</f>
        <v>-2.904812082894279E-2</v>
      </c>
      <c r="O95" s="10"/>
      <c r="P95" s="4">
        <v>30154.76</v>
      </c>
      <c r="Q95" s="4"/>
      <c r="R95" s="12">
        <f>IF(P$12=0,0,P95/P$12)</f>
        <v>0.10428584515972357</v>
      </c>
      <c r="S95" s="4"/>
      <c r="T95" s="4">
        <v>38168</v>
      </c>
      <c r="U95" s="4"/>
      <c r="V95" s="12">
        <f>IF(T$12=0,0,T95/T$12)</f>
        <v>0.12312258064516129</v>
      </c>
      <c r="W95" s="4"/>
      <c r="X95" s="4">
        <f>+P95-T95</f>
        <v>-8013.2400000000016</v>
      </c>
      <c r="Y95" s="4"/>
      <c r="Z95" s="12">
        <f>IF(T95=0,0,X95/T95)</f>
        <v>-0.20994655208551671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4</v>
      </c>
      <c r="C97" s="29"/>
      <c r="D97" s="34">
        <f>+D93-D95</f>
        <v>-2666.5900000000092</v>
      </c>
      <c r="E97" s="14"/>
      <c r="F97" s="32">
        <f>IF(D$12=0,0,D97/D$12)</f>
        <v>-3.0740667729555918E-2</v>
      </c>
      <c r="G97" s="14"/>
      <c r="H97" s="34">
        <f>+H93-H95</f>
        <v>16648.006175000002</v>
      </c>
      <c r="I97" s="14"/>
      <c r="J97" s="32">
        <f>IF(H$12=0,0,H97/H$12)</f>
        <v>0.20810007718750004</v>
      </c>
      <c r="K97" s="16"/>
      <c r="L97" s="34">
        <f>D97-H97</f>
        <v>-19314.596175000013</v>
      </c>
      <c r="M97" s="16"/>
      <c r="N97" s="32">
        <f>IF(H97=0,0,L97/H97)</f>
        <v>-1.1601747363599839</v>
      </c>
      <c r="O97" s="28"/>
      <c r="P97" s="34">
        <f>+P93-P95</f>
        <v>-10346.370000000017</v>
      </c>
      <c r="Q97" s="14"/>
      <c r="R97" s="32">
        <f>IF(P$12=0,0,P97/P$12)</f>
        <v>-3.5781413607178798E-2</v>
      </c>
      <c r="S97" s="14"/>
      <c r="T97" s="34">
        <f>+T93-T95</f>
        <v>43955.64300000004</v>
      </c>
      <c r="U97" s="14"/>
      <c r="V97" s="32">
        <f>IF(T$12=0,0,T97/T$12)</f>
        <v>0.14179239677419367</v>
      </c>
      <c r="W97" s="16"/>
      <c r="X97" s="34">
        <f>P97-T97</f>
        <v>-54302.013000000057</v>
      </c>
      <c r="Y97" s="16"/>
      <c r="Z97" s="32">
        <f>IF(T97=0,0,X97/T97)</f>
        <v>-1.2353820645963478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9" t="s">
        <v>5</v>
      </c>
      <c r="C100" s="29"/>
      <c r="D100" s="31">
        <f>SUM(D97:D99)</f>
        <v>-2666.5900000000092</v>
      </c>
      <c r="E100" s="14"/>
      <c r="F100" s="30">
        <f>IF(D$12=0,0,D100/D$12)</f>
        <v>-3.0740667729555918E-2</v>
      </c>
      <c r="G100" s="14"/>
      <c r="H100" s="31">
        <f>SUM(H97:H99)</f>
        <v>16648.006175000002</v>
      </c>
      <c r="I100" s="14"/>
      <c r="J100" s="30">
        <f>IF(H$12=0,0,H100/H$12)</f>
        <v>0.20810007718750004</v>
      </c>
      <c r="K100" s="16"/>
      <c r="L100" s="31">
        <f>+D100-H100</f>
        <v>-19314.596175000013</v>
      </c>
      <c r="M100" s="16"/>
      <c r="N100" s="30">
        <f>IF(H100=0,0,L100/H100)</f>
        <v>-1.1601747363599839</v>
      </c>
      <c r="O100" s="28"/>
      <c r="P100" s="31">
        <f>SUM(P97:P99)</f>
        <v>-10346.370000000017</v>
      </c>
      <c r="Q100" s="14"/>
      <c r="R100" s="30">
        <f>IF(P$12=0,0,P100/P$12)</f>
        <v>-3.5781413607178798E-2</v>
      </c>
      <c r="S100" s="14"/>
      <c r="T100" s="31">
        <f>SUM(T97:T99)</f>
        <v>43955.64300000004</v>
      </c>
      <c r="U100" s="14"/>
      <c r="V100" s="30">
        <f>IF(T$12=0,0,T100/T$12)</f>
        <v>0.14179239677419367</v>
      </c>
      <c r="W100" s="16"/>
      <c r="X100" s="31">
        <f>+P100-T100</f>
        <v>-54302.013000000057</v>
      </c>
      <c r="Y100" s="16"/>
      <c r="Z100" s="30">
        <f>IF(T100=0,0,X100/T100)</f>
        <v>-1.2353820645963478</v>
      </c>
    </row>
    <row r="101" spans="1:26" ht="15.75" thickTop="1" x14ac:dyDescent="0.25">
      <c r="A101" s="9"/>
      <c r="C101" s="9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63">
        <v>43879.546654513892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7" t="s">
        <v>314</v>
      </c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A104" s="9"/>
      <c r="B104" s="60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","455", " - ", "Vending")</f>
        <v>Department 455 - Vending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8352.23</v>
      </c>
      <c r="E18" s="22"/>
      <c r="F18" s="35">
        <f t="shared" ref="F18:F27" si="0">IF(D$12=0,0,D18/D$12)</f>
        <v>0</v>
      </c>
      <c r="G18" s="22"/>
      <c r="H18" s="22">
        <f>SUM(OSRRefH22x_0)</f>
        <v>6661.7349645096147</v>
      </c>
      <c r="I18" s="22"/>
      <c r="J18" s="35">
        <f t="shared" ref="J18:J27" si="1">IF(H$12=0,0,H18/H$12)</f>
        <v>0</v>
      </c>
      <c r="K18" s="4"/>
      <c r="L18" s="22">
        <f t="shared" ref="L18:L27" si="2">+D18-H18</f>
        <v>1690.4950354903849</v>
      </c>
      <c r="M18" s="4"/>
      <c r="N18" s="35">
        <f t="shared" ref="N18:N27" si="3">IF(H18=0,0,L18/H18)</f>
        <v>0.2537619770970318</v>
      </c>
      <c r="O18" s="10"/>
      <c r="P18" s="22">
        <f>SUM(OSRRefP22x_0)</f>
        <v>60693.49</v>
      </c>
      <c r="Q18" s="22"/>
      <c r="R18" s="35">
        <f t="shared" ref="R18:R27" si="4">IF(P$12=0,0,P18/P$12)</f>
        <v>0</v>
      </c>
      <c r="S18" s="22"/>
      <c r="T18" s="22">
        <f>SUM(OSRRefT22x_0)</f>
        <v>41302.756779959593</v>
      </c>
      <c r="U18" s="22"/>
      <c r="V18" s="35">
        <f t="shared" ref="V18:V27" si="5">IF(T$12=0,0,T18/T$12)</f>
        <v>0</v>
      </c>
      <c r="W18" s="4"/>
      <c r="X18" s="22">
        <f t="shared" ref="X18:X27" si="6">+P18-T18</f>
        <v>19390.733220040405</v>
      </c>
      <c r="Y18" s="4"/>
      <c r="Z18" s="35">
        <f t="shared" ref="Z18:Z27" si="7">IF(T18=0,0,X18/T18)</f>
        <v>0.46947794122664799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2817.4700000000003</v>
      </c>
      <c r="E19" s="1"/>
      <c r="F19" s="5">
        <f t="shared" si="0"/>
        <v>0</v>
      </c>
      <c r="G19" s="1"/>
      <c r="H19" s="1">
        <f>SUM(OSRRefH22_0x_0)</f>
        <v>1515.904483740384</v>
      </c>
      <c r="I19" s="1"/>
      <c r="J19" s="5">
        <f t="shared" si="1"/>
        <v>0</v>
      </c>
      <c r="K19" s="1"/>
      <c r="L19" s="1">
        <f t="shared" si="2"/>
        <v>1301.5655162596163</v>
      </c>
      <c r="M19" s="1"/>
      <c r="N19" s="5">
        <f t="shared" si="3"/>
        <v>0.8586065482490679</v>
      </c>
      <c r="O19" s="13"/>
      <c r="P19" s="1">
        <f>SUM(OSRRefP22_0x_0)</f>
        <v>27279.769999999997</v>
      </c>
      <c r="Q19" s="1"/>
      <c r="R19" s="5">
        <f t="shared" si="4"/>
        <v>0</v>
      </c>
      <c r="S19" s="1"/>
      <c r="T19" s="1">
        <f>SUM(OSRRefT22_0x_0)</f>
        <v>9398.607799190384</v>
      </c>
      <c r="U19" s="1"/>
      <c r="V19" s="5">
        <f t="shared" si="5"/>
        <v>0</v>
      </c>
      <c r="W19" s="1"/>
      <c r="X19" s="1">
        <f t="shared" si="6"/>
        <v>17881.162200809613</v>
      </c>
      <c r="Y19" s="1"/>
      <c r="Z19" s="5">
        <f t="shared" si="7"/>
        <v>1.9025330754146306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384.92</v>
      </c>
      <c r="E20" s="2"/>
      <c r="F20" s="6">
        <f t="shared" si="0"/>
        <v>0</v>
      </c>
      <c r="G20" s="2"/>
      <c r="H20" s="7">
        <v>437.56711854807702</v>
      </c>
      <c r="I20" s="2"/>
      <c r="J20" s="6">
        <f t="shared" si="1"/>
        <v>0</v>
      </c>
      <c r="K20" s="2"/>
      <c r="L20" s="7">
        <f t="shared" si="2"/>
        <v>-52.647118548077003</v>
      </c>
      <c r="M20" s="2"/>
      <c r="N20" s="6">
        <f t="shared" si="3"/>
        <v>-0.12031781255129316</v>
      </c>
      <c r="O20" s="11"/>
      <c r="P20" s="7">
        <v>2523.56</v>
      </c>
      <c r="Q20" s="2"/>
      <c r="R20" s="6">
        <f t="shared" si="4"/>
        <v>0</v>
      </c>
      <c r="S20" s="2"/>
      <c r="T20" s="7">
        <v>2712.9161349980791</v>
      </c>
      <c r="U20" s="2"/>
      <c r="V20" s="6">
        <f t="shared" si="5"/>
        <v>0</v>
      </c>
      <c r="W20" s="2"/>
      <c r="X20" s="7">
        <f t="shared" si="6"/>
        <v>-189.35613499807914</v>
      </c>
      <c r="Y20" s="2"/>
      <c r="Z20" s="6">
        <f t="shared" si="7"/>
        <v>-6.9798005384421227E-2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17.11</v>
      </c>
      <c r="E21" s="2"/>
      <c r="F21" s="6">
        <f t="shared" si="0"/>
        <v>0</v>
      </c>
      <c r="G21" s="2"/>
      <c r="H21" s="7">
        <v>0</v>
      </c>
      <c r="I21" s="2"/>
      <c r="J21" s="6">
        <f t="shared" si="1"/>
        <v>0</v>
      </c>
      <c r="K21" s="2"/>
      <c r="L21" s="7">
        <f t="shared" si="2"/>
        <v>17.11</v>
      </c>
      <c r="M21" s="2"/>
      <c r="N21" s="6">
        <f t="shared" si="3"/>
        <v>0</v>
      </c>
      <c r="O21" s="11"/>
      <c r="P21" s="7">
        <v>142.21</v>
      </c>
      <c r="Q21" s="2"/>
      <c r="R21" s="6">
        <f t="shared" si="4"/>
        <v>0</v>
      </c>
      <c r="S21" s="2"/>
      <c r="T21" s="7">
        <v>0</v>
      </c>
      <c r="U21" s="2"/>
      <c r="V21" s="6">
        <f t="shared" si="5"/>
        <v>0</v>
      </c>
      <c r="W21" s="2"/>
      <c r="X21" s="7">
        <f t="shared" si="6"/>
        <v>142.21</v>
      </c>
      <c r="Y21" s="2"/>
      <c r="Z21" s="6">
        <f t="shared" si="7"/>
        <v>0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934.1</v>
      </c>
      <c r="E22" s="2"/>
      <c r="F22" s="6">
        <f t="shared" si="0"/>
        <v>0</v>
      </c>
      <c r="G22" s="2"/>
      <c r="H22" s="7">
        <v>0</v>
      </c>
      <c r="I22" s="2"/>
      <c r="J22" s="6">
        <f t="shared" si="1"/>
        <v>0</v>
      </c>
      <c r="K22" s="2"/>
      <c r="L22" s="7">
        <f t="shared" si="2"/>
        <v>934.1</v>
      </c>
      <c r="M22" s="2"/>
      <c r="N22" s="6">
        <f t="shared" si="3"/>
        <v>0</v>
      </c>
      <c r="O22" s="11"/>
      <c r="P22" s="7">
        <v>6525.8</v>
      </c>
      <c r="Q22" s="2"/>
      <c r="R22" s="6">
        <f t="shared" si="4"/>
        <v>0</v>
      </c>
      <c r="S22" s="2"/>
      <c r="T22" s="7">
        <v>0</v>
      </c>
      <c r="U22" s="2"/>
      <c r="V22" s="6">
        <f t="shared" si="5"/>
        <v>0</v>
      </c>
      <c r="W22" s="2"/>
      <c r="X22" s="7">
        <f t="shared" si="6"/>
        <v>6525.8</v>
      </c>
      <c r="Y22" s="2"/>
      <c r="Z22" s="6">
        <f t="shared" si="7"/>
        <v>0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13.08</v>
      </c>
      <c r="E23" s="2"/>
      <c r="F23" s="6">
        <f t="shared" si="0"/>
        <v>0</v>
      </c>
      <c r="G23" s="2"/>
      <c r="H23" s="7">
        <v>14.8657325</v>
      </c>
      <c r="I23" s="2"/>
      <c r="J23" s="6">
        <f t="shared" si="1"/>
        <v>0</v>
      </c>
      <c r="K23" s="2"/>
      <c r="L23" s="7">
        <f t="shared" si="2"/>
        <v>-1.7857324999999999</v>
      </c>
      <c r="M23" s="2"/>
      <c r="N23" s="6">
        <f t="shared" si="3"/>
        <v>-0.12012408403016804</v>
      </c>
      <c r="O23" s="11"/>
      <c r="P23" s="7">
        <v>121.23</v>
      </c>
      <c r="Q23" s="2"/>
      <c r="R23" s="6">
        <f t="shared" si="4"/>
        <v>0</v>
      </c>
      <c r="S23" s="2"/>
      <c r="T23" s="7">
        <v>92.167541499999999</v>
      </c>
      <c r="U23" s="2"/>
      <c r="V23" s="6">
        <f t="shared" si="5"/>
        <v>0</v>
      </c>
      <c r="W23" s="2"/>
      <c r="X23" s="7">
        <f t="shared" si="6"/>
        <v>29.062458500000005</v>
      </c>
      <c r="Y23" s="2"/>
      <c r="Z23" s="6">
        <f t="shared" si="7"/>
        <v>0.31532205402267355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771.4</v>
      </c>
      <c r="E24" s="2"/>
      <c r="F24" s="6">
        <f t="shared" si="0"/>
        <v>0</v>
      </c>
      <c r="G24" s="2"/>
      <c r="H24" s="7">
        <v>491.71269038461503</v>
      </c>
      <c r="I24" s="2"/>
      <c r="J24" s="6">
        <f t="shared" si="1"/>
        <v>0</v>
      </c>
      <c r="K24" s="2"/>
      <c r="L24" s="7">
        <f t="shared" si="2"/>
        <v>279.68730961538495</v>
      </c>
      <c r="M24" s="2"/>
      <c r="N24" s="6">
        <f t="shared" si="3"/>
        <v>0.56880230078384808</v>
      </c>
      <c r="O24" s="11"/>
      <c r="P24" s="7">
        <v>4766.34</v>
      </c>
      <c r="Q24" s="2"/>
      <c r="R24" s="6">
        <f t="shared" si="4"/>
        <v>0</v>
      </c>
      <c r="S24" s="2"/>
      <c r="T24" s="7">
        <v>3048.6186803846126</v>
      </c>
      <c r="U24" s="2"/>
      <c r="V24" s="6">
        <f t="shared" si="5"/>
        <v>0</v>
      </c>
      <c r="W24" s="2"/>
      <c r="X24" s="7">
        <f t="shared" si="6"/>
        <v>1717.7213196153875</v>
      </c>
      <c r="Y24" s="2"/>
      <c r="Z24" s="6">
        <f t="shared" si="7"/>
        <v>0.56344249632383692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464.78</v>
      </c>
      <c r="E26" s="2"/>
      <c r="F26" s="6">
        <f t="shared" si="0"/>
        <v>0</v>
      </c>
      <c r="G26" s="2"/>
      <c r="H26" s="7">
        <v>571.758942307692</v>
      </c>
      <c r="I26" s="2"/>
      <c r="J26" s="6">
        <f t="shared" si="1"/>
        <v>0</v>
      </c>
      <c r="K26" s="2"/>
      <c r="L26" s="7">
        <f t="shared" si="2"/>
        <v>-106.97894230769202</v>
      </c>
      <c r="M26" s="2"/>
      <c r="N26" s="6">
        <f t="shared" si="3"/>
        <v>-0.18710497447737567</v>
      </c>
      <c r="O26" s="11"/>
      <c r="P26" s="7">
        <v>4848.6000000000004</v>
      </c>
      <c r="Q26" s="2"/>
      <c r="R26" s="6">
        <f t="shared" si="4"/>
        <v>0</v>
      </c>
      <c r="S26" s="2"/>
      <c r="T26" s="7">
        <v>3544.9054423076923</v>
      </c>
      <c r="U26" s="2"/>
      <c r="V26" s="6">
        <f t="shared" si="5"/>
        <v>0</v>
      </c>
      <c r="W26" s="2"/>
      <c r="X26" s="7">
        <f t="shared" si="6"/>
        <v>1303.6945576923081</v>
      </c>
      <c r="Y26" s="2"/>
      <c r="Z26" s="6">
        <f t="shared" si="7"/>
        <v>0.3677656792006328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232.08</v>
      </c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232.08</v>
      </c>
      <c r="M27" s="2"/>
      <c r="N27" s="6">
        <f t="shared" si="3"/>
        <v>0</v>
      </c>
      <c r="O27" s="11"/>
      <c r="P27" s="7">
        <v>8352.0300000000007</v>
      </c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8352.0300000000007</v>
      </c>
      <c r="Y27" s="2"/>
      <c r="Z27" s="6">
        <f t="shared" si="7"/>
        <v>0</v>
      </c>
    </row>
    <row r="28" spans="1:26" s="27" customFormat="1" outlineLevel="1" collapsed="1" x14ac:dyDescent="0.25">
      <c r="A28" s="26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5534.76</v>
      </c>
      <c r="E28" s="1"/>
      <c r="F28" s="5">
        <f t="shared" ref="F28:F38" si="8">IF(D$12=0,0,D28/D$12)</f>
        <v>0</v>
      </c>
      <c r="G28" s="1"/>
      <c r="H28" s="1">
        <f>SUM(OSRRefH22_1x_0)</f>
        <v>5145.8304807692302</v>
      </c>
      <c r="I28" s="1"/>
      <c r="J28" s="5">
        <f t="shared" ref="J28:J38" si="9">IF(H$12=0,0,H28/H$12)</f>
        <v>0</v>
      </c>
      <c r="K28" s="1"/>
      <c r="L28" s="1">
        <f t="shared" ref="L28:L38" si="10">+D28-H28</f>
        <v>388.92951923076998</v>
      </c>
      <c r="M28" s="1"/>
      <c r="N28" s="5">
        <f t="shared" ref="N28:N38" si="11">IF(H28=0,0,L28/H28)</f>
        <v>7.5581486930877365E-2</v>
      </c>
      <c r="O28" s="13"/>
      <c r="P28" s="1">
        <f>SUM(OSRRefP22_1x_0)</f>
        <v>33413.72</v>
      </c>
      <c r="Q28" s="1"/>
      <c r="R28" s="5">
        <f t="shared" ref="R28:R38" si="12">IF(P$12=0,0,P28/P$12)</f>
        <v>0</v>
      </c>
      <c r="S28" s="1"/>
      <c r="T28" s="1">
        <f>SUM(OSRRefT22_1x_0)</f>
        <v>31904.148980769209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1509.5710192307924</v>
      </c>
      <c r="Y28" s="1"/>
      <c r="Z28" s="5">
        <f t="shared" ref="Z28:Z38" si="15">IF(T28=0,0,X28/T28)</f>
        <v>4.7315821529692367E-2</v>
      </c>
    </row>
    <row r="29" spans="1:26" s="24" customFormat="1" hidden="1" outlineLevel="2" x14ac:dyDescent="0.25">
      <c r="A29" s="25"/>
      <c r="B29" s="11" t="str">
        <f>CONCATENATE("          ", "6001", " - ", "ADMINISTRATIVE SALARIES")</f>
        <v xml:space="preserve">          6001 - ADMINISTRATIVE SALARIES</v>
      </c>
      <c r="C29" s="11"/>
      <c r="D29" s="7">
        <v>5534.76</v>
      </c>
      <c r="E29" s="2"/>
      <c r="F29" s="6">
        <f t="shared" si="8"/>
        <v>0</v>
      </c>
      <c r="G29" s="2"/>
      <c r="H29" s="7">
        <v>5145.8304807692302</v>
      </c>
      <c r="I29" s="2"/>
      <c r="J29" s="6">
        <f t="shared" si="9"/>
        <v>0</v>
      </c>
      <c r="K29" s="2"/>
      <c r="L29" s="7">
        <f t="shared" si="10"/>
        <v>388.92951923076998</v>
      </c>
      <c r="M29" s="2"/>
      <c r="N29" s="6">
        <f t="shared" si="11"/>
        <v>7.5581486930877365E-2</v>
      </c>
      <c r="O29" s="11"/>
      <c r="P29" s="7">
        <v>33413.72</v>
      </c>
      <c r="Q29" s="2"/>
      <c r="R29" s="6">
        <f t="shared" si="12"/>
        <v>0</v>
      </c>
      <c r="S29" s="2"/>
      <c r="T29" s="7">
        <v>31904.148980769209</v>
      </c>
      <c r="U29" s="2"/>
      <c r="V29" s="6">
        <f t="shared" si="13"/>
        <v>0</v>
      </c>
      <c r="W29" s="2"/>
      <c r="X29" s="7">
        <f t="shared" si="14"/>
        <v>1509.5710192307924</v>
      </c>
      <c r="Y29" s="2"/>
      <c r="Z29" s="6">
        <f t="shared" si="15"/>
        <v>4.7315821529692367E-2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>
        <v>0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5"/>
      <c r="B31" s="11" t="str">
        <f>CONCATENATE("          ", "6003", " - ", "STAFF HOURLY-9 MONTH")</f>
        <v xml:space="preserve">          6003 - STAFF HOURLY-9 MONTH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5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"6009", " - ", "TEMPORARY-SEASONAL")</f>
        <v xml:space="preserve">          6009 - TEMPORARY-SEASONAL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5"/>
      <c r="B38" s="11" t="str">
        <f>CONCATENATE("          ", "6010", " - ", "GRATUITY")</f>
        <v xml:space="preserve">          6010 - GRATUITY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53" customFormat="1" x14ac:dyDescent="0.25">
      <c r="A39" s="36"/>
      <c r="B39" s="36"/>
      <c r="C39" s="36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8" t="s">
        <v>0</v>
      </c>
      <c r="C40" s="10"/>
      <c r="D40" s="4">
        <f>SUM(OSRRefD25x_0)</f>
        <v>17307.7</v>
      </c>
      <c r="E40" s="4"/>
      <c r="F40" s="12">
        <f t="shared" ref="F40:F44" si="16">IF(D$12=0,0,D40/D$12)</f>
        <v>0</v>
      </c>
      <c r="G40" s="4"/>
      <c r="H40" s="4">
        <f>SUM(OSRRefH25x_0)</f>
        <v>28888</v>
      </c>
      <c r="I40" s="4"/>
      <c r="J40" s="12">
        <f t="shared" ref="J40:J44" si="17">IF(H$12=0,0,H40/H$12)</f>
        <v>0</v>
      </c>
      <c r="K40" s="4"/>
      <c r="L40" s="4">
        <f t="shared" ref="L40:L44" si="18">+D40-H40</f>
        <v>-11580.3</v>
      </c>
      <c r="M40" s="4"/>
      <c r="N40" s="12">
        <f t="shared" ref="N40:N44" si="19">IF(H40=0,0,L40/H40)</f>
        <v>-0.40086887288839657</v>
      </c>
      <c r="O40" s="10"/>
      <c r="P40" s="4">
        <f>SUM(OSRRefP25x_0)</f>
        <v>347763.03</v>
      </c>
      <c r="Q40" s="4"/>
      <c r="R40" s="12">
        <f t="shared" ref="R40:R44" si="20">IF(P$12=0,0,P40/P$12)</f>
        <v>0</v>
      </c>
      <c r="S40" s="4"/>
      <c r="T40" s="4">
        <f>SUM(OSRRefT25x_0)</f>
        <v>326591</v>
      </c>
      <c r="U40" s="4"/>
      <c r="V40" s="12">
        <f t="shared" ref="V40:V44" si="21">IF(T$12=0,0,T40/T$12)</f>
        <v>0</v>
      </c>
      <c r="W40" s="4"/>
      <c r="X40" s="4">
        <f t="shared" ref="X40:X44" si="22">+P40-T40</f>
        <v>21172.030000000028</v>
      </c>
      <c r="Y40" s="4"/>
      <c r="Z40" s="12">
        <f t="shared" ref="Z40:Z44" si="23">IF(T40=0,0,X40/T40)</f>
        <v>6.482735286642935E-2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 t="shared" ref="D41:D42" si="24">0</f>
        <v>0</v>
      </c>
      <c r="E41" s="2"/>
      <c r="F41" s="19">
        <f t="shared" si="16"/>
        <v>0</v>
      </c>
      <c r="G41" s="2"/>
      <c r="H41" s="2">
        <v>9962</v>
      </c>
      <c r="I41" s="2"/>
      <c r="J41" s="19">
        <f t="shared" si="17"/>
        <v>0</v>
      </c>
      <c r="K41" s="2"/>
      <c r="L41" s="2">
        <f t="shared" si="18"/>
        <v>-9962</v>
      </c>
      <c r="M41" s="2"/>
      <c r="N41" s="19">
        <f t="shared" si="19"/>
        <v>-1</v>
      </c>
      <c r="O41" s="11"/>
      <c r="P41" s="2">
        <f t="shared" ref="P41:P42" si="25">0</f>
        <v>0</v>
      </c>
      <c r="Q41" s="2"/>
      <c r="R41" s="19">
        <f t="shared" si="20"/>
        <v>0</v>
      </c>
      <c r="S41" s="2"/>
      <c r="T41" s="2">
        <v>49848</v>
      </c>
      <c r="U41" s="2"/>
      <c r="V41" s="19">
        <f t="shared" si="21"/>
        <v>0</v>
      </c>
      <c r="W41" s="2"/>
      <c r="X41" s="2">
        <f t="shared" si="22"/>
        <v>-49848</v>
      </c>
      <c r="Y41" s="2"/>
      <c r="Z41" s="19">
        <f t="shared" si="23"/>
        <v>-1</v>
      </c>
    </row>
    <row r="42" spans="1:26" s="24" customFormat="1" hidden="1" outlineLevel="1" x14ac:dyDescent="0.25">
      <c r="A42" s="44"/>
      <c r="B42" s="11" t="str">
        <f>CONCATENATE("          ", "9151", " - ", "MISC. INCOME")</f>
        <v xml:space="preserve">          9151 - MISC. INCOME</v>
      </c>
      <c r="C42" s="11"/>
      <c r="D42" s="2">
        <f t="shared" si="24"/>
        <v>0</v>
      </c>
      <c r="E42" s="2"/>
      <c r="F42" s="19">
        <f t="shared" si="16"/>
        <v>0</v>
      </c>
      <c r="G42" s="2"/>
      <c r="H42" s="2">
        <v>18926</v>
      </c>
      <c r="I42" s="2"/>
      <c r="J42" s="19">
        <f t="shared" si="17"/>
        <v>0</v>
      </c>
      <c r="K42" s="2"/>
      <c r="L42" s="2">
        <f t="shared" si="18"/>
        <v>-18926</v>
      </c>
      <c r="M42" s="2"/>
      <c r="N42" s="19">
        <f t="shared" si="19"/>
        <v>-1</v>
      </c>
      <c r="O42" s="11"/>
      <c r="P42" s="2">
        <f t="shared" si="25"/>
        <v>0</v>
      </c>
      <c r="Q42" s="2"/>
      <c r="R42" s="19">
        <f t="shared" si="20"/>
        <v>0</v>
      </c>
      <c r="S42" s="2"/>
      <c r="T42" s="2">
        <v>276743</v>
      </c>
      <c r="U42" s="2"/>
      <c r="V42" s="19">
        <f t="shared" si="21"/>
        <v>0</v>
      </c>
      <c r="W42" s="2"/>
      <c r="X42" s="2">
        <f t="shared" si="22"/>
        <v>-276743</v>
      </c>
      <c r="Y42" s="2"/>
      <c r="Z42" s="19">
        <f t="shared" si="23"/>
        <v>-1</v>
      </c>
    </row>
    <row r="43" spans="1:26" s="24" customFormat="1" hidden="1" outlineLevel="1" x14ac:dyDescent="0.25">
      <c r="A43" s="44"/>
      <c r="B43" s="11" t="str">
        <f>CONCATENATE("          ", "9160", " - ", "MISC. INCOME")</f>
        <v xml:space="preserve">          9160 - MISC. INCOME</v>
      </c>
      <c r="C43" s="11"/>
      <c r="D43" s="2">
        <f>--17307.7</f>
        <v>17307.7</v>
      </c>
      <c r="E43" s="2"/>
      <c r="F43" s="19">
        <f t="shared" si="16"/>
        <v>0</v>
      </c>
      <c r="G43" s="2"/>
      <c r="H43" s="2"/>
      <c r="I43" s="2"/>
      <c r="J43" s="19">
        <f t="shared" si="17"/>
        <v>0</v>
      </c>
      <c r="K43" s="2"/>
      <c r="L43" s="2">
        <f t="shared" si="18"/>
        <v>17307.7</v>
      </c>
      <c r="M43" s="2"/>
      <c r="N43" s="19">
        <f t="shared" si="19"/>
        <v>0</v>
      </c>
      <c r="O43" s="11"/>
      <c r="P43" s="2">
        <f>--120346.97</f>
        <v>120346.97</v>
      </c>
      <c r="Q43" s="2"/>
      <c r="R43" s="19">
        <f t="shared" si="20"/>
        <v>0</v>
      </c>
      <c r="S43" s="2"/>
      <c r="T43" s="2"/>
      <c r="U43" s="2"/>
      <c r="V43" s="19">
        <f t="shared" si="21"/>
        <v>0</v>
      </c>
      <c r="W43" s="2"/>
      <c r="X43" s="2">
        <f t="shared" si="22"/>
        <v>120346.97</v>
      </c>
      <c r="Y43" s="2"/>
      <c r="Z43" s="19">
        <f t="shared" si="23"/>
        <v>0</v>
      </c>
    </row>
    <row r="44" spans="1:26" s="24" customFormat="1" hidden="1" outlineLevel="1" x14ac:dyDescent="0.25">
      <c r="A44" s="44"/>
      <c r="B44" s="11" t="str">
        <f>CONCATENATE("          ", "9165", " - ", "OTHER INCOME")</f>
        <v xml:space="preserve">          9165 - OTHER INCOME</v>
      </c>
      <c r="C44" s="11"/>
      <c r="D44" s="2">
        <f>0</f>
        <v>0</v>
      </c>
      <c r="E44" s="2"/>
      <c r="F44" s="19">
        <f t="shared" si="16"/>
        <v>0</v>
      </c>
      <c r="G44" s="2"/>
      <c r="H44" s="2"/>
      <c r="I44" s="2"/>
      <c r="J44" s="19">
        <f t="shared" si="17"/>
        <v>0</v>
      </c>
      <c r="K44" s="2"/>
      <c r="L44" s="2">
        <f t="shared" si="18"/>
        <v>0</v>
      </c>
      <c r="M44" s="2"/>
      <c r="N44" s="19">
        <f t="shared" si="19"/>
        <v>0</v>
      </c>
      <c r="O44" s="11"/>
      <c r="P44" s="2">
        <f>--227416.06</f>
        <v>227416.06</v>
      </c>
      <c r="Q44" s="2"/>
      <c r="R44" s="19">
        <f t="shared" si="20"/>
        <v>0</v>
      </c>
      <c r="S44" s="2"/>
      <c r="T44" s="2"/>
      <c r="U44" s="2"/>
      <c r="V44" s="19">
        <f t="shared" si="21"/>
        <v>0</v>
      </c>
      <c r="W44" s="2"/>
      <c r="X44" s="2">
        <f t="shared" si="22"/>
        <v>227416.06</v>
      </c>
      <c r="Y44" s="2"/>
      <c r="Z44" s="19">
        <f t="shared" si="23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9" t="s">
        <v>3</v>
      </c>
      <c r="C46" s="29"/>
      <c r="D46" s="21">
        <f>+D16-D18+D40</f>
        <v>8955.4700000000012</v>
      </c>
      <c r="E46" s="14"/>
      <c r="F46" s="20">
        <f>IF(D$12=0,0,D46/D$12)</f>
        <v>0</v>
      </c>
      <c r="G46" s="14"/>
      <c r="H46" s="21">
        <f>+H16-H18+H40</f>
        <v>22226.265035490385</v>
      </c>
      <c r="I46" s="14"/>
      <c r="J46" s="20">
        <f>IF(H$12=0,0,H46/H$12)</f>
        <v>0</v>
      </c>
      <c r="K46" s="16"/>
      <c r="L46" s="21">
        <f>+D46-H46</f>
        <v>-13270.795035490384</v>
      </c>
      <c r="M46" s="16"/>
      <c r="N46" s="20">
        <f>IF(H46=0,0,L46/H46)</f>
        <v>-0.59707715238254766</v>
      </c>
      <c r="O46" s="28"/>
      <c r="P46" s="21">
        <f>+P16-P18+P40</f>
        <v>287069.54000000004</v>
      </c>
      <c r="Q46" s="14"/>
      <c r="R46" s="20">
        <f>IF(P$12=0,0,P46/P$12)</f>
        <v>0</v>
      </c>
      <c r="S46" s="14"/>
      <c r="T46" s="21">
        <f>+T16-T18+T40</f>
        <v>285288.2432200404</v>
      </c>
      <c r="U46" s="14"/>
      <c r="V46" s="20">
        <f>IF(T$12=0,0,T46/T$12)</f>
        <v>0</v>
      </c>
      <c r="W46" s="16"/>
      <c r="X46" s="21">
        <f>+P46-T46</f>
        <v>1781.2967799596372</v>
      </c>
      <c r="Y46" s="16"/>
      <c r="Z46" s="20">
        <f>IF(T46=0,0,X46/T46)</f>
        <v>6.2438492377189835E-3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2"/>
      <c r="B48" s="10" t="s">
        <v>14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9" t="s">
        <v>4</v>
      </c>
      <c r="C50" s="29"/>
      <c r="D50" s="34">
        <f>+D46-D48</f>
        <v>8955.4700000000012</v>
      </c>
      <c r="E50" s="14"/>
      <c r="F50" s="32">
        <f>IF(D$12=0,0,D50/D$12)</f>
        <v>0</v>
      </c>
      <c r="G50" s="14"/>
      <c r="H50" s="34">
        <f>+H46-H48</f>
        <v>22226.265035490385</v>
      </c>
      <c r="I50" s="14"/>
      <c r="J50" s="32">
        <f>IF(H$12=0,0,H50/H$12)</f>
        <v>0</v>
      </c>
      <c r="K50" s="16"/>
      <c r="L50" s="34">
        <f>D50-H50</f>
        <v>-13270.795035490384</v>
      </c>
      <c r="M50" s="16"/>
      <c r="N50" s="32">
        <f>IF(H50=0,0,L50/H50)</f>
        <v>-0.59707715238254766</v>
      </c>
      <c r="O50" s="28"/>
      <c r="P50" s="34">
        <f>+P46-P48</f>
        <v>287069.54000000004</v>
      </c>
      <c r="Q50" s="14"/>
      <c r="R50" s="32">
        <f>IF(P$12=0,0,P50/P$12)</f>
        <v>0</v>
      </c>
      <c r="S50" s="14"/>
      <c r="T50" s="34">
        <f>+T46-T48</f>
        <v>285288.2432200404</v>
      </c>
      <c r="U50" s="14"/>
      <c r="V50" s="32">
        <f>IF(T$12=0,0,T50/T$12)</f>
        <v>0</v>
      </c>
      <c r="W50" s="16"/>
      <c r="X50" s="34">
        <f>P50-T50</f>
        <v>1781.2967799596372</v>
      </c>
      <c r="Y50" s="16"/>
      <c r="Z50" s="32">
        <f>IF(T50=0,0,X50/T50)</f>
        <v>6.2438492377189835E-3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9" t="s">
        <v>5</v>
      </c>
      <c r="C53" s="29"/>
      <c r="D53" s="31">
        <f>SUM(D50:D52)</f>
        <v>8955.4700000000012</v>
      </c>
      <c r="E53" s="14"/>
      <c r="F53" s="30">
        <f>IF(D$12=0,0,D53/D$12)</f>
        <v>0</v>
      </c>
      <c r="G53" s="14"/>
      <c r="H53" s="31">
        <f>SUM(H50:H52)</f>
        <v>22226.265035490385</v>
      </c>
      <c r="I53" s="14"/>
      <c r="J53" s="30">
        <f>IF(H$12=0,0,H53/H$12)</f>
        <v>0</v>
      </c>
      <c r="K53" s="16"/>
      <c r="L53" s="31">
        <f>+D53-H53</f>
        <v>-13270.795035490384</v>
      </c>
      <c r="M53" s="16"/>
      <c r="N53" s="30">
        <f>IF(H53=0,0,L53/H53)</f>
        <v>-0.59707715238254766</v>
      </c>
      <c r="O53" s="28"/>
      <c r="P53" s="31">
        <f>SUM(P50:P52)</f>
        <v>287069.54000000004</v>
      </c>
      <c r="Q53" s="14"/>
      <c r="R53" s="30">
        <f>IF(P$12=0,0,P53/P$12)</f>
        <v>0</v>
      </c>
      <c r="S53" s="14"/>
      <c r="T53" s="31">
        <f>SUM(T50:T52)</f>
        <v>285288.2432200404</v>
      </c>
      <c r="U53" s="14"/>
      <c r="V53" s="30">
        <f>IF(T$12=0,0,T53/T$12)</f>
        <v>0</v>
      </c>
      <c r="W53" s="16"/>
      <c r="X53" s="31">
        <f>+P53-T53</f>
        <v>1781.2967799596372</v>
      </c>
      <c r="Y53" s="16"/>
      <c r="Z53" s="30">
        <f>IF(T53=0,0,X53/T53)</f>
        <v>6.2438492377189835E-3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A55" s="9"/>
      <c r="B55" s="63">
        <v>43879.546760381942</v>
      </c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  <row r="56" spans="1:26" x14ac:dyDescent="0.25">
      <c r="A56" s="9"/>
      <c r="B56" s="57" t="s">
        <v>314</v>
      </c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25">
      <c r="A57" s="9"/>
      <c r="B57" s="60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302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648989.25</v>
      </c>
      <c r="E12" s="4"/>
      <c r="F12" s="12"/>
      <c r="G12" s="4"/>
      <c r="H12" s="4">
        <f>SUM(OSRRefH13x_0)</f>
        <v>600908</v>
      </c>
      <c r="I12" s="4"/>
      <c r="J12" s="12"/>
      <c r="K12" s="4"/>
      <c r="L12" s="4">
        <f t="shared" ref="L12:L18" si="0">+D12-H12</f>
        <v>48081.25</v>
      </c>
      <c r="M12" s="4"/>
      <c r="N12" s="12">
        <f t="shared" ref="N12:N18" si="1">IF(H12=0,0,L12/H12)</f>
        <v>8.0014328316481059E-2</v>
      </c>
      <c r="O12" s="10"/>
      <c r="P12" s="4">
        <f>SUM(OSRRefP13x_0)</f>
        <v>6737303.3799999999</v>
      </c>
      <c r="Q12" s="4"/>
      <c r="R12" s="12"/>
      <c r="S12" s="4"/>
      <c r="T12" s="4">
        <f>SUM(OSRRefT13x_0)</f>
        <v>6649879</v>
      </c>
      <c r="U12" s="4"/>
      <c r="V12" s="12"/>
      <c r="W12" s="4"/>
      <c r="X12" s="4">
        <f t="shared" ref="X12:X18" si="2">+P12-T12</f>
        <v>87424.379999999888</v>
      </c>
      <c r="Y12" s="4"/>
      <c r="Z12" s="12">
        <f t="shared" ref="Z12:Z18" si="3">IF(T12=0,0,X12/T12)</f>
        <v>1.3146762520039821E-2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--386.73</f>
        <v>386.73</v>
      </c>
      <c r="E13" s="2"/>
      <c r="F13" s="19"/>
      <c r="G13" s="2"/>
      <c r="H13" s="2"/>
      <c r="I13" s="2"/>
      <c r="J13" s="19"/>
      <c r="K13" s="2"/>
      <c r="L13" s="2">
        <f t="shared" si="0"/>
        <v>386.73</v>
      </c>
      <c r="M13" s="2"/>
      <c r="N13" s="19">
        <f t="shared" si="1"/>
        <v>0</v>
      </c>
      <c r="O13" s="11"/>
      <c r="P13" s="2">
        <f>--20725.69</f>
        <v>20725.689999999999</v>
      </c>
      <c r="Q13" s="2"/>
      <c r="R13" s="19"/>
      <c r="S13" s="2"/>
      <c r="T13" s="2"/>
      <c r="U13" s="2"/>
      <c r="V13" s="19"/>
      <c r="W13" s="2"/>
      <c r="X13" s="2">
        <f t="shared" si="2"/>
        <v>20725.689999999999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 t="shared" ref="D14:D15" si="4">0</f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--973.49</f>
        <v>973.49</v>
      </c>
      <c r="Q14" s="2"/>
      <c r="R14" s="19"/>
      <c r="S14" s="2"/>
      <c r="T14" s="2"/>
      <c r="U14" s="2"/>
      <c r="V14" s="19"/>
      <c r="W14" s="2"/>
      <c r="X14" s="2">
        <f t="shared" si="2"/>
        <v>973.49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600908</v>
      </c>
      <c r="I15" s="2"/>
      <c r="J15" s="19"/>
      <c r="K15" s="2"/>
      <c r="L15" s="2">
        <f t="shared" si="0"/>
        <v>-600908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6649879</v>
      </c>
      <c r="U15" s="2"/>
      <c r="V15" s="19"/>
      <c r="W15" s="2"/>
      <c r="X15" s="2">
        <f t="shared" si="2"/>
        <v>-6649879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--604694.27</f>
        <v>604694.27</v>
      </c>
      <c r="E16" s="2"/>
      <c r="F16" s="19"/>
      <c r="G16" s="2"/>
      <c r="H16" s="2"/>
      <c r="I16" s="2"/>
      <c r="J16" s="19"/>
      <c r="K16" s="2"/>
      <c r="L16" s="2">
        <f t="shared" si="0"/>
        <v>604694.27</v>
      </c>
      <c r="M16" s="2"/>
      <c r="N16" s="19">
        <f t="shared" si="1"/>
        <v>0</v>
      </c>
      <c r="O16" s="11"/>
      <c r="P16" s="2">
        <f>--6445205.51</f>
        <v>6445205.5099999998</v>
      </c>
      <c r="Q16" s="2"/>
      <c r="R16" s="19"/>
      <c r="S16" s="2"/>
      <c r="T16" s="2"/>
      <c r="U16" s="2"/>
      <c r="V16" s="19"/>
      <c r="W16" s="2"/>
      <c r="X16" s="2">
        <f t="shared" si="2"/>
        <v>6445205.5099999998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"4153", " - ", "NON-TAXABLE SALES-FOOD")</f>
        <v xml:space="preserve">          4153 - NON-TAXABLE SALES-FOOD</v>
      </c>
      <c r="C17" s="11"/>
      <c r="D17" s="2">
        <f>--43908.25</f>
        <v>43908.25</v>
      </c>
      <c r="E17" s="2"/>
      <c r="F17" s="19"/>
      <c r="G17" s="2"/>
      <c r="H17" s="2"/>
      <c r="I17" s="2"/>
      <c r="J17" s="19"/>
      <c r="K17" s="2"/>
      <c r="L17" s="2">
        <f t="shared" si="0"/>
        <v>43908.25</v>
      </c>
      <c r="M17" s="2"/>
      <c r="N17" s="19">
        <f t="shared" si="1"/>
        <v>0</v>
      </c>
      <c r="O17" s="11"/>
      <c r="P17" s="2">
        <f>--266664.79</f>
        <v>266664.78999999998</v>
      </c>
      <c r="Q17" s="2"/>
      <c r="R17" s="19"/>
      <c r="S17" s="2"/>
      <c r="T17" s="2"/>
      <c r="U17" s="2"/>
      <c r="V17" s="19"/>
      <c r="W17" s="2"/>
      <c r="X17" s="2">
        <f t="shared" si="2"/>
        <v>266664.78999999998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"4155", " - ", "NON-TAXABLE SALES-FOOD")</f>
        <v xml:space="preserve">          4155 - NON-TAXABLE SALES-FOOD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--3733.9</f>
        <v>3733.9</v>
      </c>
      <c r="Q18" s="2"/>
      <c r="R18" s="19"/>
      <c r="S18" s="2"/>
      <c r="T18" s="2"/>
      <c r="U18" s="2"/>
      <c r="V18" s="19"/>
      <c r="W18" s="2"/>
      <c r="X18" s="2">
        <f t="shared" si="2"/>
        <v>3733.9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154839.35</v>
      </c>
      <c r="E20" s="4"/>
      <c r="F20" s="12">
        <f t="shared" ref="F20:F23" si="5">IF(D$12=0,0,D20/D$12)</f>
        <v>0.23858538488888684</v>
      </c>
      <c r="G20" s="4"/>
      <c r="H20" s="4">
        <f>SUM(OSRRefH16x_0)</f>
        <v>162808.46</v>
      </c>
      <c r="I20" s="4"/>
      <c r="J20" s="12">
        <f t="shared" ref="J20:J23" si="6">IF(H$12=0,0,H20/H$12)</f>
        <v>0.2709374147124019</v>
      </c>
      <c r="K20" s="4"/>
      <c r="L20" s="4">
        <f t="shared" ref="L20:L23" si="7">+D20-H20</f>
        <v>-7969.109999999986</v>
      </c>
      <c r="M20" s="4"/>
      <c r="N20" s="12">
        <f t="shared" ref="N20:N23" si="8">IF(H20=0,0,L20/H20)</f>
        <v>-4.8947763525310578E-2</v>
      </c>
      <c r="O20" s="10"/>
      <c r="P20" s="4">
        <f>SUM(OSRRefP16x_0)</f>
        <v>1618831.13</v>
      </c>
      <c r="Q20" s="4"/>
      <c r="R20" s="12">
        <f t="shared" ref="R20:R23" si="9">IF(P$12=0,0,P20/P$12)</f>
        <v>0.24027879385772885</v>
      </c>
      <c r="S20" s="4"/>
      <c r="T20" s="4">
        <f>SUM(OSRRefT16x_0)</f>
        <v>1768904.95</v>
      </c>
      <c r="U20" s="4"/>
      <c r="V20" s="12">
        <f t="shared" ref="V20:V23" si="10">IF(T$12=0,0,T20/T$12)</f>
        <v>0.26600558446251427</v>
      </c>
      <c r="W20" s="4"/>
      <c r="X20" s="4">
        <f t="shared" ref="X20:X23" si="11">+P20-T20</f>
        <v>-150073.82000000007</v>
      </c>
      <c r="Y20" s="4"/>
      <c r="Z20" s="12">
        <f t="shared" ref="Z20:Z23" si="12">IF(T20=0,0,X20/T20)</f>
        <v>-8.4839957059309523E-2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5"/>
        <v>0</v>
      </c>
      <c r="G21" s="2"/>
      <c r="H21" s="2">
        <v>162808.46</v>
      </c>
      <c r="I21" s="2"/>
      <c r="J21" s="19">
        <f t="shared" si="6"/>
        <v>0.2709374147124019</v>
      </c>
      <c r="K21" s="2"/>
      <c r="L21" s="2">
        <f t="shared" si="7"/>
        <v>-162808.46</v>
      </c>
      <c r="M21" s="2"/>
      <c r="N21" s="19">
        <f t="shared" si="8"/>
        <v>-1</v>
      </c>
      <c r="O21" s="11"/>
      <c r="P21" s="2"/>
      <c r="Q21" s="2"/>
      <c r="R21" s="19">
        <f t="shared" si="9"/>
        <v>0</v>
      </c>
      <c r="S21" s="2"/>
      <c r="T21" s="2">
        <v>1768904.95</v>
      </c>
      <c r="U21" s="2"/>
      <c r="V21" s="19">
        <f t="shared" si="10"/>
        <v>0.26600558446251427</v>
      </c>
      <c r="W21" s="2"/>
      <c r="X21" s="2">
        <f t="shared" si="11"/>
        <v>-1768904.95</v>
      </c>
      <c r="Y21" s="2"/>
      <c r="Z21" s="19">
        <f t="shared" si="12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199642.35</v>
      </c>
      <c r="E22" s="2"/>
      <c r="F22" s="19">
        <f t="shared" si="5"/>
        <v>0.30762042668657458</v>
      </c>
      <c r="G22" s="2"/>
      <c r="H22" s="2"/>
      <c r="I22" s="2"/>
      <c r="J22" s="19">
        <f t="shared" si="6"/>
        <v>0</v>
      </c>
      <c r="K22" s="2"/>
      <c r="L22" s="2">
        <f t="shared" si="7"/>
        <v>199642.35</v>
      </c>
      <c r="M22" s="2"/>
      <c r="N22" s="19">
        <f t="shared" si="8"/>
        <v>0</v>
      </c>
      <c r="O22" s="11"/>
      <c r="P22" s="2">
        <v>1657453.39</v>
      </c>
      <c r="Q22" s="2"/>
      <c r="R22" s="19">
        <f t="shared" si="9"/>
        <v>0.24601139306272415</v>
      </c>
      <c r="S22" s="2"/>
      <c r="T22" s="2"/>
      <c r="U22" s="2"/>
      <c r="V22" s="19">
        <f t="shared" si="10"/>
        <v>0</v>
      </c>
      <c r="W22" s="2"/>
      <c r="X22" s="2">
        <f t="shared" si="11"/>
        <v>1657453.39</v>
      </c>
      <c r="Y22" s="2"/>
      <c r="Z22" s="19">
        <f t="shared" si="12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-44803</v>
      </c>
      <c r="E23" s="2"/>
      <c r="F23" s="19">
        <f t="shared" si="5"/>
        <v>-6.9035041797687713E-2</v>
      </c>
      <c r="G23" s="2"/>
      <c r="H23" s="2"/>
      <c r="I23" s="2"/>
      <c r="J23" s="19">
        <f t="shared" si="6"/>
        <v>0</v>
      </c>
      <c r="K23" s="2"/>
      <c r="L23" s="2">
        <f t="shared" si="7"/>
        <v>-44803</v>
      </c>
      <c r="M23" s="2"/>
      <c r="N23" s="19">
        <f t="shared" si="8"/>
        <v>0</v>
      </c>
      <c r="O23" s="11"/>
      <c r="P23" s="2">
        <v>-38622.259999999995</v>
      </c>
      <c r="Q23" s="2"/>
      <c r="R23" s="19">
        <f t="shared" si="9"/>
        <v>-5.7325992049952774E-3</v>
      </c>
      <c r="S23" s="2"/>
      <c r="T23" s="2"/>
      <c r="U23" s="2"/>
      <c r="V23" s="19">
        <f t="shared" si="10"/>
        <v>0</v>
      </c>
      <c r="W23" s="2"/>
      <c r="X23" s="2">
        <f t="shared" si="11"/>
        <v>-38622.259999999995</v>
      </c>
      <c r="Y23" s="2"/>
      <c r="Z23" s="19">
        <f t="shared" si="12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9" t="s">
        <v>6</v>
      </c>
      <c r="C25" s="29"/>
      <c r="D25" s="21">
        <f>D12-D20</f>
        <v>494149.9</v>
      </c>
      <c r="E25" s="14"/>
      <c r="F25" s="20">
        <f>IF(D$12=0,0,D25/D$12)</f>
        <v>0.76141461511111319</v>
      </c>
      <c r="G25" s="14"/>
      <c r="H25" s="21">
        <f>H12-H20</f>
        <v>438099.54000000004</v>
      </c>
      <c r="I25" s="14"/>
      <c r="J25" s="20">
        <f>IF(H$12=0,0,H25/H$12)</f>
        <v>0.72906258528759815</v>
      </c>
      <c r="K25" s="16"/>
      <c r="L25" s="21">
        <f>+D25-H25</f>
        <v>56050.359999999986</v>
      </c>
      <c r="M25" s="16"/>
      <c r="N25" s="20">
        <f>IF(H25=0,0,L25/H25)</f>
        <v>0.12793978281739346</v>
      </c>
      <c r="O25" s="28"/>
      <c r="P25" s="21">
        <f>P12-P20</f>
        <v>5118472.25</v>
      </c>
      <c r="Q25" s="14"/>
      <c r="R25" s="20">
        <f>IF(P$12=0,0,P25/P$12)</f>
        <v>0.75972120614227112</v>
      </c>
      <c r="S25" s="14"/>
      <c r="T25" s="21">
        <f>T12-T20</f>
        <v>4880974.05</v>
      </c>
      <c r="U25" s="14"/>
      <c r="V25" s="20">
        <f>IF(T$12=0,0,T25/T$12)</f>
        <v>0.73399441553748568</v>
      </c>
      <c r="W25" s="16"/>
      <c r="X25" s="21">
        <f>+P25-T25</f>
        <v>237498.20000000019</v>
      </c>
      <c r="Y25" s="16"/>
      <c r="Z25" s="20">
        <f>IF(T25=0,0,X25/T25)</f>
        <v>4.8657951787307738E-2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9</v>
      </c>
      <c r="C27" s="10"/>
      <c r="D27" s="22">
        <f>SUM(OSRRefD22x_0)</f>
        <v>406371.21000000014</v>
      </c>
      <c r="E27" s="22"/>
      <c r="F27" s="35">
        <f t="shared" ref="F27:F38" si="13">IF(D$12=0,0,D27/D$12)</f>
        <v>0.62616015596560359</v>
      </c>
      <c r="G27" s="22"/>
      <c r="H27" s="22">
        <f>SUM(OSRRefH22x_0)</f>
        <v>413037.76945036219</v>
      </c>
      <c r="I27" s="22"/>
      <c r="J27" s="35">
        <f t="shared" ref="J27:J38" si="14">IF(H$12=0,0,H27/H$12)</f>
        <v>0.68735608354417344</v>
      </c>
      <c r="K27" s="4"/>
      <c r="L27" s="22">
        <f t="shared" ref="L27:L38" si="15">+D27-H27</f>
        <v>-6666.5594503620523</v>
      </c>
      <c r="M27" s="4"/>
      <c r="N27" s="35">
        <f t="shared" ref="N27:N38" si="16">IF(H27=0,0,L27/H27)</f>
        <v>-1.6140314381499248E-2</v>
      </c>
      <c r="O27" s="10"/>
      <c r="P27" s="22">
        <f>SUM(OSRRefP22x_0)</f>
        <v>3350940.84</v>
      </c>
      <c r="Q27" s="22"/>
      <c r="R27" s="35">
        <f t="shared" ref="R27:R38" si="17">IF(P$12=0,0,P27/P$12)</f>
        <v>0.4973712256965338</v>
      </c>
      <c r="S27" s="22"/>
      <c r="T27" s="22">
        <f>SUM(OSRRefT22x_0)</f>
        <v>3314038.5277400617</v>
      </c>
      <c r="U27" s="22"/>
      <c r="V27" s="35">
        <f t="shared" ref="V27:V38" si="18">IF(T$12=0,0,T27/T$12)</f>
        <v>0.49836072622374961</v>
      </c>
      <c r="W27" s="4"/>
      <c r="X27" s="22">
        <f t="shared" ref="X27:X38" si="19">+P27-T27</f>
        <v>36902.312259938102</v>
      </c>
      <c r="Y27" s="4"/>
      <c r="Z27" s="35">
        <f t="shared" ref="Z27:Z38" si="20">IF(T27=0,0,X27/T27)</f>
        <v>1.1135148837603541E-2</v>
      </c>
    </row>
    <row r="28" spans="1:26" s="27" customFormat="1" outlineLevel="1" collapsed="1" x14ac:dyDescent="0.25">
      <c r="A28" s="26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94274.670000000013</v>
      </c>
      <c r="E28" s="1"/>
      <c r="F28" s="5">
        <f t="shared" si="13"/>
        <v>0.1452638391159792</v>
      </c>
      <c r="G28" s="1"/>
      <c r="H28" s="1">
        <f>SUM(OSRRefH22_0x_0)</f>
        <v>86838.693507900753</v>
      </c>
      <c r="I28" s="1"/>
      <c r="J28" s="5">
        <f t="shared" si="14"/>
        <v>0.14451246032321213</v>
      </c>
      <c r="K28" s="1"/>
      <c r="L28" s="1">
        <f t="shared" si="15"/>
        <v>7435.9764920992602</v>
      </c>
      <c r="M28" s="1"/>
      <c r="N28" s="5">
        <f t="shared" si="16"/>
        <v>8.5629760095627422E-2</v>
      </c>
      <c r="O28" s="13"/>
      <c r="P28" s="1">
        <f>SUM(OSRRefP22_0x_0)</f>
        <v>663693.44000000006</v>
      </c>
      <c r="Q28" s="1"/>
      <c r="R28" s="5">
        <f t="shared" si="17"/>
        <v>9.8510249957008772E-2</v>
      </c>
      <c r="S28" s="1"/>
      <c r="T28" s="1">
        <f>SUM(OSRRefT22_0x_0)</f>
        <v>609941.91240760044</v>
      </c>
      <c r="U28" s="1"/>
      <c r="V28" s="5">
        <f t="shared" si="18"/>
        <v>9.1722257263267562E-2</v>
      </c>
      <c r="W28" s="1"/>
      <c r="X28" s="1">
        <f t="shared" si="19"/>
        <v>53751.527592399623</v>
      </c>
      <c r="Y28" s="1"/>
      <c r="Z28" s="5">
        <f t="shared" si="20"/>
        <v>8.8125650162698715E-2</v>
      </c>
    </row>
    <row r="29" spans="1:26" s="24" customFormat="1" hidden="1" outlineLevel="2" x14ac:dyDescent="0.25">
      <c r="A29" s="25"/>
      <c r="B29" s="11" t="str">
        <f>CONCATENATE("          ", "6111", " - ", "F.I.C.A.")</f>
        <v xml:space="preserve">          6111 - F.I.C.A.</v>
      </c>
      <c r="C29" s="11"/>
      <c r="D29" s="7">
        <v>9638.9599999999991</v>
      </c>
      <c r="E29" s="2"/>
      <c r="F29" s="6">
        <f t="shared" si="13"/>
        <v>1.4852264502069949E-2</v>
      </c>
      <c r="G29" s="2"/>
      <c r="H29" s="7">
        <v>11832.988061005381</v>
      </c>
      <c r="I29" s="2"/>
      <c r="J29" s="6">
        <f t="shared" si="14"/>
        <v>1.9691846440728664E-2</v>
      </c>
      <c r="K29" s="2"/>
      <c r="L29" s="7">
        <f t="shared" si="15"/>
        <v>-2194.0280610053815</v>
      </c>
      <c r="M29" s="2"/>
      <c r="N29" s="6">
        <f t="shared" si="16"/>
        <v>-0.18541623212108332</v>
      </c>
      <c r="O29" s="11"/>
      <c r="P29" s="7">
        <v>95736.65</v>
      </c>
      <c r="Q29" s="2"/>
      <c r="R29" s="6">
        <f t="shared" si="17"/>
        <v>1.420993602339457E-2</v>
      </c>
      <c r="S29" s="2"/>
      <c r="T29" s="7">
        <v>91889.375543557398</v>
      </c>
      <c r="U29" s="2"/>
      <c r="V29" s="6">
        <f t="shared" si="18"/>
        <v>1.3818202638507767E-2</v>
      </c>
      <c r="W29" s="2"/>
      <c r="X29" s="7">
        <f t="shared" si="19"/>
        <v>3847.2744564425957</v>
      </c>
      <c r="Y29" s="2"/>
      <c r="Z29" s="6">
        <f t="shared" si="20"/>
        <v>4.1868545016054776E-2</v>
      </c>
    </row>
    <row r="30" spans="1:26" s="24" customFormat="1" hidden="1" outlineLevel="2" x14ac:dyDescent="0.25">
      <c r="A30" s="25"/>
      <c r="B30" s="11" t="str">
        <f>CONCATENATE("          ", "6112", " - ", "COMPENSATION INSURANCE")</f>
        <v xml:space="preserve">          6112 - COMPENSATION INSURANCE</v>
      </c>
      <c r="C30" s="11"/>
      <c r="D30" s="7">
        <v>6421.15</v>
      </c>
      <c r="E30" s="2"/>
      <c r="F30" s="6">
        <f t="shared" si="13"/>
        <v>9.8940775983577534E-3</v>
      </c>
      <c r="G30" s="2"/>
      <c r="H30" s="7">
        <v>8389.3007788369196</v>
      </c>
      <c r="I30" s="2"/>
      <c r="J30" s="6">
        <f t="shared" si="14"/>
        <v>1.3961040257139063E-2</v>
      </c>
      <c r="K30" s="2"/>
      <c r="L30" s="7">
        <f t="shared" si="15"/>
        <v>-1968.1507788369199</v>
      </c>
      <c r="M30" s="2"/>
      <c r="N30" s="6">
        <f t="shared" si="16"/>
        <v>-0.23460248127017105</v>
      </c>
      <c r="O30" s="11"/>
      <c r="P30" s="7">
        <v>54677.61</v>
      </c>
      <c r="Q30" s="2"/>
      <c r="R30" s="6">
        <f t="shared" si="17"/>
        <v>8.1156520518747971E-3</v>
      </c>
      <c r="S30" s="2"/>
      <c r="T30" s="7">
        <v>68685.788177316936</v>
      </c>
      <c r="U30" s="2"/>
      <c r="V30" s="6">
        <f t="shared" si="18"/>
        <v>1.0328877890457396E-2</v>
      </c>
      <c r="W30" s="2"/>
      <c r="X30" s="7">
        <f t="shared" si="19"/>
        <v>-14008.178177316935</v>
      </c>
      <c r="Y30" s="2"/>
      <c r="Z30" s="6">
        <f t="shared" si="20"/>
        <v>-0.20394580231290191</v>
      </c>
    </row>
    <row r="31" spans="1:26" s="24" customFormat="1" hidden="1" outlineLevel="2" x14ac:dyDescent="0.25">
      <c r="A31" s="25"/>
      <c r="B31" s="11" t="str">
        <f>CONCATENATE("          ", "6113", " - ", "GROUP INSURANCE")</f>
        <v xml:space="preserve">          6113 - GROUP INSURANCE</v>
      </c>
      <c r="C31" s="11"/>
      <c r="D31" s="7">
        <v>51635.66</v>
      </c>
      <c r="E31" s="2"/>
      <c r="F31" s="6">
        <f t="shared" si="13"/>
        <v>7.9563197695493415E-2</v>
      </c>
      <c r="G31" s="2"/>
      <c r="H31" s="7">
        <v>49894.692307692305</v>
      </c>
      <c r="I31" s="2"/>
      <c r="J31" s="6">
        <f t="shared" si="14"/>
        <v>8.3032165169530617E-2</v>
      </c>
      <c r="K31" s="2"/>
      <c r="L31" s="7">
        <f t="shared" si="15"/>
        <v>1740.9676923076986</v>
      </c>
      <c r="M31" s="2"/>
      <c r="N31" s="6">
        <f t="shared" si="16"/>
        <v>3.4892843542784852E-2</v>
      </c>
      <c r="O31" s="11"/>
      <c r="P31" s="7">
        <v>329595.16000000003</v>
      </c>
      <c r="Q31" s="2"/>
      <c r="R31" s="6">
        <f t="shared" si="17"/>
        <v>4.8920931923359529E-2</v>
      </c>
      <c r="S31" s="2"/>
      <c r="T31" s="7">
        <v>329877.99999999988</v>
      </c>
      <c r="U31" s="2"/>
      <c r="V31" s="6">
        <f t="shared" si="18"/>
        <v>4.9606616902352643E-2</v>
      </c>
      <c r="W31" s="2"/>
      <c r="X31" s="7">
        <f t="shared" si="19"/>
        <v>-282.83999999985099</v>
      </c>
      <c r="Y31" s="2"/>
      <c r="Z31" s="6">
        <f t="shared" si="20"/>
        <v>-8.5740789018925513E-4</v>
      </c>
    </row>
    <row r="32" spans="1:26" s="24" customFormat="1" hidden="1" outlineLevel="2" x14ac:dyDescent="0.25">
      <c r="A32" s="25"/>
      <c r="B32" s="11" t="str">
        <f>CONCATENATE("          ", "6114", " - ", "STATE UNEMPLOYMENT INSURANCE")</f>
        <v xml:space="preserve">          6114 - STATE UNEMPLOYMENT INSURANCE</v>
      </c>
      <c r="C32" s="11"/>
      <c r="D32" s="7">
        <v>434.97</v>
      </c>
      <c r="E32" s="2"/>
      <c r="F32" s="6">
        <f t="shared" si="13"/>
        <v>6.7022681808674028E-4</v>
      </c>
      <c r="G32" s="2"/>
      <c r="H32" s="7">
        <v>563.70278852000001</v>
      </c>
      <c r="I32" s="2"/>
      <c r="J32" s="6">
        <f t="shared" si="14"/>
        <v>9.3808501221484823E-4</v>
      </c>
      <c r="K32" s="2"/>
      <c r="L32" s="7">
        <f t="shared" si="15"/>
        <v>-128.73278851999999</v>
      </c>
      <c r="M32" s="2"/>
      <c r="N32" s="6">
        <f t="shared" si="16"/>
        <v>-0.22836996932015813</v>
      </c>
      <c r="O32" s="11"/>
      <c r="P32" s="7">
        <v>4660.1400000000003</v>
      </c>
      <c r="Q32" s="2"/>
      <c r="R32" s="6">
        <f t="shared" si="17"/>
        <v>6.9169217076283718E-4</v>
      </c>
      <c r="S32" s="2"/>
      <c r="T32" s="7">
        <v>4616.9913904799996</v>
      </c>
      <c r="U32" s="2"/>
      <c r="V32" s="6">
        <f t="shared" si="18"/>
        <v>6.9429705269524451E-4</v>
      </c>
      <c r="W32" s="2"/>
      <c r="X32" s="7">
        <f t="shared" si="19"/>
        <v>43.148609520000718</v>
      </c>
      <c r="Y32" s="2"/>
      <c r="Z32" s="6">
        <f t="shared" si="20"/>
        <v>9.3456118651143571E-3</v>
      </c>
    </row>
    <row r="33" spans="1:26" s="24" customFormat="1" hidden="1" outlineLevel="2" x14ac:dyDescent="0.25">
      <c r="A33" s="25"/>
      <c r="B33" s="11" t="str">
        <f>CONCATENATE("          ", "6115", " - ", "P.E.R.S.")</f>
        <v xml:space="preserve">          6115 - P.E.R.S.</v>
      </c>
      <c r="C33" s="11"/>
      <c r="D33" s="7">
        <v>6063.12</v>
      </c>
      <c r="E33" s="2"/>
      <c r="F33" s="6">
        <f t="shared" si="13"/>
        <v>9.3424043618596138E-3</v>
      </c>
      <c r="G33" s="2"/>
      <c r="H33" s="7">
        <v>4552.785098923081</v>
      </c>
      <c r="I33" s="2"/>
      <c r="J33" s="6">
        <f t="shared" si="14"/>
        <v>7.5765093806757127E-3</v>
      </c>
      <c r="K33" s="2"/>
      <c r="L33" s="7">
        <f t="shared" si="15"/>
        <v>1510.3349010769189</v>
      </c>
      <c r="M33" s="2"/>
      <c r="N33" s="6">
        <f t="shared" si="16"/>
        <v>0.33173867605439461</v>
      </c>
      <c r="O33" s="11"/>
      <c r="P33" s="7">
        <v>31969.660000000003</v>
      </c>
      <c r="Q33" s="2"/>
      <c r="R33" s="6">
        <f t="shared" si="17"/>
        <v>4.7451715021329501E-3</v>
      </c>
      <c r="S33" s="2"/>
      <c r="T33" s="7">
        <v>28227.267613323103</v>
      </c>
      <c r="U33" s="2"/>
      <c r="V33" s="6">
        <f t="shared" si="18"/>
        <v>4.24477913257115E-3</v>
      </c>
      <c r="W33" s="2"/>
      <c r="X33" s="7">
        <f t="shared" si="19"/>
        <v>3742.3923866769001</v>
      </c>
      <c r="Y33" s="2"/>
      <c r="Z33" s="6">
        <f t="shared" si="20"/>
        <v>0.13258075269426761</v>
      </c>
    </row>
    <row r="34" spans="1:26" s="24" customFormat="1" hidden="1" outlineLevel="2" x14ac:dyDescent="0.25">
      <c r="A34" s="25"/>
      <c r="B34" s="11" t="str">
        <f>CONCATENATE("          ", "6116", " - ", "EDUCATIONAL BENEFITS")</f>
        <v xml:space="preserve">          6116 - EDUCATIONAL BENEFITS</v>
      </c>
      <c r="C34" s="11"/>
      <c r="D34" s="7"/>
      <c r="E34" s="2"/>
      <c r="F34" s="6">
        <f t="shared" si="13"/>
        <v>0</v>
      </c>
      <c r="G34" s="2"/>
      <c r="H34" s="7">
        <v>0</v>
      </c>
      <c r="I34" s="2"/>
      <c r="J34" s="6">
        <f t="shared" si="14"/>
        <v>0</v>
      </c>
      <c r="K34" s="2"/>
      <c r="L34" s="7">
        <f t="shared" si="15"/>
        <v>0</v>
      </c>
      <c r="M34" s="2"/>
      <c r="N34" s="6">
        <f t="shared" si="16"/>
        <v>0</v>
      </c>
      <c r="O34" s="11"/>
      <c r="P34" s="7"/>
      <c r="Q34" s="2"/>
      <c r="R34" s="6">
        <f t="shared" si="17"/>
        <v>0</v>
      </c>
      <c r="S34" s="2"/>
      <c r="T34" s="7">
        <v>0</v>
      </c>
      <c r="U34" s="2"/>
      <c r="V34" s="6">
        <f t="shared" si="18"/>
        <v>0</v>
      </c>
      <c r="W34" s="2"/>
      <c r="X34" s="7">
        <f t="shared" si="19"/>
        <v>0</v>
      </c>
      <c r="Y34" s="2"/>
      <c r="Z34" s="6">
        <f t="shared" si="20"/>
        <v>0</v>
      </c>
    </row>
    <row r="35" spans="1:26" s="24" customFormat="1" hidden="1" outlineLevel="2" x14ac:dyDescent="0.25">
      <c r="A35" s="25"/>
      <c r="B35" s="11" t="str">
        <f>CONCATENATE("          ", "6117", " - ", "RETIREMENT STAFF HOURLY")</f>
        <v xml:space="preserve">          6117 - RETIREMENT STAFF HOURLY</v>
      </c>
      <c r="C35" s="11"/>
      <c r="D35" s="7">
        <v>2264.3000000000002</v>
      </c>
      <c r="E35" s="2"/>
      <c r="F35" s="6">
        <f t="shared" si="13"/>
        <v>3.488963800247847E-3</v>
      </c>
      <c r="G35" s="2"/>
      <c r="H35" s="7"/>
      <c r="I35" s="2"/>
      <c r="J35" s="6">
        <f t="shared" si="14"/>
        <v>0</v>
      </c>
      <c r="K35" s="2"/>
      <c r="L35" s="7">
        <f t="shared" si="15"/>
        <v>2264.3000000000002</v>
      </c>
      <c r="M35" s="2"/>
      <c r="N35" s="6">
        <f t="shared" si="16"/>
        <v>0</v>
      </c>
      <c r="O35" s="11"/>
      <c r="P35" s="7">
        <v>12732.31</v>
      </c>
      <c r="Q35" s="2"/>
      <c r="R35" s="6">
        <f t="shared" si="17"/>
        <v>1.8898228685673346E-3</v>
      </c>
      <c r="S35" s="2"/>
      <c r="T35" s="7"/>
      <c r="U35" s="2"/>
      <c r="V35" s="6">
        <f t="shared" si="18"/>
        <v>0</v>
      </c>
      <c r="W35" s="2"/>
      <c r="X35" s="7">
        <f t="shared" si="19"/>
        <v>12732.31</v>
      </c>
      <c r="Y35" s="2"/>
      <c r="Z35" s="6">
        <f t="shared" si="20"/>
        <v>0</v>
      </c>
    </row>
    <row r="36" spans="1:26" s="24" customFormat="1" hidden="1" outlineLevel="2" x14ac:dyDescent="0.25">
      <c r="A36" s="25"/>
      <c r="B36" s="11" t="str">
        <f>CONCATENATE("          ", "6118", " - ", "VACATION")</f>
        <v xml:space="preserve">          6118 - VACATION</v>
      </c>
      <c r="C36" s="11"/>
      <c r="D36" s="7">
        <v>7754.21</v>
      </c>
      <c r="E36" s="2"/>
      <c r="F36" s="6">
        <f t="shared" si="13"/>
        <v>1.1948133193269379E-2</v>
      </c>
      <c r="G36" s="2"/>
      <c r="H36" s="7">
        <v>4393.9276284615353</v>
      </c>
      <c r="I36" s="2"/>
      <c r="J36" s="6">
        <f t="shared" si="14"/>
        <v>7.3121469983117807E-3</v>
      </c>
      <c r="K36" s="2"/>
      <c r="L36" s="7">
        <f t="shared" si="15"/>
        <v>3360.2823715384648</v>
      </c>
      <c r="M36" s="2"/>
      <c r="N36" s="6">
        <f t="shared" si="16"/>
        <v>0.76475596679661628</v>
      </c>
      <c r="O36" s="11"/>
      <c r="P36" s="7">
        <v>61310.210000000006</v>
      </c>
      <c r="Q36" s="2"/>
      <c r="R36" s="6">
        <f t="shared" si="17"/>
        <v>9.1001112079949122E-3</v>
      </c>
      <c r="S36" s="2"/>
      <c r="T36" s="7">
        <v>27841.049920461533</v>
      </c>
      <c r="U36" s="2"/>
      <c r="V36" s="6">
        <f t="shared" si="18"/>
        <v>4.1867002272464706E-3</v>
      </c>
      <c r="W36" s="2"/>
      <c r="X36" s="7">
        <f t="shared" si="19"/>
        <v>33469.160079538473</v>
      </c>
      <c r="Y36" s="2"/>
      <c r="Z36" s="6">
        <f t="shared" si="20"/>
        <v>1.2021515056061378</v>
      </c>
    </row>
    <row r="37" spans="1:26" s="24" customFormat="1" hidden="1" outlineLevel="2" x14ac:dyDescent="0.25">
      <c r="A37" s="25"/>
      <c r="B37" s="11" t="str">
        <f>CONCATENATE("          ", "6119", " - ", "SICK LEAVE")</f>
        <v xml:space="preserve">          6119 - SICK LEAVE</v>
      </c>
      <c r="C37" s="11"/>
      <c r="D37" s="7">
        <v>5163.3500000000004</v>
      </c>
      <c r="E37" s="2"/>
      <c r="F37" s="6">
        <f t="shared" si="13"/>
        <v>7.9559869443137938E-3</v>
      </c>
      <c r="G37" s="2"/>
      <c r="H37" s="7">
        <v>5711.2968444615399</v>
      </c>
      <c r="I37" s="2"/>
      <c r="J37" s="6">
        <f t="shared" si="14"/>
        <v>9.5044446811517573E-3</v>
      </c>
      <c r="K37" s="2"/>
      <c r="L37" s="7">
        <f t="shared" si="15"/>
        <v>-547.94684446153951</v>
      </c>
      <c r="M37" s="2"/>
      <c r="N37" s="6">
        <f t="shared" si="16"/>
        <v>-9.5940879870900816E-2</v>
      </c>
      <c r="O37" s="11"/>
      <c r="P37" s="7">
        <v>46566.950000000004</v>
      </c>
      <c r="Q37" s="2"/>
      <c r="R37" s="6">
        <f t="shared" si="17"/>
        <v>6.9118083858649105E-3</v>
      </c>
      <c r="S37" s="2"/>
      <c r="T37" s="7">
        <v>48303.439762461538</v>
      </c>
      <c r="U37" s="2"/>
      <c r="V37" s="6">
        <f t="shared" si="18"/>
        <v>7.2638073207740381E-3</v>
      </c>
      <c r="W37" s="2"/>
      <c r="X37" s="7">
        <f t="shared" si="19"/>
        <v>-1736.4897624615332</v>
      </c>
      <c r="Y37" s="2"/>
      <c r="Z37" s="6">
        <f t="shared" si="20"/>
        <v>-3.5949608785646486E-2</v>
      </c>
    </row>
    <row r="38" spans="1:26" s="24" customFormat="1" hidden="1" outlineLevel="2" x14ac:dyDescent="0.25">
      <c r="A38" s="25"/>
      <c r="B38" s="11" t="str">
        <f>CONCATENATE("          ", "6156", " - ", "EMPLOYEE MEALS")</f>
        <v xml:space="preserve">          6156 - EMPLOYEE MEALS</v>
      </c>
      <c r="C38" s="11"/>
      <c r="D38" s="7">
        <v>4898.95</v>
      </c>
      <c r="E38" s="2"/>
      <c r="F38" s="6">
        <f t="shared" si="13"/>
        <v>7.5485842022806997E-3</v>
      </c>
      <c r="G38" s="2"/>
      <c r="H38" s="7">
        <v>1500</v>
      </c>
      <c r="I38" s="2"/>
      <c r="J38" s="6">
        <f t="shared" si="14"/>
        <v>2.4962223834596978E-3</v>
      </c>
      <c r="K38" s="2"/>
      <c r="L38" s="7">
        <f t="shared" si="15"/>
        <v>3398.95</v>
      </c>
      <c r="M38" s="2"/>
      <c r="N38" s="6">
        <f t="shared" si="16"/>
        <v>2.2659666666666665</v>
      </c>
      <c r="O38" s="11"/>
      <c r="P38" s="7">
        <v>26444.75</v>
      </c>
      <c r="Q38" s="2"/>
      <c r="R38" s="6">
        <f t="shared" si="17"/>
        <v>3.9251238230569334E-3</v>
      </c>
      <c r="S38" s="2"/>
      <c r="T38" s="7">
        <v>10500</v>
      </c>
      <c r="U38" s="2"/>
      <c r="V38" s="6">
        <f t="shared" si="18"/>
        <v>1.5789760986628478E-3</v>
      </c>
      <c r="W38" s="2"/>
      <c r="X38" s="7">
        <f t="shared" si="19"/>
        <v>15944.75</v>
      </c>
      <c r="Y38" s="2"/>
      <c r="Z38" s="6">
        <f t="shared" si="20"/>
        <v>1.518547619047619</v>
      </c>
    </row>
    <row r="39" spans="1:26" s="27" customFormat="1" outlineLevel="1" collapsed="1" x14ac:dyDescent="0.25">
      <c r="A39" s="26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214542.4</v>
      </c>
      <c r="E39" s="1"/>
      <c r="F39" s="5">
        <f t="shared" ref="F39:F49" si="21">IF(D$12=0,0,D39/D$12)</f>
        <v>0.33057928155204419</v>
      </c>
      <c r="G39" s="1"/>
      <c r="H39" s="1">
        <f>SUM(OSRRefH22_1x_0)</f>
        <v>207729.07594246147</v>
      </c>
      <c r="I39" s="1"/>
      <c r="J39" s="5">
        <f t="shared" ref="J39:J49" si="22">IF(H$12=0,0,H39/H$12)</f>
        <v>0.34569197937531448</v>
      </c>
      <c r="K39" s="1"/>
      <c r="L39" s="1">
        <f t="shared" ref="L39:L49" si="23">+D39-H39</f>
        <v>6813.324057538528</v>
      </c>
      <c r="M39" s="1"/>
      <c r="N39" s="5">
        <f t="shared" ref="N39:N49" si="24">IF(H39=0,0,L39/H39)</f>
        <v>3.2799087112031153E-2</v>
      </c>
      <c r="O39" s="13"/>
      <c r="P39" s="1">
        <f>SUM(OSRRefP22_1x_0)</f>
        <v>1736172.3900000001</v>
      </c>
      <c r="Q39" s="1"/>
      <c r="R39" s="5">
        <f t="shared" ref="R39:R49" si="25">IF(P$12=0,0,P39/P$12)</f>
        <v>0.25769544461273763</v>
      </c>
      <c r="S39" s="1"/>
      <c r="T39" s="1">
        <f>SUM(OSRRefT22_1x_0)</f>
        <v>1711259.6153324612</v>
      </c>
      <c r="U39" s="1"/>
      <c r="V39" s="5">
        <f t="shared" ref="V39:V49" si="26">IF(T$12=0,0,T39/T$12)</f>
        <v>0.25733695535399381</v>
      </c>
      <c r="W39" s="1"/>
      <c r="X39" s="1">
        <f t="shared" ref="X39:X49" si="27">+P39-T39</f>
        <v>24912.774667538935</v>
      </c>
      <c r="Y39" s="1"/>
      <c r="Z39" s="5">
        <f t="shared" ref="Z39:Z49" si="28">IF(T39=0,0,X39/T39)</f>
        <v>1.4558150291356532E-2</v>
      </c>
    </row>
    <row r="40" spans="1:26" s="24" customFormat="1" hidden="1" outlineLevel="2" x14ac:dyDescent="0.25">
      <c r="A40" s="25"/>
      <c r="B40" s="11" t="str">
        <f>CONCATENATE("          ", "6001", " - ", "ADMINISTRATIVE SALARIES")</f>
        <v xml:space="preserve">          6001 - ADMINISTRATIVE SALARIES</v>
      </c>
      <c r="C40" s="11"/>
      <c r="D40" s="7">
        <v>8552.0400000000009</v>
      </c>
      <c r="E40" s="2"/>
      <c r="F40" s="6">
        <f t="shared" si="21"/>
        <v>1.3177475589926954E-2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8552.0400000000009</v>
      </c>
      <c r="M40" s="2"/>
      <c r="N40" s="6">
        <f t="shared" si="24"/>
        <v>0</v>
      </c>
      <c r="O40" s="11"/>
      <c r="P40" s="7">
        <v>54164.28</v>
      </c>
      <c r="Q40" s="2"/>
      <c r="R40" s="6">
        <f t="shared" si="25"/>
        <v>8.0394598469157846E-3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54164.28</v>
      </c>
      <c r="Y40" s="2"/>
      <c r="Z40" s="6">
        <f t="shared" si="28"/>
        <v>0</v>
      </c>
    </row>
    <row r="41" spans="1:26" s="24" customFormat="1" hidden="1" outlineLevel="2" x14ac:dyDescent="0.25">
      <c r="A41" s="25"/>
      <c r="B41" s="11" t="str">
        <f>CONCATENATE("          ", "6002", " - ", "STAFF SALARIES")</f>
        <v xml:space="preserve">          6002 - STAFF SALARIES</v>
      </c>
      <c r="C41" s="11"/>
      <c r="D41" s="7">
        <v>44330.89</v>
      </c>
      <c r="E41" s="2"/>
      <c r="F41" s="6">
        <f t="shared" si="21"/>
        <v>6.8307587529377406E-2</v>
      </c>
      <c r="G41" s="2"/>
      <c r="H41" s="7">
        <v>49598.673718461454</v>
      </c>
      <c r="I41" s="2"/>
      <c r="J41" s="6">
        <f t="shared" si="22"/>
        <v>8.2539546350625145E-2</v>
      </c>
      <c r="K41" s="2"/>
      <c r="L41" s="7">
        <f t="shared" si="23"/>
        <v>-5267.7837184614546</v>
      </c>
      <c r="M41" s="2"/>
      <c r="N41" s="6">
        <f t="shared" si="24"/>
        <v>-0.10620815686248275</v>
      </c>
      <c r="O41" s="11"/>
      <c r="P41" s="7">
        <v>280612.18000000005</v>
      </c>
      <c r="Q41" s="2"/>
      <c r="R41" s="6">
        <f t="shared" si="25"/>
        <v>4.1650518638215166E-2</v>
      </c>
      <c r="S41" s="2"/>
      <c r="T41" s="7">
        <v>307511.77705446118</v>
      </c>
      <c r="U41" s="2"/>
      <c r="V41" s="6">
        <f t="shared" si="26"/>
        <v>4.6243213907269771E-2</v>
      </c>
      <c r="W41" s="2"/>
      <c r="X41" s="7">
        <f t="shared" si="27"/>
        <v>-26899.597054461134</v>
      </c>
      <c r="Y41" s="2"/>
      <c r="Z41" s="6">
        <f t="shared" si="28"/>
        <v>-8.7475014167334289E-2</v>
      </c>
    </row>
    <row r="42" spans="1:26" s="24" customFormat="1" hidden="1" outlineLevel="2" x14ac:dyDescent="0.25">
      <c r="A42" s="25"/>
      <c r="B42" s="11" t="str">
        <f>CONCATENATE("          ", "6003", " - ", "STAFF HOURLY-9 MONTH")</f>
        <v xml:space="preserve">          6003 - STAFF HOURLY-9 MONTH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5"/>
      <c r="B43" s="11" t="str">
        <f>CONCATENATE("          ", "6004", " - ", "STAFF HOURLY")</f>
        <v xml:space="preserve">          6004 - STAFF HOURLY</v>
      </c>
      <c r="C43" s="11"/>
      <c r="D43" s="7">
        <v>48556.32</v>
      </c>
      <c r="E43" s="2"/>
      <c r="F43" s="6">
        <f t="shared" si="21"/>
        <v>7.4818373339774119E-2</v>
      </c>
      <c r="G43" s="2"/>
      <c r="H43" s="7">
        <v>80294.626440000007</v>
      </c>
      <c r="I43" s="2"/>
      <c r="J43" s="6">
        <f t="shared" si="22"/>
        <v>0.13362216252737524</v>
      </c>
      <c r="K43" s="2"/>
      <c r="L43" s="7">
        <f t="shared" si="23"/>
        <v>-31738.306440000008</v>
      </c>
      <c r="M43" s="2"/>
      <c r="N43" s="6">
        <f t="shared" si="24"/>
        <v>-0.39527310664701071</v>
      </c>
      <c r="O43" s="11"/>
      <c r="P43" s="7">
        <v>412083.58</v>
      </c>
      <c r="Q43" s="2"/>
      <c r="R43" s="6">
        <f t="shared" si="25"/>
        <v>6.1164468446424633E-2</v>
      </c>
      <c r="S43" s="2"/>
      <c r="T43" s="7">
        <v>565019.80348</v>
      </c>
      <c r="U43" s="2"/>
      <c r="V43" s="6">
        <f t="shared" si="26"/>
        <v>8.496692999677137E-2</v>
      </c>
      <c r="W43" s="2"/>
      <c r="X43" s="7">
        <f t="shared" si="27"/>
        <v>-152936.22347999999</v>
      </c>
      <c r="Y43" s="2"/>
      <c r="Z43" s="6">
        <f t="shared" si="28"/>
        <v>-0.27067409414334531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7">
        <v>14623.73</v>
      </c>
      <c r="E44" s="2"/>
      <c r="F44" s="6">
        <f t="shared" si="21"/>
        <v>2.2533085101178487E-2</v>
      </c>
      <c r="G44" s="2"/>
      <c r="H44" s="7">
        <v>15185.560683999998</v>
      </c>
      <c r="I44" s="2"/>
      <c r="J44" s="6">
        <f t="shared" si="22"/>
        <v>2.5271024323190901E-2</v>
      </c>
      <c r="K44" s="2"/>
      <c r="L44" s="7">
        <f t="shared" si="23"/>
        <v>-561.83068399999866</v>
      </c>
      <c r="M44" s="2"/>
      <c r="N44" s="6">
        <f t="shared" si="24"/>
        <v>-3.6997691141688417E-2</v>
      </c>
      <c r="O44" s="11"/>
      <c r="P44" s="7">
        <v>289982.48</v>
      </c>
      <c r="Q44" s="2"/>
      <c r="R44" s="6">
        <f t="shared" si="25"/>
        <v>4.304132731514311E-2</v>
      </c>
      <c r="S44" s="2"/>
      <c r="T44" s="7">
        <v>156054.20469799999</v>
      </c>
      <c r="U44" s="2"/>
      <c r="V44" s="6">
        <f t="shared" si="26"/>
        <v>2.3467224696569665E-2</v>
      </c>
      <c r="W44" s="2"/>
      <c r="X44" s="7">
        <f t="shared" si="27"/>
        <v>133928.27530199999</v>
      </c>
      <c r="Y44" s="2"/>
      <c r="Z44" s="6">
        <f t="shared" si="28"/>
        <v>0.85821638424406033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7">
        <v>325</v>
      </c>
      <c r="E45" s="2"/>
      <c r="F45" s="6">
        <f t="shared" si="21"/>
        <v>5.0077871089544246E-4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325</v>
      </c>
      <c r="M45" s="2"/>
      <c r="N45" s="6">
        <f t="shared" si="24"/>
        <v>0</v>
      </c>
      <c r="O45" s="11"/>
      <c r="P45" s="7">
        <v>29870.6</v>
      </c>
      <c r="Q45" s="2"/>
      <c r="R45" s="6">
        <f t="shared" si="25"/>
        <v>4.4336136158974627E-3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29870.6</v>
      </c>
      <c r="Y45" s="2"/>
      <c r="Z45" s="6">
        <f t="shared" si="28"/>
        <v>0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7">
        <v>93835.17</v>
      </c>
      <c r="E46" s="2"/>
      <c r="F46" s="6">
        <f t="shared" si="21"/>
        <v>0.14458663221309134</v>
      </c>
      <c r="G46" s="2"/>
      <c r="H46" s="7">
        <v>16881.637500000001</v>
      </c>
      <c r="I46" s="2"/>
      <c r="J46" s="6">
        <f t="shared" si="22"/>
        <v>2.8093547597968407E-2</v>
      </c>
      <c r="K46" s="2"/>
      <c r="L46" s="7">
        <f t="shared" si="23"/>
        <v>76953.532500000001</v>
      </c>
      <c r="M46" s="2"/>
      <c r="N46" s="6">
        <f t="shared" si="24"/>
        <v>4.5584163562332147</v>
      </c>
      <c r="O46" s="11"/>
      <c r="P46" s="7">
        <v>549956.52</v>
      </c>
      <c r="Q46" s="2"/>
      <c r="R46" s="6">
        <f t="shared" si="25"/>
        <v>8.1628581790241433E-2</v>
      </c>
      <c r="S46" s="2"/>
      <c r="T46" s="7">
        <v>274646.13</v>
      </c>
      <c r="U46" s="2"/>
      <c r="V46" s="6">
        <f t="shared" si="26"/>
        <v>4.1300921415261843E-2</v>
      </c>
      <c r="W46" s="2"/>
      <c r="X46" s="7">
        <f t="shared" si="27"/>
        <v>275310.39</v>
      </c>
      <c r="Y46" s="2"/>
      <c r="Z46" s="6">
        <f t="shared" si="28"/>
        <v>1.002418603167647</v>
      </c>
    </row>
    <row r="47" spans="1:26" s="24" customFormat="1" hidden="1" outlineLevel="2" x14ac:dyDescent="0.25">
      <c r="A47" s="25"/>
      <c r="B47" s="11" t="str">
        <f>CONCATENATE("          ", "6008", " - ", "STUDENT HOURLY-FICA EXEMPT")</f>
        <v xml:space="preserve">          6008 - STUDENT HOURLY-FICA EXEMPT</v>
      </c>
      <c r="C47" s="11"/>
      <c r="D47" s="7">
        <v>4319.25</v>
      </c>
      <c r="E47" s="2"/>
      <c r="F47" s="6">
        <f t="shared" si="21"/>
        <v>6.6553490678004298E-3</v>
      </c>
      <c r="G47" s="2"/>
      <c r="H47" s="7">
        <v>45768.577599999997</v>
      </c>
      <c r="I47" s="2"/>
      <c r="J47" s="6">
        <f t="shared" si="22"/>
        <v>7.6165698576154753E-2</v>
      </c>
      <c r="K47" s="2"/>
      <c r="L47" s="7">
        <f t="shared" si="23"/>
        <v>-41449.327599999997</v>
      </c>
      <c r="M47" s="2"/>
      <c r="N47" s="6">
        <f t="shared" si="24"/>
        <v>-0.90562848516402217</v>
      </c>
      <c r="O47" s="11"/>
      <c r="P47" s="7">
        <v>119502.75000000001</v>
      </c>
      <c r="Q47" s="2"/>
      <c r="R47" s="6">
        <f t="shared" si="25"/>
        <v>1.7737474959900058E-2</v>
      </c>
      <c r="S47" s="2"/>
      <c r="T47" s="7">
        <v>408027.70010000002</v>
      </c>
      <c r="U47" s="2"/>
      <c r="V47" s="6">
        <f t="shared" si="26"/>
        <v>6.1358665338121191E-2</v>
      </c>
      <c r="W47" s="2"/>
      <c r="X47" s="7">
        <f t="shared" si="27"/>
        <v>-288524.95010000002</v>
      </c>
      <c r="Y47" s="2"/>
      <c r="Z47" s="6">
        <f t="shared" si="28"/>
        <v>-0.70712098720083927</v>
      </c>
    </row>
    <row r="48" spans="1:26" s="24" customFormat="1" hidden="1" outlineLevel="2" x14ac:dyDescent="0.25">
      <c r="A48" s="25"/>
      <c r="B48" s="11" t="str">
        <f>CONCATENATE("          ", "6009", " - ", "TEMPORARY-SEASONAL")</f>
        <v xml:space="preserve">          6009 - TEMPORARY-SEASONAL</v>
      </c>
      <c r="C48" s="11"/>
      <c r="D48" s="7"/>
      <c r="E48" s="2"/>
      <c r="F48" s="6">
        <f t="shared" si="21"/>
        <v>0</v>
      </c>
      <c r="G48" s="2"/>
      <c r="H48" s="7">
        <v>0</v>
      </c>
      <c r="I48" s="2"/>
      <c r="J48" s="6">
        <f t="shared" si="22"/>
        <v>0</v>
      </c>
      <c r="K48" s="2"/>
      <c r="L48" s="7">
        <f t="shared" si="23"/>
        <v>0</v>
      </c>
      <c r="M48" s="2"/>
      <c r="N48" s="6">
        <f t="shared" si="24"/>
        <v>0</v>
      </c>
      <c r="O48" s="11"/>
      <c r="P48" s="7"/>
      <c r="Q48" s="2"/>
      <c r="R48" s="6">
        <f t="shared" si="25"/>
        <v>0</v>
      </c>
      <c r="S48" s="2"/>
      <c r="T48" s="7">
        <v>0</v>
      </c>
      <c r="U48" s="2"/>
      <c r="V48" s="6">
        <f t="shared" si="26"/>
        <v>0</v>
      </c>
      <c r="W48" s="2"/>
      <c r="X48" s="7">
        <f t="shared" si="27"/>
        <v>0</v>
      </c>
      <c r="Y48" s="2"/>
      <c r="Z48" s="6">
        <f t="shared" si="28"/>
        <v>0</v>
      </c>
    </row>
    <row r="49" spans="1:26" s="24" customFormat="1" hidden="1" outlineLevel="2" x14ac:dyDescent="0.25">
      <c r="A49" s="25"/>
      <c r="B49" s="11" t="str">
        <f>CONCATENATE("          ", "6010", " - ", "GRATUITY")</f>
        <v xml:space="preserve">          6010 - GRATUITY</v>
      </c>
      <c r="C49" s="11"/>
      <c r="D49" s="7"/>
      <c r="E49" s="2"/>
      <c r="F49" s="6">
        <f t="shared" si="21"/>
        <v>0</v>
      </c>
      <c r="G49" s="2"/>
      <c r="H49" s="7">
        <v>0</v>
      </c>
      <c r="I49" s="2"/>
      <c r="J49" s="6">
        <f t="shared" si="22"/>
        <v>0</v>
      </c>
      <c r="K49" s="2"/>
      <c r="L49" s="7">
        <f t="shared" si="23"/>
        <v>0</v>
      </c>
      <c r="M49" s="2"/>
      <c r="N49" s="6">
        <f t="shared" si="24"/>
        <v>0</v>
      </c>
      <c r="O49" s="11"/>
      <c r="P49" s="7"/>
      <c r="Q49" s="2"/>
      <c r="R49" s="6">
        <f t="shared" si="25"/>
        <v>0</v>
      </c>
      <c r="S49" s="2"/>
      <c r="T49" s="7">
        <v>0</v>
      </c>
      <c r="U49" s="2"/>
      <c r="V49" s="6">
        <f t="shared" si="26"/>
        <v>0</v>
      </c>
      <c r="W49" s="2"/>
      <c r="X49" s="7">
        <f t="shared" si="27"/>
        <v>0</v>
      </c>
      <c r="Y49" s="2"/>
      <c r="Z49" s="6">
        <f t="shared" si="28"/>
        <v>0</v>
      </c>
    </row>
    <row r="50" spans="1:26" s="27" customFormat="1" outlineLevel="1" collapsed="1" x14ac:dyDescent="0.25">
      <c r="A50" s="26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289.5</v>
      </c>
      <c r="E50" s="1"/>
      <c r="F50" s="5">
        <f t="shared" ref="F50:F54" si="29">IF(D$12=0,0,D50/D$12)</f>
        <v>4.4607826708994026E-4</v>
      </c>
      <c r="G50" s="1"/>
      <c r="H50" s="1">
        <f>SUM(OSRRefH22_2x_0)</f>
        <v>625</v>
      </c>
      <c r="I50" s="1"/>
      <c r="J50" s="5">
        <f t="shared" ref="J50:J54" si="30">IF(H$12=0,0,H50/H$12)</f>
        <v>1.0400926597748741E-3</v>
      </c>
      <c r="K50" s="1"/>
      <c r="L50" s="1">
        <f t="shared" ref="L50:L54" si="31">+D50-H50</f>
        <v>-335.5</v>
      </c>
      <c r="M50" s="1"/>
      <c r="N50" s="5">
        <f t="shared" ref="N50:N54" si="32">IF(H50=0,0,L50/H50)</f>
        <v>-0.53680000000000005</v>
      </c>
      <c r="O50" s="13"/>
      <c r="P50" s="1">
        <f>SUM(OSRRefP22_2x_0)</f>
        <v>8218.2999999999993</v>
      </c>
      <c r="Q50" s="1"/>
      <c r="R50" s="5">
        <f t="shared" ref="R50:R54" si="33">IF(P$12=0,0,P50/P$12)</f>
        <v>1.2198203845764771E-3</v>
      </c>
      <c r="S50" s="1"/>
      <c r="T50" s="1">
        <f>SUM(OSRRefT22_2x_0)</f>
        <v>11625</v>
      </c>
      <c r="U50" s="1"/>
      <c r="V50" s="5">
        <f t="shared" ref="V50:V54" si="34">IF(T$12=0,0,T50/T$12)</f>
        <v>1.7481521092338672E-3</v>
      </c>
      <c r="W50" s="1"/>
      <c r="X50" s="1">
        <f t="shared" ref="X50:X54" si="35">+P50-T50</f>
        <v>-3406.7000000000007</v>
      </c>
      <c r="Y50" s="1"/>
      <c r="Z50" s="5">
        <f t="shared" ref="Z50:Z54" si="36">IF(T50=0,0,X50/T50)</f>
        <v>-0.29304946236559148</v>
      </c>
    </row>
    <row r="51" spans="1:26" s="24" customFormat="1" hidden="1" outlineLevel="2" x14ac:dyDescent="0.25">
      <c r="A51" s="25"/>
      <c r="B51" s="11" t="str">
        <f>CONCATENATE("          ", "6362", " - ", "ADVERTISING EXPENSE")</f>
        <v xml:space="preserve">          6362 - ADVERTISING EXPENSE</v>
      </c>
      <c r="C51" s="11"/>
      <c r="D51" s="7">
        <v>289.5</v>
      </c>
      <c r="E51" s="2"/>
      <c r="F51" s="6">
        <f t="shared" si="29"/>
        <v>4.4607826708994026E-4</v>
      </c>
      <c r="G51" s="2"/>
      <c r="H51" s="7">
        <v>625</v>
      </c>
      <c r="I51" s="2"/>
      <c r="J51" s="6">
        <f t="shared" si="30"/>
        <v>1.0400926597748741E-3</v>
      </c>
      <c r="K51" s="2"/>
      <c r="L51" s="7">
        <f t="shared" si="31"/>
        <v>-335.5</v>
      </c>
      <c r="M51" s="2"/>
      <c r="N51" s="6">
        <f t="shared" si="32"/>
        <v>-0.53680000000000005</v>
      </c>
      <c r="O51" s="11"/>
      <c r="P51" s="7">
        <v>8218.2999999999993</v>
      </c>
      <c r="Q51" s="2"/>
      <c r="R51" s="6">
        <f t="shared" si="33"/>
        <v>1.2198203845764771E-3</v>
      </c>
      <c r="S51" s="2"/>
      <c r="T51" s="7">
        <v>11625</v>
      </c>
      <c r="U51" s="2"/>
      <c r="V51" s="6">
        <f t="shared" si="34"/>
        <v>1.7481521092338672E-3</v>
      </c>
      <c r="W51" s="2"/>
      <c r="X51" s="7">
        <f t="shared" si="35"/>
        <v>-3406.7000000000007</v>
      </c>
      <c r="Y51" s="2"/>
      <c r="Z51" s="6">
        <f t="shared" si="36"/>
        <v>-0.29304946236559148</v>
      </c>
    </row>
    <row r="52" spans="1:26" s="27" customFormat="1" outlineLevel="1" collapsed="1" x14ac:dyDescent="0.25">
      <c r="A52" s="26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-0.1</v>
      </c>
      <c r="E52" s="1"/>
      <c r="F52" s="5">
        <f t="shared" si="29"/>
        <v>-1.5408575719859769E-7</v>
      </c>
      <c r="G52" s="1"/>
      <c r="H52" s="1">
        <f>SUM(OSRRefH22_3x_0)</f>
        <v>113</v>
      </c>
      <c r="I52" s="1"/>
      <c r="J52" s="5">
        <f t="shared" si="30"/>
        <v>1.8804875288729722E-4</v>
      </c>
      <c r="K52" s="1"/>
      <c r="L52" s="1">
        <f t="shared" si="31"/>
        <v>-113.1</v>
      </c>
      <c r="M52" s="1"/>
      <c r="N52" s="5">
        <f t="shared" si="32"/>
        <v>-1.0008849557522124</v>
      </c>
      <c r="O52" s="13"/>
      <c r="P52" s="1">
        <f>SUM(OSRRefP22_3x_0)</f>
        <v>28.96</v>
      </c>
      <c r="Q52" s="1"/>
      <c r="R52" s="5">
        <f t="shared" si="33"/>
        <v>4.2984556827245033E-6</v>
      </c>
      <c r="S52" s="1"/>
      <c r="T52" s="1">
        <f>SUM(OSRRefT22_3x_0)</f>
        <v>723</v>
      </c>
      <c r="U52" s="1"/>
      <c r="V52" s="5">
        <f t="shared" si="34"/>
        <v>1.0872378279364181E-4</v>
      </c>
      <c r="W52" s="1"/>
      <c r="X52" s="1">
        <f t="shared" si="35"/>
        <v>-694.04</v>
      </c>
      <c r="Y52" s="1"/>
      <c r="Z52" s="5">
        <f t="shared" si="36"/>
        <v>-0.9599446749654218</v>
      </c>
    </row>
    <row r="53" spans="1:26" s="24" customFormat="1" hidden="1" outlineLevel="2" x14ac:dyDescent="0.25">
      <c r="A53" s="25"/>
      <c r="B53" s="11" t="str">
        <f>CONCATENATE("          ", "6272", " - ", "CASH (OVER/SHORT)")</f>
        <v xml:space="preserve">          6272 - CASH (OVER/SHORT)</v>
      </c>
      <c r="C53" s="11"/>
      <c r="D53" s="7">
        <v>-0.1</v>
      </c>
      <c r="E53" s="2"/>
      <c r="F53" s="6">
        <f t="shared" si="29"/>
        <v>-1.5408575719859769E-7</v>
      </c>
      <c r="G53" s="2"/>
      <c r="H53" s="7">
        <v>63</v>
      </c>
      <c r="I53" s="2"/>
      <c r="J53" s="6">
        <f t="shared" si="30"/>
        <v>1.048413401053073E-4</v>
      </c>
      <c r="K53" s="2"/>
      <c r="L53" s="7">
        <f t="shared" si="31"/>
        <v>-63.1</v>
      </c>
      <c r="M53" s="2"/>
      <c r="N53" s="6">
        <f t="shared" si="32"/>
        <v>-1.0015873015873016</v>
      </c>
      <c r="O53" s="11"/>
      <c r="P53" s="7">
        <v>28.96</v>
      </c>
      <c r="Q53" s="2"/>
      <c r="R53" s="6">
        <f t="shared" si="33"/>
        <v>4.2984556827245033E-6</v>
      </c>
      <c r="S53" s="2"/>
      <c r="T53" s="7">
        <v>423</v>
      </c>
      <c r="U53" s="2"/>
      <c r="V53" s="6">
        <f t="shared" si="34"/>
        <v>6.3610179974703295E-5</v>
      </c>
      <c r="W53" s="2"/>
      <c r="X53" s="7">
        <f t="shared" si="35"/>
        <v>-394.04</v>
      </c>
      <c r="Y53" s="2"/>
      <c r="Z53" s="6">
        <f t="shared" si="36"/>
        <v>-0.93153664302600481</v>
      </c>
    </row>
    <row r="54" spans="1:26" s="24" customFormat="1" hidden="1" outlineLevel="2" x14ac:dyDescent="0.25">
      <c r="A54" s="25"/>
      <c r="B54" s="11" t="str">
        <f>CONCATENATE("          ", "6342", " - ", "BAD DEBT")</f>
        <v xml:space="preserve">          6342 - BAD DEBT</v>
      </c>
      <c r="C54" s="11"/>
      <c r="D54" s="7"/>
      <c r="E54" s="2"/>
      <c r="F54" s="6">
        <f t="shared" si="29"/>
        <v>0</v>
      </c>
      <c r="G54" s="2"/>
      <c r="H54" s="7">
        <v>50</v>
      </c>
      <c r="I54" s="2"/>
      <c r="J54" s="6">
        <f t="shared" si="30"/>
        <v>8.3207412781989923E-5</v>
      </c>
      <c r="K54" s="2"/>
      <c r="L54" s="7">
        <f t="shared" si="31"/>
        <v>-50</v>
      </c>
      <c r="M54" s="2"/>
      <c r="N54" s="6">
        <f t="shared" si="32"/>
        <v>-1</v>
      </c>
      <c r="O54" s="11"/>
      <c r="P54" s="7"/>
      <c r="Q54" s="2"/>
      <c r="R54" s="6">
        <f t="shared" si="33"/>
        <v>0</v>
      </c>
      <c r="S54" s="2"/>
      <c r="T54" s="7">
        <v>300</v>
      </c>
      <c r="U54" s="2"/>
      <c r="V54" s="6">
        <f t="shared" si="34"/>
        <v>4.5113602818938511E-5</v>
      </c>
      <c r="W54" s="2"/>
      <c r="X54" s="7">
        <f t="shared" si="35"/>
        <v>-300</v>
      </c>
      <c r="Y54" s="2"/>
      <c r="Z54" s="6">
        <f t="shared" si="36"/>
        <v>-1</v>
      </c>
    </row>
    <row r="55" spans="1:26" s="27" customFormat="1" outlineLevel="1" collapsed="1" x14ac:dyDescent="0.25">
      <c r="A55" s="26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112.91</v>
      </c>
      <c r="E55" s="1"/>
      <c r="F55" s="5">
        <f t="shared" ref="F55:F59" si="37">IF(D$12=0,0,D55/D$12)</f>
        <v>1.7397822845293662E-4</v>
      </c>
      <c r="G55" s="1"/>
      <c r="H55" s="1">
        <f>SUM(OSRRefH22_4x_0)</f>
        <v>428</v>
      </c>
      <c r="I55" s="1"/>
      <c r="J55" s="5">
        <f t="shared" ref="J55:J59" si="38">IF(H$12=0,0,H55/H$12)</f>
        <v>7.1225545341383379E-4</v>
      </c>
      <c r="K55" s="1"/>
      <c r="L55" s="1">
        <f t="shared" ref="L55:L59" si="39">+D55-H55</f>
        <v>-315.09000000000003</v>
      </c>
      <c r="M55" s="1"/>
      <c r="N55" s="5">
        <f t="shared" ref="N55:N59" si="40">IF(H55=0,0,L55/H55)</f>
        <v>-0.73619158878504676</v>
      </c>
      <c r="O55" s="13"/>
      <c r="P55" s="1">
        <f>SUM(OSRRefP22_4x_0)</f>
        <v>2739.92</v>
      </c>
      <c r="Q55" s="1"/>
      <c r="R55" s="5">
        <f t="shared" ref="R55:R59" si="41">IF(P$12=0,0,P55/P$12)</f>
        <v>4.0667902949621961E-4</v>
      </c>
      <c r="S55" s="1"/>
      <c r="T55" s="1">
        <f>SUM(OSRRefT22_4x_0)</f>
        <v>3033</v>
      </c>
      <c r="U55" s="1"/>
      <c r="V55" s="5">
        <f t="shared" ref="V55:V59" si="42">IF(T$12=0,0,T55/T$12)</f>
        <v>4.5609852449946832E-4</v>
      </c>
      <c r="W55" s="1"/>
      <c r="X55" s="1">
        <f t="shared" ref="X55:X59" si="43">+P55-T55</f>
        <v>-293.07999999999993</v>
      </c>
      <c r="Y55" s="1"/>
      <c r="Z55" s="5">
        <f t="shared" ref="Z55:Z59" si="44">IF(T55=0,0,X55/T55)</f>
        <v>-9.6630398944938981E-2</v>
      </c>
    </row>
    <row r="56" spans="1:26" s="24" customFormat="1" hidden="1" outlineLevel="2" x14ac:dyDescent="0.25">
      <c r="A56" s="25"/>
      <c r="B56" s="11" t="str">
        <f>CONCATENATE("          ", "6381", " - ", "BANK/CREDIT CARD FEES")</f>
        <v xml:space="preserve">          6381 - BANK/CREDIT CARD FEES</v>
      </c>
      <c r="C56" s="11"/>
      <c r="D56" s="7">
        <v>112.91</v>
      </c>
      <c r="E56" s="2"/>
      <c r="F56" s="6">
        <f t="shared" si="37"/>
        <v>1.7397822845293662E-4</v>
      </c>
      <c r="G56" s="2"/>
      <c r="H56" s="7">
        <v>428</v>
      </c>
      <c r="I56" s="2"/>
      <c r="J56" s="6">
        <f t="shared" si="38"/>
        <v>7.1225545341383379E-4</v>
      </c>
      <c r="K56" s="2"/>
      <c r="L56" s="7">
        <f t="shared" si="39"/>
        <v>-315.09000000000003</v>
      </c>
      <c r="M56" s="2"/>
      <c r="N56" s="6">
        <f t="shared" si="40"/>
        <v>-0.73619158878504676</v>
      </c>
      <c r="O56" s="11"/>
      <c r="P56" s="7">
        <v>2739.92</v>
      </c>
      <c r="Q56" s="2"/>
      <c r="R56" s="6">
        <f t="shared" si="41"/>
        <v>4.0667902949621961E-4</v>
      </c>
      <c r="S56" s="2"/>
      <c r="T56" s="7">
        <v>3033</v>
      </c>
      <c r="U56" s="2"/>
      <c r="V56" s="6">
        <f t="shared" si="42"/>
        <v>4.5609852449946832E-4</v>
      </c>
      <c r="W56" s="2"/>
      <c r="X56" s="7">
        <f t="shared" si="43"/>
        <v>-293.07999999999993</v>
      </c>
      <c r="Y56" s="2"/>
      <c r="Z56" s="6">
        <f t="shared" si="44"/>
        <v>-9.6630398944938981E-2</v>
      </c>
    </row>
    <row r="57" spans="1:26" s="27" customFormat="1" outlineLevel="1" collapsed="1" x14ac:dyDescent="0.25">
      <c r="A57" s="26"/>
      <c r="B57" s="13" t="str">
        <f>CONCATENATE("     ","Donations                                         ")</f>
        <v xml:space="preserve">     Donations                                         </v>
      </c>
      <c r="C57" s="13"/>
      <c r="D57" s="1">
        <f>SUM(OSRRefD22_5x_0)</f>
        <v>9545.3799999999992</v>
      </c>
      <c r="E57" s="1"/>
      <c r="F57" s="5">
        <f t="shared" si="37"/>
        <v>1.4708071050483501E-2</v>
      </c>
      <c r="G57" s="1"/>
      <c r="H57" s="1">
        <f>SUM(OSRRefH22_5x_0)</f>
        <v>9514</v>
      </c>
      <c r="I57" s="1"/>
      <c r="J57" s="5">
        <f t="shared" si="38"/>
        <v>1.5832706504157041E-2</v>
      </c>
      <c r="K57" s="1"/>
      <c r="L57" s="1">
        <f t="shared" si="39"/>
        <v>31.3799999999992</v>
      </c>
      <c r="M57" s="1"/>
      <c r="N57" s="5">
        <f t="shared" si="40"/>
        <v>3.2982972461634641E-3</v>
      </c>
      <c r="O57" s="13"/>
      <c r="P57" s="1">
        <f>SUM(OSRRefP22_5x_0)</f>
        <v>86919.209999999992</v>
      </c>
      <c r="Q57" s="1"/>
      <c r="R57" s="5">
        <f t="shared" si="41"/>
        <v>1.2901186884061616E-2</v>
      </c>
      <c r="S57" s="1"/>
      <c r="T57" s="1">
        <f>SUM(OSRRefT22_5x_0)</f>
        <v>80104</v>
      </c>
      <c r="U57" s="1"/>
      <c r="V57" s="5">
        <f t="shared" si="42"/>
        <v>1.2045933467360834E-2</v>
      </c>
      <c r="W57" s="1"/>
      <c r="X57" s="1">
        <f t="shared" si="43"/>
        <v>6815.2099999999919</v>
      </c>
      <c r="Y57" s="1"/>
      <c r="Z57" s="5">
        <f t="shared" si="44"/>
        <v>8.5079521621891432E-2</v>
      </c>
    </row>
    <row r="58" spans="1:26" s="24" customFormat="1" hidden="1" outlineLevel="2" x14ac:dyDescent="0.25">
      <c r="A58" s="25"/>
      <c r="B58" s="11" t="str">
        <f>CONCATENATE("          ", "6396", " - ", "COUPONS-CHARTROOM")</f>
        <v xml:space="preserve">          6396 - COUPONS-CHARTROOM</v>
      </c>
      <c r="C58" s="11"/>
      <c r="D58" s="7"/>
      <c r="E58" s="2"/>
      <c r="F58" s="6">
        <f t="shared" si="37"/>
        <v>0</v>
      </c>
      <c r="G58" s="2"/>
      <c r="H58" s="7">
        <v>100</v>
      </c>
      <c r="I58" s="2"/>
      <c r="J58" s="6">
        <f t="shared" si="38"/>
        <v>1.6641482556397985E-4</v>
      </c>
      <c r="K58" s="2"/>
      <c r="L58" s="7">
        <f t="shared" si="39"/>
        <v>-100</v>
      </c>
      <c r="M58" s="2"/>
      <c r="N58" s="6">
        <f t="shared" si="40"/>
        <v>-1</v>
      </c>
      <c r="O58" s="11"/>
      <c r="P58" s="7"/>
      <c r="Q58" s="2"/>
      <c r="R58" s="6">
        <f t="shared" si="41"/>
        <v>0</v>
      </c>
      <c r="S58" s="2"/>
      <c r="T58" s="7">
        <v>700</v>
      </c>
      <c r="U58" s="2"/>
      <c r="V58" s="6">
        <f t="shared" si="42"/>
        <v>1.0526507324418985E-4</v>
      </c>
      <c r="W58" s="2"/>
      <c r="X58" s="7">
        <f t="shared" si="43"/>
        <v>-700</v>
      </c>
      <c r="Y58" s="2"/>
      <c r="Z58" s="6">
        <f t="shared" si="44"/>
        <v>-1</v>
      </c>
    </row>
    <row r="59" spans="1:26" s="24" customFormat="1" hidden="1" outlineLevel="2" x14ac:dyDescent="0.25">
      <c r="A59" s="25"/>
      <c r="B59" s="11" t="str">
        <f>CONCATENATE("          ", "6399", " - ", "DONATION-ON CAMPUS")</f>
        <v xml:space="preserve">          6399 - DONATION-ON CAMPUS</v>
      </c>
      <c r="C59" s="11"/>
      <c r="D59" s="7">
        <v>9545.3799999999992</v>
      </c>
      <c r="E59" s="2"/>
      <c r="F59" s="6">
        <f t="shared" si="37"/>
        <v>1.4708071050483501E-2</v>
      </c>
      <c r="G59" s="2"/>
      <c r="H59" s="7">
        <v>9414</v>
      </c>
      <c r="I59" s="2"/>
      <c r="J59" s="6">
        <f t="shared" si="38"/>
        <v>1.5666291678593063E-2</v>
      </c>
      <c r="K59" s="2"/>
      <c r="L59" s="7">
        <f t="shared" si="39"/>
        <v>131.3799999999992</v>
      </c>
      <c r="M59" s="2"/>
      <c r="N59" s="6">
        <f t="shared" si="40"/>
        <v>1.395581049500735E-2</v>
      </c>
      <c r="O59" s="11"/>
      <c r="P59" s="7">
        <v>86919.209999999992</v>
      </c>
      <c r="Q59" s="2"/>
      <c r="R59" s="6">
        <f t="shared" si="41"/>
        <v>1.2901186884061616E-2</v>
      </c>
      <c r="S59" s="2"/>
      <c r="T59" s="7">
        <v>79404</v>
      </c>
      <c r="U59" s="2"/>
      <c r="V59" s="6">
        <f t="shared" si="42"/>
        <v>1.1940668394116645E-2</v>
      </c>
      <c r="W59" s="2"/>
      <c r="X59" s="7">
        <f t="shared" si="43"/>
        <v>7515.2099999999919</v>
      </c>
      <c r="Y59" s="2"/>
      <c r="Z59" s="6">
        <f t="shared" si="44"/>
        <v>9.4645231978237765E-2</v>
      </c>
    </row>
    <row r="60" spans="1:26" s="27" customFormat="1" outlineLevel="1" collapsed="1" x14ac:dyDescent="0.25">
      <c r="A60" s="26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SUM(OSRRefD22_6x_0)</f>
        <v>614.74</v>
      </c>
      <c r="E60" s="1"/>
      <c r="F60" s="5">
        <f t="shared" ref="F60:F76" si="45">IF(D$12=0,0,D60/D$12)</f>
        <v>9.4722678380265929E-4</v>
      </c>
      <c r="G60" s="1"/>
      <c r="H60" s="1">
        <f>SUM(OSRRefH22_6x_0)</f>
        <v>795</v>
      </c>
      <c r="I60" s="1"/>
      <c r="J60" s="5">
        <f t="shared" ref="J60:J76" si="46">IF(H$12=0,0,H60/H$12)</f>
        <v>1.3229978632336398E-3</v>
      </c>
      <c r="K60" s="1"/>
      <c r="L60" s="1">
        <f t="shared" ref="L60:L76" si="47">+D60-H60</f>
        <v>-180.26</v>
      </c>
      <c r="M60" s="1"/>
      <c r="N60" s="5">
        <f t="shared" ref="N60:N76" si="48">IF(H60=0,0,L60/H60)</f>
        <v>-0.22674213836477985</v>
      </c>
      <c r="O60" s="13"/>
      <c r="P60" s="1">
        <f>SUM(OSRRefP22_6x_0)</f>
        <v>1798.43</v>
      </c>
      <c r="Q60" s="1"/>
      <c r="R60" s="5">
        <f t="shared" ref="R60:R76" si="49">IF(P$12=0,0,P60/P$12)</f>
        <v>2.6693617587991117E-4</v>
      </c>
      <c r="S60" s="1"/>
      <c r="T60" s="1">
        <f>SUM(OSRRefT22_6x_0)</f>
        <v>4845</v>
      </c>
      <c r="U60" s="1"/>
      <c r="V60" s="5">
        <f t="shared" ref="V60:V76" si="50">IF(T$12=0,0,T60/T$12)</f>
        <v>7.2858468552585689E-4</v>
      </c>
      <c r="W60" s="1"/>
      <c r="X60" s="1">
        <f t="shared" ref="X60:X76" si="51">+P60-T60</f>
        <v>-3046.5699999999997</v>
      </c>
      <c r="Y60" s="1"/>
      <c r="Z60" s="5">
        <f t="shared" ref="Z60:Z76" si="52">IF(T60=0,0,X60/T60)</f>
        <v>-0.62880701754385959</v>
      </c>
    </row>
    <row r="61" spans="1:26" s="24" customFormat="1" hidden="1" outlineLevel="2" x14ac:dyDescent="0.25">
      <c r="A61" s="25"/>
      <c r="B61" s="11" t="str">
        <f>CONCATENATE("          ", "6277", " - ", "EMPLOYEE APPRECIATION")</f>
        <v xml:space="preserve">          6277 - EMPLOYEE APPRECIATION</v>
      </c>
      <c r="C61" s="11"/>
      <c r="D61" s="7">
        <v>614.74</v>
      </c>
      <c r="E61" s="2"/>
      <c r="F61" s="6">
        <f t="shared" si="45"/>
        <v>9.4722678380265929E-4</v>
      </c>
      <c r="G61" s="2"/>
      <c r="H61" s="7">
        <v>795</v>
      </c>
      <c r="I61" s="2"/>
      <c r="J61" s="6">
        <f t="shared" si="46"/>
        <v>1.3229978632336398E-3</v>
      </c>
      <c r="K61" s="2"/>
      <c r="L61" s="7">
        <f t="shared" si="47"/>
        <v>-180.26</v>
      </c>
      <c r="M61" s="2"/>
      <c r="N61" s="6">
        <f t="shared" si="48"/>
        <v>-0.22674213836477985</v>
      </c>
      <c r="O61" s="11"/>
      <c r="P61" s="7">
        <v>1798.43</v>
      </c>
      <c r="Q61" s="2"/>
      <c r="R61" s="6">
        <f t="shared" si="49"/>
        <v>2.6693617587991117E-4</v>
      </c>
      <c r="S61" s="2"/>
      <c r="T61" s="7">
        <v>4845</v>
      </c>
      <c r="U61" s="2"/>
      <c r="V61" s="6">
        <f t="shared" si="50"/>
        <v>7.2858468552585689E-4</v>
      </c>
      <c r="W61" s="2"/>
      <c r="X61" s="7">
        <f t="shared" si="51"/>
        <v>-3046.5699999999997</v>
      </c>
      <c r="Y61" s="2"/>
      <c r="Z61" s="6">
        <f t="shared" si="52"/>
        <v>-0.62880701754385959</v>
      </c>
    </row>
    <row r="62" spans="1:26" s="27" customFormat="1" outlineLevel="1" collapsed="1" x14ac:dyDescent="0.25">
      <c r="A62" s="26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SUM(OSRRefD22_7x_0)</f>
        <v>1114.68</v>
      </c>
      <c r="E62" s="1"/>
      <c r="F62" s="5">
        <f t="shared" si="45"/>
        <v>1.7175631183413286E-3</v>
      </c>
      <c r="G62" s="1"/>
      <c r="H62" s="1">
        <f>SUM(OSRRefH22_7x_0)</f>
        <v>670</v>
      </c>
      <c r="I62" s="1"/>
      <c r="J62" s="5">
        <f t="shared" si="46"/>
        <v>1.114979331278665E-3</v>
      </c>
      <c r="K62" s="1"/>
      <c r="L62" s="1">
        <f t="shared" si="47"/>
        <v>444.68000000000006</v>
      </c>
      <c r="M62" s="1"/>
      <c r="N62" s="5">
        <f t="shared" si="48"/>
        <v>0.66370149253731348</v>
      </c>
      <c r="O62" s="13"/>
      <c r="P62" s="1">
        <f>SUM(OSRRefP22_7x_0)</f>
        <v>3897.3</v>
      </c>
      <c r="Q62" s="1"/>
      <c r="R62" s="5">
        <f t="shared" si="49"/>
        <v>5.7846586092134692E-4</v>
      </c>
      <c r="S62" s="1"/>
      <c r="T62" s="1">
        <f>SUM(OSRRefT22_7x_0)</f>
        <v>4890</v>
      </c>
      <c r="U62" s="1"/>
      <c r="V62" s="5">
        <f t="shared" si="50"/>
        <v>7.3535172594869772E-4</v>
      </c>
      <c r="W62" s="1"/>
      <c r="X62" s="1">
        <f t="shared" si="51"/>
        <v>-992.69999999999982</v>
      </c>
      <c r="Y62" s="1"/>
      <c r="Z62" s="5">
        <f t="shared" si="52"/>
        <v>-0.20300613496932512</v>
      </c>
    </row>
    <row r="63" spans="1:26" s="24" customFormat="1" hidden="1" outlineLevel="2" x14ac:dyDescent="0.25">
      <c r="A63" s="25"/>
      <c r="B63" s="11" t="str">
        <f>CONCATENATE("          ", "6351", " - ", "EQUIPMENT RENTAL")</f>
        <v xml:space="preserve">          6351 - EQUIPMENT RENTAL</v>
      </c>
      <c r="C63" s="11"/>
      <c r="D63" s="7">
        <v>1114.68</v>
      </c>
      <c r="E63" s="2"/>
      <c r="F63" s="6">
        <f t="shared" si="45"/>
        <v>1.7175631183413286E-3</v>
      </c>
      <c r="G63" s="2"/>
      <c r="H63" s="7">
        <v>670</v>
      </c>
      <c r="I63" s="2"/>
      <c r="J63" s="6">
        <f t="shared" si="46"/>
        <v>1.114979331278665E-3</v>
      </c>
      <c r="K63" s="2"/>
      <c r="L63" s="7">
        <f t="shared" si="47"/>
        <v>444.68000000000006</v>
      </c>
      <c r="M63" s="2"/>
      <c r="N63" s="6">
        <f t="shared" si="48"/>
        <v>0.66370149253731348</v>
      </c>
      <c r="O63" s="11"/>
      <c r="P63" s="7">
        <v>3897.3</v>
      </c>
      <c r="Q63" s="2"/>
      <c r="R63" s="6">
        <f t="shared" si="49"/>
        <v>5.7846586092134692E-4</v>
      </c>
      <c r="S63" s="2"/>
      <c r="T63" s="7">
        <v>4890</v>
      </c>
      <c r="U63" s="2"/>
      <c r="V63" s="6">
        <f t="shared" si="50"/>
        <v>7.3535172594869772E-4</v>
      </c>
      <c r="W63" s="2"/>
      <c r="X63" s="7">
        <f t="shared" si="51"/>
        <v>-992.69999999999982</v>
      </c>
      <c r="Y63" s="2"/>
      <c r="Z63" s="6">
        <f t="shared" si="52"/>
        <v>-0.20300613496932512</v>
      </c>
    </row>
    <row r="64" spans="1:26" s="27" customFormat="1" outlineLevel="1" collapsed="1" x14ac:dyDescent="0.25">
      <c r="A64" s="26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SUM(OSRRefD22_8x_0)</f>
        <v>0</v>
      </c>
      <c r="E64" s="1"/>
      <c r="F64" s="5">
        <f t="shared" si="45"/>
        <v>0</v>
      </c>
      <c r="G64" s="1"/>
      <c r="H64" s="1">
        <f>SUM(OSRRefH22_8x_0)</f>
        <v>1</v>
      </c>
      <c r="I64" s="1"/>
      <c r="J64" s="5">
        <f t="shared" si="46"/>
        <v>1.6641482556397984E-6</v>
      </c>
      <c r="K64" s="1"/>
      <c r="L64" s="1">
        <f t="shared" si="47"/>
        <v>-1</v>
      </c>
      <c r="M64" s="1"/>
      <c r="N64" s="5">
        <f t="shared" si="48"/>
        <v>-1</v>
      </c>
      <c r="O64" s="13"/>
      <c r="P64" s="1">
        <f>SUM(OSRRefP22_8x_0)</f>
        <v>0</v>
      </c>
      <c r="Q64" s="1"/>
      <c r="R64" s="5">
        <f t="shared" si="49"/>
        <v>0</v>
      </c>
      <c r="S64" s="1"/>
      <c r="T64" s="1">
        <f>SUM(OSRRefT22_8x_0)</f>
        <v>7</v>
      </c>
      <c r="U64" s="1"/>
      <c r="V64" s="5">
        <f t="shared" si="50"/>
        <v>1.0526507324418985E-6</v>
      </c>
      <c r="W64" s="1"/>
      <c r="X64" s="1">
        <f t="shared" si="51"/>
        <v>-7</v>
      </c>
      <c r="Y64" s="1"/>
      <c r="Z64" s="5">
        <f t="shared" si="52"/>
        <v>-1</v>
      </c>
    </row>
    <row r="65" spans="1:26" s="24" customFormat="1" hidden="1" outlineLevel="2" x14ac:dyDescent="0.25">
      <c r="A65" s="25"/>
      <c r="B65" s="11" t="str">
        <f>CONCATENATE("          ", "6307", " - ", "POSTAGE")</f>
        <v xml:space="preserve">          6307 - POSTAGE</v>
      </c>
      <c r="C65" s="11"/>
      <c r="D65" s="7"/>
      <c r="E65" s="2"/>
      <c r="F65" s="6">
        <f t="shared" si="45"/>
        <v>0</v>
      </c>
      <c r="G65" s="2"/>
      <c r="H65" s="7">
        <v>1</v>
      </c>
      <c r="I65" s="2"/>
      <c r="J65" s="6">
        <f t="shared" si="46"/>
        <v>1.6641482556397984E-6</v>
      </c>
      <c r="K65" s="2"/>
      <c r="L65" s="7">
        <f t="shared" si="47"/>
        <v>-1</v>
      </c>
      <c r="M65" s="2"/>
      <c r="N65" s="6">
        <f t="shared" si="48"/>
        <v>-1</v>
      </c>
      <c r="O65" s="11"/>
      <c r="P65" s="7"/>
      <c r="Q65" s="2"/>
      <c r="R65" s="6">
        <f t="shared" si="49"/>
        <v>0</v>
      </c>
      <c r="S65" s="2"/>
      <c r="T65" s="7">
        <v>7</v>
      </c>
      <c r="U65" s="2"/>
      <c r="V65" s="6">
        <f t="shared" si="50"/>
        <v>1.0526507324418985E-6</v>
      </c>
      <c r="W65" s="2"/>
      <c r="X65" s="7">
        <f t="shared" si="51"/>
        <v>-7</v>
      </c>
      <c r="Y65" s="2"/>
      <c r="Z65" s="6">
        <f t="shared" si="52"/>
        <v>-1</v>
      </c>
    </row>
    <row r="66" spans="1:26" s="27" customFormat="1" outlineLevel="1" collapsed="1" x14ac:dyDescent="0.25">
      <c r="A66" s="26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SUM(OSRRefD22_9x_0)</f>
        <v>845.71</v>
      </c>
      <c r="E66" s="1"/>
      <c r="F66" s="5">
        <f t="shared" si="45"/>
        <v>1.3031186572042604E-3</v>
      </c>
      <c r="G66" s="1"/>
      <c r="H66" s="1">
        <f>SUM(OSRRefH22_9x_0)</f>
        <v>1138</v>
      </c>
      <c r="I66" s="1"/>
      <c r="J66" s="5">
        <f t="shared" si="46"/>
        <v>1.8938007149180906E-3</v>
      </c>
      <c r="K66" s="1"/>
      <c r="L66" s="1">
        <f t="shared" si="47"/>
        <v>-292.28999999999996</v>
      </c>
      <c r="M66" s="1"/>
      <c r="N66" s="5">
        <f t="shared" si="48"/>
        <v>-0.25684534270650261</v>
      </c>
      <c r="O66" s="13"/>
      <c r="P66" s="1">
        <f>SUM(OSRRefP22_9x_0)</f>
        <v>8251.52</v>
      </c>
      <c r="Q66" s="1"/>
      <c r="R66" s="5">
        <f t="shared" si="49"/>
        <v>1.2247511407152932E-3</v>
      </c>
      <c r="S66" s="1"/>
      <c r="T66" s="1">
        <f>SUM(OSRRefT22_9x_0)</f>
        <v>10123</v>
      </c>
      <c r="U66" s="1"/>
      <c r="V66" s="5">
        <f t="shared" si="50"/>
        <v>1.5222833377870485E-3</v>
      </c>
      <c r="W66" s="1"/>
      <c r="X66" s="1">
        <f t="shared" si="51"/>
        <v>-1871.4799999999996</v>
      </c>
      <c r="Y66" s="1"/>
      <c r="Z66" s="5">
        <f t="shared" si="52"/>
        <v>-0.18487404919490266</v>
      </c>
    </row>
    <row r="67" spans="1:26" s="24" customFormat="1" hidden="1" outlineLevel="2" x14ac:dyDescent="0.25">
      <c r="A67" s="25"/>
      <c r="B67" s="11" t="str">
        <f>CONCATENATE("          ", "6279", " - ", "GENERAL EXPENSE")</f>
        <v xml:space="preserve">          6279 - GENERAL EXPENSE</v>
      </c>
      <c r="C67" s="11"/>
      <c r="D67" s="7">
        <v>845.71</v>
      </c>
      <c r="E67" s="2"/>
      <c r="F67" s="6">
        <f t="shared" si="45"/>
        <v>1.3031186572042604E-3</v>
      </c>
      <c r="G67" s="2"/>
      <c r="H67" s="7">
        <v>1138</v>
      </c>
      <c r="I67" s="2"/>
      <c r="J67" s="6">
        <f t="shared" si="46"/>
        <v>1.8938007149180906E-3</v>
      </c>
      <c r="K67" s="2"/>
      <c r="L67" s="7">
        <f t="shared" si="47"/>
        <v>-292.28999999999996</v>
      </c>
      <c r="M67" s="2"/>
      <c r="N67" s="6">
        <f t="shared" si="48"/>
        <v>-0.25684534270650261</v>
      </c>
      <c r="O67" s="11"/>
      <c r="P67" s="7">
        <v>8251.52</v>
      </c>
      <c r="Q67" s="2"/>
      <c r="R67" s="6">
        <f t="shared" si="49"/>
        <v>1.2247511407152932E-3</v>
      </c>
      <c r="S67" s="2"/>
      <c r="T67" s="7">
        <v>10123</v>
      </c>
      <c r="U67" s="2"/>
      <c r="V67" s="6">
        <f t="shared" si="50"/>
        <v>1.5222833377870485E-3</v>
      </c>
      <c r="W67" s="2"/>
      <c r="X67" s="7">
        <f t="shared" si="51"/>
        <v>-1871.4799999999996</v>
      </c>
      <c r="Y67" s="2"/>
      <c r="Z67" s="6">
        <f t="shared" si="52"/>
        <v>-0.18487404919490266</v>
      </c>
    </row>
    <row r="68" spans="1:26" s="27" customFormat="1" outlineLevel="1" collapsed="1" x14ac:dyDescent="0.25">
      <c r="A68" s="26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SUM(OSRRefD22_10x_0)</f>
        <v>5.9</v>
      </c>
      <c r="E68" s="1"/>
      <c r="F68" s="5">
        <f t="shared" si="45"/>
        <v>9.0910596747172634E-6</v>
      </c>
      <c r="G68" s="1"/>
      <c r="H68" s="1">
        <f>SUM(OSRRefH22_10x_0)</f>
        <v>5</v>
      </c>
      <c r="I68" s="1"/>
      <c r="J68" s="5">
        <f t="shared" si="46"/>
        <v>8.3207412781989916E-6</v>
      </c>
      <c r="K68" s="1"/>
      <c r="L68" s="1">
        <f t="shared" si="47"/>
        <v>0.90000000000000036</v>
      </c>
      <c r="M68" s="1"/>
      <c r="N68" s="5">
        <f t="shared" si="48"/>
        <v>0.18000000000000008</v>
      </c>
      <c r="O68" s="13"/>
      <c r="P68" s="1">
        <f>SUM(OSRRefP22_10x_0)</f>
        <v>41.3</v>
      </c>
      <c r="Q68" s="1"/>
      <c r="R68" s="5">
        <f t="shared" si="49"/>
        <v>6.1300490226699572E-6</v>
      </c>
      <c r="S68" s="1"/>
      <c r="T68" s="1">
        <f>SUM(OSRRefT22_10x_0)</f>
        <v>35</v>
      </c>
      <c r="U68" s="1"/>
      <c r="V68" s="5">
        <f t="shared" si="50"/>
        <v>5.2632536622094932E-6</v>
      </c>
      <c r="W68" s="1"/>
      <c r="X68" s="1">
        <f t="shared" si="51"/>
        <v>6.2999999999999972</v>
      </c>
      <c r="Y68" s="1"/>
      <c r="Z68" s="5">
        <f t="shared" si="52"/>
        <v>0.17999999999999991</v>
      </c>
    </row>
    <row r="69" spans="1:26" s="24" customFormat="1" hidden="1" outlineLevel="2" x14ac:dyDescent="0.25">
      <c r="A69" s="25"/>
      <c r="B69" s="11" t="str">
        <f>CONCATENATE("          ", "6314", " - ", "LIABILITY INSURANCE")</f>
        <v xml:space="preserve">          6314 - LIABILITY INSURANCE</v>
      </c>
      <c r="C69" s="11"/>
      <c r="D69" s="7">
        <v>5.9</v>
      </c>
      <c r="E69" s="2"/>
      <c r="F69" s="6">
        <f t="shared" si="45"/>
        <v>9.0910596747172634E-6</v>
      </c>
      <c r="G69" s="2"/>
      <c r="H69" s="7">
        <v>5</v>
      </c>
      <c r="I69" s="2"/>
      <c r="J69" s="6">
        <f t="shared" si="46"/>
        <v>8.3207412781989916E-6</v>
      </c>
      <c r="K69" s="2"/>
      <c r="L69" s="7">
        <f t="shared" si="47"/>
        <v>0.90000000000000036</v>
      </c>
      <c r="M69" s="2"/>
      <c r="N69" s="6">
        <f t="shared" si="48"/>
        <v>0.18000000000000008</v>
      </c>
      <c r="O69" s="11"/>
      <c r="P69" s="7">
        <v>41.3</v>
      </c>
      <c r="Q69" s="2"/>
      <c r="R69" s="6">
        <f t="shared" si="49"/>
        <v>6.1300490226699572E-6</v>
      </c>
      <c r="S69" s="2"/>
      <c r="T69" s="7">
        <v>35</v>
      </c>
      <c r="U69" s="2"/>
      <c r="V69" s="6">
        <f t="shared" si="50"/>
        <v>5.2632536622094932E-6</v>
      </c>
      <c r="W69" s="2"/>
      <c r="X69" s="7">
        <f t="shared" si="51"/>
        <v>6.2999999999999972</v>
      </c>
      <c r="Y69" s="2"/>
      <c r="Z69" s="6">
        <f t="shared" si="52"/>
        <v>0.17999999999999991</v>
      </c>
    </row>
    <row r="70" spans="1:26" s="27" customFormat="1" outlineLevel="1" collapsed="1" x14ac:dyDescent="0.25">
      <c r="A70" s="26"/>
      <c r="B70" s="13" t="str">
        <f>CONCATENATE("     ","R/H Commissions                                   ")</f>
        <v xml:space="preserve">     R/H Commissions                                   </v>
      </c>
      <c r="C70" s="13"/>
      <c r="D70" s="1">
        <f>SUM(OSRRefD22_11x_0)</f>
        <v>52199.14</v>
      </c>
      <c r="E70" s="1"/>
      <c r="F70" s="5">
        <f t="shared" si="45"/>
        <v>8.0431440120156072E-2</v>
      </c>
      <c r="G70" s="1"/>
      <c r="H70" s="1">
        <f>SUM(OSRRefH22_11x_0)</f>
        <v>48062</v>
      </c>
      <c r="I70" s="1"/>
      <c r="J70" s="5">
        <f t="shared" si="46"/>
        <v>7.9982293462559986E-2</v>
      </c>
      <c r="K70" s="1"/>
      <c r="L70" s="1">
        <f t="shared" si="47"/>
        <v>4137.1399999999994</v>
      </c>
      <c r="M70" s="1"/>
      <c r="N70" s="5">
        <f t="shared" si="48"/>
        <v>8.607923099330031E-2</v>
      </c>
      <c r="O70" s="13"/>
      <c r="P70" s="1">
        <f>SUM(OSRRefP22_11x_0)</f>
        <v>523790.01000000007</v>
      </c>
      <c r="Q70" s="1"/>
      <c r="R70" s="5">
        <f t="shared" si="49"/>
        <v>7.7744756389462169E-2</v>
      </c>
      <c r="S70" s="1"/>
      <c r="T70" s="1">
        <f>SUM(OSRRefT22_11x_0)</f>
        <v>531964</v>
      </c>
      <c r="U70" s="1"/>
      <c r="V70" s="5">
        <f t="shared" si="50"/>
        <v>7.999604203324602E-2</v>
      </c>
      <c r="W70" s="1"/>
      <c r="X70" s="1">
        <f t="shared" si="51"/>
        <v>-8173.9899999999325</v>
      </c>
      <c r="Y70" s="1"/>
      <c r="Z70" s="5">
        <f t="shared" si="52"/>
        <v>-1.5365682640178532E-2</v>
      </c>
    </row>
    <row r="71" spans="1:26" s="24" customFormat="1" hidden="1" outlineLevel="2" x14ac:dyDescent="0.25">
      <c r="A71" s="25"/>
      <c r="B71" s="11" t="str">
        <f>CONCATENATE("          ", "6387", " - ", "COMMISSION DUE HOUSING")</f>
        <v xml:space="preserve">          6387 - COMMISSION DUE HOUSING</v>
      </c>
      <c r="C71" s="11"/>
      <c r="D71" s="7">
        <v>52199.14</v>
      </c>
      <c r="E71" s="2"/>
      <c r="F71" s="6">
        <f t="shared" si="45"/>
        <v>8.0431440120156072E-2</v>
      </c>
      <c r="G71" s="2"/>
      <c r="H71" s="7">
        <v>48062</v>
      </c>
      <c r="I71" s="2"/>
      <c r="J71" s="6">
        <f t="shared" si="46"/>
        <v>7.9982293462559986E-2</v>
      </c>
      <c r="K71" s="2"/>
      <c r="L71" s="7">
        <f t="shared" si="47"/>
        <v>4137.1399999999994</v>
      </c>
      <c r="M71" s="2"/>
      <c r="N71" s="6">
        <f t="shared" si="48"/>
        <v>8.607923099330031E-2</v>
      </c>
      <c r="O71" s="11"/>
      <c r="P71" s="7">
        <v>523790.01000000007</v>
      </c>
      <c r="Q71" s="2"/>
      <c r="R71" s="6">
        <f t="shared" si="49"/>
        <v>7.7744756389462169E-2</v>
      </c>
      <c r="S71" s="2"/>
      <c r="T71" s="7">
        <v>531964</v>
      </c>
      <c r="U71" s="2"/>
      <c r="V71" s="6">
        <f t="shared" si="50"/>
        <v>7.999604203324602E-2</v>
      </c>
      <c r="W71" s="2"/>
      <c r="X71" s="7">
        <f t="shared" si="51"/>
        <v>-8173.9899999999325</v>
      </c>
      <c r="Y71" s="2"/>
      <c r="Z71" s="6">
        <f t="shared" si="52"/>
        <v>-1.5365682640178532E-2</v>
      </c>
    </row>
    <row r="72" spans="1:26" s="27" customFormat="1" outlineLevel="1" collapsed="1" x14ac:dyDescent="0.25">
      <c r="A72" s="26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SUM(OSRRefD22_12x_0)</f>
        <v>0</v>
      </c>
      <c r="E72" s="1"/>
      <c r="F72" s="5">
        <f t="shared" si="45"/>
        <v>0</v>
      </c>
      <c r="G72" s="1"/>
      <c r="H72" s="1">
        <f>SUM(OSRRefH22_12x_0)</f>
        <v>2037</v>
      </c>
      <c r="I72" s="1"/>
      <c r="J72" s="5">
        <f t="shared" si="46"/>
        <v>3.3898699967382694E-3</v>
      </c>
      <c r="K72" s="1"/>
      <c r="L72" s="1">
        <f t="shared" si="47"/>
        <v>-2037</v>
      </c>
      <c r="M72" s="1"/>
      <c r="N72" s="5">
        <f t="shared" si="48"/>
        <v>-1</v>
      </c>
      <c r="O72" s="13"/>
      <c r="P72" s="1">
        <f>SUM(OSRRefP22_12x_0)</f>
        <v>23808.939999999995</v>
      </c>
      <c r="Q72" s="1"/>
      <c r="R72" s="5">
        <f t="shared" si="49"/>
        <v>3.5338975636273031E-3</v>
      </c>
      <c r="S72" s="1"/>
      <c r="T72" s="1">
        <f>SUM(OSRRefT22_12x_0)</f>
        <v>17899</v>
      </c>
      <c r="U72" s="1"/>
      <c r="V72" s="5">
        <f t="shared" si="50"/>
        <v>2.6916279228539346E-3</v>
      </c>
      <c r="W72" s="1"/>
      <c r="X72" s="1">
        <f t="shared" si="51"/>
        <v>5909.9399999999951</v>
      </c>
      <c r="Y72" s="1"/>
      <c r="Z72" s="5">
        <f t="shared" si="52"/>
        <v>0.3301826917704897</v>
      </c>
    </row>
    <row r="73" spans="1:26" s="24" customFormat="1" hidden="1" outlineLevel="2" x14ac:dyDescent="0.25">
      <c r="A73" s="25"/>
      <c r="B73" s="11" t="str">
        <f>CONCATENATE("          ", "6371", " - ", "COMPUTER SOFTWARE MAINTENANCE")</f>
        <v xml:space="preserve">          6371 - COMPUTER SOFTWARE MAINTENANCE</v>
      </c>
      <c r="C73" s="11"/>
      <c r="D73" s="7"/>
      <c r="E73" s="2"/>
      <c r="F73" s="6">
        <f t="shared" si="45"/>
        <v>0</v>
      </c>
      <c r="G73" s="2"/>
      <c r="H73" s="7">
        <v>1497</v>
      </c>
      <c r="I73" s="2"/>
      <c r="J73" s="6">
        <f t="shared" si="46"/>
        <v>2.4912299386927782E-3</v>
      </c>
      <c r="K73" s="2"/>
      <c r="L73" s="7">
        <f t="shared" si="47"/>
        <v>-1497</v>
      </c>
      <c r="M73" s="2"/>
      <c r="N73" s="6">
        <f t="shared" si="48"/>
        <v>-1</v>
      </c>
      <c r="O73" s="11"/>
      <c r="P73" s="7">
        <v>22817.929999999997</v>
      </c>
      <c r="Q73" s="2"/>
      <c r="R73" s="6">
        <f t="shared" si="49"/>
        <v>3.3868045882772756E-3</v>
      </c>
      <c r="S73" s="2"/>
      <c r="T73" s="7">
        <v>10479</v>
      </c>
      <c r="U73" s="2"/>
      <c r="V73" s="6">
        <f t="shared" si="50"/>
        <v>1.5758181464655221E-3</v>
      </c>
      <c r="W73" s="2"/>
      <c r="X73" s="7">
        <f t="shared" si="51"/>
        <v>12338.929999999997</v>
      </c>
      <c r="Y73" s="2"/>
      <c r="Z73" s="6">
        <f t="shared" si="52"/>
        <v>1.1774911728218338</v>
      </c>
    </row>
    <row r="74" spans="1:26" s="24" customFormat="1" hidden="1" outlineLevel="2" x14ac:dyDescent="0.25">
      <c r="A74" s="25"/>
      <c r="B74" s="11" t="str">
        <f>CONCATENATE("          ", "6372", " - ", "COMPUTER HARDWARE MAINTENANCE")</f>
        <v xml:space="preserve">          6372 - COMPUTER HARDWARE MAINTENANCE</v>
      </c>
      <c r="C74" s="11"/>
      <c r="D74" s="7"/>
      <c r="E74" s="2"/>
      <c r="F74" s="6">
        <f t="shared" si="45"/>
        <v>0</v>
      </c>
      <c r="G74" s="2"/>
      <c r="H74" s="7"/>
      <c r="I74" s="2"/>
      <c r="J74" s="6">
        <f t="shared" si="46"/>
        <v>0</v>
      </c>
      <c r="K74" s="2"/>
      <c r="L74" s="7">
        <f t="shared" si="47"/>
        <v>0</v>
      </c>
      <c r="M74" s="2"/>
      <c r="N74" s="6">
        <f t="shared" si="48"/>
        <v>0</v>
      </c>
      <c r="O74" s="11"/>
      <c r="P74" s="7"/>
      <c r="Q74" s="2"/>
      <c r="R74" s="6">
        <f t="shared" si="49"/>
        <v>0</v>
      </c>
      <c r="S74" s="2"/>
      <c r="T74" s="7">
        <v>140</v>
      </c>
      <c r="U74" s="2"/>
      <c r="V74" s="6">
        <f t="shared" si="50"/>
        <v>2.1053014648837973E-5</v>
      </c>
      <c r="W74" s="2"/>
      <c r="X74" s="7">
        <f t="shared" si="51"/>
        <v>-140</v>
      </c>
      <c r="Y74" s="2"/>
      <c r="Z74" s="6">
        <f t="shared" si="52"/>
        <v>-1</v>
      </c>
    </row>
    <row r="75" spans="1:26" s="24" customFormat="1" hidden="1" outlineLevel="2" x14ac:dyDescent="0.25">
      <c r="A75" s="25"/>
      <c r="B75" s="11" t="str">
        <f>CONCATENATE("          ", "6373", " - ", "MAINTENANCE CONTRACTS")</f>
        <v xml:space="preserve">          6373 - MAINTENANCE CONTRACTS</v>
      </c>
      <c r="C75" s="11"/>
      <c r="D75" s="7"/>
      <c r="E75" s="2"/>
      <c r="F75" s="6">
        <f t="shared" si="45"/>
        <v>0</v>
      </c>
      <c r="G75" s="2"/>
      <c r="H75" s="7">
        <v>30</v>
      </c>
      <c r="I75" s="2"/>
      <c r="J75" s="6">
        <f t="shared" si="46"/>
        <v>4.9924447669193956E-5</v>
      </c>
      <c r="K75" s="2"/>
      <c r="L75" s="7">
        <f t="shared" si="47"/>
        <v>-30</v>
      </c>
      <c r="M75" s="2"/>
      <c r="N75" s="6">
        <f t="shared" si="48"/>
        <v>-1</v>
      </c>
      <c r="O75" s="11"/>
      <c r="P75" s="7">
        <v>481.82</v>
      </c>
      <c r="Q75" s="2"/>
      <c r="R75" s="6">
        <f t="shared" si="49"/>
        <v>7.1515259566654692E-5</v>
      </c>
      <c r="S75" s="2"/>
      <c r="T75" s="7">
        <v>3710</v>
      </c>
      <c r="U75" s="2"/>
      <c r="V75" s="6">
        <f t="shared" si="50"/>
        <v>5.5790488819420624E-4</v>
      </c>
      <c r="W75" s="2"/>
      <c r="X75" s="7">
        <f t="shared" si="51"/>
        <v>-3228.18</v>
      </c>
      <c r="Y75" s="2"/>
      <c r="Z75" s="6">
        <f t="shared" si="52"/>
        <v>-0.87012938005390827</v>
      </c>
    </row>
    <row r="76" spans="1:26" s="24" customFormat="1" hidden="1" outlineLevel="2" x14ac:dyDescent="0.25">
      <c r="A76" s="25"/>
      <c r="B76" s="11" t="str">
        <f>CONCATENATE("          ", "6375", " - ", "OUTSIDE REPAIRS &amp; MAINTENANCE")</f>
        <v xml:space="preserve">          6375 - OUTSIDE REPAIRS &amp; MAINTENANCE</v>
      </c>
      <c r="C76" s="11"/>
      <c r="D76" s="7"/>
      <c r="E76" s="2"/>
      <c r="F76" s="6">
        <f t="shared" si="45"/>
        <v>0</v>
      </c>
      <c r="G76" s="2"/>
      <c r="H76" s="7">
        <v>510</v>
      </c>
      <c r="I76" s="2"/>
      <c r="J76" s="6">
        <f t="shared" si="46"/>
        <v>8.4871561037629724E-4</v>
      </c>
      <c r="K76" s="2"/>
      <c r="L76" s="7">
        <f t="shared" si="47"/>
        <v>-510</v>
      </c>
      <c r="M76" s="2"/>
      <c r="N76" s="6">
        <f t="shared" si="48"/>
        <v>-1</v>
      </c>
      <c r="O76" s="11"/>
      <c r="P76" s="7">
        <v>509.19</v>
      </c>
      <c r="Q76" s="2"/>
      <c r="R76" s="6">
        <f t="shared" si="49"/>
        <v>7.5577715783373259E-5</v>
      </c>
      <c r="S76" s="2"/>
      <c r="T76" s="7">
        <v>3570</v>
      </c>
      <c r="U76" s="2"/>
      <c r="V76" s="6">
        <f t="shared" si="50"/>
        <v>5.3685187354536828E-4</v>
      </c>
      <c r="W76" s="2"/>
      <c r="X76" s="7">
        <f t="shared" si="51"/>
        <v>-3060.81</v>
      </c>
      <c r="Y76" s="2"/>
      <c r="Z76" s="6">
        <f t="shared" si="52"/>
        <v>-0.85736974789915965</v>
      </c>
    </row>
    <row r="77" spans="1:26" s="27" customFormat="1" outlineLevel="1" collapsed="1" x14ac:dyDescent="0.25">
      <c r="A77" s="26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SUM(OSRRefD22_13x_0)</f>
        <v>15986.09</v>
      </c>
      <c r="E77" s="1"/>
      <c r="F77" s="5">
        <f t="shared" ref="F77:F81" si="53">IF(D$12=0,0,D77/D$12)</f>
        <v>2.4632287822949302E-2</v>
      </c>
      <c r="G77" s="1"/>
      <c r="H77" s="1">
        <f>SUM(OSRRefH22_13x_0)</f>
        <v>22185</v>
      </c>
      <c r="I77" s="1"/>
      <c r="J77" s="5">
        <f t="shared" ref="J77:J81" si="54">IF(H$12=0,0,H77/H$12)</f>
        <v>3.6919129051368925E-2</v>
      </c>
      <c r="K77" s="1"/>
      <c r="L77" s="1">
        <f t="shared" ref="L77:L81" si="55">+D77-H77</f>
        <v>-6198.91</v>
      </c>
      <c r="M77" s="1"/>
      <c r="N77" s="5">
        <f t="shared" ref="N77:N81" si="56">IF(H77=0,0,L77/H77)</f>
        <v>-0.27941897678611671</v>
      </c>
      <c r="O77" s="13"/>
      <c r="P77" s="1">
        <f>SUM(OSRRefP22_13x_0)</f>
        <v>128952.86</v>
      </c>
      <c r="Q77" s="1"/>
      <c r="R77" s="5">
        <f t="shared" ref="R77:R81" si="57">IF(P$12=0,0,P77/P$12)</f>
        <v>1.9140129622602805E-2</v>
      </c>
      <c r="S77" s="1"/>
      <c r="T77" s="1">
        <f>SUM(OSRRefT22_13x_0)</f>
        <v>133537</v>
      </c>
      <c r="U77" s="1"/>
      <c r="V77" s="5">
        <f t="shared" ref="V77:V81" si="58">IF(T$12=0,0,T77/T$12)</f>
        <v>2.0081117265441973E-2</v>
      </c>
      <c r="W77" s="1"/>
      <c r="X77" s="1">
        <f t="shared" ref="X77:X81" si="59">+P77-T77</f>
        <v>-4584.1399999999994</v>
      </c>
      <c r="Y77" s="1"/>
      <c r="Z77" s="5">
        <f t="shared" ref="Z77:Z81" si="60">IF(T77=0,0,X77/T77)</f>
        <v>-3.4328613043575935E-2</v>
      </c>
    </row>
    <row r="78" spans="1:26" s="24" customFormat="1" hidden="1" outlineLevel="2" x14ac:dyDescent="0.25">
      <c r="A78" s="25"/>
      <c r="B78" s="11" t="str">
        <f>CONCATENATE("          ", "6282", " - ", "JANITORIAL/EXTERMINATOR EXPENS")</f>
        <v xml:space="preserve">          6282 - JANITORIAL/EXTERMINATOR EXPENS</v>
      </c>
      <c r="C78" s="11"/>
      <c r="D78" s="7"/>
      <c r="E78" s="2"/>
      <c r="F78" s="6">
        <f t="shared" si="53"/>
        <v>0</v>
      </c>
      <c r="G78" s="2"/>
      <c r="H78" s="7">
        <v>1630</v>
      </c>
      <c r="I78" s="2"/>
      <c r="J78" s="6">
        <f t="shared" si="54"/>
        <v>2.7125616566928716E-3</v>
      </c>
      <c r="K78" s="2"/>
      <c r="L78" s="7">
        <f t="shared" si="55"/>
        <v>-1630</v>
      </c>
      <c r="M78" s="2"/>
      <c r="N78" s="6">
        <f t="shared" si="56"/>
        <v>-1</v>
      </c>
      <c r="O78" s="11"/>
      <c r="P78" s="7">
        <v>10828.1</v>
      </c>
      <c r="Q78" s="2"/>
      <c r="R78" s="6">
        <f t="shared" si="57"/>
        <v>1.6071860489678589E-3</v>
      </c>
      <c r="S78" s="2"/>
      <c r="T78" s="7">
        <v>11410</v>
      </c>
      <c r="U78" s="2"/>
      <c r="V78" s="6">
        <f t="shared" si="58"/>
        <v>1.7158206938802946E-3</v>
      </c>
      <c r="W78" s="2"/>
      <c r="X78" s="7">
        <f t="shared" si="59"/>
        <v>-581.89999999999964</v>
      </c>
      <c r="Y78" s="2"/>
      <c r="Z78" s="6">
        <f t="shared" si="60"/>
        <v>-5.0999123575810663E-2</v>
      </c>
    </row>
    <row r="79" spans="1:26" s="24" customFormat="1" hidden="1" outlineLevel="2" x14ac:dyDescent="0.25">
      <c r="A79" s="25"/>
      <c r="B79" s="11" t="str">
        <f>CONCATENATE("          ", "6284", " - ", "TRASH REMOVAL EXPENSE")</f>
        <v xml:space="preserve">          6284 - TRASH REMOVAL EXPENSE</v>
      </c>
      <c r="C79" s="11"/>
      <c r="D79" s="7"/>
      <c r="E79" s="2"/>
      <c r="F79" s="6">
        <f t="shared" si="53"/>
        <v>0</v>
      </c>
      <c r="G79" s="2"/>
      <c r="H79" s="7">
        <v>550</v>
      </c>
      <c r="I79" s="2"/>
      <c r="J79" s="6">
        <f t="shared" si="54"/>
        <v>9.1528154060188909E-4</v>
      </c>
      <c r="K79" s="2"/>
      <c r="L79" s="7">
        <f t="shared" si="55"/>
        <v>-550</v>
      </c>
      <c r="M79" s="2"/>
      <c r="N79" s="6">
        <f t="shared" si="56"/>
        <v>-1</v>
      </c>
      <c r="O79" s="11"/>
      <c r="P79" s="7"/>
      <c r="Q79" s="2"/>
      <c r="R79" s="6">
        <f t="shared" si="57"/>
        <v>0</v>
      </c>
      <c r="S79" s="2"/>
      <c r="T79" s="7">
        <v>3800</v>
      </c>
      <c r="U79" s="2"/>
      <c r="V79" s="6">
        <f t="shared" si="58"/>
        <v>5.7143896903988779E-4</v>
      </c>
      <c r="W79" s="2"/>
      <c r="X79" s="7">
        <f t="shared" si="59"/>
        <v>-3800</v>
      </c>
      <c r="Y79" s="2"/>
      <c r="Z79" s="6">
        <f t="shared" si="60"/>
        <v>-1</v>
      </c>
    </row>
    <row r="80" spans="1:26" s="24" customFormat="1" hidden="1" outlineLevel="2" x14ac:dyDescent="0.25">
      <c r="A80" s="25"/>
      <c r="B80" s="11" t="str">
        <f>CONCATENATE("          ", "6285", " - ", "JANITORIAL SERVICES")</f>
        <v xml:space="preserve">          6285 - JANITORIAL SERVICES</v>
      </c>
      <c r="C80" s="11"/>
      <c r="D80" s="7">
        <v>12248.2</v>
      </c>
      <c r="E80" s="2"/>
      <c r="F80" s="6">
        <f t="shared" si="53"/>
        <v>1.8872731713198639E-2</v>
      </c>
      <c r="G80" s="2"/>
      <c r="H80" s="7">
        <v>15205</v>
      </c>
      <c r="I80" s="2"/>
      <c r="J80" s="6">
        <f t="shared" si="54"/>
        <v>2.5303374227003135E-2</v>
      </c>
      <c r="K80" s="2"/>
      <c r="L80" s="7">
        <f t="shared" si="55"/>
        <v>-2956.7999999999993</v>
      </c>
      <c r="M80" s="2"/>
      <c r="N80" s="6">
        <f t="shared" si="56"/>
        <v>-0.19446234791187106</v>
      </c>
      <c r="O80" s="11"/>
      <c r="P80" s="7">
        <v>86333.22</v>
      </c>
      <c r="Q80" s="2"/>
      <c r="R80" s="6">
        <f t="shared" si="57"/>
        <v>1.2814209948788145E-2</v>
      </c>
      <c r="S80" s="2"/>
      <c r="T80" s="7">
        <v>86327</v>
      </c>
      <c r="U80" s="2"/>
      <c r="V80" s="6">
        <f t="shared" si="58"/>
        <v>1.2981739968501682E-2</v>
      </c>
      <c r="W80" s="2"/>
      <c r="X80" s="7">
        <f t="shared" si="59"/>
        <v>6.2200000000011642</v>
      </c>
      <c r="Y80" s="2"/>
      <c r="Z80" s="6">
        <f t="shared" si="60"/>
        <v>7.2051617686253022E-5</v>
      </c>
    </row>
    <row r="81" spans="1:26" s="24" customFormat="1" hidden="1" outlineLevel="2" x14ac:dyDescent="0.25">
      <c r="A81" s="25"/>
      <c r="B81" s="11" t="str">
        <f>CONCATENATE("          ", "6286", " - ", "LAUNDRY EXPENSE")</f>
        <v xml:space="preserve">          6286 - LAUNDRY EXPENSE</v>
      </c>
      <c r="C81" s="11"/>
      <c r="D81" s="7">
        <v>3737.89</v>
      </c>
      <c r="E81" s="2"/>
      <c r="F81" s="6">
        <f t="shared" si="53"/>
        <v>5.7595561097506624E-3</v>
      </c>
      <c r="G81" s="2"/>
      <c r="H81" s="7">
        <v>4800</v>
      </c>
      <c r="I81" s="2"/>
      <c r="J81" s="6">
        <f t="shared" si="54"/>
        <v>7.9879116270710326E-3</v>
      </c>
      <c r="K81" s="2"/>
      <c r="L81" s="7">
        <f t="shared" si="55"/>
        <v>-1062.1100000000001</v>
      </c>
      <c r="M81" s="2"/>
      <c r="N81" s="6">
        <f t="shared" si="56"/>
        <v>-0.22127291666666668</v>
      </c>
      <c r="O81" s="11"/>
      <c r="P81" s="7">
        <v>31791.539999999997</v>
      </c>
      <c r="Q81" s="2"/>
      <c r="R81" s="6">
        <f t="shared" si="57"/>
        <v>4.7187336248468003E-3</v>
      </c>
      <c r="S81" s="2"/>
      <c r="T81" s="7">
        <v>32000</v>
      </c>
      <c r="U81" s="2"/>
      <c r="V81" s="6">
        <f t="shared" si="58"/>
        <v>4.8121176340201076E-3</v>
      </c>
      <c r="W81" s="2"/>
      <c r="X81" s="7">
        <f t="shared" si="59"/>
        <v>-208.46000000000276</v>
      </c>
      <c r="Y81" s="2"/>
      <c r="Z81" s="6">
        <f t="shared" si="60"/>
        <v>-6.5143750000000861E-3</v>
      </c>
    </row>
    <row r="82" spans="1:26" s="27" customFormat="1" outlineLevel="1" collapsed="1" x14ac:dyDescent="0.25">
      <c r="A82" s="26"/>
      <c r="B82" s="13" t="str">
        <f>CONCATENATE("     ","Supplies                                          ")</f>
        <v xml:space="preserve">     Supplies                                          </v>
      </c>
      <c r="C82" s="13"/>
      <c r="D82" s="1">
        <f>SUM(OSRRefD22_14x_0)</f>
        <v>15670.74</v>
      </c>
      <c r="E82" s="1"/>
      <c r="F82" s="5">
        <f t="shared" ref="F82:F91" si="61">IF(D$12=0,0,D82/D$12)</f>
        <v>2.4146378387623523E-2</v>
      </c>
      <c r="G82" s="1"/>
      <c r="H82" s="1">
        <f>SUM(OSRRefH22_14x_0)</f>
        <v>27315</v>
      </c>
      <c r="I82" s="1"/>
      <c r="J82" s="5">
        <f t="shared" ref="J82:J91" si="62">IF(H$12=0,0,H82/H$12)</f>
        <v>4.5456209602801091E-2</v>
      </c>
      <c r="K82" s="1"/>
      <c r="L82" s="1">
        <f t="shared" ref="L82:L91" si="63">+D82-H82</f>
        <v>-11644.26</v>
      </c>
      <c r="M82" s="1"/>
      <c r="N82" s="5">
        <f t="shared" ref="N82:N91" si="64">IF(H82=0,0,L82/H82)</f>
        <v>-0.42629544206479958</v>
      </c>
      <c r="O82" s="13"/>
      <c r="P82" s="1">
        <f>SUM(OSRRefP22_14x_0)</f>
        <v>150267.11000000002</v>
      </c>
      <c r="Q82" s="1"/>
      <c r="R82" s="5">
        <f t="shared" ref="R82:R91" si="65">IF(P$12=0,0,P82/P$12)</f>
        <v>2.2303746992613536E-2</v>
      </c>
      <c r="S82" s="1"/>
      <c r="T82" s="1">
        <f>SUM(OSRRefT22_14x_0)</f>
        <v>172494</v>
      </c>
      <c r="U82" s="1"/>
      <c r="V82" s="5">
        <f t="shared" ref="V82:V91" si="66">IF(T$12=0,0,T82/T$12)</f>
        <v>2.5939419348833266E-2</v>
      </c>
      <c r="W82" s="1"/>
      <c r="X82" s="1">
        <f t="shared" ref="X82:X91" si="67">+P82-T82</f>
        <v>-22226.889999999985</v>
      </c>
      <c r="Y82" s="1"/>
      <c r="Z82" s="5">
        <f t="shared" ref="Z82:Z91" si="68">IF(T82=0,0,X82/T82)</f>
        <v>-0.12885601818034242</v>
      </c>
    </row>
    <row r="83" spans="1:26" s="24" customFormat="1" hidden="1" outlineLevel="2" x14ac:dyDescent="0.25">
      <c r="A83" s="25"/>
      <c r="B83" s="11" t="str">
        <f>CONCATENATE("          ", "6234", " - ", "EXPENDABLE SUPPLIES &amp; EQUIPMEN")</f>
        <v xml:space="preserve">          6234 - EXPENDABLE SUPPLIES &amp; EQUIPMEN</v>
      </c>
      <c r="C83" s="11"/>
      <c r="D83" s="7"/>
      <c r="E83" s="2"/>
      <c r="F83" s="6">
        <f t="shared" si="61"/>
        <v>0</v>
      </c>
      <c r="G83" s="2"/>
      <c r="H83" s="7">
        <v>200</v>
      </c>
      <c r="I83" s="2"/>
      <c r="J83" s="6">
        <f t="shared" si="62"/>
        <v>3.3282965112795969E-4</v>
      </c>
      <c r="K83" s="2"/>
      <c r="L83" s="7">
        <f t="shared" si="63"/>
        <v>-200</v>
      </c>
      <c r="M83" s="2"/>
      <c r="N83" s="6">
        <f t="shared" si="64"/>
        <v>-1</v>
      </c>
      <c r="O83" s="11"/>
      <c r="P83" s="7">
        <v>100</v>
      </c>
      <c r="Q83" s="2"/>
      <c r="R83" s="6">
        <f t="shared" si="65"/>
        <v>1.4842733711065272E-5</v>
      </c>
      <c r="S83" s="2"/>
      <c r="T83" s="7">
        <v>800</v>
      </c>
      <c r="U83" s="2"/>
      <c r="V83" s="6">
        <f t="shared" si="66"/>
        <v>1.2030294085050269E-4</v>
      </c>
      <c r="W83" s="2"/>
      <c r="X83" s="7">
        <f t="shared" si="67"/>
        <v>-700</v>
      </c>
      <c r="Y83" s="2"/>
      <c r="Z83" s="6">
        <f t="shared" si="68"/>
        <v>-0.875</v>
      </c>
    </row>
    <row r="84" spans="1:26" s="24" customFormat="1" hidden="1" outlineLevel="2" x14ac:dyDescent="0.25">
      <c r="A84" s="25"/>
      <c r="B84" s="11" t="str">
        <f>CONCATENATE("          ", "6237", " - ", "JANITORIAL SUPPLIES")</f>
        <v xml:space="preserve">          6237 - JANITORIAL SUPPLIES</v>
      </c>
      <c r="C84" s="11"/>
      <c r="D84" s="7">
        <v>6200.93</v>
      </c>
      <c r="E84" s="2"/>
      <c r="F84" s="6">
        <f t="shared" si="61"/>
        <v>9.5547499438550024E-3</v>
      </c>
      <c r="G84" s="2"/>
      <c r="H84" s="7">
        <v>9855</v>
      </c>
      <c r="I84" s="2"/>
      <c r="J84" s="6">
        <f t="shared" si="62"/>
        <v>1.6400181059330214E-2</v>
      </c>
      <c r="K84" s="2"/>
      <c r="L84" s="7">
        <f t="shared" si="63"/>
        <v>-3654.0699999999997</v>
      </c>
      <c r="M84" s="2"/>
      <c r="N84" s="6">
        <f t="shared" si="64"/>
        <v>-0.37078335870116691</v>
      </c>
      <c r="O84" s="11"/>
      <c r="P84" s="7">
        <v>56396.12</v>
      </c>
      <c r="Q84" s="2"/>
      <c r="R84" s="6">
        <f t="shared" si="65"/>
        <v>8.3707259149728239E-3</v>
      </c>
      <c r="S84" s="2"/>
      <c r="T84" s="7">
        <v>67730</v>
      </c>
      <c r="U84" s="2"/>
      <c r="V84" s="6">
        <f t="shared" si="66"/>
        <v>1.0185147729755685E-2</v>
      </c>
      <c r="W84" s="2"/>
      <c r="X84" s="7">
        <f t="shared" si="67"/>
        <v>-11333.879999999997</v>
      </c>
      <c r="Y84" s="2"/>
      <c r="Z84" s="6">
        <f t="shared" si="68"/>
        <v>-0.16733914070574335</v>
      </c>
    </row>
    <row r="85" spans="1:26" s="24" customFormat="1" hidden="1" outlineLevel="2" x14ac:dyDescent="0.25">
      <c r="A85" s="25"/>
      <c r="B85" s="11" t="str">
        <f>CONCATENATE("          ", "6239", " - ", "KITCHEN SUPPLIES")</f>
        <v xml:space="preserve">          6239 - KITCHEN SUPPLIES</v>
      </c>
      <c r="C85" s="11"/>
      <c r="D85" s="7">
        <v>3302.96</v>
      </c>
      <c r="E85" s="2"/>
      <c r="F85" s="6">
        <f t="shared" si="61"/>
        <v>5.0893909259668016E-3</v>
      </c>
      <c r="G85" s="2"/>
      <c r="H85" s="7">
        <v>3700</v>
      </c>
      <c r="I85" s="2"/>
      <c r="J85" s="6">
        <f t="shared" si="62"/>
        <v>6.1573485458672542E-3</v>
      </c>
      <c r="K85" s="2"/>
      <c r="L85" s="7">
        <f t="shared" si="63"/>
        <v>-397.03999999999996</v>
      </c>
      <c r="M85" s="2"/>
      <c r="N85" s="6">
        <f t="shared" si="64"/>
        <v>-0.10730810810810811</v>
      </c>
      <c r="O85" s="11"/>
      <c r="P85" s="7">
        <v>24931.15</v>
      </c>
      <c r="Q85" s="2"/>
      <c r="R85" s="6">
        <f t="shared" si="65"/>
        <v>3.70046420560625E-3</v>
      </c>
      <c r="S85" s="2"/>
      <c r="T85" s="7">
        <v>31050</v>
      </c>
      <c r="U85" s="2"/>
      <c r="V85" s="6">
        <f t="shared" si="66"/>
        <v>4.6692578917601358E-3</v>
      </c>
      <c r="W85" s="2"/>
      <c r="X85" s="7">
        <f t="shared" si="67"/>
        <v>-6118.8499999999985</v>
      </c>
      <c r="Y85" s="2"/>
      <c r="Z85" s="6">
        <f t="shared" si="68"/>
        <v>-0.19706441223832524</v>
      </c>
    </row>
    <row r="86" spans="1:26" s="24" customFormat="1" hidden="1" outlineLevel="2" x14ac:dyDescent="0.25">
      <c r="A86" s="25"/>
      <c r="B86" s="11" t="str">
        <f>CONCATENATE("          ", "6241", " - ", "OFFICE EXPENSE")</f>
        <v xml:space="preserve">          6241 - OFFICE EXPENSE</v>
      </c>
      <c r="C86" s="11"/>
      <c r="D86" s="7">
        <v>-332.96</v>
      </c>
      <c r="E86" s="2"/>
      <c r="F86" s="6">
        <f t="shared" si="61"/>
        <v>-5.1304393716845073E-4</v>
      </c>
      <c r="G86" s="2"/>
      <c r="H86" s="7">
        <v>1529</v>
      </c>
      <c r="I86" s="2"/>
      <c r="J86" s="6">
        <f t="shared" si="62"/>
        <v>2.5444826828732517E-3</v>
      </c>
      <c r="K86" s="2"/>
      <c r="L86" s="7">
        <f t="shared" si="63"/>
        <v>-1861.96</v>
      </c>
      <c r="M86" s="2"/>
      <c r="N86" s="6">
        <f t="shared" si="64"/>
        <v>-1.2177632439502943</v>
      </c>
      <c r="O86" s="11"/>
      <c r="P86" s="7">
        <v>26373.190000000002</v>
      </c>
      <c r="Q86" s="2"/>
      <c r="R86" s="6">
        <f t="shared" si="65"/>
        <v>3.9145023628132953E-3</v>
      </c>
      <c r="S86" s="2"/>
      <c r="T86" s="7">
        <v>9479</v>
      </c>
      <c r="U86" s="2"/>
      <c r="V86" s="6">
        <f t="shared" si="66"/>
        <v>1.4254394704023938E-3</v>
      </c>
      <c r="W86" s="2"/>
      <c r="X86" s="7">
        <f t="shared" si="67"/>
        <v>16894.190000000002</v>
      </c>
      <c r="Y86" s="2"/>
      <c r="Z86" s="6">
        <f t="shared" si="68"/>
        <v>1.7822755564933013</v>
      </c>
    </row>
    <row r="87" spans="1:26" s="24" customFormat="1" hidden="1" outlineLevel="2" x14ac:dyDescent="0.25">
      <c r="A87" s="25"/>
      <c r="B87" s="11" t="str">
        <f>CONCATENATE("          ", "6243", " - ", "PAPER SUPPLIES")</f>
        <v xml:space="preserve">          6243 - PAPER SUPPLIES</v>
      </c>
      <c r="C87" s="11"/>
      <c r="D87" s="7">
        <v>4310.8</v>
      </c>
      <c r="E87" s="2"/>
      <c r="F87" s="6">
        <f t="shared" si="61"/>
        <v>6.6423288213171483E-3</v>
      </c>
      <c r="G87" s="2"/>
      <c r="H87" s="7">
        <v>6859</v>
      </c>
      <c r="I87" s="2"/>
      <c r="J87" s="6">
        <f t="shared" si="62"/>
        <v>1.1414392885433378E-2</v>
      </c>
      <c r="K87" s="2"/>
      <c r="L87" s="7">
        <f t="shared" si="63"/>
        <v>-2548.1999999999998</v>
      </c>
      <c r="M87" s="2"/>
      <c r="N87" s="6">
        <f t="shared" si="64"/>
        <v>-0.37151188219857118</v>
      </c>
      <c r="O87" s="11"/>
      <c r="P87" s="7">
        <v>42143.77</v>
      </c>
      <c r="Q87" s="2"/>
      <c r="R87" s="6">
        <f t="shared" si="65"/>
        <v>6.2552875569038121E-3</v>
      </c>
      <c r="S87" s="2"/>
      <c r="T87" s="7">
        <v>46204</v>
      </c>
      <c r="U87" s="2"/>
      <c r="V87" s="6">
        <f t="shared" si="66"/>
        <v>6.948096348820783E-3</v>
      </c>
      <c r="W87" s="2"/>
      <c r="X87" s="7">
        <f t="shared" si="67"/>
        <v>-4060.2300000000032</v>
      </c>
      <c r="Y87" s="2"/>
      <c r="Z87" s="6">
        <f t="shared" si="68"/>
        <v>-8.7876157908406263E-2</v>
      </c>
    </row>
    <row r="88" spans="1:26" s="24" customFormat="1" hidden="1" outlineLevel="2" x14ac:dyDescent="0.25">
      <c r="A88" s="25"/>
      <c r="B88" s="11" t="str">
        <f>CONCATENATE("          ", "6244", " - ", "SAFETY SUPPLY EXPENSE")</f>
        <v xml:space="preserve">          6244 - SAFETY SUPPLY EXPENSE</v>
      </c>
      <c r="C88" s="11"/>
      <c r="D88" s="7"/>
      <c r="E88" s="2"/>
      <c r="F88" s="6">
        <f t="shared" si="61"/>
        <v>0</v>
      </c>
      <c r="G88" s="2"/>
      <c r="H88" s="7">
        <v>125</v>
      </c>
      <c r="I88" s="2"/>
      <c r="J88" s="6">
        <f t="shared" si="62"/>
        <v>2.0801853195497481E-4</v>
      </c>
      <c r="K88" s="2"/>
      <c r="L88" s="7">
        <f t="shared" si="63"/>
        <v>-125</v>
      </c>
      <c r="M88" s="2"/>
      <c r="N88" s="6">
        <f t="shared" si="64"/>
        <v>-1</v>
      </c>
      <c r="O88" s="11"/>
      <c r="P88" s="7"/>
      <c r="Q88" s="2"/>
      <c r="R88" s="6">
        <f t="shared" si="65"/>
        <v>0</v>
      </c>
      <c r="S88" s="2"/>
      <c r="T88" s="7">
        <v>875</v>
      </c>
      <c r="U88" s="2"/>
      <c r="V88" s="6">
        <f t="shared" si="66"/>
        <v>1.3158134155523733E-4</v>
      </c>
      <c r="W88" s="2"/>
      <c r="X88" s="7">
        <f t="shared" si="67"/>
        <v>-875</v>
      </c>
      <c r="Y88" s="2"/>
      <c r="Z88" s="6">
        <f t="shared" si="68"/>
        <v>-1</v>
      </c>
    </row>
    <row r="89" spans="1:26" s="24" customFormat="1" hidden="1" outlineLevel="2" x14ac:dyDescent="0.25">
      <c r="A89" s="25"/>
      <c r="B89" s="11" t="str">
        <f>CONCATENATE("          ", "6245", " - ", "PRINTING")</f>
        <v xml:space="preserve">          6245 - PRINTING</v>
      </c>
      <c r="C89" s="11"/>
      <c r="D89" s="7"/>
      <c r="E89" s="2"/>
      <c r="F89" s="6">
        <f t="shared" si="61"/>
        <v>0</v>
      </c>
      <c r="G89" s="2"/>
      <c r="H89" s="7">
        <v>160</v>
      </c>
      <c r="I89" s="2"/>
      <c r="J89" s="6">
        <f t="shared" si="62"/>
        <v>2.6626372090236773E-4</v>
      </c>
      <c r="K89" s="2"/>
      <c r="L89" s="7">
        <f t="shared" si="63"/>
        <v>-160</v>
      </c>
      <c r="M89" s="2"/>
      <c r="N89" s="6">
        <f t="shared" si="64"/>
        <v>-1</v>
      </c>
      <c r="O89" s="11"/>
      <c r="P89" s="7">
        <v>1351.44</v>
      </c>
      <c r="Q89" s="2"/>
      <c r="R89" s="6">
        <f t="shared" si="65"/>
        <v>2.0059064046482053E-4</v>
      </c>
      <c r="S89" s="2"/>
      <c r="T89" s="7">
        <v>1110</v>
      </c>
      <c r="U89" s="2"/>
      <c r="V89" s="6">
        <f t="shared" si="66"/>
        <v>1.669203304300725E-4</v>
      </c>
      <c r="W89" s="2"/>
      <c r="X89" s="7">
        <f t="shared" si="67"/>
        <v>241.44000000000005</v>
      </c>
      <c r="Y89" s="2"/>
      <c r="Z89" s="6">
        <f t="shared" si="68"/>
        <v>0.21751351351351356</v>
      </c>
    </row>
    <row r="90" spans="1:26" s="24" customFormat="1" hidden="1" outlineLevel="2" x14ac:dyDescent="0.25">
      <c r="A90" s="25"/>
      <c r="B90" s="11" t="str">
        <f>CONCATENATE("          ", "6247", " - ", "STORE SUPPLIES")</f>
        <v xml:space="preserve">          6247 - STORE SUPPLIES</v>
      </c>
      <c r="C90" s="11"/>
      <c r="D90" s="7"/>
      <c r="E90" s="2"/>
      <c r="F90" s="6">
        <f t="shared" si="61"/>
        <v>0</v>
      </c>
      <c r="G90" s="2"/>
      <c r="H90" s="7">
        <v>12</v>
      </c>
      <c r="I90" s="2"/>
      <c r="J90" s="6">
        <f t="shared" si="62"/>
        <v>1.9969779067677583E-5</v>
      </c>
      <c r="K90" s="2"/>
      <c r="L90" s="7">
        <f t="shared" si="63"/>
        <v>-12</v>
      </c>
      <c r="M90" s="2"/>
      <c r="N90" s="6">
        <f t="shared" si="64"/>
        <v>-1</v>
      </c>
      <c r="O90" s="11"/>
      <c r="P90" s="7">
        <v>667.78</v>
      </c>
      <c r="Q90" s="2"/>
      <c r="R90" s="6">
        <f t="shared" si="65"/>
        <v>9.9116807175751671E-5</v>
      </c>
      <c r="S90" s="2"/>
      <c r="T90" s="7">
        <v>121</v>
      </c>
      <c r="U90" s="2"/>
      <c r="V90" s="6">
        <f t="shared" si="66"/>
        <v>1.8195819803638533E-5</v>
      </c>
      <c r="W90" s="2"/>
      <c r="X90" s="7">
        <f t="shared" si="67"/>
        <v>546.78</v>
      </c>
      <c r="Y90" s="2"/>
      <c r="Z90" s="6">
        <f t="shared" si="68"/>
        <v>4.5188429752066117</v>
      </c>
    </row>
    <row r="91" spans="1:26" s="24" customFormat="1" hidden="1" outlineLevel="2" x14ac:dyDescent="0.25">
      <c r="A91" s="25"/>
      <c r="B91" s="11" t="str">
        <f>CONCATENATE("          ", "6248", " - ", "UNIFORMS")</f>
        <v xml:space="preserve">          6248 - UNIFORMS</v>
      </c>
      <c r="C91" s="11"/>
      <c r="D91" s="7">
        <v>2189.0100000000002</v>
      </c>
      <c r="E91" s="2"/>
      <c r="F91" s="6">
        <f t="shared" si="61"/>
        <v>3.3729526336530231E-3</v>
      </c>
      <c r="G91" s="2"/>
      <c r="H91" s="7">
        <v>4875</v>
      </c>
      <c r="I91" s="2"/>
      <c r="J91" s="6">
        <f t="shared" si="62"/>
        <v>8.1127227462440173E-3</v>
      </c>
      <c r="K91" s="2"/>
      <c r="L91" s="7">
        <f t="shared" si="63"/>
        <v>-2685.99</v>
      </c>
      <c r="M91" s="2"/>
      <c r="N91" s="6">
        <f t="shared" si="64"/>
        <v>-0.55097230769230765</v>
      </c>
      <c r="O91" s="11"/>
      <c r="P91" s="7">
        <v>-1696.34</v>
      </c>
      <c r="Q91" s="2"/>
      <c r="R91" s="6">
        <f t="shared" si="65"/>
        <v>-2.5178322903428465E-4</v>
      </c>
      <c r="S91" s="2"/>
      <c r="T91" s="7">
        <v>15125</v>
      </c>
      <c r="U91" s="2"/>
      <c r="V91" s="6">
        <f t="shared" si="66"/>
        <v>2.2744774754548166E-3</v>
      </c>
      <c r="W91" s="2"/>
      <c r="X91" s="7">
        <f t="shared" si="67"/>
        <v>-16821.34</v>
      </c>
      <c r="Y91" s="2"/>
      <c r="Z91" s="6">
        <f t="shared" si="68"/>
        <v>-1.1121547107438017</v>
      </c>
    </row>
    <row r="92" spans="1:26" s="27" customFormat="1" outlineLevel="1" collapsed="1" x14ac:dyDescent="0.25">
      <c r="A92" s="26"/>
      <c r="B92" s="13" t="str">
        <f>CONCATENATE("     ","Telephone/Data Lines                              ")</f>
        <v xml:space="preserve">     Telephone/Data Lines                              </v>
      </c>
      <c r="C92" s="13"/>
      <c r="D92" s="1">
        <f>SUM(OSRRefD22_15x_0)</f>
        <v>741.15</v>
      </c>
      <c r="E92" s="1"/>
      <c r="F92" s="5">
        <f t="shared" ref="F92:F98" si="69">IF(D$12=0,0,D92/D$12)</f>
        <v>1.1420065894774067E-3</v>
      </c>
      <c r="G92" s="1"/>
      <c r="H92" s="1">
        <f>SUM(OSRRefH22_15x_0)</f>
        <v>793</v>
      </c>
      <c r="I92" s="1"/>
      <c r="J92" s="5">
        <f t="shared" ref="J92:J98" si="70">IF(H$12=0,0,H92/H$12)</f>
        <v>1.3196695667223601E-3</v>
      </c>
      <c r="K92" s="1"/>
      <c r="L92" s="1">
        <f t="shared" ref="L92:L98" si="71">+D92-H92</f>
        <v>-51.850000000000023</v>
      </c>
      <c r="M92" s="1"/>
      <c r="N92" s="5">
        <f t="shared" ref="N92:N98" si="72">IF(H92=0,0,L92/H92)</f>
        <v>-6.5384615384615416E-2</v>
      </c>
      <c r="O92" s="13"/>
      <c r="P92" s="1">
        <f>SUM(OSRRefP22_15x_0)</f>
        <v>4432.2</v>
      </c>
      <c r="Q92" s="1"/>
      <c r="R92" s="5">
        <f t="shared" ref="R92:R98" si="73">IF(P$12=0,0,P92/P$12)</f>
        <v>6.5785964354183495E-4</v>
      </c>
      <c r="S92" s="1"/>
      <c r="T92" s="1">
        <f>SUM(OSRRefT22_15x_0)</f>
        <v>5551</v>
      </c>
      <c r="U92" s="1"/>
      <c r="V92" s="5">
        <f t="shared" ref="V92:V98" si="74">IF(T$12=0,0,T92/T$12)</f>
        <v>8.3475203082642553E-4</v>
      </c>
      <c r="W92" s="1"/>
      <c r="X92" s="1">
        <f t="shared" ref="X92:X98" si="75">+P92-T92</f>
        <v>-1118.8000000000002</v>
      </c>
      <c r="Y92" s="1"/>
      <c r="Z92" s="5">
        <f t="shared" ref="Z92:Z98" si="76">IF(T92=0,0,X92/T92)</f>
        <v>-0.20154927040172946</v>
      </c>
    </row>
    <row r="93" spans="1:26" s="24" customFormat="1" hidden="1" outlineLevel="2" x14ac:dyDescent="0.25">
      <c r="A93" s="25"/>
      <c r="B93" s="11" t="str">
        <f>CONCATENATE("          ", "6309", " - ", "TELEPHONE")</f>
        <v xml:space="preserve">          6309 - TELEPHONE</v>
      </c>
      <c r="C93" s="11"/>
      <c r="D93" s="7">
        <v>741.15</v>
      </c>
      <c r="E93" s="2"/>
      <c r="F93" s="6">
        <f t="shared" si="69"/>
        <v>1.1420065894774067E-3</v>
      </c>
      <c r="G93" s="2"/>
      <c r="H93" s="7">
        <v>793</v>
      </c>
      <c r="I93" s="2"/>
      <c r="J93" s="6">
        <f t="shared" si="70"/>
        <v>1.3196695667223601E-3</v>
      </c>
      <c r="K93" s="2"/>
      <c r="L93" s="7">
        <f t="shared" si="71"/>
        <v>-51.850000000000023</v>
      </c>
      <c r="M93" s="2"/>
      <c r="N93" s="6">
        <f t="shared" si="72"/>
        <v>-6.5384615384615416E-2</v>
      </c>
      <c r="O93" s="11"/>
      <c r="P93" s="7">
        <v>4432.2</v>
      </c>
      <c r="Q93" s="2"/>
      <c r="R93" s="6">
        <f t="shared" si="73"/>
        <v>6.5785964354183495E-4</v>
      </c>
      <c r="S93" s="2"/>
      <c r="T93" s="7">
        <v>5551</v>
      </c>
      <c r="U93" s="2"/>
      <c r="V93" s="6">
        <f t="shared" si="74"/>
        <v>8.3475203082642553E-4</v>
      </c>
      <c r="W93" s="2"/>
      <c r="X93" s="7">
        <f t="shared" si="75"/>
        <v>-1118.8000000000002</v>
      </c>
      <c r="Y93" s="2"/>
      <c r="Z93" s="6">
        <f t="shared" si="76"/>
        <v>-0.20154927040172946</v>
      </c>
    </row>
    <row r="94" spans="1:26" s="27" customFormat="1" outlineLevel="1" collapsed="1" x14ac:dyDescent="0.25">
      <c r="A94" s="26"/>
      <c r="B94" s="13" t="str">
        <f>CONCATENATE("     ","Training                                          ")</f>
        <v xml:space="preserve">     Training                                          </v>
      </c>
      <c r="C94" s="13"/>
      <c r="D94" s="1">
        <f>SUM(OSRRefD22_16x_0)</f>
        <v>273.32</v>
      </c>
      <c r="E94" s="1"/>
      <c r="F94" s="5">
        <f t="shared" si="69"/>
        <v>4.2114719157520711E-4</v>
      </c>
      <c r="G94" s="1"/>
      <c r="H94" s="1">
        <f>SUM(OSRRefH22_16x_0)</f>
        <v>4379</v>
      </c>
      <c r="I94" s="1"/>
      <c r="J94" s="5">
        <f t="shared" si="70"/>
        <v>7.287305211446677E-3</v>
      </c>
      <c r="K94" s="1"/>
      <c r="L94" s="1">
        <f t="shared" si="71"/>
        <v>-4105.68</v>
      </c>
      <c r="M94" s="1"/>
      <c r="N94" s="5">
        <f t="shared" si="72"/>
        <v>-0.93758392327015305</v>
      </c>
      <c r="O94" s="13"/>
      <c r="P94" s="1">
        <f>SUM(OSRRefP22_16x_0)</f>
        <v>6034.69</v>
      </c>
      <c r="Q94" s="1"/>
      <c r="R94" s="5">
        <f t="shared" si="73"/>
        <v>8.9571296698828481E-4</v>
      </c>
      <c r="S94" s="1"/>
      <c r="T94" s="1">
        <f>SUM(OSRRefT22_16x_0)</f>
        <v>13137</v>
      </c>
      <c r="U94" s="1"/>
      <c r="V94" s="5">
        <f t="shared" si="74"/>
        <v>1.9755246674413173E-3</v>
      </c>
      <c r="W94" s="1"/>
      <c r="X94" s="1">
        <f t="shared" si="75"/>
        <v>-7102.31</v>
      </c>
      <c r="Y94" s="1"/>
      <c r="Z94" s="5">
        <f t="shared" si="76"/>
        <v>-0.54063408693004489</v>
      </c>
    </row>
    <row r="95" spans="1:26" s="24" customFormat="1" hidden="1" outlineLevel="2" x14ac:dyDescent="0.25">
      <c r="A95" s="25"/>
      <c r="B95" s="11" t="str">
        <f>CONCATENATE("          ", "6376", " - ", "TRAINING")</f>
        <v xml:space="preserve">          6376 - TRAINING</v>
      </c>
      <c r="C95" s="11"/>
      <c r="D95" s="7">
        <v>273.32</v>
      </c>
      <c r="E95" s="2"/>
      <c r="F95" s="6">
        <f t="shared" si="69"/>
        <v>4.2114719157520711E-4</v>
      </c>
      <c r="G95" s="2"/>
      <c r="H95" s="7">
        <v>4379</v>
      </c>
      <c r="I95" s="2"/>
      <c r="J95" s="6">
        <f t="shared" si="70"/>
        <v>7.287305211446677E-3</v>
      </c>
      <c r="K95" s="2"/>
      <c r="L95" s="7">
        <f t="shared" si="71"/>
        <v>-4105.68</v>
      </c>
      <c r="M95" s="2"/>
      <c r="N95" s="6">
        <f t="shared" si="72"/>
        <v>-0.93758392327015305</v>
      </c>
      <c r="O95" s="11"/>
      <c r="P95" s="7">
        <v>6034.69</v>
      </c>
      <c r="Q95" s="2"/>
      <c r="R95" s="6">
        <f t="shared" si="73"/>
        <v>8.9571296698828481E-4</v>
      </c>
      <c r="S95" s="2"/>
      <c r="T95" s="7">
        <v>13137</v>
      </c>
      <c r="U95" s="2"/>
      <c r="V95" s="6">
        <f t="shared" si="74"/>
        <v>1.9755246674413173E-3</v>
      </c>
      <c r="W95" s="2"/>
      <c r="X95" s="7">
        <f t="shared" si="75"/>
        <v>-7102.31</v>
      </c>
      <c r="Y95" s="2"/>
      <c r="Z95" s="6">
        <f t="shared" si="76"/>
        <v>-0.54063408693004489</v>
      </c>
    </row>
    <row r="96" spans="1:26" s="27" customFormat="1" outlineLevel="1" collapsed="1" x14ac:dyDescent="0.25">
      <c r="A96" s="26"/>
      <c r="B96" s="13" t="str">
        <f>CONCATENATE("     ","Travel                                            ")</f>
        <v xml:space="preserve">     Travel                                            </v>
      </c>
      <c r="C96" s="13"/>
      <c r="D96" s="1">
        <f>SUM(OSRRefD22_17x_0)</f>
        <v>154.97999999999999</v>
      </c>
      <c r="E96" s="1"/>
      <c r="F96" s="5">
        <f t="shared" si="69"/>
        <v>2.3880210650638664E-4</v>
      </c>
      <c r="G96" s="1"/>
      <c r="H96" s="1">
        <f>SUM(OSRRefH22_17x_0)</f>
        <v>410</v>
      </c>
      <c r="I96" s="1"/>
      <c r="J96" s="5">
        <f t="shared" si="70"/>
        <v>6.823007848123174E-4</v>
      </c>
      <c r="K96" s="1"/>
      <c r="L96" s="1">
        <f t="shared" si="71"/>
        <v>-255.02</v>
      </c>
      <c r="M96" s="1"/>
      <c r="N96" s="5">
        <f t="shared" si="72"/>
        <v>-0.622</v>
      </c>
      <c r="O96" s="13"/>
      <c r="P96" s="1">
        <f>SUM(OSRRefP22_17x_0)</f>
        <v>1894.26</v>
      </c>
      <c r="Q96" s="1"/>
      <c r="R96" s="5">
        <f t="shared" si="73"/>
        <v>2.8115996759522504E-4</v>
      </c>
      <c r="S96" s="1"/>
      <c r="T96" s="1">
        <f>SUM(OSRRefT22_17x_0)</f>
        <v>2870</v>
      </c>
      <c r="U96" s="1"/>
      <c r="V96" s="5">
        <f t="shared" si="74"/>
        <v>4.3158680030117843E-4</v>
      </c>
      <c r="W96" s="1"/>
      <c r="X96" s="1">
        <f t="shared" si="75"/>
        <v>-975.74</v>
      </c>
      <c r="Y96" s="1"/>
      <c r="Z96" s="5">
        <f t="shared" si="76"/>
        <v>-0.33997909407665505</v>
      </c>
    </row>
    <row r="97" spans="1:26" s="24" customFormat="1" hidden="1" outlineLevel="2" x14ac:dyDescent="0.25">
      <c r="A97" s="25"/>
      <c r="B97" s="11" t="str">
        <f>CONCATENATE("          ", "6292", " - ", "TRAVEL/CONFERENCE")</f>
        <v xml:space="preserve">          6292 - TRAVEL/CONFERENCE</v>
      </c>
      <c r="C97" s="11"/>
      <c r="D97" s="7">
        <v>154.97999999999999</v>
      </c>
      <c r="E97" s="2"/>
      <c r="F97" s="6">
        <f t="shared" si="69"/>
        <v>2.3880210650638664E-4</v>
      </c>
      <c r="G97" s="2"/>
      <c r="H97" s="7">
        <v>300</v>
      </c>
      <c r="I97" s="2"/>
      <c r="J97" s="6">
        <f t="shared" si="70"/>
        <v>4.9924447669193954E-4</v>
      </c>
      <c r="K97" s="2"/>
      <c r="L97" s="7">
        <f t="shared" si="71"/>
        <v>-145.02000000000001</v>
      </c>
      <c r="M97" s="2"/>
      <c r="N97" s="6">
        <f t="shared" si="72"/>
        <v>-0.48340000000000005</v>
      </c>
      <c r="O97" s="11"/>
      <c r="P97" s="7">
        <v>1894.26</v>
      </c>
      <c r="Q97" s="2"/>
      <c r="R97" s="6">
        <f t="shared" si="73"/>
        <v>2.8115996759522504E-4</v>
      </c>
      <c r="S97" s="2"/>
      <c r="T97" s="7">
        <v>2100</v>
      </c>
      <c r="U97" s="2"/>
      <c r="V97" s="6">
        <f t="shared" si="74"/>
        <v>3.1579521973256955E-4</v>
      </c>
      <c r="W97" s="2"/>
      <c r="X97" s="7">
        <f t="shared" si="75"/>
        <v>-205.74</v>
      </c>
      <c r="Y97" s="2"/>
      <c r="Z97" s="6">
        <f t="shared" si="76"/>
        <v>-9.797142857142857E-2</v>
      </c>
    </row>
    <row r="98" spans="1:26" s="24" customFormat="1" hidden="1" outlineLevel="2" x14ac:dyDescent="0.25">
      <c r="A98" s="25"/>
      <c r="B98" s="11" t="str">
        <f>CONCATENATE("          ", "6298", " - ", "VEHICLE MILEAGE")</f>
        <v xml:space="preserve">          6298 - VEHICLE MILEAGE</v>
      </c>
      <c r="C98" s="11"/>
      <c r="D98" s="7"/>
      <c r="E98" s="2"/>
      <c r="F98" s="6">
        <f t="shared" si="69"/>
        <v>0</v>
      </c>
      <c r="G98" s="2"/>
      <c r="H98" s="7">
        <v>110</v>
      </c>
      <c r="I98" s="2"/>
      <c r="J98" s="6">
        <f t="shared" si="70"/>
        <v>1.8305630812037784E-4</v>
      </c>
      <c r="K98" s="2"/>
      <c r="L98" s="7">
        <f t="shared" si="71"/>
        <v>-110</v>
      </c>
      <c r="M98" s="2"/>
      <c r="N98" s="6">
        <f t="shared" si="72"/>
        <v>-1</v>
      </c>
      <c r="O98" s="11"/>
      <c r="P98" s="7"/>
      <c r="Q98" s="2"/>
      <c r="R98" s="6">
        <f t="shared" si="73"/>
        <v>0</v>
      </c>
      <c r="S98" s="2"/>
      <c r="T98" s="7">
        <v>770</v>
      </c>
      <c r="U98" s="2"/>
      <c r="V98" s="6">
        <f t="shared" si="74"/>
        <v>1.1579158056860884E-4</v>
      </c>
      <c r="W98" s="2"/>
      <c r="X98" s="7">
        <f t="shared" si="75"/>
        <v>-770</v>
      </c>
      <c r="Y98" s="2"/>
      <c r="Z98" s="6">
        <f t="shared" si="76"/>
        <v>-1</v>
      </c>
    </row>
    <row r="99" spans="1:26" s="53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8" t="s">
        <v>0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9" t="s">
        <v>3</v>
      </c>
      <c r="C102" s="29"/>
      <c r="D102" s="21">
        <f>+D25-D27+D100</f>
        <v>87778.689999999886</v>
      </c>
      <c r="E102" s="14"/>
      <c r="F102" s="20">
        <f>IF(D$12=0,0,D102/D$12)</f>
        <v>0.13525445914550954</v>
      </c>
      <c r="G102" s="14"/>
      <c r="H102" s="21">
        <f>+H25-H27+H100</f>
        <v>25061.770549637848</v>
      </c>
      <c r="I102" s="14"/>
      <c r="J102" s="20">
        <f>IF(H$12=0,0,H102/H$12)</f>
        <v>4.1706501743424697E-2</v>
      </c>
      <c r="K102" s="16"/>
      <c r="L102" s="21">
        <f>+D102-H102</f>
        <v>62716.919450362038</v>
      </c>
      <c r="M102" s="16"/>
      <c r="N102" s="20">
        <f>IF(H102=0,0,L102/H102)</f>
        <v>2.5024935619031243</v>
      </c>
      <c r="O102" s="28"/>
      <c r="P102" s="21">
        <f>+P25-P27+P100</f>
        <v>1767531.4100000001</v>
      </c>
      <c r="Q102" s="14"/>
      <c r="R102" s="20">
        <f>IF(P$12=0,0,P102/P$12)</f>
        <v>0.26234998044573737</v>
      </c>
      <c r="S102" s="14"/>
      <c r="T102" s="21">
        <f>+T25-T27+T100</f>
        <v>1566935.5222599381</v>
      </c>
      <c r="U102" s="14"/>
      <c r="V102" s="20">
        <f>IF(T$12=0,0,T102/T$12)</f>
        <v>0.2356336893137361</v>
      </c>
      <c r="W102" s="16"/>
      <c r="X102" s="21">
        <f>+P102-T102</f>
        <v>200595.88774006208</v>
      </c>
      <c r="Y102" s="16"/>
      <c r="Z102" s="20">
        <f>IF(T102=0,0,X102/T102)</f>
        <v>0.12801795918874148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>
        <v>45020.5</v>
      </c>
      <c r="E104" s="4"/>
      <c r="F104" s="12">
        <f>IF(D$12=0,0,D104/D$12)</f>
        <v>6.9370178319594661E-2</v>
      </c>
      <c r="G104" s="4"/>
      <c r="H104" s="4">
        <v>39564</v>
      </c>
      <c r="I104" s="4"/>
      <c r="J104" s="12">
        <f>IF(H$12=0,0,H104/H$12)</f>
        <v>6.5840361586132989E-2</v>
      </c>
      <c r="K104" s="4"/>
      <c r="L104" s="4">
        <f>+D104-H104</f>
        <v>5456.5</v>
      </c>
      <c r="M104" s="4"/>
      <c r="N104" s="12">
        <f>IF(H104=0,0,L104/H104)</f>
        <v>0.13791578202406227</v>
      </c>
      <c r="O104" s="10"/>
      <c r="P104" s="4">
        <v>702605.32</v>
      </c>
      <c r="Q104" s="4"/>
      <c r="R104" s="12">
        <f>IF(P$12=0,0,P104/P$12)</f>
        <v>0.10428583668737802</v>
      </c>
      <c r="S104" s="4"/>
      <c r="T104" s="4">
        <v>818761</v>
      </c>
      <c r="U104" s="4"/>
      <c r="V104" s="12">
        <f>IF(T$12=0,0,T104/T$12)</f>
        <v>0.12312419519212305</v>
      </c>
      <c r="W104" s="4"/>
      <c r="X104" s="4">
        <f>+P104-T104</f>
        <v>-116155.68000000005</v>
      </c>
      <c r="Y104" s="4"/>
      <c r="Z104" s="12">
        <f>IF(T104=0,0,X104/T104)</f>
        <v>-0.14186762681661688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9" t="s">
        <v>4</v>
      </c>
      <c r="C106" s="29"/>
      <c r="D106" s="34">
        <f>+D102-D104</f>
        <v>42758.189999999886</v>
      </c>
      <c r="E106" s="14"/>
      <c r="F106" s="32">
        <f>IF(D$12=0,0,D106/D$12)</f>
        <v>6.5884280825914895E-2</v>
      </c>
      <c r="G106" s="14"/>
      <c r="H106" s="34">
        <f>+H102-H104</f>
        <v>-14502.229450362152</v>
      </c>
      <c r="I106" s="14"/>
      <c r="J106" s="32">
        <f>IF(H$12=0,0,H106/H$12)</f>
        <v>-2.4133859842708289E-2</v>
      </c>
      <c r="K106" s="16"/>
      <c r="L106" s="34">
        <f>D106-H106</f>
        <v>57260.419450362038</v>
      </c>
      <c r="M106" s="16"/>
      <c r="N106" s="32">
        <f>IF(H106=0,0,L106/H106)</f>
        <v>-3.9483873597746806</v>
      </c>
      <c r="O106" s="28"/>
      <c r="P106" s="34">
        <f>+P102-P104</f>
        <v>1064926.0900000003</v>
      </c>
      <c r="Q106" s="14"/>
      <c r="R106" s="32">
        <f>IF(P$12=0,0,P106/P$12)</f>
        <v>0.15806414375835934</v>
      </c>
      <c r="S106" s="14"/>
      <c r="T106" s="34">
        <f>+T102-T104</f>
        <v>748174.52225993806</v>
      </c>
      <c r="U106" s="14"/>
      <c r="V106" s="32">
        <f>IF(T$12=0,0,T106/T$12)</f>
        <v>0.11250949412161305</v>
      </c>
      <c r="W106" s="16"/>
      <c r="X106" s="34">
        <f>P106-T106</f>
        <v>316751.56774006225</v>
      </c>
      <c r="Y106" s="16"/>
      <c r="Z106" s="32">
        <f>IF(T106=0,0,X106/T106)</f>
        <v>0.42336588364875294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9" t="s">
        <v>5</v>
      </c>
      <c r="C109" s="29"/>
      <c r="D109" s="31">
        <f>SUM(D106:D108)</f>
        <v>42758.189999999886</v>
      </c>
      <c r="E109" s="14"/>
      <c r="F109" s="30">
        <f>IF(D$12=0,0,D109/D$12)</f>
        <v>6.5884280825914895E-2</v>
      </c>
      <c r="G109" s="14"/>
      <c r="H109" s="31">
        <f>SUM(H106:H108)</f>
        <v>-14502.229450362152</v>
      </c>
      <c r="I109" s="14"/>
      <c r="J109" s="30">
        <f>IF(H$12=0,0,H109/H$12)</f>
        <v>-2.4133859842708289E-2</v>
      </c>
      <c r="K109" s="16"/>
      <c r="L109" s="31">
        <f>+D109-H109</f>
        <v>57260.419450362038</v>
      </c>
      <c r="M109" s="16"/>
      <c r="N109" s="30">
        <f>IF(H109=0,0,L109/H109)</f>
        <v>-3.9483873597746806</v>
      </c>
      <c r="O109" s="28"/>
      <c r="P109" s="31">
        <f>SUM(P106:P108)</f>
        <v>1064926.0900000003</v>
      </c>
      <c r="Q109" s="14"/>
      <c r="R109" s="30">
        <f>IF(P$12=0,0,P109/P$12)</f>
        <v>0.15806414375835934</v>
      </c>
      <c r="S109" s="14"/>
      <c r="T109" s="31">
        <f>SUM(T106:T108)</f>
        <v>748174.52225993806</v>
      </c>
      <c r="U109" s="14"/>
      <c r="V109" s="30">
        <f>IF(T$12=0,0,T109/T$12)</f>
        <v>0.11250949412161305</v>
      </c>
      <c r="W109" s="16"/>
      <c r="X109" s="31">
        <f>+P109-T109</f>
        <v>316751.56774006225</v>
      </c>
      <c r="Y109" s="16"/>
      <c r="Z109" s="30">
        <f>IF(T109=0,0,X109/T109)</f>
        <v>0.42336588364875294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63">
        <v>43879.545882141203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7" t="s">
        <v>314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60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","430", " - ", "Res Hall Management")</f>
        <v>Department 430 - Res Hall Management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15835.96</v>
      </c>
      <c r="E18" s="22"/>
      <c r="F18" s="35">
        <f t="shared" ref="F18:F28" si="0">IF(D$12=0,0,D18/D$12)</f>
        <v>0</v>
      </c>
      <c r="G18" s="22"/>
      <c r="H18" s="22">
        <f>SUM(OSRRefH22x_0)</f>
        <v>16159.563479525001</v>
      </c>
      <c r="I18" s="22"/>
      <c r="J18" s="35">
        <f t="shared" ref="J18:J28" si="1">IF(H$12=0,0,H18/H$12)</f>
        <v>0</v>
      </c>
      <c r="K18" s="4"/>
      <c r="L18" s="22">
        <f t="shared" ref="L18:L28" si="2">+D18-H18</f>
        <v>-323.6034795250016</v>
      </c>
      <c r="M18" s="4"/>
      <c r="N18" s="35">
        <f t="shared" ref="N18:N28" si="3">IF(H18=0,0,L18/H18)</f>
        <v>-2.0025508729553484E-2</v>
      </c>
      <c r="O18" s="10"/>
      <c r="P18" s="22">
        <f>SUM(OSRRefP22x_0)</f>
        <v>108367.76</v>
      </c>
      <c r="Q18" s="22"/>
      <c r="R18" s="35">
        <f t="shared" ref="R18:R28" si="4">IF(P$12=0,0,P18/P$12)</f>
        <v>0</v>
      </c>
      <c r="S18" s="22"/>
      <c r="T18" s="22">
        <f>SUM(OSRRefT22x_0)</f>
        <v>102210.893573055</v>
      </c>
      <c r="U18" s="22"/>
      <c r="V18" s="35">
        <f t="shared" ref="V18:V28" si="5">IF(T$12=0,0,T18/T$12)</f>
        <v>0</v>
      </c>
      <c r="W18" s="4"/>
      <c r="X18" s="22">
        <f t="shared" ref="X18:X28" si="6">+P18-T18</f>
        <v>6156.8664269449946</v>
      </c>
      <c r="Y18" s="4"/>
      <c r="Z18" s="35">
        <f t="shared" ref="Z18:Z28" si="7">IF(T18=0,0,X18/T18)</f>
        <v>6.0236890723828658E-2</v>
      </c>
    </row>
    <row r="19" spans="1:26" s="27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5846.9699999999993</v>
      </c>
      <c r="E19" s="1"/>
      <c r="F19" s="5">
        <f t="shared" si="0"/>
        <v>0</v>
      </c>
      <c r="G19" s="1"/>
      <c r="H19" s="1">
        <f>SUM(OSRRefH22_0x_0)</f>
        <v>5071.4002295250002</v>
      </c>
      <c r="I19" s="1"/>
      <c r="J19" s="5">
        <f t="shared" si="1"/>
        <v>0</v>
      </c>
      <c r="K19" s="1"/>
      <c r="L19" s="1">
        <f t="shared" si="2"/>
        <v>775.56977047499913</v>
      </c>
      <c r="M19" s="1"/>
      <c r="N19" s="5">
        <f t="shared" si="3"/>
        <v>0.1529301051728747</v>
      </c>
      <c r="O19" s="13"/>
      <c r="P19" s="1">
        <f>SUM(OSRRefP22_0x_0)</f>
        <v>41257.519999999997</v>
      </c>
      <c r="Q19" s="1"/>
      <c r="R19" s="5">
        <f t="shared" si="4"/>
        <v>0</v>
      </c>
      <c r="S19" s="1"/>
      <c r="T19" s="1">
        <f>SUM(OSRRefT22_0x_0)</f>
        <v>33024.281423054999</v>
      </c>
      <c r="U19" s="1"/>
      <c r="V19" s="5">
        <f t="shared" si="5"/>
        <v>0</v>
      </c>
      <c r="W19" s="1"/>
      <c r="X19" s="1">
        <f t="shared" si="6"/>
        <v>8233.2385769449975</v>
      </c>
      <c r="Y19" s="1"/>
      <c r="Z19" s="5">
        <f t="shared" si="7"/>
        <v>0.24930863662024111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7">
        <v>623.1</v>
      </c>
      <c r="E20" s="2"/>
      <c r="F20" s="6">
        <f t="shared" si="0"/>
        <v>0</v>
      </c>
      <c r="G20" s="2"/>
      <c r="H20" s="7">
        <v>779.17431502500006</v>
      </c>
      <c r="I20" s="2"/>
      <c r="J20" s="6">
        <f t="shared" si="1"/>
        <v>0</v>
      </c>
      <c r="K20" s="2"/>
      <c r="L20" s="7">
        <f t="shared" si="2"/>
        <v>-156.07431502500003</v>
      </c>
      <c r="M20" s="2"/>
      <c r="N20" s="6">
        <f t="shared" si="3"/>
        <v>-0.20030731508390692</v>
      </c>
      <c r="O20" s="11"/>
      <c r="P20" s="7">
        <v>5538.64</v>
      </c>
      <c r="Q20" s="2"/>
      <c r="R20" s="6">
        <f t="shared" si="4"/>
        <v>0</v>
      </c>
      <c r="S20" s="2"/>
      <c r="T20" s="7">
        <v>4830.8807531550001</v>
      </c>
      <c r="U20" s="2"/>
      <c r="V20" s="6">
        <f t="shared" si="5"/>
        <v>0</v>
      </c>
      <c r="W20" s="2"/>
      <c r="X20" s="7">
        <f t="shared" si="6"/>
        <v>707.75924684500023</v>
      </c>
      <c r="Y20" s="2"/>
      <c r="Z20" s="6">
        <f t="shared" si="7"/>
        <v>0.14650728987312919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7">
        <v>316.02999999999997</v>
      </c>
      <c r="E21" s="2"/>
      <c r="F21" s="6">
        <f t="shared" si="0"/>
        <v>0</v>
      </c>
      <c r="G21" s="2"/>
      <c r="H21" s="7">
        <v>395.03414900000001</v>
      </c>
      <c r="I21" s="2"/>
      <c r="J21" s="6">
        <f t="shared" si="1"/>
        <v>0</v>
      </c>
      <c r="K21" s="2"/>
      <c r="L21" s="7">
        <f t="shared" si="2"/>
        <v>-79.004149000000041</v>
      </c>
      <c r="M21" s="2"/>
      <c r="N21" s="6">
        <f t="shared" si="3"/>
        <v>-0.19999321375124973</v>
      </c>
      <c r="O21" s="11"/>
      <c r="P21" s="7">
        <v>2218.7800000000002</v>
      </c>
      <c r="Q21" s="2"/>
      <c r="R21" s="6">
        <f t="shared" si="4"/>
        <v>0</v>
      </c>
      <c r="S21" s="2"/>
      <c r="T21" s="7">
        <v>2449.2117238000001</v>
      </c>
      <c r="U21" s="2"/>
      <c r="V21" s="6">
        <f t="shared" si="5"/>
        <v>0</v>
      </c>
      <c r="W21" s="2"/>
      <c r="X21" s="7">
        <f t="shared" si="6"/>
        <v>-230.43172379999987</v>
      </c>
      <c r="Y21" s="2"/>
      <c r="Z21" s="6">
        <f t="shared" si="7"/>
        <v>-9.4084035920945427E-2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7">
        <v>2737.9</v>
      </c>
      <c r="E22" s="2"/>
      <c r="F22" s="6">
        <f t="shared" si="0"/>
        <v>0</v>
      </c>
      <c r="G22" s="2"/>
      <c r="H22" s="7">
        <v>1977</v>
      </c>
      <c r="I22" s="2"/>
      <c r="J22" s="6">
        <f t="shared" si="1"/>
        <v>0</v>
      </c>
      <c r="K22" s="2"/>
      <c r="L22" s="7">
        <f t="shared" si="2"/>
        <v>760.90000000000009</v>
      </c>
      <c r="M22" s="2"/>
      <c r="N22" s="6">
        <f t="shared" si="3"/>
        <v>0.38487607486090042</v>
      </c>
      <c r="O22" s="11"/>
      <c r="P22" s="7">
        <v>19121.5</v>
      </c>
      <c r="Q22" s="2"/>
      <c r="R22" s="6">
        <f t="shared" si="4"/>
        <v>0</v>
      </c>
      <c r="S22" s="2"/>
      <c r="T22" s="7">
        <v>13839</v>
      </c>
      <c r="U22" s="2"/>
      <c r="V22" s="6">
        <f t="shared" si="5"/>
        <v>0</v>
      </c>
      <c r="W22" s="2"/>
      <c r="X22" s="7">
        <f t="shared" si="6"/>
        <v>5282.5</v>
      </c>
      <c r="Y22" s="2"/>
      <c r="Z22" s="6">
        <f t="shared" si="7"/>
        <v>0.38171110629380733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21.18</v>
      </c>
      <c r="E23" s="2"/>
      <c r="F23" s="6">
        <f t="shared" si="0"/>
        <v>0</v>
      </c>
      <c r="G23" s="2"/>
      <c r="H23" s="7">
        <v>26.471360499999999</v>
      </c>
      <c r="I23" s="2"/>
      <c r="J23" s="6">
        <f t="shared" si="1"/>
        <v>0</v>
      </c>
      <c r="K23" s="2"/>
      <c r="L23" s="7">
        <f t="shared" si="2"/>
        <v>-5.2913604999999997</v>
      </c>
      <c r="M23" s="2"/>
      <c r="N23" s="6">
        <f t="shared" si="3"/>
        <v>-0.19989000943113597</v>
      </c>
      <c r="O23" s="11"/>
      <c r="P23" s="7">
        <v>187.75</v>
      </c>
      <c r="Q23" s="2"/>
      <c r="R23" s="6">
        <f t="shared" si="4"/>
        <v>0</v>
      </c>
      <c r="S23" s="2"/>
      <c r="T23" s="7">
        <v>164.12243509999999</v>
      </c>
      <c r="U23" s="2"/>
      <c r="V23" s="6">
        <f t="shared" si="5"/>
        <v>0</v>
      </c>
      <c r="W23" s="2"/>
      <c r="X23" s="7">
        <f t="shared" si="6"/>
        <v>23.62756490000001</v>
      </c>
      <c r="Y23" s="2"/>
      <c r="Z23" s="6">
        <f t="shared" si="7"/>
        <v>0.14396304128441495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7">
        <v>853.4</v>
      </c>
      <c r="E24" s="2"/>
      <c r="F24" s="6">
        <f t="shared" si="0"/>
        <v>0</v>
      </c>
      <c r="G24" s="2"/>
      <c r="H24" s="7">
        <v>875.59115499999996</v>
      </c>
      <c r="I24" s="2"/>
      <c r="J24" s="6">
        <f t="shared" si="1"/>
        <v>0</v>
      </c>
      <c r="K24" s="2"/>
      <c r="L24" s="7">
        <f t="shared" si="2"/>
        <v>-22.191154999999981</v>
      </c>
      <c r="M24" s="2"/>
      <c r="N24" s="6">
        <f t="shared" si="3"/>
        <v>-2.5344197315469663E-2</v>
      </c>
      <c r="O24" s="11"/>
      <c r="P24" s="7">
        <v>4266.9799999999996</v>
      </c>
      <c r="Q24" s="2"/>
      <c r="R24" s="6">
        <f t="shared" si="4"/>
        <v>0</v>
      </c>
      <c r="S24" s="2"/>
      <c r="T24" s="7">
        <v>5428.6651609999999</v>
      </c>
      <c r="U24" s="2"/>
      <c r="V24" s="6">
        <f t="shared" si="5"/>
        <v>0</v>
      </c>
      <c r="W24" s="2"/>
      <c r="X24" s="7">
        <f t="shared" si="6"/>
        <v>-1161.6851610000003</v>
      </c>
      <c r="Y24" s="2"/>
      <c r="Z24" s="6">
        <f t="shared" si="7"/>
        <v>-0.21399094004648639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7">
        <v>752.4</v>
      </c>
      <c r="E26" s="2"/>
      <c r="F26" s="6">
        <f t="shared" si="0"/>
        <v>0</v>
      </c>
      <c r="G26" s="2"/>
      <c r="H26" s="7">
        <v>712.69047499999999</v>
      </c>
      <c r="I26" s="2"/>
      <c r="J26" s="6">
        <f t="shared" si="1"/>
        <v>0</v>
      </c>
      <c r="K26" s="2"/>
      <c r="L26" s="7">
        <f t="shared" si="2"/>
        <v>39.709524999999985</v>
      </c>
      <c r="M26" s="2"/>
      <c r="N26" s="6">
        <f t="shared" si="3"/>
        <v>5.5717771449099257E-2</v>
      </c>
      <c r="O26" s="11"/>
      <c r="P26" s="7">
        <v>5983.45</v>
      </c>
      <c r="Q26" s="2"/>
      <c r="R26" s="6">
        <f t="shared" si="4"/>
        <v>0</v>
      </c>
      <c r="S26" s="2"/>
      <c r="T26" s="7">
        <v>4418.6809450000001</v>
      </c>
      <c r="U26" s="2"/>
      <c r="V26" s="6">
        <f t="shared" si="5"/>
        <v>0</v>
      </c>
      <c r="W26" s="2"/>
      <c r="X26" s="7">
        <f t="shared" si="6"/>
        <v>1564.7690549999998</v>
      </c>
      <c r="Y26" s="2"/>
      <c r="Z26" s="6">
        <f t="shared" si="7"/>
        <v>0.35412582951268046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7">
        <v>375.68</v>
      </c>
      <c r="E27" s="2"/>
      <c r="F27" s="6">
        <f t="shared" si="0"/>
        <v>0</v>
      </c>
      <c r="G27" s="2"/>
      <c r="H27" s="7">
        <v>305.43877500000002</v>
      </c>
      <c r="I27" s="2"/>
      <c r="J27" s="6">
        <f t="shared" si="1"/>
        <v>0</v>
      </c>
      <c r="K27" s="2"/>
      <c r="L27" s="7">
        <f t="shared" si="2"/>
        <v>70.241224999999986</v>
      </c>
      <c r="M27" s="2"/>
      <c r="N27" s="6">
        <f t="shared" si="3"/>
        <v>0.22996826450734678</v>
      </c>
      <c r="O27" s="11"/>
      <c r="P27" s="7">
        <v>3048.1</v>
      </c>
      <c r="Q27" s="2"/>
      <c r="R27" s="6">
        <f t="shared" si="4"/>
        <v>0</v>
      </c>
      <c r="S27" s="2"/>
      <c r="T27" s="7">
        <v>1893.7204049999998</v>
      </c>
      <c r="U27" s="2"/>
      <c r="V27" s="6">
        <f t="shared" si="5"/>
        <v>0</v>
      </c>
      <c r="W27" s="2"/>
      <c r="X27" s="7">
        <f t="shared" si="6"/>
        <v>1154.3795950000001</v>
      </c>
      <c r="Y27" s="2"/>
      <c r="Z27" s="6">
        <f t="shared" si="7"/>
        <v>0.60958290989107244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7">
        <v>167.28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167.28</v>
      </c>
      <c r="M28" s="2"/>
      <c r="N28" s="6">
        <f t="shared" si="3"/>
        <v>0</v>
      </c>
      <c r="O28" s="11"/>
      <c r="P28" s="7">
        <v>892.32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892.32</v>
      </c>
      <c r="Y28" s="2"/>
      <c r="Z28" s="6">
        <f t="shared" si="7"/>
        <v>0</v>
      </c>
    </row>
    <row r="29" spans="1:26" s="27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8552.0400000000009</v>
      </c>
      <c r="E29" s="1"/>
      <c r="F29" s="5">
        <f t="shared" ref="F29:F39" si="8">IF(D$12=0,0,D29/D$12)</f>
        <v>0</v>
      </c>
      <c r="G29" s="1"/>
      <c r="H29" s="1">
        <f>SUM(OSRRefH22_1x_0)</f>
        <v>9163.1632499999996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-611.12324999999873</v>
      </c>
      <c r="M29" s="1"/>
      <c r="N29" s="5">
        <f t="shared" ref="N29:N39" si="11">IF(H29=0,0,L29/H29)</f>
        <v>-6.6693480551053022E-2</v>
      </c>
      <c r="O29" s="13"/>
      <c r="P29" s="1">
        <f>SUM(OSRRefP22_1x_0)</f>
        <v>54164.28</v>
      </c>
      <c r="Q29" s="1"/>
      <c r="R29" s="5">
        <f t="shared" ref="R29:R39" si="12">IF(P$12=0,0,P29/P$12)</f>
        <v>0</v>
      </c>
      <c r="S29" s="1"/>
      <c r="T29" s="1">
        <f>SUM(OSRRefT22_1x_0)</f>
        <v>56811.612150000001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-2647.332150000002</v>
      </c>
      <c r="Y29" s="1"/>
      <c r="Z29" s="5">
        <f t="shared" ref="Z29:Z39" si="15">IF(T29=0,0,X29/T29)</f>
        <v>-4.6598433837966732E-2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7">
        <v>8552.0400000000009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8552.0400000000009</v>
      </c>
      <c r="M30" s="2"/>
      <c r="N30" s="6">
        <f t="shared" si="11"/>
        <v>0</v>
      </c>
      <c r="O30" s="11"/>
      <c r="P30" s="7">
        <v>54164.28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54164.28</v>
      </c>
      <c r="Y30" s="2"/>
      <c r="Z30" s="6">
        <f t="shared" si="15"/>
        <v>0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9163.1632499999996</v>
      </c>
      <c r="I31" s="2"/>
      <c r="J31" s="6">
        <f t="shared" si="9"/>
        <v>0</v>
      </c>
      <c r="K31" s="2"/>
      <c r="L31" s="7">
        <f t="shared" si="10"/>
        <v>-9163.1632499999996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56811.612150000001</v>
      </c>
      <c r="U31" s="2"/>
      <c r="V31" s="6">
        <f t="shared" si="13"/>
        <v>0</v>
      </c>
      <c r="W31" s="2"/>
      <c r="X31" s="7">
        <f t="shared" si="14"/>
        <v>-56811.612150000001</v>
      </c>
      <c r="Y31" s="2"/>
      <c r="Z31" s="6">
        <f t="shared" si="15"/>
        <v>-1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7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3" si="16">IF(D$12=0,0,D40/D$12)</f>
        <v>0</v>
      </c>
      <c r="G40" s="1"/>
      <c r="H40" s="1">
        <f>SUM(OSRRefH22_2x_0)</f>
        <v>125</v>
      </c>
      <c r="I40" s="1"/>
      <c r="J40" s="5">
        <f t="shared" ref="J40:J53" si="17">IF(H$12=0,0,H40/H$12)</f>
        <v>0</v>
      </c>
      <c r="K40" s="1"/>
      <c r="L40" s="1">
        <f t="shared" ref="L40:L53" si="18">+D40-H40</f>
        <v>-125</v>
      </c>
      <c r="M40" s="1"/>
      <c r="N40" s="5">
        <f t="shared" ref="N40:N53" si="19">IF(H40=0,0,L40/H40)</f>
        <v>-1</v>
      </c>
      <c r="O40" s="13"/>
      <c r="P40" s="1">
        <f>SUM(OSRRefP22_2x_0)</f>
        <v>0</v>
      </c>
      <c r="Q40" s="1"/>
      <c r="R40" s="5">
        <f t="shared" ref="R40:R53" si="20">IF(P$12=0,0,P40/P$12)</f>
        <v>0</v>
      </c>
      <c r="S40" s="1"/>
      <c r="T40" s="1">
        <f>SUM(OSRRefT22_2x_0)</f>
        <v>875</v>
      </c>
      <c r="U40" s="1"/>
      <c r="V40" s="5">
        <f t="shared" ref="V40:V53" si="21">IF(T$12=0,0,T40/T$12)</f>
        <v>0</v>
      </c>
      <c r="W40" s="1"/>
      <c r="X40" s="1">
        <f t="shared" ref="X40:X53" si="22">+P40-T40</f>
        <v>-875</v>
      </c>
      <c r="Y40" s="1"/>
      <c r="Z40" s="5">
        <f t="shared" ref="Z40:Z53" si="23">IF(T40=0,0,X40/T40)</f>
        <v>-1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>
        <v>125</v>
      </c>
      <c r="I41" s="2"/>
      <c r="J41" s="6">
        <f t="shared" si="17"/>
        <v>0</v>
      </c>
      <c r="K41" s="2"/>
      <c r="L41" s="7">
        <f t="shared" si="18"/>
        <v>-125</v>
      </c>
      <c r="M41" s="2"/>
      <c r="N41" s="6">
        <f t="shared" si="19"/>
        <v>-1</v>
      </c>
      <c r="O41" s="11"/>
      <c r="P41" s="7"/>
      <c r="Q41" s="2"/>
      <c r="R41" s="6">
        <f t="shared" si="20"/>
        <v>0</v>
      </c>
      <c r="S41" s="2"/>
      <c r="T41" s="7">
        <v>875</v>
      </c>
      <c r="U41" s="2"/>
      <c r="V41" s="6">
        <f t="shared" si="21"/>
        <v>0</v>
      </c>
      <c r="W41" s="2"/>
      <c r="X41" s="7">
        <f t="shared" si="22"/>
        <v>-875</v>
      </c>
      <c r="Y41" s="2"/>
      <c r="Z41" s="6">
        <f t="shared" si="23"/>
        <v>-1</v>
      </c>
    </row>
    <row r="42" spans="1:26" s="27" customFormat="1" outlineLevel="1" collapsed="1" x14ac:dyDescent="0.25">
      <c r="A42" s="26"/>
      <c r="B42" s="13" t="str">
        <f>CONCATENATE("     ","Donations                                         ")</f>
        <v xml:space="preserve">     Donations              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100</v>
      </c>
      <c r="I42" s="1"/>
      <c r="J42" s="5">
        <f t="shared" si="17"/>
        <v>0</v>
      </c>
      <c r="K42" s="1"/>
      <c r="L42" s="1">
        <f t="shared" si="18"/>
        <v>-100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700</v>
      </c>
      <c r="U42" s="1"/>
      <c r="V42" s="5">
        <f t="shared" si="21"/>
        <v>0</v>
      </c>
      <c r="W42" s="1"/>
      <c r="X42" s="1">
        <f t="shared" si="22"/>
        <v>-700</v>
      </c>
      <c r="Y42" s="1"/>
      <c r="Z42" s="5">
        <f t="shared" si="23"/>
        <v>-1</v>
      </c>
    </row>
    <row r="43" spans="1:26" s="24" customFormat="1" hidden="1" outlineLevel="2" x14ac:dyDescent="0.25">
      <c r="A43" s="25"/>
      <c r="B43" s="11" t="str">
        <f>CONCATENATE("          ", "6396", " - ", "COUPONS-CHARTROOM")</f>
        <v xml:space="preserve">          6396 - COUPONS-CHARTROOM</v>
      </c>
      <c r="C43" s="11"/>
      <c r="D43" s="7"/>
      <c r="E43" s="2"/>
      <c r="F43" s="6">
        <f t="shared" si="16"/>
        <v>0</v>
      </c>
      <c r="G43" s="2"/>
      <c r="H43" s="7">
        <v>100</v>
      </c>
      <c r="I43" s="2"/>
      <c r="J43" s="6">
        <f t="shared" si="17"/>
        <v>0</v>
      </c>
      <c r="K43" s="2"/>
      <c r="L43" s="7">
        <f t="shared" si="18"/>
        <v>-100</v>
      </c>
      <c r="M43" s="2"/>
      <c r="N43" s="6">
        <f t="shared" si="19"/>
        <v>-1</v>
      </c>
      <c r="O43" s="11"/>
      <c r="P43" s="7"/>
      <c r="Q43" s="2"/>
      <c r="R43" s="6">
        <f t="shared" si="20"/>
        <v>0</v>
      </c>
      <c r="S43" s="2"/>
      <c r="T43" s="7">
        <v>700</v>
      </c>
      <c r="U43" s="2"/>
      <c r="V43" s="6">
        <f t="shared" si="21"/>
        <v>0</v>
      </c>
      <c r="W43" s="2"/>
      <c r="X43" s="7">
        <f t="shared" si="22"/>
        <v>-700</v>
      </c>
      <c r="Y43" s="2"/>
      <c r="Z43" s="6">
        <f t="shared" si="23"/>
        <v>-1</v>
      </c>
    </row>
    <row r="44" spans="1:26" s="27" customFormat="1" outlineLevel="1" collapsed="1" x14ac:dyDescent="0.25">
      <c r="A44" s="26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300</v>
      </c>
      <c r="I44" s="1"/>
      <c r="J44" s="5">
        <f t="shared" si="17"/>
        <v>0</v>
      </c>
      <c r="K44" s="1"/>
      <c r="L44" s="1">
        <f t="shared" si="18"/>
        <v>-300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2100</v>
      </c>
      <c r="U44" s="1"/>
      <c r="V44" s="5">
        <f t="shared" si="21"/>
        <v>0</v>
      </c>
      <c r="W44" s="1"/>
      <c r="X44" s="1">
        <f t="shared" si="22"/>
        <v>-2100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>
        <v>300</v>
      </c>
      <c r="I45" s="2"/>
      <c r="J45" s="6">
        <f t="shared" si="17"/>
        <v>0</v>
      </c>
      <c r="K45" s="2"/>
      <c r="L45" s="7">
        <f t="shared" si="18"/>
        <v>-300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2100</v>
      </c>
      <c r="U45" s="2"/>
      <c r="V45" s="6">
        <f t="shared" si="21"/>
        <v>0</v>
      </c>
      <c r="W45" s="2"/>
      <c r="X45" s="7">
        <f t="shared" si="22"/>
        <v>-2100</v>
      </c>
      <c r="Y45" s="2"/>
      <c r="Z45" s="6">
        <f t="shared" si="23"/>
        <v>-1</v>
      </c>
    </row>
    <row r="46" spans="1:26" s="27" customFormat="1" outlineLevel="1" collapsed="1" x14ac:dyDescent="0.25">
      <c r="A46" s="26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200</v>
      </c>
      <c r="I46" s="1"/>
      <c r="J46" s="5">
        <f t="shared" si="17"/>
        <v>0</v>
      </c>
      <c r="K46" s="1"/>
      <c r="L46" s="1">
        <f t="shared" si="18"/>
        <v>-200</v>
      </c>
      <c r="M46" s="1"/>
      <c r="N46" s="5">
        <f t="shared" si="19"/>
        <v>-1</v>
      </c>
      <c r="O46" s="13"/>
      <c r="P46" s="1">
        <f>SUM(OSRRefP22_5x_0)</f>
        <v>214.55</v>
      </c>
      <c r="Q46" s="1"/>
      <c r="R46" s="5">
        <f t="shared" si="20"/>
        <v>0</v>
      </c>
      <c r="S46" s="1"/>
      <c r="T46" s="1">
        <f>SUM(OSRRefT22_5x_0)</f>
        <v>1400</v>
      </c>
      <c r="U46" s="1"/>
      <c r="V46" s="5">
        <f t="shared" si="21"/>
        <v>0</v>
      </c>
      <c r="W46" s="1"/>
      <c r="X46" s="1">
        <f t="shared" si="22"/>
        <v>-1185.45</v>
      </c>
      <c r="Y46" s="1"/>
      <c r="Z46" s="5">
        <f t="shared" si="23"/>
        <v>-0.84675</v>
      </c>
    </row>
    <row r="47" spans="1:26" s="24" customFormat="1" hidden="1" outlineLevel="2" x14ac:dyDescent="0.25">
      <c r="A47" s="25"/>
      <c r="B47" s="11" t="str">
        <f>CONCATENATE("          ", "6279", " - ", "GENERAL EXPENSE")</f>
        <v xml:space="preserve">          6279 - GENERAL EXPENSE</v>
      </c>
      <c r="C47" s="11"/>
      <c r="D47" s="7"/>
      <c r="E47" s="2"/>
      <c r="F47" s="6">
        <f t="shared" si="16"/>
        <v>0</v>
      </c>
      <c r="G47" s="2"/>
      <c r="H47" s="7">
        <v>200</v>
      </c>
      <c r="I47" s="2"/>
      <c r="J47" s="6">
        <f t="shared" si="17"/>
        <v>0</v>
      </c>
      <c r="K47" s="2"/>
      <c r="L47" s="7">
        <f t="shared" si="18"/>
        <v>-200</v>
      </c>
      <c r="M47" s="2"/>
      <c r="N47" s="6">
        <f t="shared" si="19"/>
        <v>-1</v>
      </c>
      <c r="O47" s="11"/>
      <c r="P47" s="7">
        <v>214.55</v>
      </c>
      <c r="Q47" s="2"/>
      <c r="R47" s="6">
        <f t="shared" si="20"/>
        <v>0</v>
      </c>
      <c r="S47" s="2"/>
      <c r="T47" s="7">
        <v>1400</v>
      </c>
      <c r="U47" s="2"/>
      <c r="V47" s="6">
        <f t="shared" si="21"/>
        <v>0</v>
      </c>
      <c r="W47" s="2"/>
      <c r="X47" s="7">
        <f t="shared" si="22"/>
        <v>-1185.45</v>
      </c>
      <c r="Y47" s="2"/>
      <c r="Z47" s="6">
        <f t="shared" si="23"/>
        <v>-0.84675</v>
      </c>
    </row>
    <row r="48" spans="1:26" s="27" customFormat="1" outlineLevel="1" collapsed="1" x14ac:dyDescent="0.25">
      <c r="A48" s="26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6340.43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6340.43</v>
      </c>
      <c r="Y48" s="1"/>
      <c r="Z48" s="5">
        <f t="shared" si="23"/>
        <v>0</v>
      </c>
    </row>
    <row r="49" spans="1:26" s="24" customFormat="1" hidden="1" outlineLevel="2" x14ac:dyDescent="0.25">
      <c r="A49" s="25"/>
      <c r="B49" s="11" t="str">
        <f>CONCATENATE("          ", "6371", " - ", "COMPUTER SOFTWARE MAINTENANCE")</f>
        <v xml:space="preserve">          6371 - COMPUTER SOFTWARE MAINTENANCE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>
        <v>6340.43</v>
      </c>
      <c r="Q49" s="2"/>
      <c r="R49" s="6">
        <f t="shared" si="20"/>
        <v>0</v>
      </c>
      <c r="S49" s="2"/>
      <c r="T49" s="7">
        <v>0</v>
      </c>
      <c r="U49" s="2"/>
      <c r="V49" s="6">
        <f t="shared" si="21"/>
        <v>0</v>
      </c>
      <c r="W49" s="2"/>
      <c r="X49" s="7">
        <f t="shared" si="22"/>
        <v>6340.43</v>
      </c>
      <c r="Y49" s="2"/>
      <c r="Z49" s="6">
        <f t="shared" si="23"/>
        <v>0</v>
      </c>
    </row>
    <row r="50" spans="1:26" s="27" customFormat="1" outlineLevel="1" collapsed="1" x14ac:dyDescent="0.25">
      <c r="A50" s="26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1231.97</v>
      </c>
      <c r="E50" s="1"/>
      <c r="F50" s="5">
        <f t="shared" si="16"/>
        <v>0</v>
      </c>
      <c r="G50" s="1"/>
      <c r="H50" s="1">
        <f>SUM(OSRRefH22_7x_0)</f>
        <v>500</v>
      </c>
      <c r="I50" s="1"/>
      <c r="J50" s="5">
        <f t="shared" si="17"/>
        <v>0</v>
      </c>
      <c r="K50" s="1"/>
      <c r="L50" s="1">
        <f t="shared" si="18"/>
        <v>731.97</v>
      </c>
      <c r="M50" s="1"/>
      <c r="N50" s="5">
        <f t="shared" si="19"/>
        <v>1.46394</v>
      </c>
      <c r="O50" s="13"/>
      <c r="P50" s="1">
        <f>SUM(OSRRefP22_7x_0)</f>
        <v>3665.01</v>
      </c>
      <c r="Q50" s="1"/>
      <c r="R50" s="5">
        <f t="shared" si="20"/>
        <v>0</v>
      </c>
      <c r="S50" s="1"/>
      <c r="T50" s="1">
        <f>SUM(OSRRefT22_7x_0)</f>
        <v>2400</v>
      </c>
      <c r="U50" s="1"/>
      <c r="V50" s="5">
        <f t="shared" si="21"/>
        <v>0</v>
      </c>
      <c r="W50" s="1"/>
      <c r="X50" s="1">
        <f t="shared" si="22"/>
        <v>1265.0100000000002</v>
      </c>
      <c r="Y50" s="1"/>
      <c r="Z50" s="5">
        <f t="shared" si="23"/>
        <v>0.52708750000000004</v>
      </c>
    </row>
    <row r="51" spans="1:26" s="24" customFormat="1" hidden="1" outlineLevel="2" x14ac:dyDescent="0.25">
      <c r="A51" s="25"/>
      <c r="B51" s="11" t="str">
        <f>CONCATENATE("          ", "6234", " - ", "EXPENDABLE SUPPLIES &amp; EQUIPMEN")</f>
        <v xml:space="preserve">          6234 - EXPENDABLE SUPPLIES &amp; EQUIPMEN</v>
      </c>
      <c r="C51" s="11"/>
      <c r="D51" s="7"/>
      <c r="E51" s="2"/>
      <c r="F51" s="6">
        <f t="shared" si="16"/>
        <v>0</v>
      </c>
      <c r="G51" s="2"/>
      <c r="H51" s="7">
        <v>200</v>
      </c>
      <c r="I51" s="2"/>
      <c r="J51" s="6">
        <f t="shared" si="17"/>
        <v>0</v>
      </c>
      <c r="K51" s="2"/>
      <c r="L51" s="7">
        <f t="shared" si="18"/>
        <v>-200</v>
      </c>
      <c r="M51" s="2"/>
      <c r="N51" s="6">
        <f t="shared" si="19"/>
        <v>-1</v>
      </c>
      <c r="O51" s="11"/>
      <c r="P51" s="7"/>
      <c r="Q51" s="2"/>
      <c r="R51" s="6">
        <f t="shared" si="20"/>
        <v>0</v>
      </c>
      <c r="S51" s="2"/>
      <c r="T51" s="7">
        <v>800</v>
      </c>
      <c r="U51" s="2"/>
      <c r="V51" s="6">
        <f t="shared" si="21"/>
        <v>0</v>
      </c>
      <c r="W51" s="2"/>
      <c r="X51" s="7">
        <f t="shared" si="22"/>
        <v>-800</v>
      </c>
      <c r="Y51" s="2"/>
      <c r="Z51" s="6">
        <f t="shared" si="23"/>
        <v>-1</v>
      </c>
    </row>
    <row r="52" spans="1:26" s="24" customFormat="1" hidden="1" outlineLevel="2" x14ac:dyDescent="0.25">
      <c r="A52" s="25"/>
      <c r="B52" s="11" t="str">
        <f>CONCATENATE("          ", "6239", " - ", "KITCHEN SUPPLIES")</f>
        <v xml:space="preserve">          6239 - KITCHEN SUPPLIES</v>
      </c>
      <c r="C52" s="11"/>
      <c r="D52" s="7"/>
      <c r="E52" s="2"/>
      <c r="F52" s="6">
        <f t="shared" si="16"/>
        <v>0</v>
      </c>
      <c r="G52" s="2"/>
      <c r="H52" s="7">
        <v>100</v>
      </c>
      <c r="I52" s="2"/>
      <c r="J52" s="6">
        <f t="shared" si="17"/>
        <v>0</v>
      </c>
      <c r="K52" s="2"/>
      <c r="L52" s="7">
        <f t="shared" si="18"/>
        <v>-100</v>
      </c>
      <c r="M52" s="2"/>
      <c r="N52" s="6">
        <f t="shared" si="19"/>
        <v>-1</v>
      </c>
      <c r="O52" s="11"/>
      <c r="P52" s="7"/>
      <c r="Q52" s="2"/>
      <c r="R52" s="6">
        <f t="shared" si="20"/>
        <v>0</v>
      </c>
      <c r="S52" s="2"/>
      <c r="T52" s="7">
        <v>700</v>
      </c>
      <c r="U52" s="2"/>
      <c r="V52" s="6">
        <f t="shared" si="21"/>
        <v>0</v>
      </c>
      <c r="W52" s="2"/>
      <c r="X52" s="7">
        <f t="shared" si="22"/>
        <v>-700</v>
      </c>
      <c r="Y52" s="2"/>
      <c r="Z52" s="6">
        <f t="shared" si="23"/>
        <v>-1</v>
      </c>
    </row>
    <row r="53" spans="1:26" s="24" customFormat="1" hidden="1" outlineLevel="2" x14ac:dyDescent="0.25">
      <c r="A53" s="25"/>
      <c r="B53" s="11" t="str">
        <f>CONCATENATE("          ", "6241", " - ", "OFFICE EXPENSE")</f>
        <v xml:space="preserve">          6241 - OFFICE EXPENSE</v>
      </c>
      <c r="C53" s="11"/>
      <c r="D53" s="7">
        <v>1231.97</v>
      </c>
      <c r="E53" s="2"/>
      <c r="F53" s="6">
        <f t="shared" si="16"/>
        <v>0</v>
      </c>
      <c r="G53" s="2"/>
      <c r="H53" s="7">
        <v>200</v>
      </c>
      <c r="I53" s="2"/>
      <c r="J53" s="6">
        <f t="shared" si="17"/>
        <v>0</v>
      </c>
      <c r="K53" s="2"/>
      <c r="L53" s="7">
        <f t="shared" si="18"/>
        <v>1031.97</v>
      </c>
      <c r="M53" s="2"/>
      <c r="N53" s="6">
        <f t="shared" si="19"/>
        <v>5.1598500000000005</v>
      </c>
      <c r="O53" s="11"/>
      <c r="P53" s="7">
        <v>3665.01</v>
      </c>
      <c r="Q53" s="2"/>
      <c r="R53" s="6">
        <f t="shared" si="20"/>
        <v>0</v>
      </c>
      <c r="S53" s="2"/>
      <c r="T53" s="7">
        <v>900</v>
      </c>
      <c r="U53" s="2"/>
      <c r="V53" s="6">
        <f t="shared" si="21"/>
        <v>0</v>
      </c>
      <c r="W53" s="2"/>
      <c r="X53" s="7">
        <f t="shared" si="22"/>
        <v>2765.01</v>
      </c>
      <c r="Y53" s="2"/>
      <c r="Z53" s="6">
        <f t="shared" si="23"/>
        <v>3.0722333333333336</v>
      </c>
    </row>
    <row r="54" spans="1:26" s="27" customFormat="1" outlineLevel="1" collapsed="1" x14ac:dyDescent="0.25">
      <c r="A54" s="26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50</v>
      </c>
      <c r="E54" s="1"/>
      <c r="F54" s="5">
        <f t="shared" ref="F54:F59" si="24">IF(D$12=0,0,D54/D$12)</f>
        <v>0</v>
      </c>
      <c r="G54" s="1"/>
      <c r="H54" s="1">
        <f>SUM(OSRRefH22_8x_0)</f>
        <v>100</v>
      </c>
      <c r="I54" s="1"/>
      <c r="J54" s="5">
        <f t="shared" ref="J54:J59" si="25">IF(H$12=0,0,H54/H$12)</f>
        <v>0</v>
      </c>
      <c r="K54" s="1"/>
      <c r="L54" s="1">
        <f t="shared" ref="L54:L59" si="26">+D54-H54</f>
        <v>-50</v>
      </c>
      <c r="M54" s="1"/>
      <c r="N54" s="5">
        <f t="shared" ref="N54:N59" si="27">IF(H54=0,0,L54/H54)</f>
        <v>-0.5</v>
      </c>
      <c r="O54" s="13"/>
      <c r="P54" s="1">
        <f>SUM(OSRRefP22_8x_0)</f>
        <v>-550</v>
      </c>
      <c r="Q54" s="1"/>
      <c r="R54" s="5">
        <f t="shared" ref="R54:R59" si="28">IF(P$12=0,0,P54/P$12)</f>
        <v>0</v>
      </c>
      <c r="S54" s="1"/>
      <c r="T54" s="1">
        <f>SUM(OSRRefT22_8x_0)</f>
        <v>700</v>
      </c>
      <c r="U54" s="1"/>
      <c r="V54" s="5">
        <f t="shared" ref="V54:V59" si="29">IF(T$12=0,0,T54/T$12)</f>
        <v>0</v>
      </c>
      <c r="W54" s="1"/>
      <c r="X54" s="1">
        <f t="shared" ref="X54:X59" si="30">+P54-T54</f>
        <v>-1250</v>
      </c>
      <c r="Y54" s="1"/>
      <c r="Z54" s="5">
        <f t="shared" ref="Z54:Z59" si="31">IF(T54=0,0,X54/T54)</f>
        <v>-1.7857142857142858</v>
      </c>
    </row>
    <row r="55" spans="1:26" s="24" customFormat="1" hidden="1" outlineLevel="2" x14ac:dyDescent="0.25">
      <c r="A55" s="25"/>
      <c r="B55" s="11" t="str">
        <f>CONCATENATE("          ", "6309", " - ", "TELEPHONE")</f>
        <v xml:space="preserve">          6309 - TELEPHONE</v>
      </c>
      <c r="C55" s="11"/>
      <c r="D55" s="7">
        <v>50</v>
      </c>
      <c r="E55" s="2"/>
      <c r="F55" s="6">
        <f t="shared" si="24"/>
        <v>0</v>
      </c>
      <c r="G55" s="2"/>
      <c r="H55" s="7">
        <v>100</v>
      </c>
      <c r="I55" s="2"/>
      <c r="J55" s="6">
        <f t="shared" si="25"/>
        <v>0</v>
      </c>
      <c r="K55" s="2"/>
      <c r="L55" s="7">
        <f t="shared" si="26"/>
        <v>-50</v>
      </c>
      <c r="M55" s="2"/>
      <c r="N55" s="6">
        <f t="shared" si="27"/>
        <v>-0.5</v>
      </c>
      <c r="O55" s="11"/>
      <c r="P55" s="7">
        <v>-550</v>
      </c>
      <c r="Q55" s="2"/>
      <c r="R55" s="6">
        <f t="shared" si="28"/>
        <v>0</v>
      </c>
      <c r="S55" s="2"/>
      <c r="T55" s="7">
        <v>700</v>
      </c>
      <c r="U55" s="2"/>
      <c r="V55" s="6">
        <f t="shared" si="29"/>
        <v>0</v>
      </c>
      <c r="W55" s="2"/>
      <c r="X55" s="7">
        <f t="shared" si="30"/>
        <v>-1250</v>
      </c>
      <c r="Y55" s="2"/>
      <c r="Z55" s="6">
        <f t="shared" si="31"/>
        <v>-1.7857142857142858</v>
      </c>
    </row>
    <row r="56" spans="1:26" s="27" customFormat="1" outlineLevel="1" collapsed="1" x14ac:dyDescent="0.25">
      <c r="A56" s="26"/>
      <c r="B56" s="13" t="str">
        <f>CONCATENATE("     ","Training                                          ")</f>
        <v xml:space="preserve">     Training                                          </v>
      </c>
      <c r="C56" s="13"/>
      <c r="D56" s="1">
        <f>SUM(OSRRefD22_9x_0)</f>
        <v>0</v>
      </c>
      <c r="E56" s="1"/>
      <c r="F56" s="5">
        <f t="shared" si="24"/>
        <v>0</v>
      </c>
      <c r="G56" s="1"/>
      <c r="H56" s="1">
        <f>SUM(OSRRefH22_9x_0)</f>
        <v>300</v>
      </c>
      <c r="I56" s="1"/>
      <c r="J56" s="5">
        <f t="shared" si="25"/>
        <v>0</v>
      </c>
      <c r="K56" s="1"/>
      <c r="L56" s="1">
        <f t="shared" si="26"/>
        <v>-300</v>
      </c>
      <c r="M56" s="1"/>
      <c r="N56" s="5">
        <f t="shared" si="27"/>
        <v>-1</v>
      </c>
      <c r="O56" s="13"/>
      <c r="P56" s="1">
        <f>SUM(OSRRefP22_9x_0)</f>
        <v>2950.22</v>
      </c>
      <c r="Q56" s="1"/>
      <c r="R56" s="5">
        <f t="shared" si="28"/>
        <v>0</v>
      </c>
      <c r="S56" s="1"/>
      <c r="T56" s="1">
        <f>SUM(OSRRefT22_9x_0)</f>
        <v>2100</v>
      </c>
      <c r="U56" s="1"/>
      <c r="V56" s="5">
        <f t="shared" si="29"/>
        <v>0</v>
      </c>
      <c r="W56" s="1"/>
      <c r="X56" s="1">
        <f t="shared" si="30"/>
        <v>850.2199999999998</v>
      </c>
      <c r="Y56" s="1"/>
      <c r="Z56" s="5">
        <f t="shared" si="31"/>
        <v>0.4048666666666666</v>
      </c>
    </row>
    <row r="57" spans="1:26" s="24" customFormat="1" hidden="1" outlineLevel="2" x14ac:dyDescent="0.25">
      <c r="A57" s="25"/>
      <c r="B57" s="11" t="str">
        <f>CONCATENATE("          ", "6376", " - ", "TRAINING")</f>
        <v xml:space="preserve">          6376 - TRAINING</v>
      </c>
      <c r="C57" s="11"/>
      <c r="D57" s="7"/>
      <c r="E57" s="2"/>
      <c r="F57" s="6">
        <f t="shared" si="24"/>
        <v>0</v>
      </c>
      <c r="G57" s="2"/>
      <c r="H57" s="7">
        <v>300</v>
      </c>
      <c r="I57" s="2"/>
      <c r="J57" s="6">
        <f t="shared" si="25"/>
        <v>0</v>
      </c>
      <c r="K57" s="2"/>
      <c r="L57" s="7">
        <f t="shared" si="26"/>
        <v>-300</v>
      </c>
      <c r="M57" s="2"/>
      <c r="N57" s="6">
        <f t="shared" si="27"/>
        <v>-1</v>
      </c>
      <c r="O57" s="11"/>
      <c r="P57" s="7">
        <v>2950.22</v>
      </c>
      <c r="Q57" s="2"/>
      <c r="R57" s="6">
        <f t="shared" si="28"/>
        <v>0</v>
      </c>
      <c r="S57" s="2"/>
      <c r="T57" s="7">
        <v>2100</v>
      </c>
      <c r="U57" s="2"/>
      <c r="V57" s="6">
        <f t="shared" si="29"/>
        <v>0</v>
      </c>
      <c r="W57" s="2"/>
      <c r="X57" s="7">
        <f t="shared" si="30"/>
        <v>850.2199999999998</v>
      </c>
      <c r="Y57" s="2"/>
      <c r="Z57" s="6">
        <f t="shared" si="31"/>
        <v>0.4048666666666666</v>
      </c>
    </row>
    <row r="58" spans="1:26" s="27" customFormat="1" outlineLevel="1" collapsed="1" x14ac:dyDescent="0.25">
      <c r="A58" s="26"/>
      <c r="B58" s="13" t="str">
        <f>CONCATENATE("     ","Travel                                            ")</f>
        <v xml:space="preserve">     Travel                                            </v>
      </c>
      <c r="C58" s="13"/>
      <c r="D58" s="1">
        <f>SUM(OSRRefD22_10x_0)</f>
        <v>154.97999999999999</v>
      </c>
      <c r="E58" s="1"/>
      <c r="F58" s="5">
        <f t="shared" si="24"/>
        <v>0</v>
      </c>
      <c r="G58" s="1"/>
      <c r="H58" s="1">
        <f>SUM(OSRRefH22_10x_0)</f>
        <v>300</v>
      </c>
      <c r="I58" s="1"/>
      <c r="J58" s="5">
        <f t="shared" si="25"/>
        <v>0</v>
      </c>
      <c r="K58" s="1"/>
      <c r="L58" s="1">
        <f t="shared" si="26"/>
        <v>-145.02000000000001</v>
      </c>
      <c r="M58" s="1"/>
      <c r="N58" s="5">
        <f t="shared" si="27"/>
        <v>-0.48340000000000005</v>
      </c>
      <c r="O58" s="13"/>
      <c r="P58" s="1">
        <f>SUM(OSRRefP22_10x_0)</f>
        <v>325.75</v>
      </c>
      <c r="Q58" s="1"/>
      <c r="R58" s="5">
        <f t="shared" si="28"/>
        <v>0</v>
      </c>
      <c r="S58" s="1"/>
      <c r="T58" s="1">
        <f>SUM(OSRRefT22_10x_0)</f>
        <v>2100</v>
      </c>
      <c r="U58" s="1"/>
      <c r="V58" s="5">
        <f t="shared" si="29"/>
        <v>0</v>
      </c>
      <c r="W58" s="1"/>
      <c r="X58" s="1">
        <f t="shared" si="30"/>
        <v>-1774.25</v>
      </c>
      <c r="Y58" s="1"/>
      <c r="Z58" s="5">
        <f t="shared" si="31"/>
        <v>-0.8448809523809524</v>
      </c>
    </row>
    <row r="59" spans="1:26" s="24" customFormat="1" hidden="1" outlineLevel="2" x14ac:dyDescent="0.25">
      <c r="A59" s="25"/>
      <c r="B59" s="11" t="str">
        <f>CONCATENATE("          ", "6292", " - ", "TRAVEL/CONFERENCE")</f>
        <v xml:space="preserve">          6292 - TRAVEL/CONFERENCE</v>
      </c>
      <c r="C59" s="11"/>
      <c r="D59" s="7">
        <v>154.97999999999999</v>
      </c>
      <c r="E59" s="2"/>
      <c r="F59" s="6">
        <f t="shared" si="24"/>
        <v>0</v>
      </c>
      <c r="G59" s="2"/>
      <c r="H59" s="7">
        <v>300</v>
      </c>
      <c r="I59" s="2"/>
      <c r="J59" s="6">
        <f t="shared" si="25"/>
        <v>0</v>
      </c>
      <c r="K59" s="2"/>
      <c r="L59" s="7">
        <f t="shared" si="26"/>
        <v>-145.02000000000001</v>
      </c>
      <c r="M59" s="2"/>
      <c r="N59" s="6">
        <f t="shared" si="27"/>
        <v>-0.48340000000000005</v>
      </c>
      <c r="O59" s="11"/>
      <c r="P59" s="7">
        <v>325.75</v>
      </c>
      <c r="Q59" s="2"/>
      <c r="R59" s="6">
        <f t="shared" si="28"/>
        <v>0</v>
      </c>
      <c r="S59" s="2"/>
      <c r="T59" s="7">
        <v>2100</v>
      </c>
      <c r="U59" s="2"/>
      <c r="V59" s="6">
        <f t="shared" si="29"/>
        <v>0</v>
      </c>
      <c r="W59" s="2"/>
      <c r="X59" s="7">
        <f t="shared" si="30"/>
        <v>-1774.25</v>
      </c>
      <c r="Y59" s="2"/>
      <c r="Z59" s="6">
        <f t="shared" si="31"/>
        <v>-0.8448809523809524</v>
      </c>
    </row>
    <row r="60" spans="1:26" s="53" customFormat="1" x14ac:dyDescent="0.25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8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9" t="s">
        <v>3</v>
      </c>
      <c r="C63" s="29"/>
      <c r="D63" s="21">
        <f>+D16-D18+D61</f>
        <v>-15835.96</v>
      </c>
      <c r="E63" s="14"/>
      <c r="F63" s="20">
        <f>IF(D$12=0,0,D63/D$12)</f>
        <v>0</v>
      </c>
      <c r="G63" s="14"/>
      <c r="H63" s="21">
        <f>+H16-H18+H61</f>
        <v>-16159.563479525001</v>
      </c>
      <c r="I63" s="14"/>
      <c r="J63" s="20">
        <f>IF(H$12=0,0,H63/H$12)</f>
        <v>0</v>
      </c>
      <c r="K63" s="16"/>
      <c r="L63" s="21">
        <f>+D63-H63</f>
        <v>323.6034795250016</v>
      </c>
      <c r="M63" s="16"/>
      <c r="N63" s="20">
        <f>IF(H63=0,0,L63/H63)</f>
        <v>-2.0025508729553484E-2</v>
      </c>
      <c r="O63" s="28"/>
      <c r="P63" s="21">
        <f>+P16-P18+P61</f>
        <v>-108367.76</v>
      </c>
      <c r="Q63" s="14"/>
      <c r="R63" s="20">
        <f>IF(P$12=0,0,P63/P$12)</f>
        <v>0</v>
      </c>
      <c r="S63" s="14"/>
      <c r="T63" s="21">
        <f>+T16-T18+T61</f>
        <v>-102210.893573055</v>
      </c>
      <c r="U63" s="14"/>
      <c r="V63" s="20">
        <f>IF(T$12=0,0,T63/T$12)</f>
        <v>0</v>
      </c>
      <c r="W63" s="16"/>
      <c r="X63" s="21">
        <f>+P63-T63</f>
        <v>-6156.8664269449946</v>
      </c>
      <c r="Y63" s="16"/>
      <c r="Z63" s="20">
        <f>IF(T63=0,0,X63/T63)</f>
        <v>6.0236890723828658E-2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2"/>
      <c r="B65" s="10" t="s">
        <v>14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9" t="s">
        <v>4</v>
      </c>
      <c r="C67" s="29"/>
      <c r="D67" s="34">
        <f>+D63-D65</f>
        <v>-15835.96</v>
      </c>
      <c r="E67" s="14"/>
      <c r="F67" s="32">
        <f>IF(D$12=0,0,D67/D$12)</f>
        <v>0</v>
      </c>
      <c r="G67" s="14"/>
      <c r="H67" s="34">
        <f>+H63-H65</f>
        <v>-16159.563479525001</v>
      </c>
      <c r="I67" s="14"/>
      <c r="J67" s="32">
        <f>IF(H$12=0,0,H67/H$12)</f>
        <v>0</v>
      </c>
      <c r="K67" s="16"/>
      <c r="L67" s="34">
        <f>D67-H67</f>
        <v>323.6034795250016</v>
      </c>
      <c r="M67" s="16"/>
      <c r="N67" s="32">
        <f>IF(H67=0,0,L67/H67)</f>
        <v>-2.0025508729553484E-2</v>
      </c>
      <c r="O67" s="28"/>
      <c r="P67" s="34">
        <f>+P63-P65</f>
        <v>-108367.76</v>
      </c>
      <c r="Q67" s="14"/>
      <c r="R67" s="32">
        <f>IF(P$12=0,0,P67/P$12)</f>
        <v>0</v>
      </c>
      <c r="S67" s="14"/>
      <c r="T67" s="34">
        <f>+T63-T65</f>
        <v>-102210.893573055</v>
      </c>
      <c r="U67" s="14"/>
      <c r="V67" s="32">
        <f>IF(T$12=0,0,T67/T$12)</f>
        <v>0</v>
      </c>
      <c r="W67" s="16"/>
      <c r="X67" s="34">
        <f>P67-T67</f>
        <v>-6156.8664269449946</v>
      </c>
      <c r="Y67" s="16"/>
      <c r="Z67" s="32">
        <f>IF(T67=0,0,X67/T67)</f>
        <v>6.0236890723828658E-2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9" t="s">
        <v>5</v>
      </c>
      <c r="C70" s="29"/>
      <c r="D70" s="31">
        <f>SUM(D67:D69)</f>
        <v>-15835.96</v>
      </c>
      <c r="E70" s="14"/>
      <c r="F70" s="30">
        <f>IF(D$12=0,0,D70/D$12)</f>
        <v>0</v>
      </c>
      <c r="G70" s="14"/>
      <c r="H70" s="31">
        <f>SUM(H67:H69)</f>
        <v>-16159.563479525001</v>
      </c>
      <c r="I70" s="14"/>
      <c r="J70" s="30">
        <f>IF(H$12=0,0,H70/H$12)</f>
        <v>0</v>
      </c>
      <c r="K70" s="16"/>
      <c r="L70" s="31">
        <f>+D70-H70</f>
        <v>323.6034795250016</v>
      </c>
      <c r="M70" s="16"/>
      <c r="N70" s="30">
        <f>IF(H70=0,0,L70/H70)</f>
        <v>-2.0025508729553484E-2</v>
      </c>
      <c r="O70" s="28"/>
      <c r="P70" s="31">
        <f>SUM(P67:P69)</f>
        <v>-108367.76</v>
      </c>
      <c r="Q70" s="14"/>
      <c r="R70" s="30">
        <f>IF(P$12=0,0,P70/P$12)</f>
        <v>0</v>
      </c>
      <c r="S70" s="14"/>
      <c r="T70" s="31">
        <f>SUM(T67:T69)</f>
        <v>-102210.893573055</v>
      </c>
      <c r="U70" s="14"/>
      <c r="V70" s="30">
        <f>IF(T$12=0,0,T70/T$12)</f>
        <v>0</v>
      </c>
      <c r="W70" s="16"/>
      <c r="X70" s="31">
        <f>+P70-T70</f>
        <v>-6156.8664269449946</v>
      </c>
      <c r="Y70" s="16"/>
      <c r="Z70" s="30">
        <f>IF(T70=0,0,X70/T70)</f>
        <v>6.0236890723828658E-2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63">
        <v>43879.546668437499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57" t="s">
        <v>314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60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","433", " - ", "Hillside Dining Hall")</f>
        <v>Department 433 - Hillside Dining Hall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274002.90999999997</v>
      </c>
      <c r="E12" s="4"/>
      <c r="F12" s="12"/>
      <c r="G12" s="4"/>
      <c r="H12" s="4">
        <f>SUM(OSRRefH13x_0)</f>
        <v>238350</v>
      </c>
      <c r="I12" s="4"/>
      <c r="J12" s="12"/>
      <c r="K12" s="4"/>
      <c r="L12" s="4">
        <f t="shared" ref="L12:L16" si="0">+D12-H12</f>
        <v>35652.909999999974</v>
      </c>
      <c r="M12" s="4"/>
      <c r="N12" s="12">
        <f t="shared" ref="N12:N16" si="1">IF(H12=0,0,L12/H12)</f>
        <v>0.14958216907908528</v>
      </c>
      <c r="O12" s="10"/>
      <c r="P12" s="4">
        <f>SUM(OSRRefP13x_0)</f>
        <v>2763584.5900000003</v>
      </c>
      <c r="Q12" s="4"/>
      <c r="R12" s="12"/>
      <c r="S12" s="4"/>
      <c r="T12" s="4">
        <f>SUM(OSRRefT13x_0)</f>
        <v>2753020</v>
      </c>
      <c r="U12" s="4"/>
      <c r="V12" s="12"/>
      <c r="W12" s="4"/>
      <c r="X12" s="4">
        <f t="shared" ref="X12:X16" si="2">+P12-T12</f>
        <v>10564.590000000317</v>
      </c>
      <c r="Y12" s="4"/>
      <c r="Z12" s="12">
        <f t="shared" ref="Z12:Z16" si="3">IF(T12=0,0,X12/T12)</f>
        <v>3.8374548677453549E-3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--343.12</f>
        <v>343.12</v>
      </c>
      <c r="E13" s="2"/>
      <c r="F13" s="19"/>
      <c r="G13" s="2"/>
      <c r="H13" s="2"/>
      <c r="I13" s="2"/>
      <c r="J13" s="19"/>
      <c r="K13" s="2"/>
      <c r="L13" s="2">
        <f t="shared" si="0"/>
        <v>343.12</v>
      </c>
      <c r="M13" s="2"/>
      <c r="N13" s="19">
        <f t="shared" si="1"/>
        <v>0</v>
      </c>
      <c r="O13" s="11"/>
      <c r="P13" s="2">
        <f>--18319</f>
        <v>18319</v>
      </c>
      <c r="Q13" s="2"/>
      <c r="R13" s="19"/>
      <c r="S13" s="2"/>
      <c r="T13" s="2"/>
      <c r="U13" s="2"/>
      <c r="V13" s="19"/>
      <c r="W13" s="2"/>
      <c r="X13" s="2">
        <f t="shared" si="2"/>
        <v>18319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238350</v>
      </c>
      <c r="I14" s="2"/>
      <c r="J14" s="19"/>
      <c r="K14" s="2"/>
      <c r="L14" s="2">
        <f t="shared" si="0"/>
        <v>-238350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2753020</v>
      </c>
      <c r="U14" s="2"/>
      <c r="V14" s="19"/>
      <c r="W14" s="2"/>
      <c r="X14" s="2">
        <f t="shared" si="2"/>
        <v>-2753020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--231487.09</f>
        <v>231487.09</v>
      </c>
      <c r="E15" s="2"/>
      <c r="F15" s="19"/>
      <c r="G15" s="2"/>
      <c r="H15" s="2"/>
      <c r="I15" s="2"/>
      <c r="J15" s="19"/>
      <c r="K15" s="2"/>
      <c r="L15" s="2">
        <f t="shared" si="0"/>
        <v>231487.09</v>
      </c>
      <c r="M15" s="2"/>
      <c r="N15" s="19">
        <f t="shared" si="1"/>
        <v>0</v>
      </c>
      <c r="O15" s="11"/>
      <c r="P15" s="2">
        <f>--2524963.91</f>
        <v>2524963.91</v>
      </c>
      <c r="Q15" s="2"/>
      <c r="R15" s="19"/>
      <c r="S15" s="2"/>
      <c r="T15" s="2"/>
      <c r="U15" s="2"/>
      <c r="V15" s="19"/>
      <c r="W15" s="2"/>
      <c r="X15" s="2">
        <f t="shared" si="2"/>
        <v>2524963.91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--42172.7</f>
        <v>42172.7</v>
      </c>
      <c r="E16" s="2"/>
      <c r="F16" s="19"/>
      <c r="G16" s="2"/>
      <c r="H16" s="2"/>
      <c r="I16" s="2"/>
      <c r="J16" s="19"/>
      <c r="K16" s="2"/>
      <c r="L16" s="2">
        <f t="shared" si="0"/>
        <v>42172.7</v>
      </c>
      <c r="M16" s="2"/>
      <c r="N16" s="19">
        <f t="shared" si="1"/>
        <v>0</v>
      </c>
      <c r="O16" s="11"/>
      <c r="P16" s="2">
        <f>--220301.68</f>
        <v>220301.68</v>
      </c>
      <c r="Q16" s="2"/>
      <c r="R16" s="19"/>
      <c r="S16" s="2"/>
      <c r="T16" s="2"/>
      <c r="U16" s="2"/>
      <c r="V16" s="19"/>
      <c r="W16" s="2"/>
      <c r="X16" s="2">
        <f t="shared" si="2"/>
        <v>220301.68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60346.78</v>
      </c>
      <c r="E18" s="4"/>
      <c r="F18" s="12">
        <f t="shared" ref="F18:F21" si="4">IF(D$12=0,0,D18/D$12)</f>
        <v>0.22024138356778766</v>
      </c>
      <c r="G18" s="4"/>
      <c r="H18" s="4">
        <f>SUM(OSRRefH16x_0)</f>
        <v>67930</v>
      </c>
      <c r="I18" s="4"/>
      <c r="J18" s="12">
        <f t="shared" ref="J18:J21" si="5">IF(H$12=0,0,H18/H$12)</f>
        <v>0.28500104887770084</v>
      </c>
      <c r="K18" s="4"/>
      <c r="L18" s="4">
        <f t="shared" ref="L18:L21" si="6">+D18-H18</f>
        <v>-7583.2200000000012</v>
      </c>
      <c r="M18" s="4"/>
      <c r="N18" s="12">
        <f t="shared" ref="N18:N21" si="7">IF(H18=0,0,L18/H18)</f>
        <v>-0.11163285735315769</v>
      </c>
      <c r="O18" s="10"/>
      <c r="P18" s="4">
        <f>SUM(OSRRefP16x_0)</f>
        <v>654363.69999999995</v>
      </c>
      <c r="Q18" s="4"/>
      <c r="R18" s="12">
        <f t="shared" ref="R18:R21" si="8">IF(P$12=0,0,P18/P$12)</f>
        <v>0.23678077463878169</v>
      </c>
      <c r="S18" s="4"/>
      <c r="T18" s="4">
        <f>SUM(OSRRefT16x_0)</f>
        <v>734564</v>
      </c>
      <c r="U18" s="4"/>
      <c r="V18" s="12">
        <f t="shared" ref="V18:V21" si="9">IF(T$12=0,0,T18/T$12)</f>
        <v>0.266821163667536</v>
      </c>
      <c r="W18" s="4"/>
      <c r="X18" s="4">
        <f t="shared" ref="X18:X21" si="10">+P18-T18</f>
        <v>-80200.300000000047</v>
      </c>
      <c r="Y18" s="4"/>
      <c r="Z18" s="12">
        <f t="shared" ref="Z18:Z21" si="11">IF(T18=0,0,X18/T18)</f>
        <v>-0.10918082018721316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67930</v>
      </c>
      <c r="I19" s="2"/>
      <c r="J19" s="19">
        <f t="shared" si="5"/>
        <v>0.28500104887770084</v>
      </c>
      <c r="K19" s="2"/>
      <c r="L19" s="2">
        <f t="shared" si="6"/>
        <v>-67930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734564</v>
      </c>
      <c r="U19" s="2"/>
      <c r="V19" s="19">
        <f t="shared" si="9"/>
        <v>0.266821163667536</v>
      </c>
      <c r="W19" s="2"/>
      <c r="X19" s="2">
        <f t="shared" si="10"/>
        <v>-734564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86468.78</v>
      </c>
      <c r="E20" s="2"/>
      <c r="F20" s="19">
        <f t="shared" si="4"/>
        <v>0.31557613749430619</v>
      </c>
      <c r="G20" s="2"/>
      <c r="H20" s="2"/>
      <c r="I20" s="2"/>
      <c r="J20" s="19">
        <f t="shared" si="5"/>
        <v>0</v>
      </c>
      <c r="K20" s="2"/>
      <c r="L20" s="2">
        <f t="shared" si="6"/>
        <v>86468.78</v>
      </c>
      <c r="M20" s="2"/>
      <c r="N20" s="19">
        <f t="shared" si="7"/>
        <v>0</v>
      </c>
      <c r="O20" s="11"/>
      <c r="P20" s="2">
        <v>678378.7</v>
      </c>
      <c r="Q20" s="2"/>
      <c r="R20" s="19">
        <f t="shared" si="8"/>
        <v>0.24547057559037838</v>
      </c>
      <c r="S20" s="2"/>
      <c r="T20" s="2"/>
      <c r="U20" s="2"/>
      <c r="V20" s="19">
        <f t="shared" si="9"/>
        <v>0</v>
      </c>
      <c r="W20" s="2"/>
      <c r="X20" s="2">
        <f t="shared" si="10"/>
        <v>678378.7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-26122</v>
      </c>
      <c r="E21" s="2"/>
      <c r="F21" s="19">
        <f t="shared" si="4"/>
        <v>-9.5334753926518523E-2</v>
      </c>
      <c r="G21" s="2"/>
      <c r="H21" s="2"/>
      <c r="I21" s="2"/>
      <c r="J21" s="19">
        <f t="shared" si="5"/>
        <v>0</v>
      </c>
      <c r="K21" s="2"/>
      <c r="L21" s="2">
        <f t="shared" si="6"/>
        <v>-26122</v>
      </c>
      <c r="M21" s="2"/>
      <c r="N21" s="19">
        <f t="shared" si="7"/>
        <v>0</v>
      </c>
      <c r="O21" s="11"/>
      <c r="P21" s="2">
        <v>-24015</v>
      </c>
      <c r="Q21" s="2"/>
      <c r="R21" s="19">
        <f t="shared" si="8"/>
        <v>-8.6898009515967069E-3</v>
      </c>
      <c r="S21" s="2"/>
      <c r="T21" s="2"/>
      <c r="U21" s="2"/>
      <c r="V21" s="19">
        <f t="shared" si="9"/>
        <v>0</v>
      </c>
      <c r="W21" s="2"/>
      <c r="X21" s="2">
        <f t="shared" si="10"/>
        <v>-24015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1">
        <f>D12-D18</f>
        <v>213656.12999999998</v>
      </c>
      <c r="E23" s="14"/>
      <c r="F23" s="20">
        <f>IF(D$12=0,0,D23/D$12)</f>
        <v>0.77975861643221234</v>
      </c>
      <c r="G23" s="14"/>
      <c r="H23" s="21">
        <f>H12-H18</f>
        <v>170420</v>
      </c>
      <c r="I23" s="14"/>
      <c r="J23" s="20">
        <f>IF(H$12=0,0,H23/H$12)</f>
        <v>0.71499895112229916</v>
      </c>
      <c r="K23" s="16"/>
      <c r="L23" s="21">
        <f>+D23-H23</f>
        <v>43236.129999999976</v>
      </c>
      <c r="M23" s="16"/>
      <c r="N23" s="20">
        <f>IF(H23=0,0,L23/H23)</f>
        <v>0.25370337988498987</v>
      </c>
      <c r="O23" s="28"/>
      <c r="P23" s="21">
        <f>P12-P18</f>
        <v>2109220.8900000006</v>
      </c>
      <c r="Q23" s="14"/>
      <c r="R23" s="20">
        <f>IF(P$12=0,0,P23/P$12)</f>
        <v>0.76321922536121845</v>
      </c>
      <c r="S23" s="14"/>
      <c r="T23" s="21">
        <f>T12-T18</f>
        <v>2018456</v>
      </c>
      <c r="U23" s="14"/>
      <c r="V23" s="20">
        <f>IF(T$12=0,0,T23/T$12)</f>
        <v>0.73317883633246395</v>
      </c>
      <c r="W23" s="16"/>
      <c r="X23" s="21">
        <f>+P23-T23</f>
        <v>90764.890000000596</v>
      </c>
      <c r="Y23" s="16"/>
      <c r="Z23" s="20">
        <f>IF(T23=0,0,X23/T23)</f>
        <v>4.4967485047977561E-2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2">
        <f>SUM(OSRRefD22x_0)</f>
        <v>139341.06999999998</v>
      </c>
      <c r="E25" s="22"/>
      <c r="F25" s="35">
        <f t="shared" ref="F25:F36" si="12">IF(D$12=0,0,D25/D$12)</f>
        <v>0.50853865019170774</v>
      </c>
      <c r="G25" s="22"/>
      <c r="H25" s="22">
        <f>SUM(OSRRefH22x_0)</f>
        <v>150779.07559935417</v>
      </c>
      <c r="I25" s="22"/>
      <c r="J25" s="35">
        <f t="shared" ref="J25:J36" si="13">IF(H$12=0,0,H25/H$12)</f>
        <v>0.63259524060983496</v>
      </c>
      <c r="K25" s="4"/>
      <c r="L25" s="22">
        <f t="shared" ref="L25:L36" si="14">+D25-H25</f>
        <v>-11438.00559935419</v>
      </c>
      <c r="M25" s="4"/>
      <c r="N25" s="35">
        <f t="shared" ref="N25:N36" si="15">IF(H25=0,0,L25/H25)</f>
        <v>-7.5859369437619645E-2</v>
      </c>
      <c r="O25" s="10"/>
      <c r="P25" s="22">
        <f>SUM(OSRRefP22x_0)</f>
        <v>1157186.0500000005</v>
      </c>
      <c r="Q25" s="22"/>
      <c r="R25" s="35">
        <f t="shared" ref="R25:R36" si="16">IF(P$12=0,0,P25/P$12)</f>
        <v>0.41872648088546494</v>
      </c>
      <c r="S25" s="22"/>
      <c r="T25" s="22">
        <f>SUM(OSRRefT22x_0)</f>
        <v>1261371.8924821499</v>
      </c>
      <c r="U25" s="22"/>
      <c r="V25" s="35">
        <f t="shared" ref="V25:V36" si="17">IF(T$12=0,0,T25/T$12)</f>
        <v>0.45817752594683286</v>
      </c>
      <c r="W25" s="4"/>
      <c r="X25" s="22">
        <f t="shared" ref="X25:X36" si="18">+P25-T25</f>
        <v>-104185.84248214937</v>
      </c>
      <c r="Y25" s="4"/>
      <c r="Z25" s="35">
        <f t="shared" ref="Z25:Z36" si="19">IF(T25=0,0,X25/T25)</f>
        <v>-8.2597244399612094E-2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26396.65</v>
      </c>
      <c r="E26" s="1"/>
      <c r="F26" s="5">
        <f t="shared" si="12"/>
        <v>9.6337115543772889E-2</v>
      </c>
      <c r="G26" s="1"/>
      <c r="H26" s="1">
        <f>SUM(OSRRefH22_0x_0)</f>
        <v>30521.92763089266</v>
      </c>
      <c r="I26" s="1"/>
      <c r="J26" s="5">
        <f t="shared" si="13"/>
        <v>0.12805507711723374</v>
      </c>
      <c r="K26" s="1"/>
      <c r="L26" s="1">
        <f t="shared" si="14"/>
        <v>-4125.2776308926586</v>
      </c>
      <c r="M26" s="1"/>
      <c r="N26" s="5">
        <f t="shared" si="15"/>
        <v>-0.13515783409162119</v>
      </c>
      <c r="O26" s="13"/>
      <c r="P26" s="1">
        <f>SUM(OSRRefP22_0x_0)</f>
        <v>195232.90000000002</v>
      </c>
      <c r="Q26" s="1"/>
      <c r="R26" s="5">
        <f t="shared" si="16"/>
        <v>7.0644807004080157E-2</v>
      </c>
      <c r="S26" s="1"/>
      <c r="T26" s="1">
        <f>SUM(OSRRefT22_0x_0)</f>
        <v>216218.66307768848</v>
      </c>
      <c r="U26" s="1"/>
      <c r="V26" s="5">
        <f t="shared" si="17"/>
        <v>7.853871859909789E-2</v>
      </c>
      <c r="W26" s="1"/>
      <c r="X26" s="1">
        <f t="shared" si="18"/>
        <v>-20985.763077688462</v>
      </c>
      <c r="Y26" s="1"/>
      <c r="Z26" s="5">
        <f t="shared" si="19"/>
        <v>-9.7058055854078465E-2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2801.07</v>
      </c>
      <c r="E27" s="2"/>
      <c r="F27" s="6">
        <f t="shared" si="12"/>
        <v>1.0222774641335015E-2</v>
      </c>
      <c r="G27" s="2"/>
      <c r="H27" s="7">
        <v>4455.8459179003794</v>
      </c>
      <c r="I27" s="2"/>
      <c r="J27" s="6">
        <f t="shared" si="13"/>
        <v>1.8694549687016487E-2</v>
      </c>
      <c r="K27" s="2"/>
      <c r="L27" s="7">
        <f t="shared" si="14"/>
        <v>-1654.7759179003792</v>
      </c>
      <c r="M27" s="2"/>
      <c r="N27" s="6">
        <f t="shared" si="15"/>
        <v>-0.37137188951096389</v>
      </c>
      <c r="O27" s="11"/>
      <c r="P27" s="7">
        <v>30514.57</v>
      </c>
      <c r="Q27" s="2"/>
      <c r="R27" s="6">
        <f t="shared" si="16"/>
        <v>1.1041663103209009E-2</v>
      </c>
      <c r="S27" s="2"/>
      <c r="T27" s="7">
        <v>35483.120610982405</v>
      </c>
      <c r="U27" s="2"/>
      <c r="V27" s="6">
        <f t="shared" si="17"/>
        <v>1.2888798705052053E-2</v>
      </c>
      <c r="W27" s="2"/>
      <c r="X27" s="7">
        <f t="shared" si="18"/>
        <v>-4968.5506109824055</v>
      </c>
      <c r="Y27" s="2"/>
      <c r="Z27" s="6">
        <f t="shared" si="19"/>
        <v>-0.14002575098889655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1951.17</v>
      </c>
      <c r="E28" s="2"/>
      <c r="F28" s="6">
        <f t="shared" si="12"/>
        <v>7.120982766204929E-3</v>
      </c>
      <c r="G28" s="2"/>
      <c r="H28" s="7">
        <v>3029.05854167692</v>
      </c>
      <c r="I28" s="2"/>
      <c r="J28" s="6">
        <f t="shared" si="13"/>
        <v>1.2708447835858694E-2</v>
      </c>
      <c r="K28" s="2"/>
      <c r="L28" s="7">
        <f t="shared" si="14"/>
        <v>-1077.8885416769199</v>
      </c>
      <c r="M28" s="2"/>
      <c r="N28" s="6">
        <f t="shared" si="15"/>
        <v>-0.35584935941191448</v>
      </c>
      <c r="O28" s="11"/>
      <c r="P28" s="7">
        <v>18006.43</v>
      </c>
      <c r="Q28" s="2"/>
      <c r="R28" s="6">
        <f t="shared" si="16"/>
        <v>6.5156066020761816E-3</v>
      </c>
      <c r="S28" s="2"/>
      <c r="T28" s="7">
        <v>25673.75895839692</v>
      </c>
      <c r="U28" s="2"/>
      <c r="V28" s="6">
        <f t="shared" si="17"/>
        <v>9.3256710661008355E-3</v>
      </c>
      <c r="W28" s="2"/>
      <c r="X28" s="7">
        <f t="shared" si="18"/>
        <v>-7667.3289583969199</v>
      </c>
      <c r="Y28" s="2"/>
      <c r="Z28" s="6">
        <f t="shared" si="19"/>
        <v>-0.2986445798927011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13844.04</v>
      </c>
      <c r="E29" s="2"/>
      <c r="F29" s="6">
        <f t="shared" si="12"/>
        <v>5.0525156831363584E-2</v>
      </c>
      <c r="G29" s="2"/>
      <c r="H29" s="7">
        <v>17552.769230769198</v>
      </c>
      <c r="I29" s="2"/>
      <c r="J29" s="6">
        <f t="shared" si="13"/>
        <v>7.3642832937986985E-2</v>
      </c>
      <c r="K29" s="2"/>
      <c r="L29" s="7">
        <f t="shared" si="14"/>
        <v>-3708.7292307691969</v>
      </c>
      <c r="M29" s="2"/>
      <c r="N29" s="6">
        <f t="shared" si="15"/>
        <v>-0.21129026320633015</v>
      </c>
      <c r="O29" s="11"/>
      <c r="P29" s="7">
        <v>90160.21</v>
      </c>
      <c r="Q29" s="2"/>
      <c r="R29" s="6">
        <f t="shared" si="16"/>
        <v>3.2624371378478415E-2</v>
      </c>
      <c r="S29" s="2"/>
      <c r="T29" s="7">
        <v>115107.92307692301</v>
      </c>
      <c r="U29" s="2"/>
      <c r="V29" s="6">
        <f t="shared" si="17"/>
        <v>4.181150993342693E-2</v>
      </c>
      <c r="W29" s="2"/>
      <c r="X29" s="7">
        <f t="shared" si="18"/>
        <v>-24947.713076922999</v>
      </c>
      <c r="Y29" s="2"/>
      <c r="Z29" s="6">
        <f t="shared" si="19"/>
        <v>-0.21673323964199429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130.76</v>
      </c>
      <c r="E30" s="2"/>
      <c r="F30" s="6">
        <f t="shared" si="12"/>
        <v>4.7722120907402042E-4</v>
      </c>
      <c r="G30" s="2"/>
      <c r="H30" s="7">
        <v>202.97814969999999</v>
      </c>
      <c r="I30" s="2"/>
      <c r="J30" s="6">
        <f t="shared" si="13"/>
        <v>8.5159701992867627E-4</v>
      </c>
      <c r="K30" s="2"/>
      <c r="L30" s="7">
        <f t="shared" si="14"/>
        <v>-72.218149699999998</v>
      </c>
      <c r="M30" s="2"/>
      <c r="N30" s="6">
        <f t="shared" si="15"/>
        <v>-0.35579272846233856</v>
      </c>
      <c r="O30" s="11"/>
      <c r="P30" s="7">
        <v>1517.84</v>
      </c>
      <c r="Q30" s="2"/>
      <c r="R30" s="6">
        <f t="shared" si="16"/>
        <v>5.4922871023824888E-4</v>
      </c>
      <c r="S30" s="2"/>
      <c r="T30" s="7">
        <v>1720.4065281400001</v>
      </c>
      <c r="U30" s="2"/>
      <c r="V30" s="6">
        <f t="shared" si="17"/>
        <v>6.2491610236758185E-4</v>
      </c>
      <c r="W30" s="2"/>
      <c r="X30" s="7">
        <f t="shared" si="18"/>
        <v>-202.56652814000017</v>
      </c>
      <c r="Y30" s="2"/>
      <c r="Z30" s="6">
        <f t="shared" si="19"/>
        <v>-0.11774340821584937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1830.31</v>
      </c>
      <c r="E31" s="2"/>
      <c r="F31" s="6">
        <f t="shared" si="12"/>
        <v>6.6798925602651448E-3</v>
      </c>
      <c r="G31" s="2"/>
      <c r="H31" s="7">
        <v>1588.03464392308</v>
      </c>
      <c r="I31" s="2"/>
      <c r="J31" s="6">
        <f t="shared" si="13"/>
        <v>6.6626165048167818E-3</v>
      </c>
      <c r="K31" s="2"/>
      <c r="L31" s="7">
        <f t="shared" si="14"/>
        <v>242.27535607691993</v>
      </c>
      <c r="M31" s="2"/>
      <c r="N31" s="6">
        <f t="shared" si="15"/>
        <v>0.1525630168107687</v>
      </c>
      <c r="O31" s="11"/>
      <c r="P31" s="7">
        <v>9547.65</v>
      </c>
      <c r="Q31" s="2"/>
      <c r="R31" s="6">
        <f t="shared" si="16"/>
        <v>3.4548064982516053E-3</v>
      </c>
      <c r="S31" s="2"/>
      <c r="T31" s="7">
        <v>9845.8147923230808</v>
      </c>
      <c r="U31" s="2"/>
      <c r="V31" s="6">
        <f t="shared" si="17"/>
        <v>3.576368784942747E-3</v>
      </c>
      <c r="W31" s="2"/>
      <c r="X31" s="7">
        <f t="shared" si="18"/>
        <v>-298.1647923230812</v>
      </c>
      <c r="Y31" s="2"/>
      <c r="Z31" s="6">
        <f t="shared" si="19"/>
        <v>-3.0283404534032516E-2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7">
        <v>576.33000000000004</v>
      </c>
      <c r="E33" s="2"/>
      <c r="F33" s="6">
        <f t="shared" si="12"/>
        <v>2.103371821854009E-3</v>
      </c>
      <c r="G33" s="2"/>
      <c r="H33" s="7"/>
      <c r="I33" s="2"/>
      <c r="J33" s="6">
        <f t="shared" si="13"/>
        <v>0</v>
      </c>
      <c r="K33" s="2"/>
      <c r="L33" s="7">
        <f t="shared" si="14"/>
        <v>576.33000000000004</v>
      </c>
      <c r="M33" s="2"/>
      <c r="N33" s="6">
        <f t="shared" si="15"/>
        <v>0</v>
      </c>
      <c r="O33" s="11"/>
      <c r="P33" s="7">
        <v>3511.5</v>
      </c>
      <c r="Q33" s="2"/>
      <c r="R33" s="6">
        <f t="shared" si="16"/>
        <v>1.2706323565076761E-3</v>
      </c>
      <c r="S33" s="2"/>
      <c r="T33" s="7"/>
      <c r="U33" s="2"/>
      <c r="V33" s="6">
        <f t="shared" si="17"/>
        <v>0</v>
      </c>
      <c r="W33" s="2"/>
      <c r="X33" s="7">
        <f t="shared" si="18"/>
        <v>3511.5</v>
      </c>
      <c r="Y33" s="2"/>
      <c r="Z33" s="6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7">
        <v>2186.3000000000002</v>
      </c>
      <c r="E34" s="2"/>
      <c r="F34" s="6">
        <f t="shared" si="12"/>
        <v>7.9791123386244341E-3</v>
      </c>
      <c r="G34" s="2"/>
      <c r="H34" s="7">
        <v>1616.9255734615401</v>
      </c>
      <c r="I34" s="2"/>
      <c r="J34" s="6">
        <f t="shared" si="13"/>
        <v>6.7838287118168247E-3</v>
      </c>
      <c r="K34" s="2"/>
      <c r="L34" s="7">
        <f t="shared" si="14"/>
        <v>569.37442653846006</v>
      </c>
      <c r="M34" s="2"/>
      <c r="N34" s="6">
        <f t="shared" si="15"/>
        <v>0.35213397319181128</v>
      </c>
      <c r="O34" s="11"/>
      <c r="P34" s="7">
        <v>18002.670000000002</v>
      </c>
      <c r="Q34" s="2"/>
      <c r="R34" s="6">
        <f t="shared" si="16"/>
        <v>6.5142460502719763E-3</v>
      </c>
      <c r="S34" s="2"/>
      <c r="T34" s="7">
        <v>10237.530555461541</v>
      </c>
      <c r="U34" s="2"/>
      <c r="V34" s="6">
        <f t="shared" si="17"/>
        <v>3.7186546249070259E-3</v>
      </c>
      <c r="W34" s="2"/>
      <c r="X34" s="7">
        <f t="shared" si="18"/>
        <v>7765.1394445384612</v>
      </c>
      <c r="Y34" s="2"/>
      <c r="Z34" s="6">
        <f t="shared" si="19"/>
        <v>0.75849731558514344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7">
        <v>1528.04</v>
      </c>
      <c r="E35" s="2"/>
      <c r="F35" s="6">
        <f t="shared" si="12"/>
        <v>5.5767290938625435E-3</v>
      </c>
      <c r="G35" s="2"/>
      <c r="H35" s="7">
        <v>2076.3155734615402</v>
      </c>
      <c r="I35" s="2"/>
      <c r="J35" s="6">
        <f t="shared" si="13"/>
        <v>8.7112044198092726E-3</v>
      </c>
      <c r="K35" s="2"/>
      <c r="L35" s="7">
        <f t="shared" si="14"/>
        <v>-548.27557346154026</v>
      </c>
      <c r="M35" s="2"/>
      <c r="N35" s="6">
        <f t="shared" si="15"/>
        <v>-0.26406177387933366</v>
      </c>
      <c r="O35" s="11"/>
      <c r="P35" s="7">
        <v>16125.92</v>
      </c>
      <c r="Q35" s="2"/>
      <c r="R35" s="6">
        <f t="shared" si="16"/>
        <v>5.8351461570423646E-3</v>
      </c>
      <c r="S35" s="2"/>
      <c r="T35" s="7">
        <v>18150.108555461538</v>
      </c>
      <c r="U35" s="2"/>
      <c r="V35" s="6">
        <f t="shared" si="17"/>
        <v>6.5927993823007239E-3</v>
      </c>
      <c r="W35" s="2"/>
      <c r="X35" s="7">
        <f t="shared" si="18"/>
        <v>-2024.1885554615383</v>
      </c>
      <c r="Y35" s="2"/>
      <c r="Z35" s="6">
        <f t="shared" si="19"/>
        <v>-0.1115248732136338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7">
        <v>1548.63</v>
      </c>
      <c r="E36" s="2"/>
      <c r="F36" s="6">
        <f t="shared" si="12"/>
        <v>5.6518742811892042E-3</v>
      </c>
      <c r="G36" s="2"/>
      <c r="H36" s="7"/>
      <c r="I36" s="2"/>
      <c r="J36" s="6">
        <f t="shared" si="13"/>
        <v>0</v>
      </c>
      <c r="K36" s="2"/>
      <c r="L36" s="7">
        <f t="shared" si="14"/>
        <v>1548.63</v>
      </c>
      <c r="M36" s="2"/>
      <c r="N36" s="6">
        <f t="shared" si="15"/>
        <v>0</v>
      </c>
      <c r="O36" s="11"/>
      <c r="P36" s="7">
        <v>7846.11</v>
      </c>
      <c r="Q36" s="2"/>
      <c r="R36" s="6">
        <f t="shared" si="16"/>
        <v>2.839106148004682E-3</v>
      </c>
      <c r="S36" s="2"/>
      <c r="T36" s="7"/>
      <c r="U36" s="2"/>
      <c r="V36" s="6">
        <f t="shared" si="17"/>
        <v>0</v>
      </c>
      <c r="W36" s="2"/>
      <c r="X36" s="7">
        <f t="shared" si="18"/>
        <v>7846.11</v>
      </c>
      <c r="Y36" s="2"/>
      <c r="Z36" s="6">
        <f t="shared" si="19"/>
        <v>0</v>
      </c>
    </row>
    <row r="37" spans="1:26" s="27" customFormat="1" outlineLevel="1" collapsed="1" x14ac:dyDescent="0.25">
      <c r="A37" s="26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71024.359999999986</v>
      </c>
      <c r="E37" s="1"/>
      <c r="F37" s="5">
        <f t="shared" ref="F37:F47" si="20">IF(D$12=0,0,D37/D$12)</f>
        <v>0.25921023977446078</v>
      </c>
      <c r="G37" s="1"/>
      <c r="H37" s="1">
        <f>SUM(OSRRefH22_1x_0)</f>
        <v>75366.147968461504</v>
      </c>
      <c r="I37" s="1"/>
      <c r="J37" s="5">
        <f t="shared" ref="J37:J47" si="21">IF(H$12=0,0,H37/H$12)</f>
        <v>0.31619948801536191</v>
      </c>
      <c r="K37" s="1"/>
      <c r="L37" s="1">
        <f t="shared" ref="L37:L47" si="22">+D37-H37</f>
        <v>-4341.7879684615182</v>
      </c>
      <c r="M37" s="1"/>
      <c r="N37" s="5">
        <f t="shared" ref="N37:N47" si="23">IF(H37=0,0,L37/H37)</f>
        <v>-5.7609259402224292E-2</v>
      </c>
      <c r="O37" s="13"/>
      <c r="P37" s="1">
        <f>SUM(OSRRefP22_1x_0)</f>
        <v>585375.27</v>
      </c>
      <c r="Q37" s="1"/>
      <c r="R37" s="5">
        <f t="shared" ref="R37:R47" si="24">IF(P$12=0,0,P37/P$12)</f>
        <v>0.21181738822765689</v>
      </c>
      <c r="S37" s="1"/>
      <c r="T37" s="1">
        <f>SUM(OSRRefT22_1x_0)</f>
        <v>644621.22940446134</v>
      </c>
      <c r="U37" s="1"/>
      <c r="V37" s="5">
        <f t="shared" ref="V37:V47" si="25">IF(T$12=0,0,T37/T$12)</f>
        <v>0.23415057987390622</v>
      </c>
      <c r="W37" s="1"/>
      <c r="X37" s="1">
        <f t="shared" ref="X37:X47" si="26">+P37-T37</f>
        <v>-59245.959404461319</v>
      </c>
      <c r="Y37" s="1"/>
      <c r="Z37" s="5">
        <f t="shared" ref="Z37:Z47" si="27">IF(T37=0,0,X37/T37)</f>
        <v>-9.1908172895882115E-2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7">
        <v>15794.86</v>
      </c>
      <c r="E39" s="2"/>
      <c r="F39" s="6">
        <f t="shared" si="20"/>
        <v>5.7644862238871851E-2</v>
      </c>
      <c r="G39" s="2"/>
      <c r="H39" s="7">
        <v>17357.587968461503</v>
      </c>
      <c r="I39" s="2"/>
      <c r="J39" s="6">
        <f t="shared" si="21"/>
        <v>7.2823947843345935E-2</v>
      </c>
      <c r="K39" s="2"/>
      <c r="L39" s="7">
        <f t="shared" si="22"/>
        <v>-1562.7279684615023</v>
      </c>
      <c r="M39" s="2"/>
      <c r="N39" s="6">
        <f t="shared" si="23"/>
        <v>-9.0031401327244159E-2</v>
      </c>
      <c r="O39" s="11"/>
      <c r="P39" s="7">
        <v>103796.76000000001</v>
      </c>
      <c r="Q39" s="2"/>
      <c r="R39" s="6">
        <f t="shared" si="24"/>
        <v>3.7558741778915473E-2</v>
      </c>
      <c r="S39" s="2"/>
      <c r="T39" s="7">
        <v>107617.0454044613</v>
      </c>
      <c r="U39" s="2"/>
      <c r="V39" s="6">
        <f t="shared" si="25"/>
        <v>3.9090542533095039E-2</v>
      </c>
      <c r="W39" s="2"/>
      <c r="X39" s="7">
        <f t="shared" si="26"/>
        <v>-3820.2854044612905</v>
      </c>
      <c r="Y39" s="2"/>
      <c r="Z39" s="6">
        <f t="shared" si="27"/>
        <v>-3.5498887653934039E-2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7">
        <v>15075.409999999998</v>
      </c>
      <c r="E41" s="2"/>
      <c r="F41" s="6">
        <f t="shared" si="20"/>
        <v>5.5019160197970159E-2</v>
      </c>
      <c r="G41" s="2"/>
      <c r="H41" s="7">
        <v>38163.56</v>
      </c>
      <c r="I41" s="2"/>
      <c r="J41" s="6">
        <f t="shared" si="21"/>
        <v>0.16011562827774281</v>
      </c>
      <c r="K41" s="2"/>
      <c r="L41" s="7">
        <f t="shared" si="22"/>
        <v>-23088.15</v>
      </c>
      <c r="M41" s="2"/>
      <c r="N41" s="6">
        <f t="shared" si="23"/>
        <v>-0.6049789380236017</v>
      </c>
      <c r="O41" s="11"/>
      <c r="P41" s="7">
        <v>126253.81999999999</v>
      </c>
      <c r="Q41" s="2"/>
      <c r="R41" s="6">
        <f t="shared" si="24"/>
        <v>4.5684803880021628E-2</v>
      </c>
      <c r="S41" s="2"/>
      <c r="T41" s="7">
        <v>291709.18400000001</v>
      </c>
      <c r="U41" s="2"/>
      <c r="V41" s="6">
        <f t="shared" si="25"/>
        <v>0.10595970388882028</v>
      </c>
      <c r="W41" s="2"/>
      <c r="X41" s="7">
        <f t="shared" si="26"/>
        <v>-165455.364</v>
      </c>
      <c r="Y41" s="2"/>
      <c r="Z41" s="6">
        <f t="shared" si="27"/>
        <v>-0.56719285190554714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7">
        <v>4393.49</v>
      </c>
      <c r="E42" s="2"/>
      <c r="F42" s="6">
        <f t="shared" si="20"/>
        <v>1.6034464743458383E-2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4393.49</v>
      </c>
      <c r="M42" s="2"/>
      <c r="N42" s="6">
        <f t="shared" si="23"/>
        <v>0</v>
      </c>
      <c r="O42" s="11"/>
      <c r="P42" s="7">
        <v>93351.83</v>
      </c>
      <c r="Q42" s="2"/>
      <c r="R42" s="6">
        <f t="shared" si="24"/>
        <v>3.3779255513941044E-2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93351.83</v>
      </c>
      <c r="Y42" s="2"/>
      <c r="Z42" s="6">
        <f t="shared" si="27"/>
        <v>0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>
        <v>10133.07</v>
      </c>
      <c r="Q43" s="2"/>
      <c r="R43" s="6">
        <f t="shared" si="24"/>
        <v>3.666640071979848E-3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10133.07</v>
      </c>
      <c r="Y43" s="2"/>
      <c r="Z43" s="6">
        <f t="shared" si="27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7">
        <v>35045.599999999999</v>
      </c>
      <c r="E44" s="2"/>
      <c r="F44" s="6">
        <f t="shared" si="20"/>
        <v>0.12790229125668776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35045.599999999999</v>
      </c>
      <c r="M44" s="2"/>
      <c r="N44" s="6">
        <f t="shared" si="23"/>
        <v>0</v>
      </c>
      <c r="O44" s="11"/>
      <c r="P44" s="7">
        <v>232985.29</v>
      </c>
      <c r="Q44" s="2"/>
      <c r="R44" s="6">
        <f t="shared" si="24"/>
        <v>8.4305467197586303E-2</v>
      </c>
      <c r="S44" s="2"/>
      <c r="T44" s="7">
        <v>47250</v>
      </c>
      <c r="U44" s="2"/>
      <c r="V44" s="6">
        <f t="shared" si="25"/>
        <v>1.7162970120086305E-2</v>
      </c>
      <c r="W44" s="2"/>
      <c r="X44" s="7">
        <f t="shared" si="26"/>
        <v>185735.29</v>
      </c>
      <c r="Y44" s="2"/>
      <c r="Z44" s="6">
        <f t="shared" si="27"/>
        <v>3.9309056084656087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7">
        <v>715</v>
      </c>
      <c r="E45" s="2"/>
      <c r="F45" s="6">
        <f t="shared" si="20"/>
        <v>2.609461337472657E-3</v>
      </c>
      <c r="G45" s="2"/>
      <c r="H45" s="7">
        <v>19845</v>
      </c>
      <c r="I45" s="2"/>
      <c r="J45" s="6">
        <f t="shared" si="21"/>
        <v>8.3259911894273134E-2</v>
      </c>
      <c r="K45" s="2"/>
      <c r="L45" s="7">
        <f t="shared" si="22"/>
        <v>-19130</v>
      </c>
      <c r="M45" s="2"/>
      <c r="N45" s="6">
        <f t="shared" si="23"/>
        <v>-0.96397077349458304</v>
      </c>
      <c r="O45" s="11"/>
      <c r="P45" s="7">
        <v>18854.5</v>
      </c>
      <c r="Q45" s="2"/>
      <c r="R45" s="6">
        <f t="shared" si="24"/>
        <v>6.8224797852125809E-3</v>
      </c>
      <c r="S45" s="2"/>
      <c r="T45" s="7">
        <v>198045</v>
      </c>
      <c r="U45" s="2"/>
      <c r="V45" s="6">
        <f t="shared" si="25"/>
        <v>7.1937363331904605E-2</v>
      </c>
      <c r="W45" s="2"/>
      <c r="X45" s="7">
        <f t="shared" si="26"/>
        <v>-179190.5</v>
      </c>
      <c r="Y45" s="2"/>
      <c r="Z45" s="6">
        <f t="shared" si="27"/>
        <v>-0.90479688959579896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7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89.5</v>
      </c>
      <c r="E48" s="1"/>
      <c r="F48" s="5">
        <f t="shared" ref="F48:F67" si="28">IF(D$12=0,0,D48/D$12)</f>
        <v>3.2663886671860533E-4</v>
      </c>
      <c r="G48" s="1"/>
      <c r="H48" s="1">
        <f>SUM(OSRRefH22_2x_0)</f>
        <v>200</v>
      </c>
      <c r="I48" s="1"/>
      <c r="J48" s="5">
        <f t="shared" ref="J48:J67" si="29">IF(H$12=0,0,H48/H$12)</f>
        <v>8.3910216068806376E-4</v>
      </c>
      <c r="K48" s="1"/>
      <c r="L48" s="1">
        <f t="shared" ref="L48:L67" si="30">+D48-H48</f>
        <v>-110.5</v>
      </c>
      <c r="M48" s="1"/>
      <c r="N48" s="5">
        <f t="shared" ref="N48:N67" si="31">IF(H48=0,0,L48/H48)</f>
        <v>-0.55249999999999999</v>
      </c>
      <c r="O48" s="13"/>
      <c r="P48" s="1">
        <f>SUM(OSRRefP22_2x_0)</f>
        <v>2772.68</v>
      </c>
      <c r="Q48" s="1"/>
      <c r="R48" s="5">
        <f t="shared" ref="R48:R67" si="32">IF(P$12=0,0,P48/P$12)</f>
        <v>1.0032911639589073E-3</v>
      </c>
      <c r="S48" s="1"/>
      <c r="T48" s="1">
        <f>SUM(OSRRefT22_2x_0)</f>
        <v>3650</v>
      </c>
      <c r="U48" s="1"/>
      <c r="V48" s="5">
        <f t="shared" ref="V48:V67" si="33">IF(T$12=0,0,T48/T$12)</f>
        <v>1.3258167394352384E-3</v>
      </c>
      <c r="W48" s="1"/>
      <c r="X48" s="1">
        <f t="shared" ref="X48:X67" si="34">+P48-T48</f>
        <v>-877.32000000000016</v>
      </c>
      <c r="Y48" s="1"/>
      <c r="Z48" s="5">
        <f t="shared" ref="Z48:Z67" si="35">IF(T48=0,0,X48/T48)</f>
        <v>-0.24036164383561648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7">
        <v>89.5</v>
      </c>
      <c r="E49" s="2"/>
      <c r="F49" s="6">
        <f t="shared" si="28"/>
        <v>3.2663886671860533E-4</v>
      </c>
      <c r="G49" s="2"/>
      <c r="H49" s="7">
        <v>200</v>
      </c>
      <c r="I49" s="2"/>
      <c r="J49" s="6">
        <f t="shared" si="29"/>
        <v>8.3910216068806376E-4</v>
      </c>
      <c r="K49" s="2"/>
      <c r="L49" s="7">
        <f t="shared" si="30"/>
        <v>-110.5</v>
      </c>
      <c r="M49" s="2"/>
      <c r="N49" s="6">
        <f t="shared" si="31"/>
        <v>-0.55249999999999999</v>
      </c>
      <c r="O49" s="11"/>
      <c r="P49" s="7">
        <v>2772.68</v>
      </c>
      <c r="Q49" s="2"/>
      <c r="R49" s="6">
        <f t="shared" si="32"/>
        <v>1.0032911639589073E-3</v>
      </c>
      <c r="S49" s="2"/>
      <c r="T49" s="7">
        <v>3650</v>
      </c>
      <c r="U49" s="2"/>
      <c r="V49" s="6">
        <f t="shared" si="33"/>
        <v>1.3258167394352384E-3</v>
      </c>
      <c r="W49" s="2"/>
      <c r="X49" s="7">
        <f t="shared" si="34"/>
        <v>-877.32000000000016</v>
      </c>
      <c r="Y49" s="2"/>
      <c r="Z49" s="6">
        <f t="shared" si="35"/>
        <v>-0.24036164383561648</v>
      </c>
    </row>
    <row r="50" spans="1:26" s="27" customFormat="1" outlineLevel="1" collapsed="1" x14ac:dyDescent="0.25">
      <c r="A50" s="26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-0.1</v>
      </c>
      <c r="E50" s="1"/>
      <c r="F50" s="5">
        <f t="shared" si="28"/>
        <v>-3.6495962761855346E-7</v>
      </c>
      <c r="G50" s="1"/>
      <c r="H50" s="1">
        <f>SUM(OSRRefH22_3x_0)</f>
        <v>10</v>
      </c>
      <c r="I50" s="1"/>
      <c r="J50" s="5">
        <f t="shared" si="29"/>
        <v>4.1955108034403188E-5</v>
      </c>
      <c r="K50" s="1"/>
      <c r="L50" s="1">
        <f t="shared" si="30"/>
        <v>-10.1</v>
      </c>
      <c r="M50" s="1"/>
      <c r="N50" s="5">
        <f t="shared" si="31"/>
        <v>-1.01</v>
      </c>
      <c r="O50" s="13"/>
      <c r="P50" s="1">
        <f>SUM(OSRRefP22_3x_0)</f>
        <v>0.95</v>
      </c>
      <c r="Q50" s="1"/>
      <c r="R50" s="5">
        <f t="shared" si="32"/>
        <v>3.4375643989243688E-7</v>
      </c>
      <c r="S50" s="1"/>
      <c r="T50" s="1">
        <f>SUM(OSRRefT22_3x_0)</f>
        <v>72</v>
      </c>
      <c r="U50" s="1"/>
      <c r="V50" s="5">
        <f t="shared" si="33"/>
        <v>2.61530973258458E-5</v>
      </c>
      <c r="W50" s="1"/>
      <c r="X50" s="1">
        <f t="shared" si="34"/>
        <v>-71.05</v>
      </c>
      <c r="Y50" s="1"/>
      <c r="Z50" s="5">
        <f t="shared" si="35"/>
        <v>-0.98680555555555549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7">
        <v>-0.1</v>
      </c>
      <c r="E51" s="2"/>
      <c r="F51" s="6">
        <f t="shared" si="28"/>
        <v>-3.6495962761855346E-7</v>
      </c>
      <c r="G51" s="2"/>
      <c r="H51" s="7">
        <v>10</v>
      </c>
      <c r="I51" s="2"/>
      <c r="J51" s="6">
        <f t="shared" si="29"/>
        <v>4.1955108034403188E-5</v>
      </c>
      <c r="K51" s="2"/>
      <c r="L51" s="7">
        <f t="shared" si="30"/>
        <v>-10.1</v>
      </c>
      <c r="M51" s="2"/>
      <c r="N51" s="6">
        <f t="shared" si="31"/>
        <v>-1.01</v>
      </c>
      <c r="O51" s="11"/>
      <c r="P51" s="7">
        <v>0.95</v>
      </c>
      <c r="Q51" s="2"/>
      <c r="R51" s="6">
        <f t="shared" si="32"/>
        <v>3.4375643989243688E-7</v>
      </c>
      <c r="S51" s="2"/>
      <c r="T51" s="7">
        <v>72</v>
      </c>
      <c r="U51" s="2"/>
      <c r="V51" s="6">
        <f t="shared" si="33"/>
        <v>2.61530973258458E-5</v>
      </c>
      <c r="W51" s="2"/>
      <c r="X51" s="7">
        <f t="shared" si="34"/>
        <v>-71.05</v>
      </c>
      <c r="Y51" s="2"/>
      <c r="Z51" s="6">
        <f t="shared" si="35"/>
        <v>-0.98680555555555549</v>
      </c>
    </row>
    <row r="52" spans="1:26" s="27" customFormat="1" outlineLevel="1" collapsed="1" x14ac:dyDescent="0.25">
      <c r="A52" s="26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74.16</v>
      </c>
      <c r="E52" s="1"/>
      <c r="F52" s="5">
        <f t="shared" si="28"/>
        <v>2.7065405984191924E-4</v>
      </c>
      <c r="G52" s="1"/>
      <c r="H52" s="1">
        <f>SUM(OSRRefH22_4x_0)</f>
        <v>225</v>
      </c>
      <c r="I52" s="1"/>
      <c r="J52" s="5">
        <f t="shared" si="29"/>
        <v>9.4398993077407175E-4</v>
      </c>
      <c r="K52" s="1"/>
      <c r="L52" s="1">
        <f t="shared" si="30"/>
        <v>-150.84</v>
      </c>
      <c r="M52" s="1"/>
      <c r="N52" s="5">
        <f t="shared" si="31"/>
        <v>-0.6704</v>
      </c>
      <c r="O52" s="13"/>
      <c r="P52" s="1">
        <f>SUM(OSRRefP22_4x_0)</f>
        <v>1603.16</v>
      </c>
      <c r="Q52" s="1"/>
      <c r="R52" s="5">
        <f t="shared" si="32"/>
        <v>5.8010165702943072E-4</v>
      </c>
      <c r="S52" s="1"/>
      <c r="T52" s="1">
        <f>SUM(OSRRefT22_4x_0)</f>
        <v>1575</v>
      </c>
      <c r="U52" s="1"/>
      <c r="V52" s="5">
        <f t="shared" si="33"/>
        <v>5.7209900400287687E-4</v>
      </c>
      <c r="W52" s="1"/>
      <c r="X52" s="1">
        <f t="shared" si="34"/>
        <v>28.160000000000082</v>
      </c>
      <c r="Y52" s="1"/>
      <c r="Z52" s="5">
        <f t="shared" si="35"/>
        <v>1.787936507936513E-2</v>
      </c>
    </row>
    <row r="53" spans="1:26" s="24" customFormat="1" hidden="1" outlineLevel="2" x14ac:dyDescent="0.25">
      <c r="A53" s="25"/>
      <c r="B53" s="11" t="str">
        <f>CONCATENATE("          ", "6381", " - ", "BANK/CREDIT CARD FEES")</f>
        <v xml:space="preserve">          6381 - BANK/CREDIT CARD FEES</v>
      </c>
      <c r="C53" s="11"/>
      <c r="D53" s="7">
        <v>74.16</v>
      </c>
      <c r="E53" s="2"/>
      <c r="F53" s="6">
        <f t="shared" si="28"/>
        <v>2.7065405984191924E-4</v>
      </c>
      <c r="G53" s="2"/>
      <c r="H53" s="7">
        <v>225</v>
      </c>
      <c r="I53" s="2"/>
      <c r="J53" s="6">
        <f t="shared" si="29"/>
        <v>9.4398993077407175E-4</v>
      </c>
      <c r="K53" s="2"/>
      <c r="L53" s="7">
        <f t="shared" si="30"/>
        <v>-150.84</v>
      </c>
      <c r="M53" s="2"/>
      <c r="N53" s="6">
        <f t="shared" si="31"/>
        <v>-0.6704</v>
      </c>
      <c r="O53" s="11"/>
      <c r="P53" s="7">
        <v>1603.16</v>
      </c>
      <c r="Q53" s="2"/>
      <c r="R53" s="6">
        <f t="shared" si="32"/>
        <v>5.8010165702943072E-4</v>
      </c>
      <c r="S53" s="2"/>
      <c r="T53" s="7">
        <v>1575</v>
      </c>
      <c r="U53" s="2"/>
      <c r="V53" s="6">
        <f t="shared" si="33"/>
        <v>5.7209900400287687E-4</v>
      </c>
      <c r="W53" s="2"/>
      <c r="X53" s="7">
        <f t="shared" si="34"/>
        <v>28.160000000000082</v>
      </c>
      <c r="Y53" s="2"/>
      <c r="Z53" s="6">
        <f t="shared" si="35"/>
        <v>1.787936507936513E-2</v>
      </c>
    </row>
    <row r="54" spans="1:26" s="27" customFormat="1" outlineLevel="1" collapsed="1" x14ac:dyDescent="0.25">
      <c r="A54" s="26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5622.6</v>
      </c>
      <c r="E54" s="1"/>
      <c r="F54" s="5">
        <f t="shared" si="28"/>
        <v>2.0520220022480787E-2</v>
      </c>
      <c r="G54" s="1"/>
      <c r="H54" s="1">
        <f>SUM(OSRRefH22_5x_0)</f>
        <v>5000</v>
      </c>
      <c r="I54" s="1"/>
      <c r="J54" s="5">
        <f t="shared" si="29"/>
        <v>2.0977554017201593E-2</v>
      </c>
      <c r="K54" s="1"/>
      <c r="L54" s="1">
        <f t="shared" si="30"/>
        <v>622.60000000000036</v>
      </c>
      <c r="M54" s="1"/>
      <c r="N54" s="5">
        <f t="shared" si="31"/>
        <v>0.12452000000000008</v>
      </c>
      <c r="O54" s="13"/>
      <c r="P54" s="1">
        <f>SUM(OSRRefP22_5x_0)</f>
        <v>51870.28</v>
      </c>
      <c r="Q54" s="1"/>
      <c r="R54" s="5">
        <f t="shared" si="32"/>
        <v>1.8769202935814602E-2</v>
      </c>
      <c r="S54" s="1"/>
      <c r="T54" s="1">
        <f>SUM(OSRRefT22_5x_0)</f>
        <v>48000</v>
      </c>
      <c r="U54" s="1"/>
      <c r="V54" s="5">
        <f t="shared" si="33"/>
        <v>1.7435398217230533E-2</v>
      </c>
      <c r="W54" s="1"/>
      <c r="X54" s="1">
        <f t="shared" si="34"/>
        <v>3870.2799999999988</v>
      </c>
      <c r="Y54" s="1"/>
      <c r="Z54" s="5">
        <f t="shared" si="35"/>
        <v>8.0630833333333304E-2</v>
      </c>
    </row>
    <row r="55" spans="1:26" s="24" customFormat="1" hidden="1" outlineLevel="2" x14ac:dyDescent="0.25">
      <c r="A55" s="25"/>
      <c r="B55" s="11" t="str">
        <f>CONCATENATE("          ", "6399", " - ", "DONATION-ON CAMPUS")</f>
        <v xml:space="preserve">          6399 - DONATION-ON CAMPUS</v>
      </c>
      <c r="C55" s="11"/>
      <c r="D55" s="7">
        <v>5622.6</v>
      </c>
      <c r="E55" s="2"/>
      <c r="F55" s="6">
        <f t="shared" si="28"/>
        <v>2.0520220022480787E-2</v>
      </c>
      <c r="G55" s="2"/>
      <c r="H55" s="7">
        <v>5000</v>
      </c>
      <c r="I55" s="2"/>
      <c r="J55" s="6">
        <f t="shared" si="29"/>
        <v>2.0977554017201593E-2</v>
      </c>
      <c r="K55" s="2"/>
      <c r="L55" s="7">
        <f t="shared" si="30"/>
        <v>622.60000000000036</v>
      </c>
      <c r="M55" s="2"/>
      <c r="N55" s="6">
        <f t="shared" si="31"/>
        <v>0.12452000000000008</v>
      </c>
      <c r="O55" s="11"/>
      <c r="P55" s="7">
        <v>51870.28</v>
      </c>
      <c r="Q55" s="2"/>
      <c r="R55" s="6">
        <f t="shared" si="32"/>
        <v>1.8769202935814602E-2</v>
      </c>
      <c r="S55" s="2"/>
      <c r="T55" s="7">
        <v>48000</v>
      </c>
      <c r="U55" s="2"/>
      <c r="V55" s="6">
        <f t="shared" si="33"/>
        <v>1.7435398217230533E-2</v>
      </c>
      <c r="W55" s="2"/>
      <c r="X55" s="7">
        <f t="shared" si="34"/>
        <v>3870.2799999999988</v>
      </c>
      <c r="Y55" s="2"/>
      <c r="Z55" s="6">
        <f t="shared" si="35"/>
        <v>8.0630833333333304E-2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85.92</v>
      </c>
      <c r="E56" s="1"/>
      <c r="F56" s="5">
        <f t="shared" si="28"/>
        <v>3.1357331204986109E-4</v>
      </c>
      <c r="G56" s="1"/>
      <c r="H56" s="1">
        <f>SUM(OSRRefH22_6x_0)</f>
        <v>150</v>
      </c>
      <c r="I56" s="1"/>
      <c r="J56" s="5">
        <f t="shared" si="29"/>
        <v>6.2932662051604787E-4</v>
      </c>
      <c r="K56" s="1"/>
      <c r="L56" s="1">
        <f t="shared" si="30"/>
        <v>-64.08</v>
      </c>
      <c r="M56" s="1"/>
      <c r="N56" s="5">
        <f t="shared" si="31"/>
        <v>-0.42719999999999997</v>
      </c>
      <c r="O56" s="13"/>
      <c r="P56" s="1">
        <f>SUM(OSRRefP22_6x_0)</f>
        <v>172.29</v>
      </c>
      <c r="Q56" s="1"/>
      <c r="R56" s="5">
        <f t="shared" si="32"/>
        <v>6.2342944241124154E-5</v>
      </c>
      <c r="S56" s="1"/>
      <c r="T56" s="1">
        <f>SUM(OSRRefT22_6x_0)</f>
        <v>1130</v>
      </c>
      <c r="U56" s="1"/>
      <c r="V56" s="5">
        <f t="shared" si="33"/>
        <v>4.1045833303063545E-4</v>
      </c>
      <c r="W56" s="1"/>
      <c r="X56" s="1">
        <f t="shared" si="34"/>
        <v>-957.71</v>
      </c>
      <c r="Y56" s="1"/>
      <c r="Z56" s="5">
        <f t="shared" si="35"/>
        <v>-0.84753097345132744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7">
        <v>85.92</v>
      </c>
      <c r="E57" s="2"/>
      <c r="F57" s="6">
        <f t="shared" si="28"/>
        <v>3.1357331204986109E-4</v>
      </c>
      <c r="G57" s="2"/>
      <c r="H57" s="7">
        <v>150</v>
      </c>
      <c r="I57" s="2"/>
      <c r="J57" s="6">
        <f t="shared" si="29"/>
        <v>6.2932662051604787E-4</v>
      </c>
      <c r="K57" s="2"/>
      <c r="L57" s="7">
        <f t="shared" si="30"/>
        <v>-64.08</v>
      </c>
      <c r="M57" s="2"/>
      <c r="N57" s="6">
        <f t="shared" si="31"/>
        <v>-0.42719999999999997</v>
      </c>
      <c r="O57" s="11"/>
      <c r="P57" s="7">
        <v>172.29</v>
      </c>
      <c r="Q57" s="2"/>
      <c r="R57" s="6">
        <f t="shared" si="32"/>
        <v>6.2342944241124154E-5</v>
      </c>
      <c r="S57" s="2"/>
      <c r="T57" s="7">
        <v>1130</v>
      </c>
      <c r="U57" s="2"/>
      <c r="V57" s="6">
        <f t="shared" si="33"/>
        <v>4.1045833303063545E-4</v>
      </c>
      <c r="W57" s="2"/>
      <c r="X57" s="7">
        <f t="shared" si="34"/>
        <v>-957.71</v>
      </c>
      <c r="Y57" s="2"/>
      <c r="Z57" s="6">
        <f t="shared" si="35"/>
        <v>-0.84753097345132744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589.26</v>
      </c>
      <c r="E58" s="1"/>
      <c r="F58" s="5">
        <f t="shared" si="28"/>
        <v>2.150561101705088E-3</v>
      </c>
      <c r="G58" s="1"/>
      <c r="H58" s="1">
        <f>SUM(OSRRefH22_7x_0)</f>
        <v>400</v>
      </c>
      <c r="I58" s="1"/>
      <c r="J58" s="5">
        <f t="shared" si="29"/>
        <v>1.6782043213761275E-3</v>
      </c>
      <c r="K58" s="1"/>
      <c r="L58" s="1">
        <f t="shared" si="30"/>
        <v>189.26</v>
      </c>
      <c r="M58" s="1"/>
      <c r="N58" s="5">
        <f t="shared" si="31"/>
        <v>0.47314999999999996</v>
      </c>
      <c r="O58" s="13"/>
      <c r="P58" s="1">
        <f>SUM(OSRRefP22_7x_0)</f>
        <v>1869.32</v>
      </c>
      <c r="Q58" s="1"/>
      <c r="R58" s="5">
        <f t="shared" si="32"/>
        <v>6.7641135602076856E-4</v>
      </c>
      <c r="S58" s="1"/>
      <c r="T58" s="1">
        <f>SUM(OSRRefT22_7x_0)</f>
        <v>3000</v>
      </c>
      <c r="U58" s="1"/>
      <c r="V58" s="5">
        <f t="shared" si="33"/>
        <v>1.0897123885769083E-3</v>
      </c>
      <c r="W58" s="1"/>
      <c r="X58" s="1">
        <f t="shared" si="34"/>
        <v>-1130.68</v>
      </c>
      <c r="Y58" s="1"/>
      <c r="Z58" s="5">
        <f t="shared" si="35"/>
        <v>-0.37689333333333336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7">
        <v>589.26</v>
      </c>
      <c r="E59" s="2"/>
      <c r="F59" s="6">
        <f t="shared" si="28"/>
        <v>2.150561101705088E-3</v>
      </c>
      <c r="G59" s="2"/>
      <c r="H59" s="7">
        <v>400</v>
      </c>
      <c r="I59" s="2"/>
      <c r="J59" s="6">
        <f t="shared" si="29"/>
        <v>1.6782043213761275E-3</v>
      </c>
      <c r="K59" s="2"/>
      <c r="L59" s="7">
        <f t="shared" si="30"/>
        <v>189.26</v>
      </c>
      <c r="M59" s="2"/>
      <c r="N59" s="6">
        <f t="shared" si="31"/>
        <v>0.47314999999999996</v>
      </c>
      <c r="O59" s="11"/>
      <c r="P59" s="7">
        <v>1869.32</v>
      </c>
      <c r="Q59" s="2"/>
      <c r="R59" s="6">
        <f t="shared" si="32"/>
        <v>6.7641135602076856E-4</v>
      </c>
      <c r="S59" s="2"/>
      <c r="T59" s="7">
        <v>3000</v>
      </c>
      <c r="U59" s="2"/>
      <c r="V59" s="6">
        <f t="shared" si="33"/>
        <v>1.0897123885769083E-3</v>
      </c>
      <c r="W59" s="2"/>
      <c r="X59" s="7">
        <f t="shared" si="34"/>
        <v>-1130.68</v>
      </c>
      <c r="Y59" s="2"/>
      <c r="Z59" s="6">
        <f t="shared" si="35"/>
        <v>-0.37689333333333336</v>
      </c>
    </row>
    <row r="60" spans="1:26" s="27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540.25</v>
      </c>
      <c r="E60" s="1"/>
      <c r="F60" s="5">
        <f t="shared" si="28"/>
        <v>1.9716943882092347E-3</v>
      </c>
      <c r="G60" s="1"/>
      <c r="H60" s="1">
        <f>SUM(OSRRefH22_8x_0)</f>
        <v>250</v>
      </c>
      <c r="I60" s="1"/>
      <c r="J60" s="5">
        <f t="shared" si="29"/>
        <v>1.0488777008600798E-3</v>
      </c>
      <c r="K60" s="1"/>
      <c r="L60" s="1">
        <f t="shared" si="30"/>
        <v>290.25</v>
      </c>
      <c r="M60" s="1"/>
      <c r="N60" s="5">
        <f t="shared" si="31"/>
        <v>1.161</v>
      </c>
      <c r="O60" s="13"/>
      <c r="P60" s="1">
        <f>SUM(OSRRefP22_8x_0)</f>
        <v>2391.19</v>
      </c>
      <c r="Q60" s="1"/>
      <c r="R60" s="5">
        <f t="shared" si="32"/>
        <v>8.6524943316462766E-4</v>
      </c>
      <c r="S60" s="1"/>
      <c r="T60" s="1">
        <f>SUM(OSRRefT22_8x_0)</f>
        <v>2745</v>
      </c>
      <c r="U60" s="1"/>
      <c r="V60" s="5">
        <f t="shared" si="33"/>
        <v>9.9708683554787102E-4</v>
      </c>
      <c r="W60" s="1"/>
      <c r="X60" s="1">
        <f t="shared" si="34"/>
        <v>-353.80999999999995</v>
      </c>
      <c r="Y60" s="1"/>
      <c r="Z60" s="5">
        <f t="shared" si="35"/>
        <v>-0.12889253187613842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7">
        <v>540.25</v>
      </c>
      <c r="E61" s="2"/>
      <c r="F61" s="6">
        <f t="shared" si="28"/>
        <v>1.9716943882092347E-3</v>
      </c>
      <c r="G61" s="2"/>
      <c r="H61" s="7">
        <v>250</v>
      </c>
      <c r="I61" s="2"/>
      <c r="J61" s="6">
        <f t="shared" si="29"/>
        <v>1.0488777008600798E-3</v>
      </c>
      <c r="K61" s="2"/>
      <c r="L61" s="7">
        <f t="shared" si="30"/>
        <v>290.25</v>
      </c>
      <c r="M61" s="2"/>
      <c r="N61" s="6">
        <f t="shared" si="31"/>
        <v>1.161</v>
      </c>
      <c r="O61" s="11"/>
      <c r="P61" s="7">
        <v>2391.19</v>
      </c>
      <c r="Q61" s="2"/>
      <c r="R61" s="6">
        <f t="shared" si="32"/>
        <v>8.6524943316462766E-4</v>
      </c>
      <c r="S61" s="2"/>
      <c r="T61" s="7">
        <v>2745</v>
      </c>
      <c r="U61" s="2"/>
      <c r="V61" s="6">
        <f t="shared" si="33"/>
        <v>9.9708683554787102E-4</v>
      </c>
      <c r="W61" s="2"/>
      <c r="X61" s="7">
        <f t="shared" si="34"/>
        <v>-353.80999999999995</v>
      </c>
      <c r="Y61" s="2"/>
      <c r="Z61" s="6">
        <f t="shared" si="35"/>
        <v>-0.12889253187613842</v>
      </c>
    </row>
    <row r="62" spans="1:26" s="27" customFormat="1" outlineLevel="1" collapsed="1" x14ac:dyDescent="0.25">
      <c r="A62" s="26"/>
      <c r="B62" s="13" t="str">
        <f>CONCATENATE("     ","R/H Commissions                                   ")</f>
        <v xml:space="preserve">     R/H Commissions                                   </v>
      </c>
      <c r="C62" s="13"/>
      <c r="D62" s="1">
        <f>SUM(OSRRefD22_9x_0)</f>
        <v>22068.31</v>
      </c>
      <c r="E62" s="1"/>
      <c r="F62" s="5">
        <f t="shared" si="28"/>
        <v>8.0540421997707987E-2</v>
      </c>
      <c r="G62" s="1"/>
      <c r="H62" s="1">
        <f>SUM(OSRRefH22_9x_0)</f>
        <v>19068</v>
      </c>
      <c r="I62" s="1"/>
      <c r="J62" s="5">
        <f t="shared" si="29"/>
        <v>0.08</v>
      </c>
      <c r="K62" s="1"/>
      <c r="L62" s="1">
        <f t="shared" si="30"/>
        <v>3000.3100000000013</v>
      </c>
      <c r="M62" s="1"/>
      <c r="N62" s="5">
        <f t="shared" si="31"/>
        <v>0.15734791273337537</v>
      </c>
      <c r="O62" s="13"/>
      <c r="P62" s="1">
        <f>SUM(OSRRefP22_9x_0)</f>
        <v>213574.03</v>
      </c>
      <c r="Q62" s="1"/>
      <c r="R62" s="5">
        <f t="shared" si="32"/>
        <v>7.72815244276637E-2</v>
      </c>
      <c r="S62" s="1"/>
      <c r="T62" s="1">
        <f>SUM(OSRRefT22_9x_0)</f>
        <v>220242</v>
      </c>
      <c r="U62" s="1"/>
      <c r="V62" s="5">
        <f t="shared" si="33"/>
        <v>8.0000145294985142E-2</v>
      </c>
      <c r="W62" s="1"/>
      <c r="X62" s="1">
        <f t="shared" si="34"/>
        <v>-6667.9700000000012</v>
      </c>
      <c r="Y62" s="1"/>
      <c r="Z62" s="5">
        <f t="shared" si="35"/>
        <v>-3.027565132899266E-2</v>
      </c>
    </row>
    <row r="63" spans="1:26" s="24" customFormat="1" hidden="1" outlineLevel="2" x14ac:dyDescent="0.25">
      <c r="A63" s="25"/>
      <c r="B63" s="11" t="str">
        <f>CONCATENATE("          ", "6387", " - ", "COMMISSION DUE HOUSING")</f>
        <v xml:space="preserve">          6387 - COMMISSION DUE HOUSING</v>
      </c>
      <c r="C63" s="11"/>
      <c r="D63" s="7">
        <v>22068.31</v>
      </c>
      <c r="E63" s="2"/>
      <c r="F63" s="6">
        <f t="shared" si="28"/>
        <v>8.0540421997707987E-2</v>
      </c>
      <c r="G63" s="2"/>
      <c r="H63" s="7">
        <v>19068</v>
      </c>
      <c r="I63" s="2"/>
      <c r="J63" s="6">
        <f t="shared" si="29"/>
        <v>0.08</v>
      </c>
      <c r="K63" s="2"/>
      <c r="L63" s="7">
        <f t="shared" si="30"/>
        <v>3000.3100000000013</v>
      </c>
      <c r="M63" s="2"/>
      <c r="N63" s="6">
        <f t="shared" si="31"/>
        <v>0.15734791273337537</v>
      </c>
      <c r="O63" s="11"/>
      <c r="P63" s="7">
        <v>213574.03</v>
      </c>
      <c r="Q63" s="2"/>
      <c r="R63" s="6">
        <f t="shared" si="32"/>
        <v>7.72815244276637E-2</v>
      </c>
      <c r="S63" s="2"/>
      <c r="T63" s="7">
        <v>220242</v>
      </c>
      <c r="U63" s="2"/>
      <c r="V63" s="6">
        <f t="shared" si="33"/>
        <v>8.0000145294985142E-2</v>
      </c>
      <c r="W63" s="2"/>
      <c r="X63" s="7">
        <f t="shared" si="34"/>
        <v>-6667.9700000000012</v>
      </c>
      <c r="Y63" s="2"/>
      <c r="Z63" s="6">
        <f t="shared" si="35"/>
        <v>-3.027565132899266E-2</v>
      </c>
    </row>
    <row r="64" spans="1:26" s="27" customFormat="1" outlineLevel="1" collapsed="1" x14ac:dyDescent="0.25">
      <c r="A64" s="26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SUM(OSRRefD22_10x_0)</f>
        <v>0</v>
      </c>
      <c r="E64" s="1"/>
      <c r="F64" s="5">
        <f t="shared" si="28"/>
        <v>0</v>
      </c>
      <c r="G64" s="1"/>
      <c r="H64" s="1">
        <f>SUM(OSRRefH22_10x_0)</f>
        <v>250</v>
      </c>
      <c r="I64" s="1"/>
      <c r="J64" s="5">
        <f t="shared" si="29"/>
        <v>1.0488777008600798E-3</v>
      </c>
      <c r="K64" s="1"/>
      <c r="L64" s="1">
        <f t="shared" si="30"/>
        <v>-250</v>
      </c>
      <c r="M64" s="1"/>
      <c r="N64" s="5">
        <f t="shared" si="31"/>
        <v>-1</v>
      </c>
      <c r="O64" s="13"/>
      <c r="P64" s="1">
        <f>SUM(OSRRefP22_10x_0)</f>
        <v>8530.3700000000008</v>
      </c>
      <c r="Q64" s="1"/>
      <c r="R64" s="5">
        <f t="shared" si="32"/>
        <v>3.0867048654371022E-3</v>
      </c>
      <c r="S64" s="1"/>
      <c r="T64" s="1">
        <f>SUM(OSRRefT22_10x_0)</f>
        <v>5250</v>
      </c>
      <c r="U64" s="1"/>
      <c r="V64" s="5">
        <f t="shared" si="33"/>
        <v>1.9069966800095894E-3</v>
      </c>
      <c r="W64" s="1"/>
      <c r="X64" s="1">
        <f t="shared" si="34"/>
        <v>3280.3700000000008</v>
      </c>
      <c r="Y64" s="1"/>
      <c r="Z64" s="5">
        <f t="shared" si="35"/>
        <v>0.62483238095238114</v>
      </c>
    </row>
    <row r="65" spans="1:26" s="24" customFormat="1" hidden="1" outlineLevel="2" x14ac:dyDescent="0.25">
      <c r="A65" s="25"/>
      <c r="B65" s="11" t="str">
        <f>CONCATENATE("          ", "6371", " - ", "COMPUTER SOFTWARE MAINTENANCE")</f>
        <v xml:space="preserve">          6371 - COMPUTER SOFTWARE MAINTENANCE</v>
      </c>
      <c r="C65" s="11"/>
      <c r="D65" s="7"/>
      <c r="E65" s="2"/>
      <c r="F65" s="6">
        <f t="shared" si="28"/>
        <v>0</v>
      </c>
      <c r="G65" s="2"/>
      <c r="H65" s="7"/>
      <c r="I65" s="2"/>
      <c r="J65" s="6">
        <f t="shared" si="29"/>
        <v>0</v>
      </c>
      <c r="K65" s="2"/>
      <c r="L65" s="7">
        <f t="shared" si="30"/>
        <v>0</v>
      </c>
      <c r="M65" s="2"/>
      <c r="N65" s="6">
        <f t="shared" si="31"/>
        <v>0</v>
      </c>
      <c r="O65" s="11"/>
      <c r="P65" s="7">
        <v>8238.75</v>
      </c>
      <c r="Q65" s="2"/>
      <c r="R65" s="6">
        <f t="shared" si="32"/>
        <v>2.9811824938566467E-3</v>
      </c>
      <c r="S65" s="2"/>
      <c r="T65" s="7"/>
      <c r="U65" s="2"/>
      <c r="V65" s="6">
        <f t="shared" si="33"/>
        <v>0</v>
      </c>
      <c r="W65" s="2"/>
      <c r="X65" s="7">
        <f t="shared" si="34"/>
        <v>8238.75</v>
      </c>
      <c r="Y65" s="2"/>
      <c r="Z65" s="6">
        <f t="shared" si="35"/>
        <v>0</v>
      </c>
    </row>
    <row r="66" spans="1:26" s="24" customFormat="1" hidden="1" outlineLevel="2" x14ac:dyDescent="0.25">
      <c r="A66" s="25"/>
      <c r="B66" s="11" t="str">
        <f>CONCATENATE("          ", "6373", " - ", "MAINTENANCE CONTRACTS")</f>
        <v xml:space="preserve">          6373 - MAINTENANCE CONTRACTS</v>
      </c>
      <c r="C66" s="11"/>
      <c r="D66" s="7"/>
      <c r="E66" s="2"/>
      <c r="F66" s="6">
        <f t="shared" si="28"/>
        <v>0</v>
      </c>
      <c r="G66" s="2"/>
      <c r="H66" s="7"/>
      <c r="I66" s="2"/>
      <c r="J66" s="6">
        <f t="shared" si="29"/>
        <v>0</v>
      </c>
      <c r="K66" s="2"/>
      <c r="L66" s="7">
        <f t="shared" si="30"/>
        <v>0</v>
      </c>
      <c r="M66" s="2"/>
      <c r="N66" s="6">
        <f t="shared" si="31"/>
        <v>0</v>
      </c>
      <c r="O66" s="11"/>
      <c r="P66" s="7">
        <v>139.84</v>
      </c>
      <c r="Q66" s="2"/>
      <c r="R66" s="6">
        <f t="shared" si="32"/>
        <v>5.0600947952166711E-5</v>
      </c>
      <c r="S66" s="2"/>
      <c r="T66" s="7">
        <v>3500</v>
      </c>
      <c r="U66" s="2"/>
      <c r="V66" s="6">
        <f t="shared" si="33"/>
        <v>1.271331120006393E-3</v>
      </c>
      <c r="W66" s="2"/>
      <c r="X66" s="7">
        <f t="shared" si="34"/>
        <v>-3360.16</v>
      </c>
      <c r="Y66" s="2"/>
      <c r="Z66" s="6">
        <f t="shared" si="35"/>
        <v>-0.96004571428571428</v>
      </c>
    </row>
    <row r="67" spans="1:26" s="24" customFormat="1" hidden="1" outlineLevel="2" x14ac:dyDescent="0.25">
      <c r="A67" s="25"/>
      <c r="B67" s="11" t="str">
        <f>CONCATENATE("          ", "6375", " - ", "OUTSIDE REPAIRS &amp; MAINTENANCE")</f>
        <v xml:space="preserve">          6375 - OUTSIDE REPAIRS &amp; MAINTENANCE</v>
      </c>
      <c r="C67" s="11"/>
      <c r="D67" s="7"/>
      <c r="E67" s="2"/>
      <c r="F67" s="6">
        <f t="shared" si="28"/>
        <v>0</v>
      </c>
      <c r="G67" s="2"/>
      <c r="H67" s="7">
        <v>250</v>
      </c>
      <c r="I67" s="2"/>
      <c r="J67" s="6">
        <f t="shared" si="29"/>
        <v>1.0488777008600798E-3</v>
      </c>
      <c r="K67" s="2"/>
      <c r="L67" s="7">
        <f t="shared" si="30"/>
        <v>-250</v>
      </c>
      <c r="M67" s="2"/>
      <c r="N67" s="6">
        <f t="shared" si="31"/>
        <v>-1</v>
      </c>
      <c r="O67" s="11"/>
      <c r="P67" s="7">
        <v>151.78</v>
      </c>
      <c r="Q67" s="2"/>
      <c r="R67" s="6">
        <f t="shared" si="32"/>
        <v>5.49214236282885E-5</v>
      </c>
      <c r="S67" s="2"/>
      <c r="T67" s="7">
        <v>1750</v>
      </c>
      <c r="U67" s="2"/>
      <c r="V67" s="6">
        <f t="shared" si="33"/>
        <v>6.3566556000319648E-4</v>
      </c>
      <c r="W67" s="2"/>
      <c r="X67" s="7">
        <f t="shared" si="34"/>
        <v>-1598.22</v>
      </c>
      <c r="Y67" s="2"/>
      <c r="Z67" s="6">
        <f t="shared" si="35"/>
        <v>-0.91326857142857143</v>
      </c>
    </row>
    <row r="68" spans="1:26" s="27" customFormat="1" outlineLevel="1" collapsed="1" x14ac:dyDescent="0.25">
      <c r="A68" s="26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SUM(OSRRefD22_11x_0)</f>
        <v>5745.24</v>
      </c>
      <c r="E68" s="1"/>
      <c r="F68" s="5">
        <f t="shared" ref="F68:F72" si="36">IF(D$12=0,0,D68/D$12)</f>
        <v>2.0967806509792179E-2</v>
      </c>
      <c r="G68" s="1"/>
      <c r="H68" s="1">
        <f>SUM(OSRRefH22_11x_0)</f>
        <v>6758</v>
      </c>
      <c r="I68" s="1"/>
      <c r="J68" s="5">
        <f t="shared" ref="J68:J72" si="37">IF(H$12=0,0,H68/H$12)</f>
        <v>2.8353262009649674E-2</v>
      </c>
      <c r="K68" s="1"/>
      <c r="L68" s="1">
        <f t="shared" ref="L68:L72" si="38">+D68-H68</f>
        <v>-1012.7600000000002</v>
      </c>
      <c r="M68" s="1"/>
      <c r="N68" s="5">
        <f t="shared" ref="N68:N72" si="39">IF(H68=0,0,L68/H68)</f>
        <v>-0.14986090559337084</v>
      </c>
      <c r="O68" s="13"/>
      <c r="P68" s="1">
        <f>SUM(OSRRefP22_11x_0)</f>
        <v>43853.45</v>
      </c>
      <c r="Q68" s="1"/>
      <c r="R68" s="5">
        <f t="shared" ref="R68:R72" si="40">IF(P$12=0,0,P68/P$12)</f>
        <v>1.5868321946316828E-2</v>
      </c>
      <c r="S68" s="1"/>
      <c r="T68" s="1">
        <f>SUM(OSRRefT22_11x_0)</f>
        <v>45868</v>
      </c>
      <c r="U68" s="1"/>
      <c r="V68" s="5">
        <f t="shared" ref="V68:V72" si="41">IF(T$12=0,0,T68/T$12)</f>
        <v>1.6660975946415208E-2</v>
      </c>
      <c r="W68" s="1"/>
      <c r="X68" s="1">
        <f t="shared" ref="X68:X72" si="42">+P68-T68</f>
        <v>-2014.5500000000029</v>
      </c>
      <c r="Y68" s="1"/>
      <c r="Z68" s="5">
        <f t="shared" ref="Z68:Z72" si="43">IF(T68=0,0,X68/T68)</f>
        <v>-4.3920598238423363E-2</v>
      </c>
    </row>
    <row r="69" spans="1:26" s="24" customFormat="1" hidden="1" outlineLevel="2" x14ac:dyDescent="0.25">
      <c r="A69" s="25"/>
      <c r="B69" s="11" t="str">
        <f>CONCATENATE("          ", "6282", " - ", "JANITORIAL/EXTERMINATOR EXPENS")</f>
        <v xml:space="preserve">          6282 - JANITORIAL/EXTERMINATOR EXPENS</v>
      </c>
      <c r="C69" s="11"/>
      <c r="D69" s="7"/>
      <c r="E69" s="2"/>
      <c r="F69" s="6">
        <f t="shared" si="36"/>
        <v>0</v>
      </c>
      <c r="G69" s="2"/>
      <c r="H69" s="7">
        <v>450</v>
      </c>
      <c r="I69" s="2"/>
      <c r="J69" s="6">
        <f t="shared" si="37"/>
        <v>1.8879798615481435E-3</v>
      </c>
      <c r="K69" s="2"/>
      <c r="L69" s="7">
        <f t="shared" si="38"/>
        <v>-450</v>
      </c>
      <c r="M69" s="2"/>
      <c r="N69" s="6">
        <f t="shared" si="39"/>
        <v>-1</v>
      </c>
      <c r="O69" s="11"/>
      <c r="P69" s="7">
        <v>3041.24</v>
      </c>
      <c r="Q69" s="2"/>
      <c r="R69" s="6">
        <f t="shared" si="40"/>
        <v>1.1004693002720787E-3</v>
      </c>
      <c r="S69" s="2"/>
      <c r="T69" s="7">
        <v>3150</v>
      </c>
      <c r="U69" s="2"/>
      <c r="V69" s="6">
        <f t="shared" si="41"/>
        <v>1.1441980080057537E-3</v>
      </c>
      <c r="W69" s="2"/>
      <c r="X69" s="7">
        <f t="shared" si="42"/>
        <v>-108.76000000000022</v>
      </c>
      <c r="Y69" s="2"/>
      <c r="Z69" s="6">
        <f t="shared" si="43"/>
        <v>-3.4526984126984198E-2</v>
      </c>
    </row>
    <row r="70" spans="1:26" s="24" customFormat="1" hidden="1" outlineLevel="2" x14ac:dyDescent="0.25">
      <c r="A70" s="25"/>
      <c r="B70" s="11" t="str">
        <f>CONCATENATE("          ", "6284", " - ", "TRASH REMOVAL EXPENSE")</f>
        <v xml:space="preserve">          6284 - TRASH REMOVAL EXPENSE</v>
      </c>
      <c r="C70" s="11"/>
      <c r="D70" s="7"/>
      <c r="E70" s="2"/>
      <c r="F70" s="6">
        <f t="shared" si="36"/>
        <v>0</v>
      </c>
      <c r="G70" s="2"/>
      <c r="H70" s="7">
        <v>550</v>
      </c>
      <c r="I70" s="2"/>
      <c r="J70" s="6">
        <f t="shared" si="37"/>
        <v>2.3075309418921753E-3</v>
      </c>
      <c r="K70" s="2"/>
      <c r="L70" s="7">
        <f t="shared" si="38"/>
        <v>-550</v>
      </c>
      <c r="M70" s="2"/>
      <c r="N70" s="6">
        <f t="shared" si="39"/>
        <v>-1</v>
      </c>
      <c r="O70" s="11"/>
      <c r="P70" s="7"/>
      <c r="Q70" s="2"/>
      <c r="R70" s="6">
        <f t="shared" si="40"/>
        <v>0</v>
      </c>
      <c r="S70" s="2"/>
      <c r="T70" s="7">
        <v>3800</v>
      </c>
      <c r="U70" s="2"/>
      <c r="V70" s="6">
        <f t="shared" si="41"/>
        <v>1.3803023588640838E-3</v>
      </c>
      <c r="W70" s="2"/>
      <c r="X70" s="7">
        <f t="shared" si="42"/>
        <v>-3800</v>
      </c>
      <c r="Y70" s="2"/>
      <c r="Z70" s="6">
        <f t="shared" si="43"/>
        <v>-1</v>
      </c>
    </row>
    <row r="71" spans="1:26" s="24" customFormat="1" hidden="1" outlineLevel="2" x14ac:dyDescent="0.25">
      <c r="A71" s="25"/>
      <c r="B71" s="11" t="str">
        <f>CONCATENATE("          ", "6285", " - ", "JANITORIAL SERVICES")</f>
        <v xml:space="preserve">          6285 - JANITORIAL SERVICES</v>
      </c>
      <c r="C71" s="11"/>
      <c r="D71" s="7">
        <v>4157.05</v>
      </c>
      <c r="E71" s="2"/>
      <c r="F71" s="6">
        <f t="shared" si="36"/>
        <v>1.5171554199917076E-2</v>
      </c>
      <c r="G71" s="2"/>
      <c r="H71" s="7">
        <v>4158</v>
      </c>
      <c r="I71" s="2"/>
      <c r="J71" s="6">
        <f t="shared" si="37"/>
        <v>1.7444933920704845E-2</v>
      </c>
      <c r="K71" s="2"/>
      <c r="L71" s="7">
        <f t="shared" si="38"/>
        <v>-0.9499999999998181</v>
      </c>
      <c r="M71" s="2"/>
      <c r="N71" s="6">
        <f t="shared" si="39"/>
        <v>-2.2847522847518472E-4</v>
      </c>
      <c r="O71" s="11"/>
      <c r="P71" s="7">
        <v>28706.43</v>
      </c>
      <c r="Q71" s="2"/>
      <c r="R71" s="6">
        <f t="shared" si="40"/>
        <v>1.0387389661917313E-2</v>
      </c>
      <c r="S71" s="2"/>
      <c r="T71" s="7">
        <v>27718</v>
      </c>
      <c r="U71" s="2"/>
      <c r="V71" s="6">
        <f t="shared" si="41"/>
        <v>1.0068215995524914E-2</v>
      </c>
      <c r="W71" s="2"/>
      <c r="X71" s="7">
        <f t="shared" si="42"/>
        <v>988.43000000000029</v>
      </c>
      <c r="Y71" s="2"/>
      <c r="Z71" s="6">
        <f t="shared" si="43"/>
        <v>3.5660220795151173E-2</v>
      </c>
    </row>
    <row r="72" spans="1:26" s="24" customFormat="1" hidden="1" outlineLevel="2" x14ac:dyDescent="0.25">
      <c r="A72" s="25"/>
      <c r="B72" s="11" t="str">
        <f>CONCATENATE("          ", "6286", " - ", "LAUNDRY EXPENSE")</f>
        <v xml:space="preserve">          6286 - LAUNDRY EXPENSE</v>
      </c>
      <c r="C72" s="11"/>
      <c r="D72" s="7">
        <v>1588.19</v>
      </c>
      <c r="E72" s="2"/>
      <c r="F72" s="6">
        <f t="shared" si="36"/>
        <v>5.7962523098751039E-3</v>
      </c>
      <c r="G72" s="2"/>
      <c r="H72" s="7">
        <v>1600</v>
      </c>
      <c r="I72" s="2"/>
      <c r="J72" s="6">
        <f t="shared" si="37"/>
        <v>6.7128172855045101E-3</v>
      </c>
      <c r="K72" s="2"/>
      <c r="L72" s="7">
        <f t="shared" si="38"/>
        <v>-11.809999999999945</v>
      </c>
      <c r="M72" s="2"/>
      <c r="N72" s="6">
        <f t="shared" si="39"/>
        <v>-7.381249999999966E-3</v>
      </c>
      <c r="O72" s="11"/>
      <c r="P72" s="7">
        <v>12105.78</v>
      </c>
      <c r="Q72" s="2"/>
      <c r="R72" s="6">
        <f t="shared" si="40"/>
        <v>4.3804629841274366E-3</v>
      </c>
      <c r="S72" s="2"/>
      <c r="T72" s="7">
        <v>11200</v>
      </c>
      <c r="U72" s="2"/>
      <c r="V72" s="6">
        <f t="shared" si="41"/>
        <v>4.0682595840204573E-3</v>
      </c>
      <c r="W72" s="2"/>
      <c r="X72" s="7">
        <f t="shared" si="42"/>
        <v>905.78000000000065</v>
      </c>
      <c r="Y72" s="2"/>
      <c r="Z72" s="6">
        <f t="shared" si="43"/>
        <v>8.087321428571434E-2</v>
      </c>
    </row>
    <row r="73" spans="1:26" s="27" customFormat="1" outlineLevel="1" collapsed="1" x14ac:dyDescent="0.25">
      <c r="A73" s="26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SUM(OSRRefD22_12x_0)</f>
        <v>6911.77</v>
      </c>
      <c r="E73" s="1"/>
      <c r="F73" s="5">
        <f t="shared" ref="F73:F81" si="44">IF(D$12=0,0,D73/D$12)</f>
        <v>2.5225170053850891E-2</v>
      </c>
      <c r="G73" s="1"/>
      <c r="H73" s="1">
        <f>SUM(OSRRefH22_12x_0)</f>
        <v>10335</v>
      </c>
      <c r="I73" s="1"/>
      <c r="J73" s="5">
        <f t="shared" ref="J73:J81" si="45">IF(H$12=0,0,H73/H$12)</f>
        <v>4.3360604153555693E-2</v>
      </c>
      <c r="K73" s="1"/>
      <c r="L73" s="1">
        <f t="shared" ref="L73:L81" si="46">+D73-H73</f>
        <v>-3423.2299999999996</v>
      </c>
      <c r="M73" s="1"/>
      <c r="N73" s="5">
        <f t="shared" ref="N73:N81" si="47">IF(H73=0,0,L73/H73)</f>
        <v>-0.33122689888727619</v>
      </c>
      <c r="O73" s="13"/>
      <c r="P73" s="1">
        <f>SUM(OSRRefP22_12x_0)</f>
        <v>46576.53</v>
      </c>
      <c r="Q73" s="1"/>
      <c r="R73" s="5">
        <f t="shared" ref="R73:R81" si="48">IF(P$12=0,0,P73/P$12)</f>
        <v>1.685366540562451E-2</v>
      </c>
      <c r="S73" s="1"/>
      <c r="T73" s="1">
        <f>SUM(OSRRefT22_12x_0)</f>
        <v>65285</v>
      </c>
      <c r="U73" s="1"/>
      <c r="V73" s="5">
        <f t="shared" ref="V73:V81" si="49">IF(T$12=0,0,T73/T$12)</f>
        <v>2.3713957762747817E-2</v>
      </c>
      <c r="W73" s="1"/>
      <c r="X73" s="1">
        <f t="shared" ref="X73:X81" si="50">+P73-T73</f>
        <v>-18708.47</v>
      </c>
      <c r="Y73" s="1"/>
      <c r="Z73" s="5">
        <f t="shared" ref="Z73:Z81" si="51">IF(T73=0,0,X73/T73)</f>
        <v>-0.28656613310867735</v>
      </c>
    </row>
    <row r="74" spans="1:26" s="24" customFormat="1" hidden="1" outlineLevel="2" x14ac:dyDescent="0.25">
      <c r="A74" s="25"/>
      <c r="B74" s="11" t="str">
        <f>CONCATENATE("          ", "6237", " - ", "JANITORIAL SUPPLIES")</f>
        <v xml:space="preserve">          6237 - JANITORIAL SUPPLIES</v>
      </c>
      <c r="C74" s="11"/>
      <c r="D74" s="7">
        <v>2044.11</v>
      </c>
      <c r="E74" s="2"/>
      <c r="F74" s="6">
        <f t="shared" si="44"/>
        <v>7.4601762441136119E-3</v>
      </c>
      <c r="G74" s="2"/>
      <c r="H74" s="7">
        <v>3850</v>
      </c>
      <c r="I74" s="2"/>
      <c r="J74" s="6">
        <f t="shared" si="45"/>
        <v>1.6152716593245228E-2</v>
      </c>
      <c r="K74" s="2"/>
      <c r="L74" s="7">
        <f t="shared" si="46"/>
        <v>-1805.89</v>
      </c>
      <c r="M74" s="2"/>
      <c r="N74" s="6">
        <f t="shared" si="47"/>
        <v>-0.46906233766233768</v>
      </c>
      <c r="O74" s="11"/>
      <c r="P74" s="7">
        <v>20333.580000000002</v>
      </c>
      <c r="Q74" s="2"/>
      <c r="R74" s="6">
        <f t="shared" si="48"/>
        <v>7.357683232703219E-3</v>
      </c>
      <c r="S74" s="2"/>
      <c r="T74" s="7">
        <v>27700</v>
      </c>
      <c r="U74" s="2"/>
      <c r="V74" s="6">
        <f t="shared" si="49"/>
        <v>1.0061677721193454E-2</v>
      </c>
      <c r="W74" s="2"/>
      <c r="X74" s="7">
        <f t="shared" si="50"/>
        <v>-7366.4199999999983</v>
      </c>
      <c r="Y74" s="2"/>
      <c r="Z74" s="6">
        <f t="shared" si="51"/>
        <v>-0.26593574007220211</v>
      </c>
    </row>
    <row r="75" spans="1:26" s="24" customFormat="1" hidden="1" outlineLevel="2" x14ac:dyDescent="0.25">
      <c r="A75" s="25"/>
      <c r="B75" s="11" t="str">
        <f>CONCATENATE("          ", "6239", " - ", "KITCHEN SUPPLIES")</f>
        <v xml:space="preserve">          6239 - KITCHEN SUPPLIES</v>
      </c>
      <c r="C75" s="11"/>
      <c r="D75" s="7">
        <v>1630.06</v>
      </c>
      <c r="E75" s="2"/>
      <c r="F75" s="6">
        <f t="shared" si="44"/>
        <v>5.9490609059589918E-3</v>
      </c>
      <c r="G75" s="2"/>
      <c r="H75" s="7">
        <v>1850</v>
      </c>
      <c r="I75" s="2"/>
      <c r="J75" s="6">
        <f t="shared" si="45"/>
        <v>7.7616949863645902E-3</v>
      </c>
      <c r="K75" s="2"/>
      <c r="L75" s="7">
        <f t="shared" si="46"/>
        <v>-219.94000000000005</v>
      </c>
      <c r="M75" s="2"/>
      <c r="N75" s="6">
        <f t="shared" si="47"/>
        <v>-0.11888648648648652</v>
      </c>
      <c r="O75" s="11"/>
      <c r="P75" s="7">
        <v>4825.76</v>
      </c>
      <c r="Q75" s="2"/>
      <c r="R75" s="6">
        <f t="shared" si="48"/>
        <v>1.7461958709213963E-3</v>
      </c>
      <c r="S75" s="2"/>
      <c r="T75" s="7">
        <v>12850</v>
      </c>
      <c r="U75" s="2"/>
      <c r="V75" s="6">
        <f t="shared" si="49"/>
        <v>4.6676013977377572E-3</v>
      </c>
      <c r="W75" s="2"/>
      <c r="X75" s="7">
        <f t="shared" si="50"/>
        <v>-8024.24</v>
      </c>
      <c r="Y75" s="2"/>
      <c r="Z75" s="6">
        <f t="shared" si="51"/>
        <v>-0.62445447470817117</v>
      </c>
    </row>
    <row r="76" spans="1:26" s="24" customFormat="1" hidden="1" outlineLevel="2" x14ac:dyDescent="0.25">
      <c r="A76" s="25"/>
      <c r="B76" s="11" t="str">
        <f>CONCATENATE("          ", "6241", " - ", "OFFICE EXPENSE")</f>
        <v xml:space="preserve">          6241 - OFFICE EXPENSE</v>
      </c>
      <c r="C76" s="11"/>
      <c r="D76" s="7">
        <v>346.61</v>
      </c>
      <c r="E76" s="2"/>
      <c r="F76" s="6">
        <f t="shared" si="44"/>
        <v>1.2649865652886682E-3</v>
      </c>
      <c r="G76" s="2"/>
      <c r="H76" s="7">
        <v>500</v>
      </c>
      <c r="I76" s="2"/>
      <c r="J76" s="6">
        <f t="shared" si="45"/>
        <v>2.0977554017201595E-3</v>
      </c>
      <c r="K76" s="2"/>
      <c r="L76" s="7">
        <f t="shared" si="46"/>
        <v>-153.38999999999999</v>
      </c>
      <c r="M76" s="2"/>
      <c r="N76" s="6">
        <f t="shared" si="47"/>
        <v>-0.30678</v>
      </c>
      <c r="O76" s="11"/>
      <c r="P76" s="7">
        <v>1761.86</v>
      </c>
      <c r="Q76" s="2"/>
      <c r="R76" s="6">
        <f t="shared" si="48"/>
        <v>6.375270749356725E-4</v>
      </c>
      <c r="S76" s="2"/>
      <c r="T76" s="7">
        <v>3300</v>
      </c>
      <c r="U76" s="2"/>
      <c r="V76" s="6">
        <f t="shared" si="49"/>
        <v>1.1986836274345992E-3</v>
      </c>
      <c r="W76" s="2"/>
      <c r="X76" s="7">
        <f t="shared" si="50"/>
        <v>-1538.14</v>
      </c>
      <c r="Y76" s="2"/>
      <c r="Z76" s="6">
        <f t="shared" si="51"/>
        <v>-0.46610303030303035</v>
      </c>
    </row>
    <row r="77" spans="1:26" s="24" customFormat="1" hidden="1" outlineLevel="2" x14ac:dyDescent="0.25">
      <c r="A77" s="25"/>
      <c r="B77" s="11" t="str">
        <f>CONCATENATE("          ", "6243", " - ", "PAPER SUPPLIES")</f>
        <v xml:space="preserve">          6243 - PAPER SUPPLIES</v>
      </c>
      <c r="C77" s="11"/>
      <c r="D77" s="7">
        <v>2161.3200000000002</v>
      </c>
      <c r="E77" s="2"/>
      <c r="F77" s="6">
        <f t="shared" si="44"/>
        <v>7.8879454236453189E-3</v>
      </c>
      <c r="G77" s="2"/>
      <c r="H77" s="7">
        <v>1850</v>
      </c>
      <c r="I77" s="2"/>
      <c r="J77" s="6">
        <f t="shared" si="45"/>
        <v>7.7616949863645902E-3</v>
      </c>
      <c r="K77" s="2"/>
      <c r="L77" s="7">
        <f t="shared" si="46"/>
        <v>311.32000000000016</v>
      </c>
      <c r="M77" s="2"/>
      <c r="N77" s="6">
        <f t="shared" si="47"/>
        <v>0.16828108108108117</v>
      </c>
      <c r="O77" s="11"/>
      <c r="P77" s="7">
        <v>17179.740000000002</v>
      </c>
      <c r="Q77" s="2"/>
      <c r="R77" s="6">
        <f t="shared" si="48"/>
        <v>6.2164697480817837E-3</v>
      </c>
      <c r="S77" s="2"/>
      <c r="T77" s="7">
        <v>12950</v>
      </c>
      <c r="U77" s="2"/>
      <c r="V77" s="6">
        <f t="shared" si="49"/>
        <v>4.7039251440236544E-3</v>
      </c>
      <c r="W77" s="2"/>
      <c r="X77" s="7">
        <f t="shared" si="50"/>
        <v>4229.7400000000016</v>
      </c>
      <c r="Y77" s="2"/>
      <c r="Z77" s="6">
        <f t="shared" si="51"/>
        <v>0.32662084942084957</v>
      </c>
    </row>
    <row r="78" spans="1:26" s="24" customFormat="1" hidden="1" outlineLevel="2" x14ac:dyDescent="0.25">
      <c r="A78" s="25"/>
      <c r="B78" s="11" t="str">
        <f>CONCATENATE("          ", "6244", " - ", "SAFETY SUPPLY EXPENSE")</f>
        <v xml:space="preserve">          6244 - SAFETY SUPPLY EXPENSE</v>
      </c>
      <c r="C78" s="11"/>
      <c r="D78" s="7"/>
      <c r="E78" s="2"/>
      <c r="F78" s="6">
        <f t="shared" si="44"/>
        <v>0</v>
      </c>
      <c r="G78" s="2"/>
      <c r="H78" s="7">
        <v>125</v>
      </c>
      <c r="I78" s="2"/>
      <c r="J78" s="6">
        <f t="shared" si="45"/>
        <v>5.2443885043003988E-4</v>
      </c>
      <c r="K78" s="2"/>
      <c r="L78" s="7">
        <f t="shared" si="46"/>
        <v>-125</v>
      </c>
      <c r="M78" s="2"/>
      <c r="N78" s="6">
        <f t="shared" si="47"/>
        <v>-1</v>
      </c>
      <c r="O78" s="11"/>
      <c r="P78" s="7"/>
      <c r="Q78" s="2"/>
      <c r="R78" s="6">
        <f t="shared" si="48"/>
        <v>0</v>
      </c>
      <c r="S78" s="2"/>
      <c r="T78" s="7">
        <v>875</v>
      </c>
      <c r="U78" s="2"/>
      <c r="V78" s="6">
        <f t="shared" si="49"/>
        <v>3.1783278000159824E-4</v>
      </c>
      <c r="W78" s="2"/>
      <c r="X78" s="7">
        <f t="shared" si="50"/>
        <v>-875</v>
      </c>
      <c r="Y78" s="2"/>
      <c r="Z78" s="6">
        <f t="shared" si="51"/>
        <v>-1</v>
      </c>
    </row>
    <row r="79" spans="1:26" s="24" customFormat="1" hidden="1" outlineLevel="2" x14ac:dyDescent="0.25">
      <c r="A79" s="25"/>
      <c r="B79" s="11" t="str">
        <f>CONCATENATE("          ", "6245", " - ", "PRINTING")</f>
        <v xml:space="preserve">          6245 - PRINTING</v>
      </c>
      <c r="C79" s="11"/>
      <c r="D79" s="7"/>
      <c r="E79" s="2"/>
      <c r="F79" s="6">
        <f t="shared" si="44"/>
        <v>0</v>
      </c>
      <c r="G79" s="2"/>
      <c r="H79" s="7">
        <v>160</v>
      </c>
      <c r="I79" s="2"/>
      <c r="J79" s="6">
        <f t="shared" si="45"/>
        <v>6.7128172855045101E-4</v>
      </c>
      <c r="K79" s="2"/>
      <c r="L79" s="7">
        <f t="shared" si="46"/>
        <v>-160</v>
      </c>
      <c r="M79" s="2"/>
      <c r="N79" s="6">
        <f t="shared" si="47"/>
        <v>-1</v>
      </c>
      <c r="O79" s="11"/>
      <c r="P79" s="7">
        <v>441</v>
      </c>
      <c r="Q79" s="2"/>
      <c r="R79" s="6">
        <f t="shared" si="48"/>
        <v>1.5957535788691017E-4</v>
      </c>
      <c r="S79" s="2"/>
      <c r="T79" s="7">
        <v>1110</v>
      </c>
      <c r="U79" s="2"/>
      <c r="V79" s="6">
        <f t="shared" si="49"/>
        <v>4.0319358377345605E-4</v>
      </c>
      <c r="W79" s="2"/>
      <c r="X79" s="7">
        <f t="shared" si="50"/>
        <v>-669</v>
      </c>
      <c r="Y79" s="2"/>
      <c r="Z79" s="6">
        <f t="shared" si="51"/>
        <v>-0.60270270270270265</v>
      </c>
    </row>
    <row r="80" spans="1:26" s="24" customFormat="1" hidden="1" outlineLevel="2" x14ac:dyDescent="0.25">
      <c r="A80" s="25"/>
      <c r="B80" s="11" t="str">
        <f>CONCATENATE("          ", "6247", " - ", "STORE SUPPLIES")</f>
        <v xml:space="preserve">          6247 - STORE SUPPLIES</v>
      </c>
      <c r="C80" s="11"/>
      <c r="D80" s="7"/>
      <c r="E80" s="2"/>
      <c r="F80" s="6">
        <f t="shared" si="44"/>
        <v>0</v>
      </c>
      <c r="G80" s="2"/>
      <c r="H80" s="7"/>
      <c r="I80" s="2"/>
      <c r="J80" s="6">
        <f t="shared" si="45"/>
        <v>0</v>
      </c>
      <c r="K80" s="2"/>
      <c r="L80" s="7">
        <f t="shared" si="46"/>
        <v>0</v>
      </c>
      <c r="M80" s="2"/>
      <c r="N80" s="6">
        <f t="shared" si="47"/>
        <v>0</v>
      </c>
      <c r="O80" s="11"/>
      <c r="P80" s="7">
        <v>82.5</v>
      </c>
      <c r="Q80" s="2"/>
      <c r="R80" s="6">
        <f t="shared" si="48"/>
        <v>2.9852532938027417E-5</v>
      </c>
      <c r="S80" s="2"/>
      <c r="T80" s="7"/>
      <c r="U80" s="2"/>
      <c r="V80" s="6">
        <f t="shared" si="49"/>
        <v>0</v>
      </c>
      <c r="W80" s="2"/>
      <c r="X80" s="7">
        <f t="shared" si="50"/>
        <v>82.5</v>
      </c>
      <c r="Y80" s="2"/>
      <c r="Z80" s="6">
        <f t="shared" si="51"/>
        <v>0</v>
      </c>
    </row>
    <row r="81" spans="1:26" s="24" customFormat="1" hidden="1" outlineLevel="2" x14ac:dyDescent="0.25">
      <c r="A81" s="25"/>
      <c r="B81" s="11" t="str">
        <f>CONCATENATE("          ", "6248", " - ", "UNIFORMS")</f>
        <v xml:space="preserve">          6248 - UNIFORMS</v>
      </c>
      <c r="C81" s="11"/>
      <c r="D81" s="7">
        <v>729.67</v>
      </c>
      <c r="E81" s="2"/>
      <c r="F81" s="6">
        <f t="shared" si="44"/>
        <v>2.6630009148442988E-3</v>
      </c>
      <c r="G81" s="2"/>
      <c r="H81" s="7">
        <v>2000</v>
      </c>
      <c r="I81" s="2"/>
      <c r="J81" s="6">
        <f t="shared" si="45"/>
        <v>8.391021606880638E-3</v>
      </c>
      <c r="K81" s="2"/>
      <c r="L81" s="7">
        <f t="shared" si="46"/>
        <v>-1270.33</v>
      </c>
      <c r="M81" s="2"/>
      <c r="N81" s="6">
        <f t="shared" si="47"/>
        <v>-0.63516499999999998</v>
      </c>
      <c r="O81" s="11"/>
      <c r="P81" s="7">
        <v>1952.09</v>
      </c>
      <c r="Q81" s="2"/>
      <c r="R81" s="6">
        <f t="shared" si="48"/>
        <v>7.0636158815750227E-4</v>
      </c>
      <c r="S81" s="2"/>
      <c r="T81" s="7">
        <v>6500</v>
      </c>
      <c r="U81" s="2"/>
      <c r="V81" s="6">
        <f t="shared" si="49"/>
        <v>2.3610435085833011E-3</v>
      </c>
      <c r="W81" s="2"/>
      <c r="X81" s="7">
        <f t="shared" si="50"/>
        <v>-4547.91</v>
      </c>
      <c r="Y81" s="2"/>
      <c r="Z81" s="6">
        <f t="shared" si="51"/>
        <v>-0.69967846153846147</v>
      </c>
    </row>
    <row r="82" spans="1:26" s="27" customFormat="1" outlineLevel="1" collapsed="1" x14ac:dyDescent="0.25">
      <c r="A82" s="26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SUM(OSRRefD22_13x_0)</f>
        <v>193.15</v>
      </c>
      <c r="E82" s="1"/>
      <c r="F82" s="5">
        <f t="shared" ref="F82:F88" si="52">IF(D$12=0,0,D82/D$12)</f>
        <v>7.0491952074523592E-4</v>
      </c>
      <c r="G82" s="1"/>
      <c r="H82" s="1">
        <f>SUM(OSRRefH22_13x_0)</f>
        <v>185</v>
      </c>
      <c r="I82" s="1"/>
      <c r="J82" s="5">
        <f t="shared" ref="J82:J88" si="53">IF(H$12=0,0,H82/H$12)</f>
        <v>7.76169498636459E-4</v>
      </c>
      <c r="K82" s="1"/>
      <c r="L82" s="1">
        <f t="shared" ref="L82:L88" si="54">+D82-H82</f>
        <v>8.1500000000000057</v>
      </c>
      <c r="M82" s="1"/>
      <c r="N82" s="5">
        <f t="shared" ref="N82:N88" si="55">IF(H82=0,0,L82/H82)</f>
        <v>4.4054054054054083E-2</v>
      </c>
      <c r="O82" s="13"/>
      <c r="P82" s="1">
        <f>SUM(OSRRefP22_13x_0)</f>
        <v>1316.4</v>
      </c>
      <c r="Q82" s="1"/>
      <c r="R82" s="5">
        <f t="shared" ref="R82:R88" si="56">IF(P$12=0,0,P82/P$12)</f>
        <v>4.7633787102568839E-4</v>
      </c>
      <c r="S82" s="1"/>
      <c r="T82" s="1">
        <f>SUM(OSRRefT22_13x_0)</f>
        <v>1295</v>
      </c>
      <c r="U82" s="1"/>
      <c r="V82" s="5">
        <f t="shared" ref="V82:V88" si="57">IF(T$12=0,0,T82/T$12)</f>
        <v>4.7039251440236541E-4</v>
      </c>
      <c r="W82" s="1"/>
      <c r="X82" s="1">
        <f t="shared" ref="X82:X88" si="58">+P82-T82</f>
        <v>21.400000000000091</v>
      </c>
      <c r="Y82" s="1"/>
      <c r="Z82" s="5">
        <f t="shared" ref="Z82:Z88" si="59">IF(T82=0,0,X82/T82)</f>
        <v>1.6525096525096594E-2</v>
      </c>
    </row>
    <row r="83" spans="1:26" s="24" customFormat="1" hidden="1" outlineLevel="2" x14ac:dyDescent="0.25">
      <c r="A83" s="25"/>
      <c r="B83" s="11" t="str">
        <f>CONCATENATE("          ", "6309", " - ", "TELEPHONE")</f>
        <v xml:space="preserve">          6309 - TELEPHONE</v>
      </c>
      <c r="C83" s="11"/>
      <c r="D83" s="7">
        <v>193.15</v>
      </c>
      <c r="E83" s="2"/>
      <c r="F83" s="6">
        <f t="shared" si="52"/>
        <v>7.0491952074523592E-4</v>
      </c>
      <c r="G83" s="2"/>
      <c r="H83" s="7">
        <v>185</v>
      </c>
      <c r="I83" s="2"/>
      <c r="J83" s="6">
        <f t="shared" si="53"/>
        <v>7.76169498636459E-4</v>
      </c>
      <c r="K83" s="2"/>
      <c r="L83" s="7">
        <f t="shared" si="54"/>
        <v>8.1500000000000057</v>
      </c>
      <c r="M83" s="2"/>
      <c r="N83" s="6">
        <f t="shared" si="55"/>
        <v>4.4054054054054083E-2</v>
      </c>
      <c r="O83" s="11"/>
      <c r="P83" s="7">
        <v>1316.4</v>
      </c>
      <c r="Q83" s="2"/>
      <c r="R83" s="6">
        <f t="shared" si="56"/>
        <v>4.7633787102568839E-4</v>
      </c>
      <c r="S83" s="2"/>
      <c r="T83" s="7">
        <v>1295</v>
      </c>
      <c r="U83" s="2"/>
      <c r="V83" s="6">
        <f t="shared" si="57"/>
        <v>4.7039251440236541E-4</v>
      </c>
      <c r="W83" s="2"/>
      <c r="X83" s="7">
        <f t="shared" si="58"/>
        <v>21.400000000000091</v>
      </c>
      <c r="Y83" s="2"/>
      <c r="Z83" s="6">
        <f t="shared" si="59"/>
        <v>1.6525096525096594E-2</v>
      </c>
    </row>
    <row r="84" spans="1:26" s="27" customFormat="1" outlineLevel="1" collapsed="1" x14ac:dyDescent="0.25">
      <c r="A84" s="26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SUM(OSRRefD22_14x_0)</f>
        <v>0</v>
      </c>
      <c r="E84" s="1"/>
      <c r="F84" s="5">
        <f t="shared" si="52"/>
        <v>0</v>
      </c>
      <c r="G84" s="1"/>
      <c r="H84" s="1">
        <f>SUM(OSRRefH22_14x_0)</f>
        <v>2000</v>
      </c>
      <c r="I84" s="1"/>
      <c r="J84" s="5">
        <f t="shared" si="53"/>
        <v>8.391021606880638E-3</v>
      </c>
      <c r="K84" s="1"/>
      <c r="L84" s="1">
        <f t="shared" si="54"/>
        <v>-2000</v>
      </c>
      <c r="M84" s="1"/>
      <c r="N84" s="5">
        <f t="shared" si="55"/>
        <v>-1</v>
      </c>
      <c r="O84" s="13"/>
      <c r="P84" s="1">
        <f>SUM(OSRRefP22_14x_0)</f>
        <v>617.37</v>
      </c>
      <c r="Q84" s="1"/>
      <c r="R84" s="5">
        <f t="shared" si="56"/>
        <v>2.2339464557515133E-4</v>
      </c>
      <c r="S84" s="1"/>
      <c r="T84" s="1">
        <f>SUM(OSRRefT22_14x_0)</f>
        <v>2000</v>
      </c>
      <c r="U84" s="1"/>
      <c r="V84" s="5">
        <f t="shared" si="57"/>
        <v>7.2647492571793889E-4</v>
      </c>
      <c r="W84" s="1"/>
      <c r="X84" s="1">
        <f t="shared" si="58"/>
        <v>-1382.63</v>
      </c>
      <c r="Y84" s="1"/>
      <c r="Z84" s="5">
        <f t="shared" si="59"/>
        <v>-0.69131500000000001</v>
      </c>
    </row>
    <row r="85" spans="1:26" s="24" customFormat="1" hidden="1" outlineLevel="2" x14ac:dyDescent="0.25">
      <c r="A85" s="25"/>
      <c r="B85" s="11" t="str">
        <f>CONCATENATE("          ", "6376", " - ", "TRAINING")</f>
        <v xml:space="preserve">          6376 - TRAINING</v>
      </c>
      <c r="C85" s="11"/>
      <c r="D85" s="7"/>
      <c r="E85" s="2"/>
      <c r="F85" s="6">
        <f t="shared" si="52"/>
        <v>0</v>
      </c>
      <c r="G85" s="2"/>
      <c r="H85" s="7">
        <v>2000</v>
      </c>
      <c r="I85" s="2"/>
      <c r="J85" s="6">
        <f t="shared" si="53"/>
        <v>8.391021606880638E-3</v>
      </c>
      <c r="K85" s="2"/>
      <c r="L85" s="7">
        <f t="shared" si="54"/>
        <v>-2000</v>
      </c>
      <c r="M85" s="2"/>
      <c r="N85" s="6">
        <f t="shared" si="55"/>
        <v>-1</v>
      </c>
      <c r="O85" s="11"/>
      <c r="P85" s="7">
        <v>617.37</v>
      </c>
      <c r="Q85" s="2"/>
      <c r="R85" s="6">
        <f t="shared" si="56"/>
        <v>2.2339464557515133E-4</v>
      </c>
      <c r="S85" s="2"/>
      <c r="T85" s="7">
        <v>2000</v>
      </c>
      <c r="U85" s="2"/>
      <c r="V85" s="6">
        <f t="shared" si="57"/>
        <v>7.2647492571793889E-4</v>
      </c>
      <c r="W85" s="2"/>
      <c r="X85" s="7">
        <f t="shared" si="58"/>
        <v>-1382.63</v>
      </c>
      <c r="Y85" s="2"/>
      <c r="Z85" s="6">
        <f t="shared" si="59"/>
        <v>-0.69131500000000001</v>
      </c>
    </row>
    <row r="86" spans="1:26" s="27" customFormat="1" outlineLevel="1" collapsed="1" x14ac:dyDescent="0.25">
      <c r="A86" s="26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SUM(OSRRefD22_15x_0)</f>
        <v>0</v>
      </c>
      <c r="E86" s="1"/>
      <c r="F86" s="5">
        <f t="shared" si="52"/>
        <v>0</v>
      </c>
      <c r="G86" s="1"/>
      <c r="H86" s="1">
        <f>SUM(OSRRefH22_15x_0)</f>
        <v>60</v>
      </c>
      <c r="I86" s="1"/>
      <c r="J86" s="5">
        <f t="shared" si="53"/>
        <v>2.5173064820641913E-4</v>
      </c>
      <c r="K86" s="1"/>
      <c r="L86" s="1">
        <f t="shared" si="54"/>
        <v>-60</v>
      </c>
      <c r="M86" s="1"/>
      <c r="N86" s="5">
        <f t="shared" si="55"/>
        <v>-1</v>
      </c>
      <c r="O86" s="13"/>
      <c r="P86" s="1">
        <f>SUM(OSRRefP22_15x_0)</f>
        <v>1429.86</v>
      </c>
      <c r="Q86" s="1"/>
      <c r="R86" s="5">
        <f t="shared" si="56"/>
        <v>5.1739324541536826E-4</v>
      </c>
      <c r="S86" s="1"/>
      <c r="T86" s="1">
        <f>SUM(OSRRefT22_15x_0)</f>
        <v>420</v>
      </c>
      <c r="U86" s="1"/>
      <c r="V86" s="5">
        <f t="shared" si="57"/>
        <v>1.5255973440076717E-4</v>
      </c>
      <c r="W86" s="1"/>
      <c r="X86" s="1">
        <f t="shared" si="58"/>
        <v>1009.8599999999999</v>
      </c>
      <c r="Y86" s="1"/>
      <c r="Z86" s="5">
        <f t="shared" si="59"/>
        <v>2.4044285714285714</v>
      </c>
    </row>
    <row r="87" spans="1:26" s="24" customFormat="1" hidden="1" outlineLevel="2" x14ac:dyDescent="0.25">
      <c r="A87" s="25"/>
      <c r="B87" s="11" t="str">
        <f>CONCATENATE("          ", "6292", " - ", "TRAVEL/CONFERENCE")</f>
        <v xml:space="preserve">          6292 - TRAVEL/CONFERENCE</v>
      </c>
      <c r="C87" s="11"/>
      <c r="D87" s="7"/>
      <c r="E87" s="2"/>
      <c r="F87" s="6">
        <f t="shared" si="52"/>
        <v>0</v>
      </c>
      <c r="G87" s="2"/>
      <c r="H87" s="7"/>
      <c r="I87" s="2"/>
      <c r="J87" s="6">
        <f t="shared" si="53"/>
        <v>0</v>
      </c>
      <c r="K87" s="2"/>
      <c r="L87" s="7">
        <f t="shared" si="54"/>
        <v>0</v>
      </c>
      <c r="M87" s="2"/>
      <c r="N87" s="6">
        <f t="shared" si="55"/>
        <v>0</v>
      </c>
      <c r="O87" s="11"/>
      <c r="P87" s="7">
        <v>1429.86</v>
      </c>
      <c r="Q87" s="2"/>
      <c r="R87" s="6">
        <f t="shared" si="56"/>
        <v>5.1739324541536826E-4</v>
      </c>
      <c r="S87" s="2"/>
      <c r="T87" s="7"/>
      <c r="U87" s="2"/>
      <c r="V87" s="6">
        <f t="shared" si="57"/>
        <v>0</v>
      </c>
      <c r="W87" s="2"/>
      <c r="X87" s="7">
        <f t="shared" si="58"/>
        <v>1429.86</v>
      </c>
      <c r="Y87" s="2"/>
      <c r="Z87" s="6">
        <f t="shared" si="59"/>
        <v>0</v>
      </c>
    </row>
    <row r="88" spans="1:26" s="24" customFormat="1" hidden="1" outlineLevel="2" x14ac:dyDescent="0.25">
      <c r="A88" s="25"/>
      <c r="B88" s="11" t="str">
        <f>CONCATENATE("          ", "6298", " - ", "VEHICLE MILEAGE")</f>
        <v xml:space="preserve">          6298 - VEHICLE MILEAGE</v>
      </c>
      <c r="C88" s="11"/>
      <c r="D88" s="7"/>
      <c r="E88" s="2"/>
      <c r="F88" s="6">
        <f t="shared" si="52"/>
        <v>0</v>
      </c>
      <c r="G88" s="2"/>
      <c r="H88" s="7">
        <v>60</v>
      </c>
      <c r="I88" s="2"/>
      <c r="J88" s="6">
        <f t="shared" si="53"/>
        <v>2.5173064820641913E-4</v>
      </c>
      <c r="K88" s="2"/>
      <c r="L88" s="7">
        <f t="shared" si="54"/>
        <v>-60</v>
      </c>
      <c r="M88" s="2"/>
      <c r="N88" s="6">
        <f t="shared" si="55"/>
        <v>-1</v>
      </c>
      <c r="O88" s="11"/>
      <c r="P88" s="7"/>
      <c r="Q88" s="2"/>
      <c r="R88" s="6">
        <f t="shared" si="56"/>
        <v>0</v>
      </c>
      <c r="S88" s="2"/>
      <c r="T88" s="7">
        <v>420</v>
      </c>
      <c r="U88" s="2"/>
      <c r="V88" s="6">
        <f t="shared" si="57"/>
        <v>1.5255973440076717E-4</v>
      </c>
      <c r="W88" s="2"/>
      <c r="X88" s="7">
        <f t="shared" si="58"/>
        <v>-420</v>
      </c>
      <c r="Y88" s="2"/>
      <c r="Z88" s="6">
        <f t="shared" si="59"/>
        <v>-1</v>
      </c>
    </row>
    <row r="89" spans="1:26" s="53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8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3</v>
      </c>
      <c r="C92" s="29"/>
      <c r="D92" s="21">
        <f>+D23-D25+D90</f>
        <v>74315.06</v>
      </c>
      <c r="E92" s="14"/>
      <c r="F92" s="20">
        <f>IF(D$12=0,0,D92/D$12)</f>
        <v>0.27121996624050454</v>
      </c>
      <c r="G92" s="14"/>
      <c r="H92" s="21">
        <f>+H23-H25+H90</f>
        <v>19640.924400645832</v>
      </c>
      <c r="I92" s="14"/>
      <c r="J92" s="20">
        <f>IF(H$12=0,0,H92/H$12)</f>
        <v>8.2403710512464159E-2</v>
      </c>
      <c r="K92" s="16"/>
      <c r="L92" s="21">
        <f>+D92-H92</f>
        <v>54674.135599354166</v>
      </c>
      <c r="M92" s="16"/>
      <c r="N92" s="20">
        <f>IF(H92=0,0,L92/H92)</f>
        <v>2.7836844378646646</v>
      </c>
      <c r="O92" s="28"/>
      <c r="P92" s="21">
        <f>+P23-P25+P90</f>
        <v>952034.84000000008</v>
      </c>
      <c r="Q92" s="14"/>
      <c r="R92" s="20">
        <f>IF(P$12=0,0,P92/P$12)</f>
        <v>0.34449274447575351</v>
      </c>
      <c r="S92" s="14"/>
      <c r="T92" s="21">
        <f>+T23-T25+T90</f>
        <v>757084.10751785012</v>
      </c>
      <c r="U92" s="14"/>
      <c r="V92" s="20">
        <f>IF(T$12=0,0,T92/T$12)</f>
        <v>0.27500131038563108</v>
      </c>
      <c r="W92" s="16"/>
      <c r="X92" s="21">
        <f>+P92-T92</f>
        <v>194950.73248214996</v>
      </c>
      <c r="Y92" s="16"/>
      <c r="Z92" s="20">
        <f>IF(T92=0,0,X92/T92)</f>
        <v>0.25750208008104769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19308.740000000002</v>
      </c>
      <c r="E94" s="4"/>
      <c r="F94" s="12">
        <f>IF(D$12=0,0,D94/D$12)</f>
        <v>7.0469105601834683E-2</v>
      </c>
      <c r="G94" s="4"/>
      <c r="H94" s="4">
        <v>15037</v>
      </c>
      <c r="I94" s="4"/>
      <c r="J94" s="12">
        <f>IF(H$12=0,0,H94/H$12)</f>
        <v>6.3087895951332074E-2</v>
      </c>
      <c r="K94" s="4"/>
      <c r="L94" s="4">
        <f>+D94-H94</f>
        <v>4271.7400000000016</v>
      </c>
      <c r="M94" s="4"/>
      <c r="N94" s="12">
        <f>IF(H94=0,0,L94/H94)</f>
        <v>0.28408193123628395</v>
      </c>
      <c r="O94" s="10"/>
      <c r="P94" s="4">
        <v>288202.73000000004</v>
      </c>
      <c r="Q94" s="4"/>
      <c r="R94" s="12">
        <f>IF(P$12=0,0,P94/P$12)</f>
        <v>0.10428583624429603</v>
      </c>
      <c r="S94" s="4"/>
      <c r="T94" s="4">
        <v>338963</v>
      </c>
      <c r="U94" s="4"/>
      <c r="V94" s="12">
        <f>IF(T$12=0,0,T94/T$12)</f>
        <v>0.12312406012306486</v>
      </c>
      <c r="W94" s="4"/>
      <c r="X94" s="4">
        <f>+P94-T94</f>
        <v>-50760.26999999996</v>
      </c>
      <c r="Y94" s="4"/>
      <c r="Z94" s="12">
        <f>IF(T94=0,0,X94/T94)</f>
        <v>-0.14975165431035234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4</v>
      </c>
      <c r="C96" s="29"/>
      <c r="D96" s="34">
        <f>+D92-D94</f>
        <v>55006.319999999992</v>
      </c>
      <c r="E96" s="14"/>
      <c r="F96" s="32">
        <f>IF(D$12=0,0,D96/D$12)</f>
        <v>0.20075086063866984</v>
      </c>
      <c r="G96" s="14"/>
      <c r="H96" s="34">
        <f>+H92-H94</f>
        <v>4603.9244006458321</v>
      </c>
      <c r="I96" s="14"/>
      <c r="J96" s="32">
        <f>IF(H$12=0,0,H96/H$12)</f>
        <v>1.9315814561132082E-2</v>
      </c>
      <c r="K96" s="16"/>
      <c r="L96" s="34">
        <f>D96-H96</f>
        <v>50402.39559935416</v>
      </c>
      <c r="M96" s="16"/>
      <c r="N96" s="32">
        <f>IF(H96=0,0,L96/H96)</f>
        <v>10.947702701695924</v>
      </c>
      <c r="O96" s="28"/>
      <c r="P96" s="34">
        <f>+P92-P94</f>
        <v>663832.1100000001</v>
      </c>
      <c r="Q96" s="14"/>
      <c r="R96" s="32">
        <f>IF(P$12=0,0,P96/P$12)</f>
        <v>0.24020690823145746</v>
      </c>
      <c r="S96" s="14"/>
      <c r="T96" s="34">
        <f>+T92-T94</f>
        <v>418121.10751785012</v>
      </c>
      <c r="U96" s="14"/>
      <c r="V96" s="32">
        <f>IF(T$12=0,0,T96/T$12)</f>
        <v>0.15187725026256624</v>
      </c>
      <c r="W96" s="16"/>
      <c r="X96" s="34">
        <f>P96-T96</f>
        <v>245711.00248214998</v>
      </c>
      <c r="Y96" s="16"/>
      <c r="Z96" s="32">
        <f>IF(T96=0,0,X96/T96)</f>
        <v>0.5876551029456466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5</v>
      </c>
      <c r="C99" s="29"/>
      <c r="D99" s="31">
        <f>SUM(D96:D98)</f>
        <v>55006.319999999992</v>
      </c>
      <c r="E99" s="14"/>
      <c r="F99" s="30">
        <f>IF(D$12=0,0,D99/D$12)</f>
        <v>0.20075086063866984</v>
      </c>
      <c r="G99" s="14"/>
      <c r="H99" s="31">
        <f>SUM(H96:H98)</f>
        <v>4603.9244006458321</v>
      </c>
      <c r="I99" s="14"/>
      <c r="J99" s="30">
        <f>IF(H$12=0,0,H99/H$12)</f>
        <v>1.9315814561132082E-2</v>
      </c>
      <c r="K99" s="16"/>
      <c r="L99" s="31">
        <f>+D99-H99</f>
        <v>50402.39559935416</v>
      </c>
      <c r="M99" s="16"/>
      <c r="N99" s="30">
        <f>IF(H99=0,0,L99/H99)</f>
        <v>10.947702701695924</v>
      </c>
      <c r="O99" s="28"/>
      <c r="P99" s="31">
        <f>SUM(P96:P98)</f>
        <v>663832.1100000001</v>
      </c>
      <c r="Q99" s="14"/>
      <c r="R99" s="30">
        <f>IF(P$12=0,0,P99/P$12)</f>
        <v>0.24020690823145746</v>
      </c>
      <c r="S99" s="14"/>
      <c r="T99" s="31">
        <f>SUM(T96:T98)</f>
        <v>418121.10751785012</v>
      </c>
      <c r="U99" s="14"/>
      <c r="V99" s="30">
        <f>IF(T$12=0,0,T99/T$12)</f>
        <v>0.15187725026256624</v>
      </c>
      <c r="W99" s="16"/>
      <c r="X99" s="31">
        <f>+P99-T99</f>
        <v>245711.00248214998</v>
      </c>
      <c r="Y99" s="16"/>
      <c r="Z99" s="30">
        <f>IF(T99=0,0,X99/T99)</f>
        <v>0.5876551029456466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63">
        <v>43879.546683564811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7" t="s">
        <v>314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60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","435", " - ", "Ground Floor Coffee House")</f>
        <v>Department 435 - Ground Floor Coffee House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618</v>
      </c>
      <c r="I12" s="4"/>
      <c r="J12" s="12"/>
      <c r="K12" s="4"/>
      <c r="L12" s="4">
        <f t="shared" ref="L12:L16" si="0">+D12-H12</f>
        <v>-618</v>
      </c>
      <c r="M12" s="4"/>
      <c r="N12" s="12">
        <f t="shared" ref="N12:N16" si="1">IF(H12=0,0,L12/H12)</f>
        <v>-1</v>
      </c>
      <c r="O12" s="10"/>
      <c r="P12" s="4">
        <f>SUM(OSRRefP13x_0)</f>
        <v>5179.0200000000004</v>
      </c>
      <c r="Q12" s="4"/>
      <c r="R12" s="12"/>
      <c r="S12" s="4"/>
      <c r="T12" s="4">
        <f>SUM(OSRRefT13x_0)</f>
        <v>6025</v>
      </c>
      <c r="U12" s="4"/>
      <c r="V12" s="12"/>
      <c r="W12" s="4"/>
      <c r="X12" s="4">
        <f t="shared" ref="X12:X16" si="2">+P12-T12</f>
        <v>-845.97999999999956</v>
      </c>
      <c r="Y12" s="4"/>
      <c r="Z12" s="12">
        <f t="shared" ref="Z12:Z16" si="3">IF(T12=0,0,X12/T12)</f>
        <v>-0.14041161825726134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--973.49</f>
        <v>973.49</v>
      </c>
      <c r="Q13" s="2"/>
      <c r="R13" s="19"/>
      <c r="S13" s="2"/>
      <c r="T13" s="2"/>
      <c r="U13" s="2"/>
      <c r="V13" s="19"/>
      <c r="W13" s="2"/>
      <c r="X13" s="2">
        <f t="shared" si="2"/>
        <v>973.49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618</v>
      </c>
      <c r="I14" s="2"/>
      <c r="J14" s="19"/>
      <c r="K14" s="2"/>
      <c r="L14" s="2">
        <f t="shared" si="0"/>
        <v>-618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6025</v>
      </c>
      <c r="U14" s="2"/>
      <c r="V14" s="19"/>
      <c r="W14" s="2"/>
      <c r="X14" s="2">
        <f t="shared" si="2"/>
        <v>-6025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--471.63</f>
        <v>471.63</v>
      </c>
      <c r="Q15" s="2"/>
      <c r="R15" s="19"/>
      <c r="S15" s="2"/>
      <c r="T15" s="2"/>
      <c r="U15" s="2"/>
      <c r="V15" s="19"/>
      <c r="W15" s="2"/>
      <c r="X15" s="2">
        <f t="shared" si="2"/>
        <v>471.63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--3733.9</f>
        <v>3733.9</v>
      </c>
      <c r="Q16" s="2"/>
      <c r="R16" s="19"/>
      <c r="S16" s="2"/>
      <c r="T16" s="2"/>
      <c r="U16" s="2"/>
      <c r="V16" s="19"/>
      <c r="W16" s="2"/>
      <c r="X16" s="2">
        <f t="shared" si="2"/>
        <v>3733.9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0</v>
      </c>
      <c r="E18" s="4"/>
      <c r="F18" s="12">
        <f t="shared" ref="F18:F21" si="5">IF(D$12=0,0,D18/D$12)</f>
        <v>0</v>
      </c>
      <c r="G18" s="4"/>
      <c r="H18" s="4">
        <f>SUM(OSRRefH16x_0)</f>
        <v>329.46</v>
      </c>
      <c r="I18" s="4"/>
      <c r="J18" s="12">
        <f t="shared" ref="J18:J21" si="6">IF(H$12=0,0,H18/H$12)</f>
        <v>0.5331067961165048</v>
      </c>
      <c r="K18" s="4"/>
      <c r="L18" s="4">
        <f t="shared" ref="L18:L21" si="7">+D18-H18</f>
        <v>-329.46</v>
      </c>
      <c r="M18" s="4"/>
      <c r="N18" s="12">
        <f t="shared" ref="N18:N21" si="8">IF(H18=0,0,L18/H18)</f>
        <v>-1</v>
      </c>
      <c r="O18" s="10"/>
      <c r="P18" s="4">
        <f>SUM(OSRRefP16x_0)</f>
        <v>1954.47</v>
      </c>
      <c r="Q18" s="4"/>
      <c r="R18" s="12">
        <f t="shared" ref="R18:R21" si="9">IF(P$12=0,0,P18/P$12)</f>
        <v>0.37738220744465167</v>
      </c>
      <c r="S18" s="4"/>
      <c r="T18" s="4">
        <f>SUM(OSRRefT16x_0)</f>
        <v>3211.95</v>
      </c>
      <c r="U18" s="4"/>
      <c r="V18" s="12">
        <f t="shared" ref="V18:V21" si="10">IF(T$12=0,0,T18/T$12)</f>
        <v>0.53310373443983394</v>
      </c>
      <c r="W18" s="4"/>
      <c r="X18" s="4">
        <f t="shared" ref="X18:X21" si="11">+P18-T18</f>
        <v>-1257.4799999999998</v>
      </c>
      <c r="Y18" s="4"/>
      <c r="Z18" s="12">
        <f t="shared" ref="Z18:Z21" si="12">IF(T18=0,0,X18/T18)</f>
        <v>-0.39150049035632556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329.46</v>
      </c>
      <c r="I19" s="2"/>
      <c r="J19" s="19">
        <f t="shared" si="6"/>
        <v>0.5331067961165048</v>
      </c>
      <c r="K19" s="2"/>
      <c r="L19" s="2">
        <f t="shared" si="7"/>
        <v>-329.46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3211.95</v>
      </c>
      <c r="U19" s="2"/>
      <c r="V19" s="19">
        <f t="shared" si="10"/>
        <v>0.53310373443983394</v>
      </c>
      <c r="W19" s="2"/>
      <c r="X19" s="2">
        <f t="shared" si="11"/>
        <v>-3211.95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3948.48</v>
      </c>
      <c r="Q20" s="2"/>
      <c r="R20" s="19">
        <f t="shared" si="9"/>
        <v>0.762399063915567</v>
      </c>
      <c r="S20" s="2"/>
      <c r="T20" s="2"/>
      <c r="U20" s="2"/>
      <c r="V20" s="19">
        <f t="shared" si="10"/>
        <v>0</v>
      </c>
      <c r="W20" s="2"/>
      <c r="X20" s="2">
        <f t="shared" si="11"/>
        <v>3948.48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-1994.01</v>
      </c>
      <c r="Q21" s="2"/>
      <c r="R21" s="19">
        <f t="shared" si="9"/>
        <v>-0.38501685647091533</v>
      </c>
      <c r="S21" s="2"/>
      <c r="T21" s="2"/>
      <c r="U21" s="2"/>
      <c r="V21" s="19">
        <f t="shared" si="10"/>
        <v>0</v>
      </c>
      <c r="W21" s="2"/>
      <c r="X21" s="2">
        <f t="shared" si="11"/>
        <v>-1994.01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1">
        <f>D12-D18</f>
        <v>0</v>
      </c>
      <c r="E23" s="14"/>
      <c r="F23" s="20">
        <f>IF(D$12=0,0,D23/D$12)</f>
        <v>0</v>
      </c>
      <c r="G23" s="14"/>
      <c r="H23" s="21">
        <f>H12-H18</f>
        <v>288.54000000000002</v>
      </c>
      <c r="I23" s="14"/>
      <c r="J23" s="20">
        <f>IF(H$12=0,0,H23/H$12)</f>
        <v>0.4668932038834952</v>
      </c>
      <c r="K23" s="16"/>
      <c r="L23" s="21">
        <f>+D23-H23</f>
        <v>-288.54000000000002</v>
      </c>
      <c r="M23" s="16"/>
      <c r="N23" s="20">
        <f>IF(H23=0,0,L23/H23)</f>
        <v>-1</v>
      </c>
      <c r="O23" s="28"/>
      <c r="P23" s="21">
        <f>P12-P18</f>
        <v>3224.55</v>
      </c>
      <c r="Q23" s="14"/>
      <c r="R23" s="20">
        <f>IF(P$12=0,0,P23/P$12)</f>
        <v>0.62261779255534833</v>
      </c>
      <c r="S23" s="14"/>
      <c r="T23" s="21">
        <f>T12-T18</f>
        <v>2813.05</v>
      </c>
      <c r="U23" s="14"/>
      <c r="V23" s="20">
        <f>IF(T$12=0,0,T23/T$12)</f>
        <v>0.466896265560166</v>
      </c>
      <c r="W23" s="16"/>
      <c r="X23" s="21">
        <f>+P23-T23</f>
        <v>411.5</v>
      </c>
      <c r="Y23" s="16"/>
      <c r="Z23" s="20">
        <f>IF(T23=0,0,X23/T23)</f>
        <v>0.14628250475462576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2">
        <f>SUM(OSRRefD22x_0)</f>
        <v>191.53</v>
      </c>
      <c r="E25" s="22"/>
      <c r="F25" s="35">
        <f t="shared" ref="F25:F34" si="13">IF(D$12=0,0,D25/D$12)</f>
        <v>0</v>
      </c>
      <c r="G25" s="22"/>
      <c r="H25" s="22">
        <f>SUM(OSRRefH22x_0)</f>
        <v>1417.144832</v>
      </c>
      <c r="I25" s="22"/>
      <c r="J25" s="35">
        <f t="shared" ref="J25:J34" si="14">IF(H$12=0,0,H25/H$12)</f>
        <v>2.2931146148867314</v>
      </c>
      <c r="K25" s="4"/>
      <c r="L25" s="22">
        <f t="shared" ref="L25:L34" si="15">+D25-H25</f>
        <v>-1225.614832</v>
      </c>
      <c r="M25" s="4"/>
      <c r="N25" s="35">
        <f t="shared" ref="N25:N34" si="16">IF(H25=0,0,L25/H25)</f>
        <v>-0.86484797059895713</v>
      </c>
      <c r="O25" s="10"/>
      <c r="P25" s="22">
        <f>SUM(OSRRefP22x_0)</f>
        <v>15587.219999999998</v>
      </c>
      <c r="Q25" s="22"/>
      <c r="R25" s="35">
        <f t="shared" ref="R25:R34" si="17">IF(P$12=0,0,P25/P$12)</f>
        <v>3.0096852300242123</v>
      </c>
      <c r="S25" s="22"/>
      <c r="T25" s="22">
        <f>SUM(OSRRefT22x_0)</f>
        <v>13269.033232</v>
      </c>
      <c r="U25" s="22"/>
      <c r="V25" s="35">
        <f t="shared" ref="V25:V34" si="18">IF(T$12=0,0,T25/T$12)</f>
        <v>2.2023291671369294</v>
      </c>
      <c r="W25" s="4"/>
      <c r="X25" s="22">
        <f t="shared" ref="X25:X34" si="19">+P25-T25</f>
        <v>2318.1867679999978</v>
      </c>
      <c r="Y25" s="4"/>
      <c r="Z25" s="35">
        <f t="shared" ref="Z25:Z34" si="20">IF(T25=0,0,X25/T25)</f>
        <v>0.1747065311743578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5.5</v>
      </c>
      <c r="E26" s="1"/>
      <c r="F26" s="5">
        <f t="shared" si="13"/>
        <v>0</v>
      </c>
      <c r="G26" s="1"/>
      <c r="H26" s="1">
        <f>SUM(OSRRefH22_0x_0)</f>
        <v>59.624831999999998</v>
      </c>
      <c r="I26" s="1"/>
      <c r="J26" s="5">
        <f t="shared" si="14"/>
        <v>9.6480310679611644E-2</v>
      </c>
      <c r="K26" s="1"/>
      <c r="L26" s="1">
        <f t="shared" si="15"/>
        <v>-54.124831999999998</v>
      </c>
      <c r="M26" s="1"/>
      <c r="N26" s="5">
        <f t="shared" si="16"/>
        <v>-0.90775655351112772</v>
      </c>
      <c r="O26" s="13"/>
      <c r="P26" s="1">
        <f>SUM(OSRRefP22_0x_0)</f>
        <v>858.58</v>
      </c>
      <c r="Q26" s="1"/>
      <c r="R26" s="5">
        <f t="shared" si="17"/>
        <v>0.16578039860823091</v>
      </c>
      <c r="S26" s="1"/>
      <c r="T26" s="1">
        <f>SUM(OSRRefT22_0x_0)</f>
        <v>557.51323200000002</v>
      </c>
      <c r="U26" s="1"/>
      <c r="V26" s="5">
        <f t="shared" si="18"/>
        <v>9.2533316514522818E-2</v>
      </c>
      <c r="W26" s="1"/>
      <c r="X26" s="1">
        <f t="shared" si="19"/>
        <v>301.06676800000002</v>
      </c>
      <c r="Y26" s="1"/>
      <c r="Z26" s="5">
        <f t="shared" si="20"/>
        <v>0.54001726007464523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/>
      <c r="E27" s="2"/>
      <c r="F27" s="6">
        <f t="shared" si="13"/>
        <v>0</v>
      </c>
      <c r="G27" s="2"/>
      <c r="H27" s="7">
        <v>0</v>
      </c>
      <c r="I27" s="2"/>
      <c r="J27" s="6">
        <f t="shared" si="14"/>
        <v>0</v>
      </c>
      <c r="K27" s="2"/>
      <c r="L27" s="7">
        <f t="shared" si="15"/>
        <v>0</v>
      </c>
      <c r="M27" s="2"/>
      <c r="N27" s="6">
        <f t="shared" si="16"/>
        <v>0</v>
      </c>
      <c r="O27" s="11"/>
      <c r="P27" s="7">
        <v>602.38</v>
      </c>
      <c r="Q27" s="2"/>
      <c r="R27" s="6">
        <f t="shared" si="17"/>
        <v>0.11631158018312343</v>
      </c>
      <c r="S27" s="2"/>
      <c r="T27" s="7">
        <v>0</v>
      </c>
      <c r="U27" s="2"/>
      <c r="V27" s="6">
        <f t="shared" si="18"/>
        <v>0</v>
      </c>
      <c r="W27" s="2"/>
      <c r="X27" s="7">
        <f t="shared" si="19"/>
        <v>602.38</v>
      </c>
      <c r="Y27" s="2"/>
      <c r="Z27" s="6">
        <f t="shared" si="20"/>
        <v>0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4.84</v>
      </c>
      <c r="E28" s="2"/>
      <c r="F28" s="6">
        <f t="shared" si="13"/>
        <v>0</v>
      </c>
      <c r="G28" s="2"/>
      <c r="H28" s="7">
        <v>21.954879999999999</v>
      </c>
      <c r="I28" s="2"/>
      <c r="J28" s="6">
        <f t="shared" si="14"/>
        <v>3.5525695792880257E-2</v>
      </c>
      <c r="K28" s="2"/>
      <c r="L28" s="7">
        <f t="shared" si="15"/>
        <v>-17.114879999999999</v>
      </c>
      <c r="M28" s="2"/>
      <c r="N28" s="6">
        <f t="shared" si="16"/>
        <v>-0.77954787272806769</v>
      </c>
      <c r="O28" s="11"/>
      <c r="P28" s="7">
        <v>221.3</v>
      </c>
      <c r="Q28" s="2"/>
      <c r="R28" s="6">
        <f t="shared" si="17"/>
        <v>4.2730091793428099E-2</v>
      </c>
      <c r="S28" s="2"/>
      <c r="T28" s="7">
        <v>205.28587999999999</v>
      </c>
      <c r="U28" s="2"/>
      <c r="V28" s="6">
        <f t="shared" si="18"/>
        <v>3.407234522821577E-2</v>
      </c>
      <c r="W28" s="2"/>
      <c r="X28" s="7">
        <f t="shared" si="19"/>
        <v>16.01412000000002</v>
      </c>
      <c r="Y28" s="2"/>
      <c r="Z28" s="6">
        <f t="shared" si="20"/>
        <v>7.8008872310165803E-2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/>
      <c r="E29" s="2"/>
      <c r="F29" s="6">
        <f t="shared" si="13"/>
        <v>0</v>
      </c>
      <c r="G29" s="2"/>
      <c r="H29" s="7">
        <v>0</v>
      </c>
      <c r="I29" s="2"/>
      <c r="J29" s="6">
        <f t="shared" si="14"/>
        <v>0</v>
      </c>
      <c r="K29" s="2"/>
      <c r="L29" s="7">
        <f t="shared" si="15"/>
        <v>0</v>
      </c>
      <c r="M29" s="2"/>
      <c r="N29" s="6">
        <f t="shared" si="16"/>
        <v>0</v>
      </c>
      <c r="O29" s="11"/>
      <c r="P29" s="7"/>
      <c r="Q29" s="2"/>
      <c r="R29" s="6">
        <f t="shared" si="17"/>
        <v>0</v>
      </c>
      <c r="S29" s="2"/>
      <c r="T29" s="7">
        <v>0</v>
      </c>
      <c r="U29" s="2"/>
      <c r="V29" s="6">
        <f t="shared" si="18"/>
        <v>0</v>
      </c>
      <c r="W29" s="2"/>
      <c r="X29" s="7">
        <f t="shared" si="19"/>
        <v>0</v>
      </c>
      <c r="Y29" s="2"/>
      <c r="Z29" s="6">
        <f t="shared" si="20"/>
        <v>0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0.66</v>
      </c>
      <c r="E30" s="2"/>
      <c r="F30" s="6">
        <f t="shared" si="13"/>
        <v>0</v>
      </c>
      <c r="G30" s="2"/>
      <c r="H30" s="7">
        <v>3.0043519999999999</v>
      </c>
      <c r="I30" s="2"/>
      <c r="J30" s="6">
        <f t="shared" si="14"/>
        <v>4.8614110032362459E-3</v>
      </c>
      <c r="K30" s="2"/>
      <c r="L30" s="7">
        <f t="shared" si="15"/>
        <v>-2.3443519999999998</v>
      </c>
      <c r="M30" s="2"/>
      <c r="N30" s="6">
        <f t="shared" si="16"/>
        <v>-0.78031868436188567</v>
      </c>
      <c r="O30" s="11"/>
      <c r="P30" s="7">
        <v>34.9</v>
      </c>
      <c r="Q30" s="2"/>
      <c r="R30" s="6">
        <f t="shared" si="17"/>
        <v>6.7387266316793516E-3</v>
      </c>
      <c r="S30" s="2"/>
      <c r="T30" s="7">
        <v>28.091752</v>
      </c>
      <c r="U30" s="2"/>
      <c r="V30" s="6">
        <f t="shared" si="18"/>
        <v>4.6625314522821572E-3</v>
      </c>
      <c r="W30" s="2"/>
      <c r="X30" s="7">
        <f t="shared" si="19"/>
        <v>6.808247999999999</v>
      </c>
      <c r="Y30" s="2"/>
      <c r="Z30" s="6">
        <f t="shared" si="20"/>
        <v>0.24235754323902614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3"/>
        <v>0</v>
      </c>
      <c r="G33" s="2"/>
      <c r="H33" s="7">
        <v>0</v>
      </c>
      <c r="I33" s="2"/>
      <c r="J33" s="6">
        <f t="shared" si="14"/>
        <v>0</v>
      </c>
      <c r="K33" s="2"/>
      <c r="L33" s="7">
        <f t="shared" si="15"/>
        <v>0</v>
      </c>
      <c r="M33" s="2"/>
      <c r="N33" s="6">
        <f t="shared" si="16"/>
        <v>0</v>
      </c>
      <c r="O33" s="11"/>
      <c r="P33" s="7"/>
      <c r="Q33" s="2"/>
      <c r="R33" s="6">
        <f t="shared" si="17"/>
        <v>0</v>
      </c>
      <c r="S33" s="2"/>
      <c r="T33" s="7">
        <v>0</v>
      </c>
      <c r="U33" s="2"/>
      <c r="V33" s="6">
        <f t="shared" si="18"/>
        <v>0</v>
      </c>
      <c r="W33" s="2"/>
      <c r="X33" s="7">
        <f t="shared" si="19"/>
        <v>0</v>
      </c>
      <c r="Y33" s="2"/>
      <c r="Z33" s="6">
        <f t="shared" si="20"/>
        <v>0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3"/>
        <v>0</v>
      </c>
      <c r="G34" s="2"/>
      <c r="H34" s="7">
        <v>34.665599999999998</v>
      </c>
      <c r="I34" s="2"/>
      <c r="J34" s="6">
        <f t="shared" si="14"/>
        <v>5.6093203883495139E-2</v>
      </c>
      <c r="K34" s="2"/>
      <c r="L34" s="7">
        <f t="shared" si="15"/>
        <v>-34.665599999999998</v>
      </c>
      <c r="M34" s="2"/>
      <c r="N34" s="6">
        <f t="shared" si="16"/>
        <v>-1</v>
      </c>
      <c r="O34" s="11"/>
      <c r="P34" s="7"/>
      <c r="Q34" s="2"/>
      <c r="R34" s="6">
        <f t="shared" si="17"/>
        <v>0</v>
      </c>
      <c r="S34" s="2"/>
      <c r="T34" s="7">
        <v>324.13560000000001</v>
      </c>
      <c r="U34" s="2"/>
      <c r="V34" s="6">
        <f t="shared" si="18"/>
        <v>5.3798439834024901E-2</v>
      </c>
      <c r="W34" s="2"/>
      <c r="X34" s="7">
        <f t="shared" si="19"/>
        <v>-324.13560000000001</v>
      </c>
      <c r="Y34" s="2"/>
      <c r="Z34" s="6">
        <f t="shared" si="20"/>
        <v>-1</v>
      </c>
    </row>
    <row r="35" spans="1:26" s="27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1155.52</v>
      </c>
      <c r="I35" s="1"/>
      <c r="J35" s="5">
        <f t="shared" ref="J35:J45" si="22">IF(H$12=0,0,H35/H$12)</f>
        <v>1.8697734627831715</v>
      </c>
      <c r="K35" s="1"/>
      <c r="L35" s="1">
        <f t="shared" ref="L35:L45" si="23">+D35-H35</f>
        <v>-1155.52</v>
      </c>
      <c r="M35" s="1"/>
      <c r="N35" s="5">
        <f t="shared" ref="N35:N45" si="24">IF(H35=0,0,L35/H35)</f>
        <v>-1</v>
      </c>
      <c r="O35" s="13"/>
      <c r="P35" s="1">
        <f>SUM(OSRRefP22_1x_0)</f>
        <v>10914.98</v>
      </c>
      <c r="Q35" s="1"/>
      <c r="R35" s="5">
        <f t="shared" ref="R35:R45" si="25">IF(P$12=0,0,P35/P$12)</f>
        <v>2.1075377194913321</v>
      </c>
      <c r="S35" s="1"/>
      <c r="T35" s="1">
        <f>SUM(OSRRefT22_1x_0)</f>
        <v>10804.52</v>
      </c>
      <c r="U35" s="1"/>
      <c r="V35" s="5">
        <f t="shared" ref="V35:V45" si="26">IF(T$12=0,0,T35/T$12)</f>
        <v>1.7932813278008299</v>
      </c>
      <c r="W35" s="1"/>
      <c r="X35" s="1">
        <f t="shared" ref="X35:X45" si="27">+P35-T35</f>
        <v>110.45999999999913</v>
      </c>
      <c r="Y35" s="1"/>
      <c r="Z35" s="5">
        <f t="shared" ref="Z35:Z45" si="28">IF(T35=0,0,X35/T35)</f>
        <v>1.02234990540995E-2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>
        <v>7765.17</v>
      </c>
      <c r="Q40" s="2"/>
      <c r="R40" s="6">
        <f t="shared" si="25"/>
        <v>1.4993512286108182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7765.17</v>
      </c>
      <c r="Y40" s="2"/>
      <c r="Z40" s="6">
        <f t="shared" si="28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>
        <v>73.31</v>
      </c>
      <c r="Q41" s="2"/>
      <c r="R41" s="6">
        <f t="shared" si="25"/>
        <v>1.4155187660986054E-2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73.31</v>
      </c>
      <c r="Y41" s="2"/>
      <c r="Z41" s="6">
        <f t="shared" si="28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>
        <v>3076.5</v>
      </c>
      <c r="Q42" s="2"/>
      <c r="R42" s="6">
        <f t="shared" si="25"/>
        <v>0.59403130321952802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3076.5</v>
      </c>
      <c r="Y42" s="2"/>
      <c r="Z42" s="6">
        <f t="shared" si="28"/>
        <v>0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1"/>
        <v>0</v>
      </c>
      <c r="G43" s="2"/>
      <c r="H43" s="7">
        <v>1155.52</v>
      </c>
      <c r="I43" s="2"/>
      <c r="J43" s="6">
        <f t="shared" si="22"/>
        <v>1.8697734627831715</v>
      </c>
      <c r="K43" s="2"/>
      <c r="L43" s="7">
        <f t="shared" si="23"/>
        <v>-1155.52</v>
      </c>
      <c r="M43" s="2"/>
      <c r="N43" s="6">
        <f t="shared" si="24"/>
        <v>-1</v>
      </c>
      <c r="O43" s="11"/>
      <c r="P43" s="7"/>
      <c r="Q43" s="2"/>
      <c r="R43" s="6">
        <f t="shared" si="25"/>
        <v>0</v>
      </c>
      <c r="S43" s="2"/>
      <c r="T43" s="7">
        <v>10804.52</v>
      </c>
      <c r="U43" s="2"/>
      <c r="V43" s="6">
        <f t="shared" si="26"/>
        <v>1.7932813278008299</v>
      </c>
      <c r="W43" s="2"/>
      <c r="X43" s="7">
        <f t="shared" si="27"/>
        <v>-10804.52</v>
      </c>
      <c r="Y43" s="2"/>
      <c r="Z43" s="6">
        <f t="shared" si="28"/>
        <v>-1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7" customFormat="1" outlineLevel="1" collapsed="1" x14ac:dyDescent="0.25">
      <c r="A46" s="26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SUM(OSRRefD22_2x_0)</f>
        <v>0</v>
      </c>
      <c r="E46" s="1"/>
      <c r="F46" s="5">
        <f t="shared" ref="F46:F59" si="29">IF(D$12=0,0,D46/D$12)</f>
        <v>0</v>
      </c>
      <c r="G46" s="1"/>
      <c r="H46" s="1">
        <f>SUM(OSRRefH22_2x_0)</f>
        <v>25</v>
      </c>
      <c r="I46" s="1"/>
      <c r="J46" s="5">
        <f t="shared" ref="J46:J59" si="30">IF(H$12=0,0,H46/H$12)</f>
        <v>4.0453074433656956E-2</v>
      </c>
      <c r="K46" s="1"/>
      <c r="L46" s="1">
        <f t="shared" ref="L46:L59" si="31">+D46-H46</f>
        <v>-25</v>
      </c>
      <c r="M46" s="1"/>
      <c r="N46" s="5">
        <f t="shared" ref="N46:N59" si="32">IF(H46=0,0,L46/H46)</f>
        <v>-1</v>
      </c>
      <c r="O46" s="13"/>
      <c r="P46" s="1">
        <f>SUM(OSRRefP22_2x_0)</f>
        <v>-1.41</v>
      </c>
      <c r="Q46" s="1"/>
      <c r="R46" s="5">
        <f t="shared" ref="R46:R59" si="33">IF(P$12=0,0,P46/P$12)</f>
        <v>-2.7225227938876463E-4</v>
      </c>
      <c r="S46" s="1"/>
      <c r="T46" s="1">
        <f>SUM(OSRRefT22_2x_0)</f>
        <v>175</v>
      </c>
      <c r="U46" s="1"/>
      <c r="V46" s="5">
        <f t="shared" ref="V46:V59" si="34">IF(T$12=0,0,T46/T$12)</f>
        <v>2.9045643153526972E-2</v>
      </c>
      <c r="W46" s="1"/>
      <c r="X46" s="1">
        <f t="shared" ref="X46:X59" si="35">+P46-T46</f>
        <v>-176.41</v>
      </c>
      <c r="Y46" s="1"/>
      <c r="Z46" s="5">
        <f t="shared" ref="Z46:Z59" si="36">IF(T46=0,0,X46/T46)</f>
        <v>-1.0080571428571428</v>
      </c>
    </row>
    <row r="47" spans="1:26" s="24" customFormat="1" hidden="1" outlineLevel="2" x14ac:dyDescent="0.25">
      <c r="A47" s="25"/>
      <c r="B47" s="11" t="str">
        <f>CONCATENATE("          ", "6272", " - ", "CASH (OVER/SHORT)")</f>
        <v xml:space="preserve">          6272 - CASH (OVER/SHORT)</v>
      </c>
      <c r="C47" s="11"/>
      <c r="D47" s="7"/>
      <c r="E47" s="2"/>
      <c r="F47" s="6">
        <f t="shared" si="29"/>
        <v>0</v>
      </c>
      <c r="G47" s="2"/>
      <c r="H47" s="7">
        <v>25</v>
      </c>
      <c r="I47" s="2"/>
      <c r="J47" s="6">
        <f t="shared" si="30"/>
        <v>4.0453074433656956E-2</v>
      </c>
      <c r="K47" s="2"/>
      <c r="L47" s="7">
        <f t="shared" si="31"/>
        <v>-25</v>
      </c>
      <c r="M47" s="2"/>
      <c r="N47" s="6">
        <f t="shared" si="32"/>
        <v>-1</v>
      </c>
      <c r="O47" s="11"/>
      <c r="P47" s="7">
        <v>-1.41</v>
      </c>
      <c r="Q47" s="2"/>
      <c r="R47" s="6">
        <f t="shared" si="33"/>
        <v>-2.7225227938876463E-4</v>
      </c>
      <c r="S47" s="2"/>
      <c r="T47" s="7">
        <v>175</v>
      </c>
      <c r="U47" s="2"/>
      <c r="V47" s="6">
        <f t="shared" si="34"/>
        <v>2.9045643153526972E-2</v>
      </c>
      <c r="W47" s="2"/>
      <c r="X47" s="7">
        <f t="shared" si="35"/>
        <v>-176.41</v>
      </c>
      <c r="Y47" s="2"/>
      <c r="Z47" s="6">
        <f t="shared" si="36"/>
        <v>-1.0080571428571428</v>
      </c>
    </row>
    <row r="48" spans="1:26" s="27" customFormat="1" outlineLevel="1" collapsed="1" x14ac:dyDescent="0.25">
      <c r="A48" s="26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13</v>
      </c>
      <c r="I48" s="1"/>
      <c r="J48" s="5">
        <f t="shared" si="30"/>
        <v>2.1035598705501618E-2</v>
      </c>
      <c r="K48" s="1"/>
      <c r="L48" s="1">
        <f t="shared" si="31"/>
        <v>-13</v>
      </c>
      <c r="M48" s="1"/>
      <c r="N48" s="5">
        <f t="shared" si="32"/>
        <v>-1</v>
      </c>
      <c r="O48" s="13"/>
      <c r="P48" s="1">
        <f>SUM(OSRRefP22_3x_0)</f>
        <v>125.26</v>
      </c>
      <c r="Q48" s="1"/>
      <c r="R48" s="5">
        <f t="shared" si="33"/>
        <v>2.418604291931678E-2</v>
      </c>
      <c r="S48" s="1"/>
      <c r="T48" s="1">
        <f>SUM(OSRRefT22_3x_0)</f>
        <v>128</v>
      </c>
      <c r="U48" s="1"/>
      <c r="V48" s="5">
        <f t="shared" si="34"/>
        <v>2.1244813278008298E-2</v>
      </c>
      <c r="W48" s="1"/>
      <c r="X48" s="1">
        <f t="shared" si="35"/>
        <v>-2.7399999999999949</v>
      </c>
      <c r="Y48" s="1"/>
      <c r="Z48" s="5">
        <f t="shared" si="36"/>
        <v>-2.140624999999996E-2</v>
      </c>
    </row>
    <row r="49" spans="1:26" s="24" customFormat="1" hidden="1" outlineLevel="2" x14ac:dyDescent="0.25">
      <c r="A49" s="25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29"/>
        <v>0</v>
      </c>
      <c r="G49" s="2"/>
      <c r="H49" s="7">
        <v>13</v>
      </c>
      <c r="I49" s="2"/>
      <c r="J49" s="6">
        <f t="shared" si="30"/>
        <v>2.1035598705501618E-2</v>
      </c>
      <c r="K49" s="2"/>
      <c r="L49" s="7">
        <f t="shared" si="31"/>
        <v>-13</v>
      </c>
      <c r="M49" s="2"/>
      <c r="N49" s="6">
        <f t="shared" si="32"/>
        <v>-1</v>
      </c>
      <c r="O49" s="11"/>
      <c r="P49" s="7">
        <v>125.26</v>
      </c>
      <c r="Q49" s="2"/>
      <c r="R49" s="6">
        <f t="shared" si="33"/>
        <v>2.418604291931678E-2</v>
      </c>
      <c r="S49" s="2"/>
      <c r="T49" s="7">
        <v>128</v>
      </c>
      <c r="U49" s="2"/>
      <c r="V49" s="6">
        <f t="shared" si="34"/>
        <v>2.1244813278008298E-2</v>
      </c>
      <c r="W49" s="2"/>
      <c r="X49" s="7">
        <f t="shared" si="35"/>
        <v>-2.7399999999999949</v>
      </c>
      <c r="Y49" s="2"/>
      <c r="Z49" s="6">
        <f t="shared" si="36"/>
        <v>-2.140624999999996E-2</v>
      </c>
    </row>
    <row r="50" spans="1:26" s="27" customFormat="1" outlineLevel="1" collapsed="1" x14ac:dyDescent="0.25">
      <c r="A50" s="26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SUM(OSRRefD22_4x_0)</f>
        <v>40.799999999999997</v>
      </c>
      <c r="E50" s="1"/>
      <c r="F50" s="5">
        <f t="shared" si="29"/>
        <v>0</v>
      </c>
      <c r="G50" s="1"/>
      <c r="H50" s="1">
        <f>SUM(OSRRefH22_4x_0)</f>
        <v>0</v>
      </c>
      <c r="I50" s="1"/>
      <c r="J50" s="5">
        <f t="shared" si="30"/>
        <v>0</v>
      </c>
      <c r="K50" s="1"/>
      <c r="L50" s="1">
        <f t="shared" si="31"/>
        <v>40.799999999999997</v>
      </c>
      <c r="M50" s="1"/>
      <c r="N50" s="5">
        <f t="shared" si="32"/>
        <v>0</v>
      </c>
      <c r="O50" s="13"/>
      <c r="P50" s="1">
        <f>SUM(OSRRefP22_4x_0)</f>
        <v>40.799999999999997</v>
      </c>
      <c r="Q50" s="1"/>
      <c r="R50" s="5">
        <f t="shared" si="33"/>
        <v>7.877938297206807E-3</v>
      </c>
      <c r="S50" s="1"/>
      <c r="T50" s="1">
        <f>SUM(OSRRefT22_4x_0)</f>
        <v>0</v>
      </c>
      <c r="U50" s="1"/>
      <c r="V50" s="5">
        <f t="shared" si="34"/>
        <v>0</v>
      </c>
      <c r="W50" s="1"/>
      <c r="X50" s="1">
        <f t="shared" si="35"/>
        <v>40.799999999999997</v>
      </c>
      <c r="Y50" s="1"/>
      <c r="Z50" s="5">
        <f t="shared" si="36"/>
        <v>0</v>
      </c>
    </row>
    <row r="51" spans="1:26" s="24" customFormat="1" hidden="1" outlineLevel="2" x14ac:dyDescent="0.25">
      <c r="A51" s="25"/>
      <c r="B51" s="11" t="str">
        <f>CONCATENATE("          ", "6277", " - ", "EMPLOYEE APPRECIATION")</f>
        <v xml:space="preserve">          6277 - EMPLOYEE APPRECIATION</v>
      </c>
      <c r="C51" s="11"/>
      <c r="D51" s="7">
        <v>40.799999999999997</v>
      </c>
      <c r="E51" s="2"/>
      <c r="F51" s="6">
        <f t="shared" si="29"/>
        <v>0</v>
      </c>
      <c r="G51" s="2"/>
      <c r="H51" s="7"/>
      <c r="I51" s="2"/>
      <c r="J51" s="6">
        <f t="shared" si="30"/>
        <v>0</v>
      </c>
      <c r="K51" s="2"/>
      <c r="L51" s="7">
        <f t="shared" si="31"/>
        <v>40.799999999999997</v>
      </c>
      <c r="M51" s="2"/>
      <c r="N51" s="6">
        <f t="shared" si="32"/>
        <v>0</v>
      </c>
      <c r="O51" s="11"/>
      <c r="P51" s="7">
        <v>40.799999999999997</v>
      </c>
      <c r="Q51" s="2"/>
      <c r="R51" s="6">
        <f t="shared" si="33"/>
        <v>7.877938297206807E-3</v>
      </c>
      <c r="S51" s="2"/>
      <c r="T51" s="7"/>
      <c r="U51" s="2"/>
      <c r="V51" s="6">
        <f t="shared" si="34"/>
        <v>0</v>
      </c>
      <c r="W51" s="2"/>
      <c r="X51" s="7">
        <f t="shared" si="35"/>
        <v>40.799999999999997</v>
      </c>
      <c r="Y51" s="2"/>
      <c r="Z51" s="6">
        <f t="shared" si="36"/>
        <v>0</v>
      </c>
    </row>
    <row r="52" spans="1:26" s="27" customFormat="1" outlineLevel="1" collapsed="1" x14ac:dyDescent="0.25">
      <c r="A52" s="26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SUM(OSRRefD22_5x_0)</f>
        <v>0</v>
      </c>
      <c r="E52" s="1"/>
      <c r="F52" s="5">
        <f t="shared" si="29"/>
        <v>0</v>
      </c>
      <c r="G52" s="1"/>
      <c r="H52" s="1">
        <f>SUM(OSRRefH22_5x_0)</f>
        <v>113</v>
      </c>
      <c r="I52" s="1"/>
      <c r="J52" s="5">
        <f t="shared" si="30"/>
        <v>0.18284789644012944</v>
      </c>
      <c r="K52" s="1"/>
      <c r="L52" s="1">
        <f t="shared" si="31"/>
        <v>-113</v>
      </c>
      <c r="M52" s="1"/>
      <c r="N52" s="5">
        <f t="shared" si="32"/>
        <v>-1</v>
      </c>
      <c r="O52" s="13"/>
      <c r="P52" s="1">
        <f>SUM(OSRRefP22_5x_0)</f>
        <v>1154.05</v>
      </c>
      <c r="Q52" s="1"/>
      <c r="R52" s="5">
        <f t="shared" si="33"/>
        <v>0.22283173264439987</v>
      </c>
      <c r="S52" s="1"/>
      <c r="T52" s="1">
        <f>SUM(OSRRefT22_5x_0)</f>
        <v>1103</v>
      </c>
      <c r="U52" s="1"/>
      <c r="V52" s="5">
        <f t="shared" si="34"/>
        <v>0.18307053941908713</v>
      </c>
      <c r="W52" s="1"/>
      <c r="X52" s="1">
        <f t="shared" si="35"/>
        <v>51.049999999999955</v>
      </c>
      <c r="Y52" s="1"/>
      <c r="Z52" s="5">
        <f t="shared" si="36"/>
        <v>4.6282864913871222E-2</v>
      </c>
    </row>
    <row r="53" spans="1:26" s="24" customFormat="1" hidden="1" outlineLevel="2" x14ac:dyDescent="0.25">
      <c r="A53" s="25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29"/>
        <v>0</v>
      </c>
      <c r="G53" s="2"/>
      <c r="H53" s="7">
        <v>113</v>
      </c>
      <c r="I53" s="2"/>
      <c r="J53" s="6">
        <f t="shared" si="30"/>
        <v>0.18284789644012944</v>
      </c>
      <c r="K53" s="2"/>
      <c r="L53" s="7">
        <f t="shared" si="31"/>
        <v>-113</v>
      </c>
      <c r="M53" s="2"/>
      <c r="N53" s="6">
        <f t="shared" si="32"/>
        <v>-1</v>
      </c>
      <c r="O53" s="11"/>
      <c r="P53" s="7">
        <v>1154.05</v>
      </c>
      <c r="Q53" s="2"/>
      <c r="R53" s="6">
        <f t="shared" si="33"/>
        <v>0.22283173264439987</v>
      </c>
      <c r="S53" s="2"/>
      <c r="T53" s="7">
        <v>1103</v>
      </c>
      <c r="U53" s="2"/>
      <c r="V53" s="6">
        <f t="shared" si="34"/>
        <v>0.18307053941908713</v>
      </c>
      <c r="W53" s="2"/>
      <c r="X53" s="7">
        <f t="shared" si="35"/>
        <v>51.049999999999955</v>
      </c>
      <c r="Y53" s="2"/>
      <c r="Z53" s="6">
        <f t="shared" si="36"/>
        <v>4.6282864913871222E-2</v>
      </c>
    </row>
    <row r="54" spans="1:26" s="27" customFormat="1" outlineLevel="1" collapsed="1" x14ac:dyDescent="0.25">
      <c r="A54" s="26"/>
      <c r="B54" s="13" t="str">
        <f>CONCATENATE("     ","R/H Commissions                                   ")</f>
        <v xml:space="preserve">     R/H Commissions                                   </v>
      </c>
      <c r="C54" s="13"/>
      <c r="D54" s="1">
        <f>SUM(OSRRefD22_6x_0)</f>
        <v>69.73</v>
      </c>
      <c r="E54" s="1"/>
      <c r="F54" s="5">
        <f t="shared" si="29"/>
        <v>0</v>
      </c>
      <c r="G54" s="1"/>
      <c r="H54" s="1">
        <f>SUM(OSRRefH22_6x_0)</f>
        <v>39</v>
      </c>
      <c r="I54" s="1"/>
      <c r="J54" s="5">
        <f t="shared" si="30"/>
        <v>6.3106796116504854E-2</v>
      </c>
      <c r="K54" s="1"/>
      <c r="L54" s="1">
        <f t="shared" si="31"/>
        <v>30.730000000000004</v>
      </c>
      <c r="M54" s="1"/>
      <c r="N54" s="5">
        <f t="shared" si="32"/>
        <v>0.78794871794871801</v>
      </c>
      <c r="O54" s="13"/>
      <c r="P54" s="1">
        <f>SUM(OSRRefP22_6x_0)</f>
        <v>414.32</v>
      </c>
      <c r="Q54" s="1"/>
      <c r="R54" s="5">
        <f t="shared" si="33"/>
        <v>7.9999691061243244E-2</v>
      </c>
      <c r="S54" s="1"/>
      <c r="T54" s="1">
        <f>SUM(OSRRefT22_6x_0)</f>
        <v>380</v>
      </c>
      <c r="U54" s="1"/>
      <c r="V54" s="5">
        <f t="shared" si="34"/>
        <v>6.3070539419087135E-2</v>
      </c>
      <c r="W54" s="1"/>
      <c r="X54" s="1">
        <f t="shared" si="35"/>
        <v>34.319999999999993</v>
      </c>
      <c r="Y54" s="1"/>
      <c r="Z54" s="5">
        <f t="shared" si="36"/>
        <v>9.0315789473684197E-2</v>
      </c>
    </row>
    <row r="55" spans="1:26" s="24" customFormat="1" hidden="1" outlineLevel="2" x14ac:dyDescent="0.25">
      <c r="A55" s="25"/>
      <c r="B55" s="11" t="str">
        <f>CONCATENATE("          ", "6387", " - ", "COMMISSION DUE HOUSING")</f>
        <v xml:space="preserve">          6387 - COMMISSION DUE HOUSING</v>
      </c>
      <c r="C55" s="11"/>
      <c r="D55" s="7">
        <v>69.73</v>
      </c>
      <c r="E55" s="2"/>
      <c r="F55" s="6">
        <f t="shared" si="29"/>
        <v>0</v>
      </c>
      <c r="G55" s="2"/>
      <c r="H55" s="7">
        <v>39</v>
      </c>
      <c r="I55" s="2"/>
      <c r="J55" s="6">
        <f t="shared" si="30"/>
        <v>6.3106796116504854E-2</v>
      </c>
      <c r="K55" s="2"/>
      <c r="L55" s="7">
        <f t="shared" si="31"/>
        <v>30.730000000000004</v>
      </c>
      <c r="M55" s="2"/>
      <c r="N55" s="6">
        <f t="shared" si="32"/>
        <v>0.78794871794871801</v>
      </c>
      <c r="O55" s="11"/>
      <c r="P55" s="7">
        <v>414.32</v>
      </c>
      <c r="Q55" s="2"/>
      <c r="R55" s="6">
        <f t="shared" si="33"/>
        <v>7.9999691061243244E-2</v>
      </c>
      <c r="S55" s="2"/>
      <c r="T55" s="7">
        <v>380</v>
      </c>
      <c r="U55" s="2"/>
      <c r="V55" s="6">
        <f t="shared" si="34"/>
        <v>6.3070539419087135E-2</v>
      </c>
      <c r="W55" s="2"/>
      <c r="X55" s="7">
        <f t="shared" si="35"/>
        <v>34.319999999999993</v>
      </c>
      <c r="Y55" s="2"/>
      <c r="Z55" s="6">
        <f t="shared" si="36"/>
        <v>9.0315789473684197E-2</v>
      </c>
    </row>
    <row r="56" spans="1:26" s="27" customFormat="1" outlineLevel="1" collapsed="1" x14ac:dyDescent="0.25">
      <c r="A56" s="26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SUM(OSRRefD22_7x_0)</f>
        <v>0</v>
      </c>
      <c r="E56" s="1"/>
      <c r="F56" s="5">
        <f t="shared" si="29"/>
        <v>0</v>
      </c>
      <c r="G56" s="1"/>
      <c r="H56" s="1">
        <f>SUM(OSRRefH22_7x_0)</f>
        <v>12</v>
      </c>
      <c r="I56" s="1"/>
      <c r="J56" s="5">
        <f t="shared" si="30"/>
        <v>1.9417475728155338E-2</v>
      </c>
      <c r="K56" s="1"/>
      <c r="L56" s="1">
        <f t="shared" si="31"/>
        <v>-12</v>
      </c>
      <c r="M56" s="1"/>
      <c r="N56" s="5">
        <f t="shared" si="32"/>
        <v>-1</v>
      </c>
      <c r="O56" s="13"/>
      <c r="P56" s="1">
        <f>SUM(OSRRefP22_7x_0)</f>
        <v>1592.1399999999999</v>
      </c>
      <c r="Q56" s="1"/>
      <c r="R56" s="5">
        <f t="shared" si="33"/>
        <v>0.30742109511065796</v>
      </c>
      <c r="S56" s="1"/>
      <c r="T56" s="1">
        <f>SUM(OSRRefT22_7x_0)</f>
        <v>121</v>
      </c>
      <c r="U56" s="1"/>
      <c r="V56" s="5">
        <f t="shared" si="34"/>
        <v>2.0082987551867219E-2</v>
      </c>
      <c r="W56" s="1"/>
      <c r="X56" s="1">
        <f t="shared" si="35"/>
        <v>1471.1399999999999</v>
      </c>
      <c r="Y56" s="1"/>
      <c r="Z56" s="5">
        <f t="shared" si="36"/>
        <v>12.158181818181816</v>
      </c>
    </row>
    <row r="57" spans="1:26" s="24" customFormat="1" hidden="1" outlineLevel="2" x14ac:dyDescent="0.25">
      <c r="A57" s="25"/>
      <c r="B57" s="11" t="str">
        <f>CONCATENATE("          ", "6237", " - ", "JANITORIAL SUPPLIES")</f>
        <v xml:space="preserve">          6237 - JANITORIAL SUPPLIES</v>
      </c>
      <c r="C57" s="11"/>
      <c r="D57" s="7"/>
      <c r="E57" s="2"/>
      <c r="F57" s="6">
        <f t="shared" si="29"/>
        <v>0</v>
      </c>
      <c r="G57" s="2"/>
      <c r="H57" s="7"/>
      <c r="I57" s="2"/>
      <c r="J57" s="6">
        <f t="shared" si="30"/>
        <v>0</v>
      </c>
      <c r="K57" s="2"/>
      <c r="L57" s="7">
        <f t="shared" si="31"/>
        <v>0</v>
      </c>
      <c r="M57" s="2"/>
      <c r="N57" s="6">
        <f t="shared" si="32"/>
        <v>0</v>
      </c>
      <c r="O57" s="11"/>
      <c r="P57" s="7">
        <v>47.13</v>
      </c>
      <c r="Q57" s="2"/>
      <c r="R57" s="6">
        <f t="shared" si="33"/>
        <v>9.1001772536116864E-3</v>
      </c>
      <c r="S57" s="2"/>
      <c r="T57" s="7"/>
      <c r="U57" s="2"/>
      <c r="V57" s="6">
        <f t="shared" si="34"/>
        <v>0</v>
      </c>
      <c r="W57" s="2"/>
      <c r="X57" s="7">
        <f t="shared" si="35"/>
        <v>47.13</v>
      </c>
      <c r="Y57" s="2"/>
      <c r="Z57" s="6">
        <f t="shared" si="36"/>
        <v>0</v>
      </c>
    </row>
    <row r="58" spans="1:26" s="24" customFormat="1" hidden="1" outlineLevel="2" x14ac:dyDescent="0.25">
      <c r="A58" s="25"/>
      <c r="B58" s="11" t="str">
        <f>CONCATENATE("          ", "6247", " - ", "STORE SUPPLIES")</f>
        <v xml:space="preserve">          6247 - STORE SUPPLIES</v>
      </c>
      <c r="C58" s="11"/>
      <c r="D58" s="7"/>
      <c r="E58" s="2"/>
      <c r="F58" s="6">
        <f t="shared" si="29"/>
        <v>0</v>
      </c>
      <c r="G58" s="2"/>
      <c r="H58" s="7">
        <v>12</v>
      </c>
      <c r="I58" s="2"/>
      <c r="J58" s="6">
        <f t="shared" si="30"/>
        <v>1.9417475728155338E-2</v>
      </c>
      <c r="K58" s="2"/>
      <c r="L58" s="7">
        <f t="shared" si="31"/>
        <v>-12</v>
      </c>
      <c r="M58" s="2"/>
      <c r="N58" s="6">
        <f t="shared" si="32"/>
        <v>-1</v>
      </c>
      <c r="O58" s="11"/>
      <c r="P58" s="7">
        <v>431.41</v>
      </c>
      <c r="Q58" s="2"/>
      <c r="R58" s="6">
        <f t="shared" si="33"/>
        <v>8.3299543156813455E-2</v>
      </c>
      <c r="S58" s="2"/>
      <c r="T58" s="7">
        <v>121</v>
      </c>
      <c r="U58" s="2"/>
      <c r="V58" s="6">
        <f t="shared" si="34"/>
        <v>2.0082987551867219E-2</v>
      </c>
      <c r="W58" s="2"/>
      <c r="X58" s="7">
        <f t="shared" si="35"/>
        <v>310.41000000000003</v>
      </c>
      <c r="Y58" s="2"/>
      <c r="Z58" s="6">
        <f t="shared" si="36"/>
        <v>2.5653719008264466</v>
      </c>
    </row>
    <row r="59" spans="1:26" s="24" customFormat="1" hidden="1" outlineLevel="2" x14ac:dyDescent="0.25">
      <c r="A59" s="25"/>
      <c r="B59" s="11" t="str">
        <f>CONCATENATE("          ", "6248", " - ", "UNIFORMS")</f>
        <v xml:space="preserve">          6248 - UNIFORMS</v>
      </c>
      <c r="C59" s="11"/>
      <c r="D59" s="7"/>
      <c r="E59" s="2"/>
      <c r="F59" s="6">
        <f t="shared" si="29"/>
        <v>0</v>
      </c>
      <c r="G59" s="2"/>
      <c r="H59" s="7"/>
      <c r="I59" s="2"/>
      <c r="J59" s="6">
        <f t="shared" si="30"/>
        <v>0</v>
      </c>
      <c r="K59" s="2"/>
      <c r="L59" s="7">
        <f t="shared" si="31"/>
        <v>0</v>
      </c>
      <c r="M59" s="2"/>
      <c r="N59" s="6">
        <f t="shared" si="32"/>
        <v>0</v>
      </c>
      <c r="O59" s="11"/>
      <c r="P59" s="7">
        <v>1113.5999999999999</v>
      </c>
      <c r="Q59" s="2"/>
      <c r="R59" s="6">
        <f t="shared" si="33"/>
        <v>0.21502137470023283</v>
      </c>
      <c r="S59" s="2"/>
      <c r="T59" s="7"/>
      <c r="U59" s="2"/>
      <c r="V59" s="6">
        <f t="shared" si="34"/>
        <v>0</v>
      </c>
      <c r="W59" s="2"/>
      <c r="X59" s="7">
        <f t="shared" si="35"/>
        <v>1113.5999999999999</v>
      </c>
      <c r="Y59" s="2"/>
      <c r="Z59" s="6">
        <f t="shared" si="36"/>
        <v>0</v>
      </c>
    </row>
    <row r="60" spans="1:26" s="27" customFormat="1" outlineLevel="1" collapsed="1" x14ac:dyDescent="0.25">
      <c r="A60" s="26"/>
      <c r="B60" s="13" t="str">
        <f>CONCATENATE("     ","Telephone/Data Lines                              ")</f>
        <v xml:space="preserve">     Telephone/Data Lines                              </v>
      </c>
      <c r="C60" s="13"/>
      <c r="D60" s="1">
        <f>SUM(OSRRefD22_8x_0)</f>
        <v>75.5</v>
      </c>
      <c r="E60" s="1"/>
      <c r="F60" s="5">
        <f t="shared" ref="F60:F61" si="37">IF(D$12=0,0,D60/D$12)</f>
        <v>0</v>
      </c>
      <c r="G60" s="1"/>
      <c r="H60" s="1">
        <f>SUM(OSRRefH22_8x_0)</f>
        <v>0</v>
      </c>
      <c r="I60" s="1"/>
      <c r="J60" s="5">
        <f t="shared" ref="J60:J61" si="38">IF(H$12=0,0,H60/H$12)</f>
        <v>0</v>
      </c>
      <c r="K60" s="1"/>
      <c r="L60" s="1">
        <f t="shared" ref="L60:L61" si="39">+D60-H60</f>
        <v>75.5</v>
      </c>
      <c r="M60" s="1"/>
      <c r="N60" s="5">
        <f t="shared" ref="N60:N61" si="40">IF(H60=0,0,L60/H60)</f>
        <v>0</v>
      </c>
      <c r="O60" s="13"/>
      <c r="P60" s="1">
        <f>SUM(OSRRefP22_8x_0)</f>
        <v>488.5</v>
      </c>
      <c r="Q60" s="1"/>
      <c r="R60" s="5">
        <f t="shared" ref="R60:R61" si="41">IF(P$12=0,0,P60/P$12)</f>
        <v>9.4322864171213855E-2</v>
      </c>
      <c r="S60" s="1"/>
      <c r="T60" s="1">
        <f>SUM(OSRRefT22_8x_0)</f>
        <v>0</v>
      </c>
      <c r="U60" s="1"/>
      <c r="V60" s="5">
        <f t="shared" ref="V60:V61" si="42">IF(T$12=0,0,T60/T$12)</f>
        <v>0</v>
      </c>
      <c r="W60" s="1"/>
      <c r="X60" s="1">
        <f t="shared" ref="X60:X61" si="43">+P60-T60</f>
        <v>488.5</v>
      </c>
      <c r="Y60" s="1"/>
      <c r="Z60" s="5">
        <f t="shared" ref="Z60:Z61" si="44">IF(T60=0,0,X60/T60)</f>
        <v>0</v>
      </c>
    </row>
    <row r="61" spans="1:26" s="24" customFormat="1" hidden="1" outlineLevel="2" x14ac:dyDescent="0.25">
      <c r="A61" s="25"/>
      <c r="B61" s="11" t="str">
        <f>CONCATENATE("          ", "6309", " - ", "TELEPHONE")</f>
        <v xml:space="preserve">          6309 - TELEPHONE</v>
      </c>
      <c r="C61" s="11"/>
      <c r="D61" s="7">
        <v>75.5</v>
      </c>
      <c r="E61" s="2"/>
      <c r="F61" s="6">
        <f t="shared" si="37"/>
        <v>0</v>
      </c>
      <c r="G61" s="2"/>
      <c r="H61" s="7"/>
      <c r="I61" s="2"/>
      <c r="J61" s="6">
        <f t="shared" si="38"/>
        <v>0</v>
      </c>
      <c r="K61" s="2"/>
      <c r="L61" s="7">
        <f t="shared" si="39"/>
        <v>75.5</v>
      </c>
      <c r="M61" s="2"/>
      <c r="N61" s="6">
        <f t="shared" si="40"/>
        <v>0</v>
      </c>
      <c r="O61" s="11"/>
      <c r="P61" s="7">
        <v>488.5</v>
      </c>
      <c r="Q61" s="2"/>
      <c r="R61" s="6">
        <f t="shared" si="41"/>
        <v>9.4322864171213855E-2</v>
      </c>
      <c r="S61" s="2"/>
      <c r="T61" s="7"/>
      <c r="U61" s="2"/>
      <c r="V61" s="6">
        <f t="shared" si="42"/>
        <v>0</v>
      </c>
      <c r="W61" s="2"/>
      <c r="X61" s="7">
        <f t="shared" si="43"/>
        <v>488.5</v>
      </c>
      <c r="Y61" s="2"/>
      <c r="Z61" s="6">
        <f t="shared" si="44"/>
        <v>0</v>
      </c>
    </row>
    <row r="62" spans="1:26" s="53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8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9" t="s">
        <v>3</v>
      </c>
      <c r="C65" s="29"/>
      <c r="D65" s="21">
        <f>+D23-D25+D63</f>
        <v>-191.53</v>
      </c>
      <c r="E65" s="14"/>
      <c r="F65" s="20">
        <f>IF(D$12=0,0,D65/D$12)</f>
        <v>0</v>
      </c>
      <c r="G65" s="14"/>
      <c r="H65" s="21">
        <f>+H23-H25+H63</f>
        <v>-1128.604832</v>
      </c>
      <c r="I65" s="14"/>
      <c r="J65" s="20">
        <f>IF(H$12=0,0,H65/H$12)</f>
        <v>-1.8262214110032362</v>
      </c>
      <c r="K65" s="16"/>
      <c r="L65" s="21">
        <f>+D65-H65</f>
        <v>937.07483200000001</v>
      </c>
      <c r="M65" s="16"/>
      <c r="N65" s="20">
        <f>IF(H65=0,0,L65/H65)</f>
        <v>-0.83029489634508313</v>
      </c>
      <c r="O65" s="28"/>
      <c r="P65" s="21">
        <f>+P23-P25+P63</f>
        <v>-12362.669999999998</v>
      </c>
      <c r="Q65" s="14"/>
      <c r="R65" s="20">
        <f>IF(P$12=0,0,P65/P$12)</f>
        <v>-2.3870674374688643</v>
      </c>
      <c r="S65" s="14"/>
      <c r="T65" s="21">
        <f>+T23-T25+T63</f>
        <v>-10455.983231999999</v>
      </c>
      <c r="U65" s="14"/>
      <c r="V65" s="20">
        <f>IF(T$12=0,0,T65/T$12)</f>
        <v>-1.7354329015767633</v>
      </c>
      <c r="W65" s="16"/>
      <c r="X65" s="21">
        <f>+P65-T65</f>
        <v>-1906.6867679999996</v>
      </c>
      <c r="Y65" s="16"/>
      <c r="Z65" s="20">
        <f>IF(T65=0,0,X65/T65)</f>
        <v>0.18235365586324612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2"/>
      <c r="B67" s="10" t="s">
        <v>14</v>
      </c>
      <c r="C67" s="10"/>
      <c r="D67" s="4">
        <v>-19.27</v>
      </c>
      <c r="E67" s="4"/>
      <c r="F67" s="12">
        <f>IF(D$12=0,0,D67/D$12)</f>
        <v>0</v>
      </c>
      <c r="G67" s="4"/>
      <c r="H67" s="4">
        <v>45</v>
      </c>
      <c r="I67" s="4"/>
      <c r="J67" s="12">
        <f>IF(H$12=0,0,H67/H$12)</f>
        <v>7.281553398058252E-2</v>
      </c>
      <c r="K67" s="4"/>
      <c r="L67" s="4">
        <f>+D67-H67</f>
        <v>-64.27</v>
      </c>
      <c r="M67" s="4"/>
      <c r="N67" s="12">
        <f>IF(H67=0,0,L67/H67)</f>
        <v>-1.4282222222222221</v>
      </c>
      <c r="O67" s="10"/>
      <c r="P67" s="4">
        <v>540.1</v>
      </c>
      <c r="Q67" s="4"/>
      <c r="R67" s="12">
        <f>IF(P$12=0,0,P67/P$12)</f>
        <v>0.10428613907650482</v>
      </c>
      <c r="S67" s="4"/>
      <c r="T67" s="4">
        <v>741</v>
      </c>
      <c r="U67" s="4"/>
      <c r="V67" s="12">
        <f>IF(T$12=0,0,T67/T$12)</f>
        <v>0.12298755186721992</v>
      </c>
      <c r="W67" s="4"/>
      <c r="X67" s="4">
        <f>+P67-T67</f>
        <v>-200.89999999999998</v>
      </c>
      <c r="Y67" s="4"/>
      <c r="Z67" s="12">
        <f>IF(T67=0,0,X67/T67)</f>
        <v>-0.2711201079622132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4</v>
      </c>
      <c r="C69" s="29"/>
      <c r="D69" s="34">
        <f>+D65-D67</f>
        <v>-172.26</v>
      </c>
      <c r="E69" s="14"/>
      <c r="F69" s="32">
        <f>IF(D$12=0,0,D69/D$12)</f>
        <v>0</v>
      </c>
      <c r="G69" s="14"/>
      <c r="H69" s="34">
        <f>+H65-H67</f>
        <v>-1173.604832</v>
      </c>
      <c r="I69" s="14"/>
      <c r="J69" s="32">
        <f>IF(H$12=0,0,H69/H$12)</f>
        <v>-1.8990369449838187</v>
      </c>
      <c r="K69" s="16"/>
      <c r="L69" s="34">
        <f>D69-H69</f>
        <v>1001.344832</v>
      </c>
      <c r="M69" s="16"/>
      <c r="N69" s="32">
        <f>IF(H69=0,0,L69/H69)</f>
        <v>-0.85322146321906078</v>
      </c>
      <c r="O69" s="28"/>
      <c r="P69" s="34">
        <f>+P65-P67</f>
        <v>-12902.769999999999</v>
      </c>
      <c r="Q69" s="14"/>
      <c r="R69" s="32">
        <f>IF(P$12=0,0,P69/P$12)</f>
        <v>-2.4913535765453689</v>
      </c>
      <c r="S69" s="14"/>
      <c r="T69" s="34">
        <f>+T65-T67</f>
        <v>-11196.983231999999</v>
      </c>
      <c r="U69" s="14"/>
      <c r="V69" s="32">
        <f>IF(T$12=0,0,T69/T$12)</f>
        <v>-1.8584204534439832</v>
      </c>
      <c r="W69" s="16"/>
      <c r="X69" s="34">
        <f>P69-T69</f>
        <v>-1705.7867679999999</v>
      </c>
      <c r="Y69" s="16"/>
      <c r="Z69" s="32">
        <f>IF(T69=0,0,X69/T69)</f>
        <v>0.15234342435425022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9" t="s">
        <v>5</v>
      </c>
      <c r="C72" s="29"/>
      <c r="D72" s="31">
        <f>SUM(D69:D71)</f>
        <v>-172.26</v>
      </c>
      <c r="E72" s="14"/>
      <c r="F72" s="30">
        <f>IF(D$12=0,0,D72/D$12)</f>
        <v>0</v>
      </c>
      <c r="G72" s="14"/>
      <c r="H72" s="31">
        <f>SUM(H69:H71)</f>
        <v>-1173.604832</v>
      </c>
      <c r="I72" s="14"/>
      <c r="J72" s="30">
        <f>IF(H$12=0,0,H72/H$12)</f>
        <v>-1.8990369449838187</v>
      </c>
      <c r="K72" s="16"/>
      <c r="L72" s="31">
        <f>+D72-H72</f>
        <v>1001.344832</v>
      </c>
      <c r="M72" s="16"/>
      <c r="N72" s="30">
        <f>IF(H72=0,0,L72/H72)</f>
        <v>-0.85322146321906078</v>
      </c>
      <c r="O72" s="28"/>
      <c r="P72" s="31">
        <f>SUM(P69:P71)</f>
        <v>-12902.769999999999</v>
      </c>
      <c r="Q72" s="14"/>
      <c r="R72" s="30">
        <f>IF(P$12=0,0,P72/P$12)</f>
        <v>-2.4913535765453689</v>
      </c>
      <c r="S72" s="14"/>
      <c r="T72" s="31">
        <f>SUM(T69:T71)</f>
        <v>-11196.983231999999</v>
      </c>
      <c r="U72" s="14"/>
      <c r="V72" s="30">
        <f>IF(T$12=0,0,T72/T$12)</f>
        <v>-1.8584204534439832</v>
      </c>
      <c r="W72" s="16"/>
      <c r="X72" s="31">
        <f>+P72-T72</f>
        <v>-1705.7867679999999</v>
      </c>
      <c r="Y72" s="16"/>
      <c r="Z72" s="30">
        <f>IF(T72=0,0,X72/T72)</f>
        <v>0.15234342435425022</v>
      </c>
    </row>
    <row r="73" spans="1:26" ht="15.75" thickTop="1" x14ac:dyDescent="0.25">
      <c r="A73" s="9"/>
      <c r="C73" s="9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63">
        <v>43879.546699502316</v>
      </c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57" t="s">
        <v>314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60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","444", " - ", "Parkside Dining Hall")</f>
        <v>Department 444 - Parkside Dining Hall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228518.96999999997</v>
      </c>
      <c r="E12" s="4"/>
      <c r="F12" s="12"/>
      <c r="G12" s="4"/>
      <c r="H12" s="4">
        <f>SUM(OSRRefH13x_0)</f>
        <v>215937</v>
      </c>
      <c r="I12" s="4"/>
      <c r="J12" s="12"/>
      <c r="K12" s="4"/>
      <c r="L12" s="4">
        <f t="shared" ref="L12:L16" si="0">+D12-H12</f>
        <v>12581.969999999972</v>
      </c>
      <c r="M12" s="4"/>
      <c r="N12" s="12">
        <f t="shared" ref="N12:N16" si="1">IF(H12=0,0,L12/H12)</f>
        <v>5.8266855610664095E-2</v>
      </c>
      <c r="O12" s="10"/>
      <c r="P12" s="4">
        <f>SUM(OSRRefP13x_0)</f>
        <v>2523194.5</v>
      </c>
      <c r="Q12" s="4"/>
      <c r="R12" s="12"/>
      <c r="S12" s="4"/>
      <c r="T12" s="4">
        <f>SUM(OSRRefT13x_0)</f>
        <v>2499190</v>
      </c>
      <c r="U12" s="4"/>
      <c r="V12" s="12"/>
      <c r="W12" s="4"/>
      <c r="X12" s="4">
        <f t="shared" ref="X12:X16" si="2">+P12-T12</f>
        <v>24004.5</v>
      </c>
      <c r="Y12" s="4"/>
      <c r="Z12" s="12">
        <f t="shared" ref="Z12:Z16" si="3">IF(T12=0,0,X12/T12)</f>
        <v>9.6049119914852418E-3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--43.61</f>
        <v>43.61</v>
      </c>
      <c r="E13" s="2"/>
      <c r="F13" s="19"/>
      <c r="G13" s="2"/>
      <c r="H13" s="2"/>
      <c r="I13" s="2"/>
      <c r="J13" s="19"/>
      <c r="K13" s="2"/>
      <c r="L13" s="2">
        <f t="shared" si="0"/>
        <v>43.61</v>
      </c>
      <c r="M13" s="2"/>
      <c r="N13" s="19">
        <f t="shared" si="1"/>
        <v>0</v>
      </c>
      <c r="O13" s="11"/>
      <c r="P13" s="2">
        <f>--2270.97</f>
        <v>2270.9699999999998</v>
      </c>
      <c r="Q13" s="2"/>
      <c r="R13" s="19"/>
      <c r="S13" s="2"/>
      <c r="T13" s="2"/>
      <c r="U13" s="2"/>
      <c r="V13" s="19"/>
      <c r="W13" s="2"/>
      <c r="X13" s="2">
        <f t="shared" si="2"/>
        <v>2270.9699999999998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215937</v>
      </c>
      <c r="I14" s="2"/>
      <c r="J14" s="19"/>
      <c r="K14" s="2"/>
      <c r="L14" s="2">
        <f t="shared" si="0"/>
        <v>-215937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2499190</v>
      </c>
      <c r="U14" s="2"/>
      <c r="V14" s="19"/>
      <c r="W14" s="2"/>
      <c r="X14" s="2">
        <f t="shared" si="2"/>
        <v>-2499190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--227237.75</f>
        <v>227237.75</v>
      </c>
      <c r="E15" s="2"/>
      <c r="F15" s="19"/>
      <c r="G15" s="2"/>
      <c r="H15" s="2"/>
      <c r="I15" s="2"/>
      <c r="J15" s="19"/>
      <c r="K15" s="2"/>
      <c r="L15" s="2">
        <f t="shared" si="0"/>
        <v>227237.75</v>
      </c>
      <c r="M15" s="2"/>
      <c r="N15" s="19">
        <f t="shared" si="1"/>
        <v>0</v>
      </c>
      <c r="O15" s="11"/>
      <c r="P15" s="2">
        <f>--2481822.55</f>
        <v>2481822.5499999998</v>
      </c>
      <c r="Q15" s="2"/>
      <c r="R15" s="19"/>
      <c r="S15" s="2"/>
      <c r="T15" s="2"/>
      <c r="U15" s="2"/>
      <c r="V15" s="19"/>
      <c r="W15" s="2"/>
      <c r="X15" s="2">
        <f t="shared" si="2"/>
        <v>2481822.5499999998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--1237.61</f>
        <v>1237.6099999999999</v>
      </c>
      <c r="E16" s="2"/>
      <c r="F16" s="19"/>
      <c r="G16" s="2"/>
      <c r="H16" s="2"/>
      <c r="I16" s="2"/>
      <c r="J16" s="19"/>
      <c r="K16" s="2"/>
      <c r="L16" s="2">
        <f t="shared" si="0"/>
        <v>1237.6099999999999</v>
      </c>
      <c r="M16" s="2"/>
      <c r="N16" s="19">
        <f t="shared" si="1"/>
        <v>0</v>
      </c>
      <c r="O16" s="11"/>
      <c r="P16" s="2">
        <f>--39100.98</f>
        <v>39100.980000000003</v>
      </c>
      <c r="Q16" s="2"/>
      <c r="R16" s="19"/>
      <c r="S16" s="2"/>
      <c r="T16" s="2"/>
      <c r="U16" s="2"/>
      <c r="V16" s="19"/>
      <c r="W16" s="2"/>
      <c r="X16" s="2">
        <f t="shared" si="2"/>
        <v>39100.980000000003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62098.36</v>
      </c>
      <c r="E18" s="4"/>
      <c r="F18" s="12">
        <f t="shared" ref="F18:F21" si="4">IF(D$12=0,0,D18/D$12)</f>
        <v>0.27174269164612463</v>
      </c>
      <c r="G18" s="4"/>
      <c r="H18" s="4">
        <f>SUM(OSRRefH16x_0)</f>
        <v>58302</v>
      </c>
      <c r="I18" s="4"/>
      <c r="J18" s="12">
        <f t="shared" ref="J18:J21" si="5">IF(H$12=0,0,H18/H$12)</f>
        <v>0.26999541532947108</v>
      </c>
      <c r="K18" s="4"/>
      <c r="L18" s="4">
        <f t="shared" ref="L18:L21" si="6">+D18-H18</f>
        <v>3796.3600000000006</v>
      </c>
      <c r="M18" s="4"/>
      <c r="N18" s="12">
        <f t="shared" ref="N18:N21" si="7">IF(H18=0,0,L18/H18)</f>
        <v>6.5115433432815353E-2</v>
      </c>
      <c r="O18" s="10"/>
      <c r="P18" s="4">
        <f>SUM(OSRRefP16x_0)</f>
        <v>632448.87</v>
      </c>
      <c r="Q18" s="4"/>
      <c r="R18" s="12">
        <f t="shared" ref="R18:R21" si="8">IF(P$12=0,0,P18/P$12)</f>
        <v>0.25065403004009401</v>
      </c>
      <c r="S18" s="4"/>
      <c r="T18" s="4">
        <f>SUM(OSRRefT16x_0)</f>
        <v>687924</v>
      </c>
      <c r="U18" s="4"/>
      <c r="V18" s="12">
        <f t="shared" ref="V18:V21" si="9">IF(T$12=0,0,T18/T$12)</f>
        <v>0.27525878384596608</v>
      </c>
      <c r="W18" s="4"/>
      <c r="X18" s="4">
        <f t="shared" ref="X18:X21" si="10">+P18-T18</f>
        <v>-55475.130000000005</v>
      </c>
      <c r="Y18" s="4"/>
      <c r="Z18" s="12">
        <f t="shared" ref="Z18:Z21" si="11">IF(T18=0,0,X18/T18)</f>
        <v>-8.0641364453050049E-2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58302</v>
      </c>
      <c r="I19" s="2"/>
      <c r="J19" s="19">
        <f t="shared" si="5"/>
        <v>0.26999541532947108</v>
      </c>
      <c r="K19" s="2"/>
      <c r="L19" s="2">
        <f t="shared" si="6"/>
        <v>-58302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687924</v>
      </c>
      <c r="U19" s="2"/>
      <c r="V19" s="19">
        <f t="shared" si="9"/>
        <v>0.27525878384596608</v>
      </c>
      <c r="W19" s="2"/>
      <c r="X19" s="2">
        <f t="shared" si="10"/>
        <v>-687924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78764.36</v>
      </c>
      <c r="E20" s="2"/>
      <c r="F20" s="19">
        <f t="shared" si="4"/>
        <v>0.34467317964893684</v>
      </c>
      <c r="G20" s="2"/>
      <c r="H20" s="2"/>
      <c r="I20" s="2"/>
      <c r="J20" s="19">
        <f t="shared" si="5"/>
        <v>0</v>
      </c>
      <c r="K20" s="2"/>
      <c r="L20" s="2">
        <f t="shared" si="6"/>
        <v>78764.36</v>
      </c>
      <c r="M20" s="2"/>
      <c r="N20" s="19">
        <f t="shared" si="7"/>
        <v>0</v>
      </c>
      <c r="O20" s="11"/>
      <c r="P20" s="2">
        <v>642165.12</v>
      </c>
      <c r="Q20" s="2"/>
      <c r="R20" s="19">
        <f t="shared" si="8"/>
        <v>0.25450480333561287</v>
      </c>
      <c r="S20" s="2"/>
      <c r="T20" s="2"/>
      <c r="U20" s="2"/>
      <c r="V20" s="19">
        <f t="shared" si="9"/>
        <v>0</v>
      </c>
      <c r="W20" s="2"/>
      <c r="X20" s="2">
        <f t="shared" si="10"/>
        <v>642165.12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-16666</v>
      </c>
      <c r="E21" s="2"/>
      <c r="F21" s="19">
        <f t="shared" si="4"/>
        <v>-7.293048800281221E-2</v>
      </c>
      <c r="G21" s="2"/>
      <c r="H21" s="2"/>
      <c r="I21" s="2"/>
      <c r="J21" s="19">
        <f t="shared" si="5"/>
        <v>0</v>
      </c>
      <c r="K21" s="2"/>
      <c r="L21" s="2">
        <f t="shared" si="6"/>
        <v>-16666</v>
      </c>
      <c r="M21" s="2"/>
      <c r="N21" s="19">
        <f t="shared" si="7"/>
        <v>0</v>
      </c>
      <c r="O21" s="11"/>
      <c r="P21" s="2">
        <v>-9716.25</v>
      </c>
      <c r="Q21" s="2"/>
      <c r="R21" s="19">
        <f t="shared" si="8"/>
        <v>-3.8507732955188351E-3</v>
      </c>
      <c r="S21" s="2"/>
      <c r="T21" s="2"/>
      <c r="U21" s="2"/>
      <c r="V21" s="19">
        <f t="shared" si="9"/>
        <v>0</v>
      </c>
      <c r="W21" s="2"/>
      <c r="X21" s="2">
        <f t="shared" si="10"/>
        <v>-9716.25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1">
        <f>D12-D18</f>
        <v>166420.60999999999</v>
      </c>
      <c r="E23" s="14"/>
      <c r="F23" s="20">
        <f>IF(D$12=0,0,D23/D$12)</f>
        <v>0.72825730835387537</v>
      </c>
      <c r="G23" s="14"/>
      <c r="H23" s="21">
        <f>H12-H18</f>
        <v>157635</v>
      </c>
      <c r="I23" s="14"/>
      <c r="J23" s="20">
        <f>IF(H$12=0,0,H23/H$12)</f>
        <v>0.73000458467052887</v>
      </c>
      <c r="K23" s="16"/>
      <c r="L23" s="21">
        <f>+D23-H23</f>
        <v>8785.609999999986</v>
      </c>
      <c r="M23" s="16"/>
      <c r="N23" s="20">
        <f>IF(H23=0,0,L23/H23)</f>
        <v>5.573387889745289E-2</v>
      </c>
      <c r="O23" s="28"/>
      <c r="P23" s="21">
        <f>P12-P18</f>
        <v>1890745.63</v>
      </c>
      <c r="Q23" s="14"/>
      <c r="R23" s="20">
        <f>IF(P$12=0,0,P23/P$12)</f>
        <v>0.74934596995990599</v>
      </c>
      <c r="S23" s="14"/>
      <c r="T23" s="21">
        <f>T12-T18</f>
        <v>1811266</v>
      </c>
      <c r="U23" s="14"/>
      <c r="V23" s="20">
        <f>IF(T$12=0,0,T23/T$12)</f>
        <v>0.72474121615403386</v>
      </c>
      <c r="W23" s="16"/>
      <c r="X23" s="21">
        <f>+P23-T23</f>
        <v>79479.629999999888</v>
      </c>
      <c r="Y23" s="16"/>
      <c r="Z23" s="20">
        <f>IF(T23=0,0,X23/T23)</f>
        <v>4.3880705539661148E-2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2">
        <f>SUM(OSRRefD22x_0)</f>
        <v>143529.50000000003</v>
      </c>
      <c r="E25" s="22"/>
      <c r="F25" s="35">
        <f t="shared" ref="F25:F36" si="12">IF(D$12=0,0,D25/D$12)</f>
        <v>0.62808571209646202</v>
      </c>
      <c r="G25" s="22"/>
      <c r="H25" s="22">
        <f>SUM(OSRRefH22x_0)</f>
        <v>156243.78031626076</v>
      </c>
      <c r="I25" s="22"/>
      <c r="J25" s="35">
        <f t="shared" ref="J25:J36" si="13">IF(H$12=0,0,H25/H$12)</f>
        <v>0.72356187367732605</v>
      </c>
      <c r="K25" s="4"/>
      <c r="L25" s="22">
        <f t="shared" ref="L25:L36" si="14">+D25-H25</f>
        <v>-12714.280316260731</v>
      </c>
      <c r="M25" s="4"/>
      <c r="N25" s="35">
        <f t="shared" ref="N25:N36" si="15">IF(H25=0,0,L25/H25)</f>
        <v>-8.1374633220760065E-2</v>
      </c>
      <c r="O25" s="10"/>
      <c r="P25" s="22">
        <f>SUM(OSRRefP22x_0)</f>
        <v>1215830.94</v>
      </c>
      <c r="Q25" s="22"/>
      <c r="R25" s="35">
        <f t="shared" ref="R25:R36" si="16">IF(P$12=0,0,P25/P$12)</f>
        <v>0.48186175897260397</v>
      </c>
      <c r="S25" s="22"/>
      <c r="T25" s="22">
        <f>SUM(OSRRefT22x_0)</f>
        <v>1260893.6196993208</v>
      </c>
      <c r="U25" s="22"/>
      <c r="V25" s="35">
        <f t="shared" ref="V25:V36" si="17">IF(T$12=0,0,T25/T$12)</f>
        <v>0.50452091265542864</v>
      </c>
      <c r="W25" s="4"/>
      <c r="X25" s="22">
        <f t="shared" ref="X25:X36" si="18">+P25-T25</f>
        <v>-45062.679699320812</v>
      </c>
      <c r="Y25" s="4"/>
      <c r="Z25" s="35">
        <f t="shared" ref="Z25:Z36" si="19">IF(T25=0,0,X25/T25)</f>
        <v>-3.5738684846439855E-2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33815.519999999997</v>
      </c>
      <c r="E26" s="1"/>
      <c r="F26" s="5">
        <f t="shared" si="12"/>
        <v>0.14797686161459594</v>
      </c>
      <c r="G26" s="1"/>
      <c r="H26" s="1">
        <f>SUM(OSRRefH22_0x_0)</f>
        <v>33502.98981610695</v>
      </c>
      <c r="I26" s="1"/>
      <c r="J26" s="5">
        <f t="shared" si="13"/>
        <v>0.15515168690917699</v>
      </c>
      <c r="K26" s="1"/>
      <c r="L26" s="1">
        <f t="shared" si="14"/>
        <v>312.53018389304634</v>
      </c>
      <c r="M26" s="1"/>
      <c r="N26" s="5">
        <f t="shared" si="15"/>
        <v>9.3284266750065948E-3</v>
      </c>
      <c r="O26" s="13"/>
      <c r="P26" s="1">
        <f>SUM(OSRRefP22_0x_0)</f>
        <v>237513.92</v>
      </c>
      <c r="Q26" s="1"/>
      <c r="R26" s="5">
        <f t="shared" si="16"/>
        <v>9.4132228014923144E-2</v>
      </c>
      <c r="S26" s="1"/>
      <c r="T26" s="1">
        <f>SUM(OSRRefT22_0x_0)</f>
        <v>230455.33746916696</v>
      </c>
      <c r="U26" s="1"/>
      <c r="V26" s="5">
        <f t="shared" si="17"/>
        <v>9.2212011679450923E-2</v>
      </c>
      <c r="W26" s="1"/>
      <c r="X26" s="1">
        <f t="shared" si="18"/>
        <v>7058.5825308330532</v>
      </c>
      <c r="Y26" s="1"/>
      <c r="Z26" s="5">
        <f t="shared" si="19"/>
        <v>3.0628852463776994E-2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3339.87</v>
      </c>
      <c r="E27" s="2"/>
      <c r="F27" s="6">
        <f t="shared" si="12"/>
        <v>1.4615285549379119E-2</v>
      </c>
      <c r="G27" s="2"/>
      <c r="H27" s="7">
        <v>3585.78109570385</v>
      </c>
      <c r="I27" s="2"/>
      <c r="J27" s="6">
        <f t="shared" si="13"/>
        <v>1.6605681729874224E-2</v>
      </c>
      <c r="K27" s="2"/>
      <c r="L27" s="7">
        <f t="shared" si="14"/>
        <v>-245.91109570385015</v>
      </c>
      <c r="M27" s="2"/>
      <c r="N27" s="6">
        <f t="shared" si="15"/>
        <v>-6.8579505870695223E-2</v>
      </c>
      <c r="O27" s="11"/>
      <c r="P27" s="7">
        <v>33186.15</v>
      </c>
      <c r="Q27" s="2"/>
      <c r="R27" s="6">
        <f t="shared" si="16"/>
        <v>1.3152434344637325E-2</v>
      </c>
      <c r="S27" s="2"/>
      <c r="T27" s="7">
        <v>27468.331513363872</v>
      </c>
      <c r="U27" s="2"/>
      <c r="V27" s="6">
        <f t="shared" si="17"/>
        <v>1.0990893654889733E-2</v>
      </c>
      <c r="W27" s="2"/>
      <c r="X27" s="7">
        <f t="shared" si="18"/>
        <v>5717.8184866361298</v>
      </c>
      <c r="Y27" s="2"/>
      <c r="Z27" s="6">
        <f t="shared" si="19"/>
        <v>0.20816038585577362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2402.2199999999998</v>
      </c>
      <c r="E28" s="2"/>
      <c r="F28" s="6">
        <f t="shared" si="12"/>
        <v>1.0512125098410867E-2</v>
      </c>
      <c r="G28" s="2"/>
      <c r="H28" s="7">
        <v>3277.5552849292299</v>
      </c>
      <c r="I28" s="2"/>
      <c r="J28" s="6">
        <f t="shared" si="13"/>
        <v>1.5178294062292381E-2</v>
      </c>
      <c r="K28" s="2"/>
      <c r="L28" s="7">
        <f t="shared" si="14"/>
        <v>-875.33528492923006</v>
      </c>
      <c r="M28" s="2"/>
      <c r="N28" s="6">
        <f t="shared" si="15"/>
        <v>-0.26706957132170256</v>
      </c>
      <c r="O28" s="11"/>
      <c r="P28" s="7">
        <v>19692.240000000002</v>
      </c>
      <c r="Q28" s="2"/>
      <c r="R28" s="6">
        <f t="shared" si="16"/>
        <v>7.8044875256346674E-3</v>
      </c>
      <c r="S28" s="2"/>
      <c r="T28" s="7">
        <v>26859.410011729218</v>
      </c>
      <c r="U28" s="2"/>
      <c r="V28" s="6">
        <f t="shared" si="17"/>
        <v>1.0747246112432116E-2</v>
      </c>
      <c r="W28" s="2"/>
      <c r="X28" s="7">
        <f t="shared" si="18"/>
        <v>-7167.1700117292166</v>
      </c>
      <c r="Y28" s="2"/>
      <c r="Z28" s="6">
        <f t="shared" si="19"/>
        <v>-0.26684018780008162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19108.37</v>
      </c>
      <c r="E29" s="2"/>
      <c r="F29" s="6">
        <f t="shared" si="12"/>
        <v>8.3618309674684782E-2</v>
      </c>
      <c r="G29" s="2"/>
      <c r="H29" s="7">
        <v>19864.230769230802</v>
      </c>
      <c r="I29" s="2"/>
      <c r="J29" s="6">
        <f t="shared" si="13"/>
        <v>9.1990862007116897E-2</v>
      </c>
      <c r="K29" s="2"/>
      <c r="L29" s="7">
        <f t="shared" si="14"/>
        <v>-755.86076923080327</v>
      </c>
      <c r="M29" s="2"/>
      <c r="N29" s="6">
        <f t="shared" si="15"/>
        <v>-3.8051348577847414E-2</v>
      </c>
      <c r="O29" s="11"/>
      <c r="P29" s="7">
        <v>122389.01000000001</v>
      </c>
      <c r="Q29" s="2"/>
      <c r="R29" s="6">
        <f t="shared" si="16"/>
        <v>4.8505578939713134E-2</v>
      </c>
      <c r="S29" s="2"/>
      <c r="T29" s="7">
        <v>127426.23076923081</v>
      </c>
      <c r="U29" s="2"/>
      <c r="V29" s="6">
        <f t="shared" si="17"/>
        <v>5.0987012099612601E-2</v>
      </c>
      <c r="W29" s="2"/>
      <c r="X29" s="7">
        <f t="shared" si="18"/>
        <v>-5037.2207692308002</v>
      </c>
      <c r="Y29" s="2"/>
      <c r="Z29" s="6">
        <f t="shared" si="19"/>
        <v>-3.9530485511677878E-2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160.97</v>
      </c>
      <c r="E30" s="2"/>
      <c r="F30" s="6">
        <f t="shared" si="12"/>
        <v>7.0440541544537869E-4</v>
      </c>
      <c r="G30" s="2"/>
      <c r="H30" s="7">
        <v>219.62999332000001</v>
      </c>
      <c r="I30" s="2"/>
      <c r="J30" s="6">
        <f t="shared" si="13"/>
        <v>1.0171021794319641E-3</v>
      </c>
      <c r="K30" s="2"/>
      <c r="L30" s="7">
        <f t="shared" si="14"/>
        <v>-58.659993320000012</v>
      </c>
      <c r="M30" s="2"/>
      <c r="N30" s="6">
        <f t="shared" si="15"/>
        <v>-0.26708553068402019</v>
      </c>
      <c r="O30" s="11"/>
      <c r="P30" s="7">
        <v>1697.87</v>
      </c>
      <c r="Q30" s="2"/>
      <c r="R30" s="6">
        <f t="shared" si="16"/>
        <v>6.7290492270809872E-4</v>
      </c>
      <c r="S30" s="2"/>
      <c r="T30" s="7">
        <v>1799.8573719200001</v>
      </c>
      <c r="U30" s="2"/>
      <c r="V30" s="6">
        <f t="shared" si="17"/>
        <v>7.2017628588462662E-4</v>
      </c>
      <c r="W30" s="2"/>
      <c r="X30" s="7">
        <f t="shared" si="18"/>
        <v>-101.98737192000021</v>
      </c>
      <c r="Y30" s="2"/>
      <c r="Z30" s="6">
        <f t="shared" si="19"/>
        <v>-5.666414100979849E-2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1939.96</v>
      </c>
      <c r="E31" s="2"/>
      <c r="F31" s="6">
        <f t="shared" si="12"/>
        <v>8.4892733412897849E-3</v>
      </c>
      <c r="G31" s="2"/>
      <c r="H31" s="7">
        <v>1584.5088192307699</v>
      </c>
      <c r="I31" s="2"/>
      <c r="J31" s="6">
        <f t="shared" si="13"/>
        <v>7.3378291780971756E-3</v>
      </c>
      <c r="K31" s="2"/>
      <c r="L31" s="7">
        <f t="shared" si="14"/>
        <v>355.45118076923018</v>
      </c>
      <c r="M31" s="2"/>
      <c r="N31" s="6">
        <f t="shared" si="15"/>
        <v>0.22432893806283183</v>
      </c>
      <c r="O31" s="11"/>
      <c r="P31" s="7">
        <v>9831.7000000000007</v>
      </c>
      <c r="Q31" s="2"/>
      <c r="R31" s="6">
        <f t="shared" si="16"/>
        <v>3.8965287852363345E-3</v>
      </c>
      <c r="S31" s="2"/>
      <c r="T31" s="7">
        <v>9823.9546792307901</v>
      </c>
      <c r="U31" s="2"/>
      <c r="V31" s="6">
        <f t="shared" si="17"/>
        <v>3.9308554688642283E-3</v>
      </c>
      <c r="W31" s="2"/>
      <c r="X31" s="7">
        <f t="shared" si="18"/>
        <v>7.7453207692105934</v>
      </c>
      <c r="Y31" s="2"/>
      <c r="Z31" s="6">
        <f t="shared" si="19"/>
        <v>7.8841169591155401E-4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7">
        <v>884.86</v>
      </c>
      <c r="E33" s="2"/>
      <c r="F33" s="6">
        <f t="shared" si="12"/>
        <v>3.8721511828974202E-3</v>
      </c>
      <c r="G33" s="2"/>
      <c r="H33" s="7"/>
      <c r="I33" s="2"/>
      <c r="J33" s="6">
        <f t="shared" si="13"/>
        <v>0</v>
      </c>
      <c r="K33" s="2"/>
      <c r="L33" s="7">
        <f t="shared" si="14"/>
        <v>884.86</v>
      </c>
      <c r="M33" s="2"/>
      <c r="N33" s="6">
        <f t="shared" si="15"/>
        <v>0</v>
      </c>
      <c r="O33" s="11"/>
      <c r="P33" s="7">
        <v>5510.33</v>
      </c>
      <c r="Q33" s="2"/>
      <c r="R33" s="6">
        <f t="shared" si="16"/>
        <v>2.1838704864012661E-3</v>
      </c>
      <c r="S33" s="2"/>
      <c r="T33" s="7"/>
      <c r="U33" s="2"/>
      <c r="V33" s="6">
        <f t="shared" si="17"/>
        <v>0</v>
      </c>
      <c r="W33" s="2"/>
      <c r="X33" s="7">
        <f t="shared" si="18"/>
        <v>5510.33</v>
      </c>
      <c r="Y33" s="2"/>
      <c r="Z33" s="6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7">
        <v>2658.94</v>
      </c>
      <c r="E34" s="2"/>
      <c r="F34" s="6">
        <f t="shared" si="12"/>
        <v>1.163553292752895E-2</v>
      </c>
      <c r="G34" s="2"/>
      <c r="H34" s="7">
        <v>1405.63743461538</v>
      </c>
      <c r="I34" s="2"/>
      <c r="J34" s="6">
        <f t="shared" si="13"/>
        <v>6.5094793139451783E-3</v>
      </c>
      <c r="K34" s="2"/>
      <c r="L34" s="7">
        <f t="shared" si="14"/>
        <v>1253.30256538462</v>
      </c>
      <c r="M34" s="2"/>
      <c r="N34" s="6">
        <f t="shared" si="15"/>
        <v>0.89162577384512898</v>
      </c>
      <c r="O34" s="11"/>
      <c r="P34" s="7">
        <v>20963.129999999997</v>
      </c>
      <c r="Q34" s="2"/>
      <c r="R34" s="6">
        <f t="shared" si="16"/>
        <v>8.3081704561420045E-3</v>
      </c>
      <c r="S34" s="2"/>
      <c r="T34" s="7">
        <v>8714.9520946153807</v>
      </c>
      <c r="U34" s="2"/>
      <c r="V34" s="6">
        <f t="shared" si="17"/>
        <v>3.4871106617005432E-3</v>
      </c>
      <c r="W34" s="2"/>
      <c r="X34" s="7">
        <f t="shared" si="18"/>
        <v>12248.177905384617</v>
      </c>
      <c r="Y34" s="2"/>
      <c r="Z34" s="6">
        <f t="shared" si="19"/>
        <v>1.4054211397159917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7">
        <v>1743.76</v>
      </c>
      <c r="E35" s="2"/>
      <c r="F35" s="6">
        <f t="shared" si="12"/>
        <v>7.630701293638774E-3</v>
      </c>
      <c r="G35" s="2"/>
      <c r="H35" s="7">
        <v>2065.6464190769202</v>
      </c>
      <c r="I35" s="2"/>
      <c r="J35" s="6">
        <f t="shared" si="13"/>
        <v>9.5659679400793753E-3</v>
      </c>
      <c r="K35" s="2"/>
      <c r="L35" s="7">
        <f t="shared" si="14"/>
        <v>-321.88641907692022</v>
      </c>
      <c r="M35" s="2"/>
      <c r="N35" s="6">
        <f t="shared" si="15"/>
        <v>-0.15582842063588129</v>
      </c>
      <c r="O35" s="11"/>
      <c r="P35" s="7">
        <v>14738.68</v>
      </c>
      <c r="Q35" s="2"/>
      <c r="R35" s="6">
        <f t="shared" si="16"/>
        <v>5.8412777928930964E-3</v>
      </c>
      <c r="S35" s="2"/>
      <c r="T35" s="7">
        <v>17862.601029076919</v>
      </c>
      <c r="U35" s="2"/>
      <c r="V35" s="6">
        <f t="shared" si="17"/>
        <v>7.147356155024996E-3</v>
      </c>
      <c r="W35" s="2"/>
      <c r="X35" s="7">
        <f t="shared" si="18"/>
        <v>-3123.9210290769188</v>
      </c>
      <c r="Y35" s="2"/>
      <c r="Z35" s="6">
        <f t="shared" si="19"/>
        <v>-0.17488612235092577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7">
        <v>1576.57</v>
      </c>
      <c r="E36" s="2"/>
      <c r="F36" s="6">
        <f t="shared" si="12"/>
        <v>6.8990771313208708E-3</v>
      </c>
      <c r="G36" s="2"/>
      <c r="H36" s="7">
        <v>1500</v>
      </c>
      <c r="I36" s="2"/>
      <c r="J36" s="6">
        <f t="shared" si="13"/>
        <v>6.9464704983397936E-3</v>
      </c>
      <c r="K36" s="2"/>
      <c r="L36" s="7">
        <f t="shared" si="14"/>
        <v>76.569999999999936</v>
      </c>
      <c r="M36" s="2"/>
      <c r="N36" s="6">
        <f t="shared" si="15"/>
        <v>5.1046666666666622E-2</v>
      </c>
      <c r="O36" s="11"/>
      <c r="P36" s="7">
        <v>9504.81</v>
      </c>
      <c r="Q36" s="2"/>
      <c r="R36" s="6">
        <f t="shared" si="16"/>
        <v>3.7669747615572242E-3</v>
      </c>
      <c r="S36" s="2"/>
      <c r="T36" s="7">
        <v>10500</v>
      </c>
      <c r="U36" s="2"/>
      <c r="V36" s="6">
        <f t="shared" si="17"/>
        <v>4.2013612410420976E-3</v>
      </c>
      <c r="W36" s="2"/>
      <c r="X36" s="7">
        <f t="shared" si="18"/>
        <v>-995.19000000000051</v>
      </c>
      <c r="Y36" s="2"/>
      <c r="Z36" s="6">
        <f t="shared" si="19"/>
        <v>-9.4780000000000045E-2</v>
      </c>
    </row>
    <row r="37" spans="1:26" s="27" customFormat="1" outlineLevel="1" collapsed="1" x14ac:dyDescent="0.25">
      <c r="A37" s="26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76120.56</v>
      </c>
      <c r="E37" s="1"/>
      <c r="F37" s="5">
        <f t="shared" ref="F37:F47" si="20">IF(D$12=0,0,D37/D$12)</f>
        <v>0.33310389942681784</v>
      </c>
      <c r="G37" s="1"/>
      <c r="H37" s="1">
        <f>SUM(OSRRefH22_1x_0)</f>
        <v>81001.790500153802</v>
      </c>
      <c r="I37" s="1"/>
      <c r="J37" s="5">
        <f t="shared" ref="J37:J47" si="21">IF(H$12=0,0,H37/H$12)</f>
        <v>0.37511769868134598</v>
      </c>
      <c r="K37" s="1"/>
      <c r="L37" s="1">
        <f t="shared" ref="L37:L47" si="22">+D37-H37</f>
        <v>-4881.2305001538043</v>
      </c>
      <c r="M37" s="1"/>
      <c r="N37" s="5">
        <f t="shared" ref="N37:N47" si="23">IF(H37=0,0,L37/H37)</f>
        <v>-6.02607728793913E-2</v>
      </c>
      <c r="O37" s="13"/>
      <c r="P37" s="1">
        <f>SUM(OSRRefP22_1x_0)</f>
        <v>633527.69000000006</v>
      </c>
      <c r="Q37" s="1"/>
      <c r="R37" s="5">
        <f t="shared" ref="R37:R47" si="24">IF(P$12=0,0,P37/P$12)</f>
        <v>0.25108159121304363</v>
      </c>
      <c r="S37" s="1"/>
      <c r="T37" s="1">
        <f>SUM(OSRRefT22_1x_0)</f>
        <v>665675.28223015391</v>
      </c>
      <c r="U37" s="1"/>
      <c r="V37" s="5">
        <f t="shared" ref="V37:V47" si="25">IF(T$12=0,0,T37/T$12)</f>
        <v>0.26635641236966934</v>
      </c>
      <c r="W37" s="1"/>
      <c r="X37" s="1">
        <f t="shared" ref="X37:X47" si="26">+P37-T37</f>
        <v>-32147.592230153852</v>
      </c>
      <c r="Y37" s="1"/>
      <c r="Z37" s="5">
        <f t="shared" ref="Z37:Z47" si="27">IF(T37=0,0,X37/T37)</f>
        <v>-4.8293204041544961E-2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7">
        <v>17548.900000000001</v>
      </c>
      <c r="E39" s="2"/>
      <c r="F39" s="6">
        <f t="shared" si="20"/>
        <v>7.6794062217241763E-2</v>
      </c>
      <c r="G39" s="2"/>
      <c r="H39" s="7">
        <v>17503.295096153801</v>
      </c>
      <c r="I39" s="2"/>
      <c r="J39" s="6">
        <f t="shared" si="21"/>
        <v>8.1057415339445299E-2</v>
      </c>
      <c r="K39" s="2"/>
      <c r="L39" s="7">
        <f t="shared" si="22"/>
        <v>45.604903846200614</v>
      </c>
      <c r="M39" s="2"/>
      <c r="N39" s="6">
        <f t="shared" si="23"/>
        <v>2.605503912016081E-3</v>
      </c>
      <c r="O39" s="11"/>
      <c r="P39" s="7">
        <v>107427.51</v>
      </c>
      <c r="Q39" s="2"/>
      <c r="R39" s="6">
        <f t="shared" si="24"/>
        <v>4.2575992457180765E-2</v>
      </c>
      <c r="S39" s="2"/>
      <c r="T39" s="7">
        <v>108520.4295961538</v>
      </c>
      <c r="U39" s="2"/>
      <c r="V39" s="6">
        <f t="shared" si="25"/>
        <v>4.3422240644430316E-2</v>
      </c>
      <c r="W39" s="2"/>
      <c r="X39" s="7">
        <f t="shared" si="26"/>
        <v>-1092.9195961538062</v>
      </c>
      <c r="Y39" s="2"/>
      <c r="Z39" s="6">
        <f t="shared" si="27"/>
        <v>-1.00710953708991E-2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7">
        <v>14182.1</v>
      </c>
      <c r="E41" s="2"/>
      <c r="F41" s="6">
        <f t="shared" si="20"/>
        <v>6.2060930871515839E-2</v>
      </c>
      <c r="G41" s="2"/>
      <c r="H41" s="7">
        <v>27008.557000000001</v>
      </c>
      <c r="I41" s="2"/>
      <c r="J41" s="6">
        <f t="shared" si="21"/>
        <v>0.12507609626881916</v>
      </c>
      <c r="K41" s="2"/>
      <c r="L41" s="7">
        <f t="shared" si="22"/>
        <v>-12826.457</v>
      </c>
      <c r="M41" s="2"/>
      <c r="N41" s="6">
        <f t="shared" si="23"/>
        <v>-0.47490345374615905</v>
      </c>
      <c r="O41" s="11"/>
      <c r="P41" s="7">
        <v>137846.63</v>
      </c>
      <c r="Q41" s="2"/>
      <c r="R41" s="6">
        <f t="shared" si="24"/>
        <v>5.4631789186287465E-2</v>
      </c>
      <c r="S41" s="2"/>
      <c r="T41" s="7">
        <v>167453.0534</v>
      </c>
      <c r="U41" s="2"/>
      <c r="V41" s="6">
        <f t="shared" si="25"/>
        <v>6.7002930309420256E-2</v>
      </c>
      <c r="W41" s="2"/>
      <c r="X41" s="7">
        <f t="shared" si="26"/>
        <v>-29606.4234</v>
      </c>
      <c r="Y41" s="2"/>
      <c r="Z41" s="6">
        <f t="shared" si="27"/>
        <v>-0.17680432096557994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7">
        <v>6400.5</v>
      </c>
      <c r="E42" s="2"/>
      <c r="F42" s="6">
        <f t="shared" si="20"/>
        <v>2.8008615652346063E-2</v>
      </c>
      <c r="G42" s="2"/>
      <c r="H42" s="7">
        <v>11721.880804</v>
      </c>
      <c r="I42" s="2"/>
      <c r="J42" s="6">
        <f t="shared" si="21"/>
        <v>5.4283799460027697E-2</v>
      </c>
      <c r="K42" s="2"/>
      <c r="L42" s="7">
        <f t="shared" si="22"/>
        <v>-5321.3808040000004</v>
      </c>
      <c r="M42" s="2"/>
      <c r="N42" s="6">
        <f t="shared" si="23"/>
        <v>-0.4539698784672952</v>
      </c>
      <c r="O42" s="11"/>
      <c r="P42" s="7">
        <v>113905.02</v>
      </c>
      <c r="Q42" s="2"/>
      <c r="R42" s="6">
        <f t="shared" si="24"/>
        <v>4.5143178617423271E-2</v>
      </c>
      <c r="S42" s="2"/>
      <c r="T42" s="7">
        <v>129037.50163400001</v>
      </c>
      <c r="U42" s="2"/>
      <c r="V42" s="6">
        <f t="shared" si="25"/>
        <v>5.163172933390419E-2</v>
      </c>
      <c r="W42" s="2"/>
      <c r="X42" s="7">
        <f t="shared" si="26"/>
        <v>-15132.481634000011</v>
      </c>
      <c r="Y42" s="2"/>
      <c r="Z42" s="6">
        <f t="shared" si="27"/>
        <v>-0.11727196700476694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7">
        <v>325</v>
      </c>
      <c r="E43" s="2"/>
      <c r="F43" s="6">
        <f t="shared" si="20"/>
        <v>1.4222014041110024E-3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325</v>
      </c>
      <c r="M43" s="2"/>
      <c r="N43" s="6">
        <f t="shared" si="23"/>
        <v>0</v>
      </c>
      <c r="O43" s="11"/>
      <c r="P43" s="7">
        <v>9286</v>
      </c>
      <c r="Q43" s="2"/>
      <c r="R43" s="6">
        <f t="shared" si="24"/>
        <v>3.6802553271259907E-3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9286</v>
      </c>
      <c r="Y43" s="2"/>
      <c r="Z43" s="6">
        <f t="shared" si="27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7">
        <v>35460.559999999998</v>
      </c>
      <c r="E44" s="2"/>
      <c r="F44" s="6">
        <f t="shared" si="20"/>
        <v>0.15517556376173061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35460.559999999998</v>
      </c>
      <c r="M44" s="2"/>
      <c r="N44" s="6">
        <f t="shared" si="23"/>
        <v>0</v>
      </c>
      <c r="O44" s="11"/>
      <c r="P44" s="7">
        <v>205502.03</v>
      </c>
      <c r="Q44" s="2"/>
      <c r="R44" s="6">
        <f t="shared" si="24"/>
        <v>8.1445179909832549E-2</v>
      </c>
      <c r="S44" s="2"/>
      <c r="T44" s="7">
        <v>66371.28</v>
      </c>
      <c r="U44" s="2"/>
      <c r="V44" s="6">
        <f t="shared" si="25"/>
        <v>2.6557116505747862E-2</v>
      </c>
      <c r="W44" s="2"/>
      <c r="X44" s="7">
        <f t="shared" si="26"/>
        <v>139130.75</v>
      </c>
      <c r="Y44" s="2"/>
      <c r="Z44" s="6">
        <f t="shared" si="27"/>
        <v>2.0962493114491689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7">
        <v>2203.5</v>
      </c>
      <c r="E45" s="2"/>
      <c r="F45" s="6">
        <f t="shared" si="20"/>
        <v>9.6425255198725971E-3</v>
      </c>
      <c r="G45" s="2"/>
      <c r="H45" s="7">
        <v>24768.0576</v>
      </c>
      <c r="I45" s="2"/>
      <c r="J45" s="6">
        <f t="shared" si="21"/>
        <v>0.1147003876130538</v>
      </c>
      <c r="K45" s="2"/>
      <c r="L45" s="7">
        <f t="shared" si="22"/>
        <v>-22564.5576</v>
      </c>
      <c r="M45" s="2"/>
      <c r="N45" s="6">
        <f t="shared" si="23"/>
        <v>-0.91103460612107101</v>
      </c>
      <c r="O45" s="11"/>
      <c r="P45" s="7">
        <v>59560.5</v>
      </c>
      <c r="Q45" s="2"/>
      <c r="R45" s="6">
        <f t="shared" si="24"/>
        <v>2.3605195715193577E-2</v>
      </c>
      <c r="S45" s="2"/>
      <c r="T45" s="7">
        <v>194293.01759999999</v>
      </c>
      <c r="U45" s="2"/>
      <c r="V45" s="6">
        <f t="shared" si="25"/>
        <v>7.7742395576166676E-2</v>
      </c>
      <c r="W45" s="2"/>
      <c r="X45" s="7">
        <f t="shared" si="26"/>
        <v>-134732.51759999999</v>
      </c>
      <c r="Y45" s="2"/>
      <c r="Z45" s="6">
        <f t="shared" si="27"/>
        <v>-0.69345012633125114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7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95.5</v>
      </c>
      <c r="E48" s="1"/>
      <c r="F48" s="5">
        <f t="shared" ref="F48:F69" si="28">IF(D$12=0,0,D48/D$12)</f>
        <v>4.1790841259261766E-4</v>
      </c>
      <c r="G48" s="1"/>
      <c r="H48" s="1">
        <f>SUM(OSRRefH22_2x_0)</f>
        <v>100</v>
      </c>
      <c r="I48" s="1"/>
      <c r="J48" s="5">
        <f t="shared" ref="J48:J69" si="29">IF(H$12=0,0,H48/H$12)</f>
        <v>4.6309803322265288E-4</v>
      </c>
      <c r="K48" s="1"/>
      <c r="L48" s="1">
        <f t="shared" ref="L48:L69" si="30">+D48-H48</f>
        <v>-4.5</v>
      </c>
      <c r="M48" s="1"/>
      <c r="N48" s="5">
        <f t="shared" ref="N48:N69" si="31">IF(H48=0,0,L48/H48)</f>
        <v>-4.4999999999999998E-2</v>
      </c>
      <c r="O48" s="13"/>
      <c r="P48" s="1">
        <f>SUM(OSRRefP22_2x_0)</f>
        <v>2531.4499999999998</v>
      </c>
      <c r="Q48" s="1"/>
      <c r="R48" s="5">
        <f t="shared" ref="R48:R69" si="32">IF(P$12=0,0,P48/P$12)</f>
        <v>1.0032718444812716E-3</v>
      </c>
      <c r="S48" s="1"/>
      <c r="T48" s="1">
        <f>SUM(OSRRefT22_2x_0)</f>
        <v>3400</v>
      </c>
      <c r="U48" s="1"/>
      <c r="V48" s="5">
        <f t="shared" ref="V48:V69" si="33">IF(T$12=0,0,T48/T$12)</f>
        <v>1.3604407828136317E-3</v>
      </c>
      <c r="W48" s="1"/>
      <c r="X48" s="1">
        <f t="shared" ref="X48:X69" si="34">+P48-T48</f>
        <v>-868.55000000000018</v>
      </c>
      <c r="Y48" s="1"/>
      <c r="Z48" s="5">
        <f t="shared" ref="Z48:Z69" si="35">IF(T48=0,0,X48/T48)</f>
        <v>-0.25545588235294125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7">
        <v>95.5</v>
      </c>
      <c r="E49" s="2"/>
      <c r="F49" s="6">
        <f t="shared" si="28"/>
        <v>4.1790841259261766E-4</v>
      </c>
      <c r="G49" s="2"/>
      <c r="H49" s="7">
        <v>100</v>
      </c>
      <c r="I49" s="2"/>
      <c r="J49" s="6">
        <f t="shared" si="29"/>
        <v>4.6309803322265288E-4</v>
      </c>
      <c r="K49" s="2"/>
      <c r="L49" s="7">
        <f t="shared" si="30"/>
        <v>-4.5</v>
      </c>
      <c r="M49" s="2"/>
      <c r="N49" s="6">
        <f t="shared" si="31"/>
        <v>-4.4999999999999998E-2</v>
      </c>
      <c r="O49" s="11"/>
      <c r="P49" s="7">
        <v>2531.4499999999998</v>
      </c>
      <c r="Q49" s="2"/>
      <c r="R49" s="6">
        <f t="shared" si="32"/>
        <v>1.0032718444812716E-3</v>
      </c>
      <c r="S49" s="2"/>
      <c r="T49" s="7">
        <v>3400</v>
      </c>
      <c r="U49" s="2"/>
      <c r="V49" s="6">
        <f t="shared" si="33"/>
        <v>1.3604407828136317E-3</v>
      </c>
      <c r="W49" s="2"/>
      <c r="X49" s="7">
        <f t="shared" si="34"/>
        <v>-868.55000000000018</v>
      </c>
      <c r="Y49" s="2"/>
      <c r="Z49" s="6">
        <f t="shared" si="35"/>
        <v>-0.25545588235294125</v>
      </c>
    </row>
    <row r="50" spans="1:26" s="27" customFormat="1" outlineLevel="1" collapsed="1" x14ac:dyDescent="0.25">
      <c r="A50" s="26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8</v>
      </c>
      <c r="I50" s="1"/>
      <c r="J50" s="5">
        <f t="shared" si="29"/>
        <v>3.7047842657812234E-5</v>
      </c>
      <c r="K50" s="1"/>
      <c r="L50" s="1">
        <f t="shared" si="30"/>
        <v>-8</v>
      </c>
      <c r="M50" s="1"/>
      <c r="N50" s="5">
        <f t="shared" si="31"/>
        <v>-1</v>
      </c>
      <c r="O50" s="13"/>
      <c r="P50" s="1">
        <f>SUM(OSRRefP22_3x_0)</f>
        <v>16.239999999999998</v>
      </c>
      <c r="Q50" s="1"/>
      <c r="R50" s="5">
        <f t="shared" si="32"/>
        <v>6.4362854310280079E-6</v>
      </c>
      <c r="S50" s="1"/>
      <c r="T50" s="1">
        <f>SUM(OSRRefT22_3x_0)</f>
        <v>56</v>
      </c>
      <c r="U50" s="1"/>
      <c r="V50" s="5">
        <f t="shared" si="33"/>
        <v>2.2407259952224521E-5</v>
      </c>
      <c r="W50" s="1"/>
      <c r="X50" s="1">
        <f t="shared" si="34"/>
        <v>-39.760000000000005</v>
      </c>
      <c r="Y50" s="1"/>
      <c r="Z50" s="5">
        <f t="shared" si="35"/>
        <v>-0.71000000000000008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8"/>
        <v>0</v>
      </c>
      <c r="G51" s="2"/>
      <c r="H51" s="7">
        <v>8</v>
      </c>
      <c r="I51" s="2"/>
      <c r="J51" s="6">
        <f t="shared" si="29"/>
        <v>3.7047842657812234E-5</v>
      </c>
      <c r="K51" s="2"/>
      <c r="L51" s="7">
        <f t="shared" si="30"/>
        <v>-8</v>
      </c>
      <c r="M51" s="2"/>
      <c r="N51" s="6">
        <f t="shared" si="31"/>
        <v>-1</v>
      </c>
      <c r="O51" s="11"/>
      <c r="P51" s="7">
        <v>16.239999999999998</v>
      </c>
      <c r="Q51" s="2"/>
      <c r="R51" s="6">
        <f t="shared" si="32"/>
        <v>6.4362854310280079E-6</v>
      </c>
      <c r="S51" s="2"/>
      <c r="T51" s="7">
        <v>56</v>
      </c>
      <c r="U51" s="2"/>
      <c r="V51" s="6">
        <f t="shared" si="33"/>
        <v>2.2407259952224521E-5</v>
      </c>
      <c r="W51" s="2"/>
      <c r="X51" s="7">
        <f t="shared" si="34"/>
        <v>-39.760000000000005</v>
      </c>
      <c r="Y51" s="2"/>
      <c r="Z51" s="6">
        <f t="shared" si="35"/>
        <v>-0.71000000000000008</v>
      </c>
    </row>
    <row r="52" spans="1:26" s="27" customFormat="1" outlineLevel="1" collapsed="1" x14ac:dyDescent="0.25">
      <c r="A52" s="26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34.85</v>
      </c>
      <c r="E52" s="1"/>
      <c r="F52" s="5">
        <f t="shared" si="28"/>
        <v>1.5250375056390287E-4</v>
      </c>
      <c r="G52" s="1"/>
      <c r="H52" s="1">
        <f>SUM(OSRRefH22_4x_0)</f>
        <v>170</v>
      </c>
      <c r="I52" s="1"/>
      <c r="J52" s="5">
        <f t="shared" si="29"/>
        <v>7.8726665647850991E-4</v>
      </c>
      <c r="K52" s="1"/>
      <c r="L52" s="1">
        <f t="shared" si="30"/>
        <v>-135.15</v>
      </c>
      <c r="M52" s="1"/>
      <c r="N52" s="5">
        <f t="shared" si="31"/>
        <v>-0.79500000000000004</v>
      </c>
      <c r="O52" s="13"/>
      <c r="P52" s="1">
        <f>SUM(OSRRefP22_4x_0)</f>
        <v>956.8</v>
      </c>
      <c r="Q52" s="1"/>
      <c r="R52" s="5">
        <f t="shared" si="32"/>
        <v>3.7920184115810331E-4</v>
      </c>
      <c r="S52" s="1"/>
      <c r="T52" s="1">
        <f>SUM(OSRRefT22_4x_0)</f>
        <v>1190</v>
      </c>
      <c r="U52" s="1"/>
      <c r="V52" s="5">
        <f t="shared" si="33"/>
        <v>4.7615427398477108E-4</v>
      </c>
      <c r="W52" s="1"/>
      <c r="X52" s="1">
        <f t="shared" si="34"/>
        <v>-233.20000000000005</v>
      </c>
      <c r="Y52" s="1"/>
      <c r="Z52" s="5">
        <f t="shared" si="35"/>
        <v>-0.1959663865546219</v>
      </c>
    </row>
    <row r="53" spans="1:26" s="24" customFormat="1" hidden="1" outlineLevel="2" x14ac:dyDescent="0.25">
      <c r="A53" s="25"/>
      <c r="B53" s="11" t="str">
        <f>CONCATENATE("          ", "6381", " - ", "BANK/CREDIT CARD FEES")</f>
        <v xml:space="preserve">          6381 - BANK/CREDIT CARD FEES</v>
      </c>
      <c r="C53" s="11"/>
      <c r="D53" s="7">
        <v>34.85</v>
      </c>
      <c r="E53" s="2"/>
      <c r="F53" s="6">
        <f t="shared" si="28"/>
        <v>1.5250375056390287E-4</v>
      </c>
      <c r="G53" s="2"/>
      <c r="H53" s="7">
        <v>170</v>
      </c>
      <c r="I53" s="2"/>
      <c r="J53" s="6">
        <f t="shared" si="29"/>
        <v>7.8726665647850991E-4</v>
      </c>
      <c r="K53" s="2"/>
      <c r="L53" s="7">
        <f t="shared" si="30"/>
        <v>-135.15</v>
      </c>
      <c r="M53" s="2"/>
      <c r="N53" s="6">
        <f t="shared" si="31"/>
        <v>-0.79500000000000004</v>
      </c>
      <c r="O53" s="11"/>
      <c r="P53" s="7">
        <v>956.8</v>
      </c>
      <c r="Q53" s="2"/>
      <c r="R53" s="6">
        <f t="shared" si="32"/>
        <v>3.7920184115810331E-4</v>
      </c>
      <c r="S53" s="2"/>
      <c r="T53" s="7">
        <v>1190</v>
      </c>
      <c r="U53" s="2"/>
      <c r="V53" s="6">
        <f t="shared" si="33"/>
        <v>4.7615427398477108E-4</v>
      </c>
      <c r="W53" s="2"/>
      <c r="X53" s="7">
        <f t="shared" si="34"/>
        <v>-233.20000000000005</v>
      </c>
      <c r="Y53" s="2"/>
      <c r="Z53" s="6">
        <f t="shared" si="35"/>
        <v>-0.1959663865546219</v>
      </c>
    </row>
    <row r="54" spans="1:26" s="27" customFormat="1" outlineLevel="1" collapsed="1" x14ac:dyDescent="0.25">
      <c r="A54" s="26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2177.48</v>
      </c>
      <c r="E54" s="1"/>
      <c r="F54" s="5">
        <f t="shared" si="28"/>
        <v>9.5286618874573098E-3</v>
      </c>
      <c r="G54" s="1"/>
      <c r="H54" s="1">
        <f>SUM(OSRRefH22_5x_0)</f>
        <v>3100</v>
      </c>
      <c r="I54" s="1"/>
      <c r="J54" s="5">
        <f t="shared" si="29"/>
        <v>1.435603902990224E-2</v>
      </c>
      <c r="K54" s="1"/>
      <c r="L54" s="1">
        <f t="shared" si="30"/>
        <v>-922.52</v>
      </c>
      <c r="M54" s="1"/>
      <c r="N54" s="5">
        <f t="shared" si="31"/>
        <v>-0.29758709677419354</v>
      </c>
      <c r="O54" s="13"/>
      <c r="P54" s="1">
        <f>SUM(OSRRefP22_5x_0)</f>
        <v>19569.05</v>
      </c>
      <c r="Q54" s="1"/>
      <c r="R54" s="5">
        <f t="shared" si="32"/>
        <v>7.7556644959395713E-3</v>
      </c>
      <c r="S54" s="1"/>
      <c r="T54" s="1">
        <f>SUM(OSRRefT22_5x_0)</f>
        <v>20600</v>
      </c>
      <c r="U54" s="1"/>
      <c r="V54" s="5">
        <f t="shared" si="33"/>
        <v>8.2426706252825919E-3</v>
      </c>
      <c r="W54" s="1"/>
      <c r="X54" s="1">
        <f t="shared" si="34"/>
        <v>-1030.9500000000007</v>
      </c>
      <c r="Y54" s="1"/>
      <c r="Z54" s="5">
        <f t="shared" si="35"/>
        <v>-5.0046116504854403E-2</v>
      </c>
    </row>
    <row r="55" spans="1:26" s="24" customFormat="1" hidden="1" outlineLevel="2" x14ac:dyDescent="0.25">
      <c r="A55" s="25"/>
      <c r="B55" s="11" t="str">
        <f>CONCATENATE("          ", "6399", " - ", "DONATION-ON CAMPUS")</f>
        <v xml:space="preserve">          6399 - DONATION-ON CAMPUS</v>
      </c>
      <c r="C55" s="11"/>
      <c r="D55" s="7">
        <v>2177.48</v>
      </c>
      <c r="E55" s="2"/>
      <c r="F55" s="6">
        <f t="shared" si="28"/>
        <v>9.5286618874573098E-3</v>
      </c>
      <c r="G55" s="2"/>
      <c r="H55" s="7">
        <v>3100</v>
      </c>
      <c r="I55" s="2"/>
      <c r="J55" s="6">
        <f t="shared" si="29"/>
        <v>1.435603902990224E-2</v>
      </c>
      <c r="K55" s="2"/>
      <c r="L55" s="7">
        <f t="shared" si="30"/>
        <v>-922.52</v>
      </c>
      <c r="M55" s="2"/>
      <c r="N55" s="6">
        <f t="shared" si="31"/>
        <v>-0.29758709677419354</v>
      </c>
      <c r="O55" s="11"/>
      <c r="P55" s="7">
        <v>19569.05</v>
      </c>
      <c r="Q55" s="2"/>
      <c r="R55" s="6">
        <f t="shared" si="32"/>
        <v>7.7556644959395713E-3</v>
      </c>
      <c r="S55" s="2"/>
      <c r="T55" s="7">
        <v>20600</v>
      </c>
      <c r="U55" s="2"/>
      <c r="V55" s="6">
        <f t="shared" si="33"/>
        <v>8.2426706252825919E-3</v>
      </c>
      <c r="W55" s="2"/>
      <c r="X55" s="7">
        <f t="shared" si="34"/>
        <v>-1030.9500000000007</v>
      </c>
      <c r="Y55" s="2"/>
      <c r="Z55" s="6">
        <f t="shared" si="35"/>
        <v>-5.0046116504854403E-2</v>
      </c>
    </row>
    <row r="56" spans="1:26" s="27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488.02</v>
      </c>
      <c r="E56" s="1"/>
      <c r="F56" s="5">
        <f t="shared" si="28"/>
        <v>2.1355776284130812E-3</v>
      </c>
      <c r="G56" s="1"/>
      <c r="H56" s="1">
        <f>SUM(OSRRefH22_6x_0)</f>
        <v>145</v>
      </c>
      <c r="I56" s="1"/>
      <c r="J56" s="5">
        <f t="shared" si="29"/>
        <v>6.714921481728467E-4</v>
      </c>
      <c r="K56" s="1"/>
      <c r="L56" s="1">
        <f t="shared" si="30"/>
        <v>343.02</v>
      </c>
      <c r="M56" s="1"/>
      <c r="N56" s="5">
        <f t="shared" si="31"/>
        <v>2.3656551724137929</v>
      </c>
      <c r="O56" s="13"/>
      <c r="P56" s="1">
        <f>SUM(OSRRefP22_6x_0)</f>
        <v>1564</v>
      </c>
      <c r="Q56" s="1"/>
      <c r="R56" s="5">
        <f t="shared" si="32"/>
        <v>6.1984916343151507E-4</v>
      </c>
      <c r="S56" s="1"/>
      <c r="T56" s="1">
        <f>SUM(OSRRefT22_6x_0)</f>
        <v>1015</v>
      </c>
      <c r="U56" s="1"/>
      <c r="V56" s="5">
        <f t="shared" si="33"/>
        <v>4.0613158663406945E-4</v>
      </c>
      <c r="W56" s="1"/>
      <c r="X56" s="1">
        <f t="shared" si="34"/>
        <v>549</v>
      </c>
      <c r="Y56" s="1"/>
      <c r="Z56" s="5">
        <f t="shared" si="35"/>
        <v>0.54088669950738921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7">
        <v>488.02</v>
      </c>
      <c r="E57" s="2"/>
      <c r="F57" s="6">
        <f t="shared" si="28"/>
        <v>2.1355776284130812E-3</v>
      </c>
      <c r="G57" s="2"/>
      <c r="H57" s="7">
        <v>145</v>
      </c>
      <c r="I57" s="2"/>
      <c r="J57" s="6">
        <f t="shared" si="29"/>
        <v>6.714921481728467E-4</v>
      </c>
      <c r="K57" s="2"/>
      <c r="L57" s="7">
        <f t="shared" si="30"/>
        <v>343.02</v>
      </c>
      <c r="M57" s="2"/>
      <c r="N57" s="6">
        <f t="shared" si="31"/>
        <v>2.3656551724137929</v>
      </c>
      <c r="O57" s="11"/>
      <c r="P57" s="7">
        <v>1564</v>
      </c>
      <c r="Q57" s="2"/>
      <c r="R57" s="6">
        <f t="shared" si="32"/>
        <v>6.1984916343151507E-4</v>
      </c>
      <c r="S57" s="2"/>
      <c r="T57" s="7">
        <v>1015</v>
      </c>
      <c r="U57" s="2"/>
      <c r="V57" s="6">
        <f t="shared" si="33"/>
        <v>4.0613158663406945E-4</v>
      </c>
      <c r="W57" s="2"/>
      <c r="X57" s="7">
        <f t="shared" si="34"/>
        <v>549</v>
      </c>
      <c r="Y57" s="2"/>
      <c r="Z57" s="6">
        <f t="shared" si="35"/>
        <v>0.54088669950738921</v>
      </c>
    </row>
    <row r="58" spans="1:26" s="27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525.41999999999996</v>
      </c>
      <c r="E58" s="1"/>
      <c r="F58" s="5">
        <f t="shared" si="28"/>
        <v>2.299240189993855E-3</v>
      </c>
      <c r="G58" s="1"/>
      <c r="H58" s="1">
        <f>SUM(OSRRefH22_7x_0)</f>
        <v>270</v>
      </c>
      <c r="I58" s="1"/>
      <c r="J58" s="5">
        <f t="shared" si="29"/>
        <v>1.2503646897011628E-3</v>
      </c>
      <c r="K58" s="1"/>
      <c r="L58" s="1">
        <f t="shared" si="30"/>
        <v>255.41999999999996</v>
      </c>
      <c r="M58" s="1"/>
      <c r="N58" s="5">
        <f t="shared" si="31"/>
        <v>0.94599999999999984</v>
      </c>
      <c r="O58" s="13"/>
      <c r="P58" s="1">
        <f>SUM(OSRRefP22_7x_0)</f>
        <v>2027.97</v>
      </c>
      <c r="Q58" s="1"/>
      <c r="R58" s="5">
        <f t="shared" si="32"/>
        <v>8.0373114319962254E-4</v>
      </c>
      <c r="S58" s="1"/>
      <c r="T58" s="1">
        <f>SUM(OSRRefT22_7x_0)</f>
        <v>1890</v>
      </c>
      <c r="U58" s="1"/>
      <c r="V58" s="5">
        <f t="shared" si="33"/>
        <v>7.5624502338757758E-4</v>
      </c>
      <c r="W58" s="1"/>
      <c r="X58" s="1">
        <f t="shared" si="34"/>
        <v>137.97000000000003</v>
      </c>
      <c r="Y58" s="1"/>
      <c r="Z58" s="5">
        <f t="shared" si="35"/>
        <v>7.3000000000000009E-2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7">
        <v>525.41999999999996</v>
      </c>
      <c r="E59" s="2"/>
      <c r="F59" s="6">
        <f t="shared" si="28"/>
        <v>2.299240189993855E-3</v>
      </c>
      <c r="G59" s="2"/>
      <c r="H59" s="7">
        <v>270</v>
      </c>
      <c r="I59" s="2"/>
      <c r="J59" s="6">
        <f t="shared" si="29"/>
        <v>1.2503646897011628E-3</v>
      </c>
      <c r="K59" s="2"/>
      <c r="L59" s="7">
        <f t="shared" si="30"/>
        <v>255.41999999999996</v>
      </c>
      <c r="M59" s="2"/>
      <c r="N59" s="6">
        <f t="shared" si="31"/>
        <v>0.94599999999999984</v>
      </c>
      <c r="O59" s="11"/>
      <c r="P59" s="7">
        <v>2027.97</v>
      </c>
      <c r="Q59" s="2"/>
      <c r="R59" s="6">
        <f t="shared" si="32"/>
        <v>8.0373114319962254E-4</v>
      </c>
      <c r="S59" s="2"/>
      <c r="T59" s="7">
        <v>1890</v>
      </c>
      <c r="U59" s="2"/>
      <c r="V59" s="6">
        <f t="shared" si="33"/>
        <v>7.5624502338757758E-4</v>
      </c>
      <c r="W59" s="2"/>
      <c r="X59" s="7">
        <f t="shared" si="34"/>
        <v>137.97000000000003</v>
      </c>
      <c r="Y59" s="2"/>
      <c r="Z59" s="6">
        <f t="shared" si="35"/>
        <v>7.3000000000000009E-2</v>
      </c>
    </row>
    <row r="60" spans="1:26" s="27" customFormat="1" outlineLevel="1" collapsed="1" x14ac:dyDescent="0.25">
      <c r="A60" s="26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1</v>
      </c>
      <c r="I60" s="1"/>
      <c r="J60" s="5">
        <f t="shared" si="29"/>
        <v>4.6309803322265292E-6</v>
      </c>
      <c r="K60" s="1"/>
      <c r="L60" s="1">
        <f t="shared" si="30"/>
        <v>-1</v>
      </c>
      <c r="M60" s="1"/>
      <c r="N60" s="5">
        <f t="shared" si="31"/>
        <v>-1</v>
      </c>
      <c r="O60" s="13"/>
      <c r="P60" s="1">
        <f>SUM(OSRRefP22_8x_0)</f>
        <v>0</v>
      </c>
      <c r="Q60" s="1"/>
      <c r="R60" s="5">
        <f t="shared" si="32"/>
        <v>0</v>
      </c>
      <c r="S60" s="1"/>
      <c r="T60" s="1">
        <f>SUM(OSRRefT22_8x_0)</f>
        <v>7</v>
      </c>
      <c r="U60" s="1"/>
      <c r="V60" s="5">
        <f t="shared" si="33"/>
        <v>2.8009074940280652E-6</v>
      </c>
      <c r="W60" s="1"/>
      <c r="X60" s="1">
        <f t="shared" si="34"/>
        <v>-7</v>
      </c>
      <c r="Y60" s="1"/>
      <c r="Z60" s="5">
        <f t="shared" si="35"/>
        <v>-1</v>
      </c>
    </row>
    <row r="61" spans="1:26" s="24" customFormat="1" hidden="1" outlineLevel="2" x14ac:dyDescent="0.25">
      <c r="A61" s="25"/>
      <c r="B61" s="11" t="str">
        <f>CONCATENATE("          ", "6307", " - ", "POSTAGE")</f>
        <v xml:space="preserve">          6307 - POSTAGE</v>
      </c>
      <c r="C61" s="11"/>
      <c r="D61" s="7"/>
      <c r="E61" s="2"/>
      <c r="F61" s="6">
        <f t="shared" si="28"/>
        <v>0</v>
      </c>
      <c r="G61" s="2"/>
      <c r="H61" s="7">
        <v>1</v>
      </c>
      <c r="I61" s="2"/>
      <c r="J61" s="6">
        <f t="shared" si="29"/>
        <v>4.6309803322265292E-6</v>
      </c>
      <c r="K61" s="2"/>
      <c r="L61" s="7">
        <f t="shared" si="30"/>
        <v>-1</v>
      </c>
      <c r="M61" s="2"/>
      <c r="N61" s="6">
        <f t="shared" si="31"/>
        <v>-1</v>
      </c>
      <c r="O61" s="11"/>
      <c r="P61" s="7"/>
      <c r="Q61" s="2"/>
      <c r="R61" s="6">
        <f t="shared" si="32"/>
        <v>0</v>
      </c>
      <c r="S61" s="2"/>
      <c r="T61" s="7">
        <v>7</v>
      </c>
      <c r="U61" s="2"/>
      <c r="V61" s="6">
        <f t="shared" si="33"/>
        <v>2.8009074940280652E-6</v>
      </c>
      <c r="W61" s="2"/>
      <c r="X61" s="7">
        <f t="shared" si="34"/>
        <v>-7</v>
      </c>
      <c r="Y61" s="2"/>
      <c r="Z61" s="6">
        <f t="shared" si="35"/>
        <v>-1</v>
      </c>
    </row>
    <row r="62" spans="1:26" s="27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305.45999999999998</v>
      </c>
      <c r="E62" s="1"/>
      <c r="F62" s="5">
        <f t="shared" si="28"/>
        <v>1.3366942796915284E-3</v>
      </c>
      <c r="G62" s="1"/>
      <c r="H62" s="1">
        <f>SUM(OSRRefH22_9x_0)</f>
        <v>300</v>
      </c>
      <c r="I62" s="1"/>
      <c r="J62" s="5">
        <f t="shared" si="29"/>
        <v>1.3892940996679587E-3</v>
      </c>
      <c r="K62" s="1"/>
      <c r="L62" s="1">
        <f t="shared" si="30"/>
        <v>5.4599999999999795</v>
      </c>
      <c r="M62" s="1"/>
      <c r="N62" s="5">
        <f t="shared" si="31"/>
        <v>1.8199999999999932E-2</v>
      </c>
      <c r="O62" s="13"/>
      <c r="P62" s="1">
        <f>SUM(OSRRefP22_9x_0)</f>
        <v>2974.62</v>
      </c>
      <c r="Q62" s="1"/>
      <c r="R62" s="5">
        <f t="shared" si="32"/>
        <v>1.1789103059633333E-3</v>
      </c>
      <c r="S62" s="1"/>
      <c r="T62" s="1">
        <f>SUM(OSRRefT22_9x_0)</f>
        <v>2950</v>
      </c>
      <c r="U62" s="1"/>
      <c r="V62" s="5">
        <f t="shared" si="33"/>
        <v>1.1803824439118274E-3</v>
      </c>
      <c r="W62" s="1"/>
      <c r="X62" s="1">
        <f t="shared" si="34"/>
        <v>24.619999999999891</v>
      </c>
      <c r="Y62" s="1"/>
      <c r="Z62" s="5">
        <f t="shared" si="35"/>
        <v>8.3457627118643692E-3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7">
        <v>305.45999999999998</v>
      </c>
      <c r="E63" s="2"/>
      <c r="F63" s="6">
        <f t="shared" si="28"/>
        <v>1.3366942796915284E-3</v>
      </c>
      <c r="G63" s="2"/>
      <c r="H63" s="7">
        <v>300</v>
      </c>
      <c r="I63" s="2"/>
      <c r="J63" s="6">
        <f t="shared" si="29"/>
        <v>1.3892940996679587E-3</v>
      </c>
      <c r="K63" s="2"/>
      <c r="L63" s="7">
        <f t="shared" si="30"/>
        <v>5.4599999999999795</v>
      </c>
      <c r="M63" s="2"/>
      <c r="N63" s="6">
        <f t="shared" si="31"/>
        <v>1.8199999999999932E-2</v>
      </c>
      <c r="O63" s="11"/>
      <c r="P63" s="7">
        <v>2974.62</v>
      </c>
      <c r="Q63" s="2"/>
      <c r="R63" s="6">
        <f t="shared" si="32"/>
        <v>1.1789103059633333E-3</v>
      </c>
      <c r="S63" s="2"/>
      <c r="T63" s="7">
        <v>2950</v>
      </c>
      <c r="U63" s="2"/>
      <c r="V63" s="6">
        <f t="shared" si="33"/>
        <v>1.1803824439118274E-3</v>
      </c>
      <c r="W63" s="2"/>
      <c r="X63" s="7">
        <f t="shared" si="34"/>
        <v>24.619999999999891</v>
      </c>
      <c r="Y63" s="2"/>
      <c r="Z63" s="6">
        <f t="shared" si="35"/>
        <v>8.3457627118643692E-3</v>
      </c>
    </row>
    <row r="64" spans="1:26" s="27" customFormat="1" outlineLevel="1" collapsed="1" x14ac:dyDescent="0.25">
      <c r="A64" s="26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18355.560000000001</v>
      </c>
      <c r="E64" s="1"/>
      <c r="F64" s="5">
        <f t="shared" si="28"/>
        <v>8.0324009862288479E-2</v>
      </c>
      <c r="G64" s="1"/>
      <c r="H64" s="1">
        <f>SUM(OSRRefH22_10x_0)</f>
        <v>17275</v>
      </c>
      <c r="I64" s="1"/>
      <c r="J64" s="5">
        <f t="shared" si="29"/>
        <v>8.000018523921329E-2</v>
      </c>
      <c r="K64" s="1"/>
      <c r="L64" s="1">
        <f t="shared" si="30"/>
        <v>1080.5600000000013</v>
      </c>
      <c r="M64" s="1"/>
      <c r="N64" s="5">
        <f t="shared" si="31"/>
        <v>6.2550506512301082E-2</v>
      </c>
      <c r="O64" s="13"/>
      <c r="P64" s="1">
        <f>SUM(OSRRefP22_10x_0)</f>
        <v>197004.46</v>
      </c>
      <c r="Q64" s="1"/>
      <c r="R64" s="5">
        <f t="shared" si="32"/>
        <v>7.8077397521277098E-2</v>
      </c>
      <c r="S64" s="1"/>
      <c r="T64" s="1">
        <f>SUM(OSRRefT22_10x_0)</f>
        <v>199933</v>
      </c>
      <c r="U64" s="1"/>
      <c r="V64" s="5">
        <f t="shared" si="33"/>
        <v>7.9999119714787598E-2</v>
      </c>
      <c r="W64" s="1"/>
      <c r="X64" s="1">
        <f t="shared" si="34"/>
        <v>-2928.5400000000081</v>
      </c>
      <c r="Y64" s="1"/>
      <c r="Z64" s="5">
        <f t="shared" si="35"/>
        <v>-1.4647606948327731E-2</v>
      </c>
    </row>
    <row r="65" spans="1:26" s="24" customFormat="1" hidden="1" outlineLevel="2" x14ac:dyDescent="0.25">
      <c r="A65" s="25"/>
      <c r="B65" s="11" t="str">
        <f>CONCATENATE("          ", "6387", " - ", "COMMISSION DUE HOUSING")</f>
        <v xml:space="preserve">          6387 - COMMISSION DUE HOUSING</v>
      </c>
      <c r="C65" s="11"/>
      <c r="D65" s="7">
        <v>18355.560000000001</v>
      </c>
      <c r="E65" s="2"/>
      <c r="F65" s="6">
        <f t="shared" si="28"/>
        <v>8.0324009862288479E-2</v>
      </c>
      <c r="G65" s="2"/>
      <c r="H65" s="7">
        <v>17275</v>
      </c>
      <c r="I65" s="2"/>
      <c r="J65" s="6">
        <f t="shared" si="29"/>
        <v>8.000018523921329E-2</v>
      </c>
      <c r="K65" s="2"/>
      <c r="L65" s="7">
        <f t="shared" si="30"/>
        <v>1080.5600000000013</v>
      </c>
      <c r="M65" s="2"/>
      <c r="N65" s="6">
        <f t="shared" si="31"/>
        <v>6.2550506512301082E-2</v>
      </c>
      <c r="O65" s="11"/>
      <c r="P65" s="7">
        <v>197004.46</v>
      </c>
      <c r="Q65" s="2"/>
      <c r="R65" s="6">
        <f t="shared" si="32"/>
        <v>7.8077397521277098E-2</v>
      </c>
      <c r="S65" s="2"/>
      <c r="T65" s="7">
        <v>199933</v>
      </c>
      <c r="U65" s="2"/>
      <c r="V65" s="6">
        <f t="shared" si="33"/>
        <v>7.9999119714787598E-2</v>
      </c>
      <c r="W65" s="2"/>
      <c r="X65" s="7">
        <f t="shared" si="34"/>
        <v>-2928.5400000000081</v>
      </c>
      <c r="Y65" s="2"/>
      <c r="Z65" s="6">
        <f t="shared" si="35"/>
        <v>-1.4647606948327731E-2</v>
      </c>
    </row>
    <row r="66" spans="1:26" s="27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0</v>
      </c>
      <c r="E66" s="1"/>
      <c r="F66" s="5">
        <f t="shared" si="28"/>
        <v>0</v>
      </c>
      <c r="G66" s="1"/>
      <c r="H66" s="1">
        <f>SUM(OSRRefH22_11x_0)</f>
        <v>1290</v>
      </c>
      <c r="I66" s="1"/>
      <c r="J66" s="5">
        <f t="shared" si="29"/>
        <v>5.9739646285722221E-3</v>
      </c>
      <c r="K66" s="1"/>
      <c r="L66" s="1">
        <f t="shared" si="30"/>
        <v>-1290</v>
      </c>
      <c r="M66" s="1"/>
      <c r="N66" s="5">
        <f t="shared" si="31"/>
        <v>-1</v>
      </c>
      <c r="O66" s="13"/>
      <c r="P66" s="1">
        <f>SUM(OSRRefP22_11x_0)</f>
        <v>8798.31</v>
      </c>
      <c r="Q66" s="1"/>
      <c r="R66" s="5">
        <f t="shared" si="32"/>
        <v>3.4869725659278346E-3</v>
      </c>
      <c r="S66" s="1"/>
      <c r="T66" s="1">
        <f>SUM(OSRRefT22_11x_0)</f>
        <v>9030</v>
      </c>
      <c r="U66" s="1"/>
      <c r="V66" s="5">
        <f t="shared" si="33"/>
        <v>3.6131706672962042E-3</v>
      </c>
      <c r="W66" s="1"/>
      <c r="X66" s="1">
        <f t="shared" si="34"/>
        <v>-231.69000000000051</v>
      </c>
      <c r="Y66" s="1"/>
      <c r="Z66" s="5">
        <f t="shared" si="35"/>
        <v>-2.5657807308970156E-2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8"/>
        <v>0</v>
      </c>
      <c r="G67" s="2"/>
      <c r="H67" s="7">
        <v>1000</v>
      </c>
      <c r="I67" s="2"/>
      <c r="J67" s="6">
        <f t="shared" si="29"/>
        <v>4.6309803322265291E-3</v>
      </c>
      <c r="K67" s="2"/>
      <c r="L67" s="7">
        <f t="shared" si="30"/>
        <v>-1000</v>
      </c>
      <c r="M67" s="2"/>
      <c r="N67" s="6">
        <f t="shared" si="31"/>
        <v>-1</v>
      </c>
      <c r="O67" s="11"/>
      <c r="P67" s="7">
        <v>8238.75</v>
      </c>
      <c r="Q67" s="2"/>
      <c r="R67" s="6">
        <f t="shared" si="32"/>
        <v>3.2652060711134238E-3</v>
      </c>
      <c r="S67" s="2"/>
      <c r="T67" s="7">
        <v>7000</v>
      </c>
      <c r="U67" s="2"/>
      <c r="V67" s="6">
        <f t="shared" si="33"/>
        <v>2.800907494028065E-3</v>
      </c>
      <c r="W67" s="2"/>
      <c r="X67" s="7">
        <f t="shared" si="34"/>
        <v>1238.75</v>
      </c>
      <c r="Y67" s="2"/>
      <c r="Z67" s="6">
        <f t="shared" si="35"/>
        <v>0.17696428571428571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7"/>
      <c r="E68" s="2"/>
      <c r="F68" s="6">
        <f t="shared" si="28"/>
        <v>0</v>
      </c>
      <c r="G68" s="2"/>
      <c r="H68" s="7">
        <v>30</v>
      </c>
      <c r="I68" s="2"/>
      <c r="J68" s="6">
        <f t="shared" si="29"/>
        <v>1.3892940996679587E-4</v>
      </c>
      <c r="K68" s="2"/>
      <c r="L68" s="7">
        <f t="shared" si="30"/>
        <v>-30</v>
      </c>
      <c r="M68" s="2"/>
      <c r="N68" s="6">
        <f t="shared" si="31"/>
        <v>-1</v>
      </c>
      <c r="O68" s="11"/>
      <c r="P68" s="7">
        <v>202.15</v>
      </c>
      <c r="Q68" s="2"/>
      <c r="R68" s="6">
        <f t="shared" si="32"/>
        <v>8.0116693342506892E-5</v>
      </c>
      <c r="S68" s="2"/>
      <c r="T68" s="7">
        <v>210</v>
      </c>
      <c r="U68" s="2"/>
      <c r="V68" s="6">
        <f t="shared" si="33"/>
        <v>8.4027224820841956E-5</v>
      </c>
      <c r="W68" s="2"/>
      <c r="X68" s="7">
        <f t="shared" si="34"/>
        <v>-7.8499999999999943</v>
      </c>
      <c r="Y68" s="2"/>
      <c r="Z68" s="6">
        <f t="shared" si="35"/>
        <v>-3.7380952380952355E-2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7"/>
      <c r="E69" s="2"/>
      <c r="F69" s="6">
        <f t="shared" si="28"/>
        <v>0</v>
      </c>
      <c r="G69" s="2"/>
      <c r="H69" s="7">
        <v>260</v>
      </c>
      <c r="I69" s="2"/>
      <c r="J69" s="6">
        <f t="shared" si="29"/>
        <v>1.2040548863788976E-3</v>
      </c>
      <c r="K69" s="2"/>
      <c r="L69" s="7">
        <f t="shared" si="30"/>
        <v>-260</v>
      </c>
      <c r="M69" s="2"/>
      <c r="N69" s="6">
        <f t="shared" si="31"/>
        <v>-1</v>
      </c>
      <c r="O69" s="11"/>
      <c r="P69" s="7">
        <v>357.41</v>
      </c>
      <c r="Q69" s="2"/>
      <c r="R69" s="6">
        <f t="shared" si="32"/>
        <v>1.4164980147190399E-4</v>
      </c>
      <c r="S69" s="2"/>
      <c r="T69" s="7">
        <v>1820</v>
      </c>
      <c r="U69" s="2"/>
      <c r="V69" s="6">
        <f t="shared" si="33"/>
        <v>7.2823594844729697E-4</v>
      </c>
      <c r="W69" s="2"/>
      <c r="X69" s="7">
        <f t="shared" si="34"/>
        <v>-1462.59</v>
      </c>
      <c r="Y69" s="2"/>
      <c r="Z69" s="6">
        <f t="shared" si="35"/>
        <v>-0.80362087912087909</v>
      </c>
    </row>
    <row r="70" spans="1:26" s="27" customFormat="1" outlineLevel="1" collapsed="1" x14ac:dyDescent="0.25">
      <c r="A70" s="26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5354.22</v>
      </c>
      <c r="E70" s="1"/>
      <c r="F70" s="5">
        <f t="shared" ref="F70:F74" si="36">IF(D$12=0,0,D70/D$12)</f>
        <v>2.3430089852059112E-2</v>
      </c>
      <c r="G70" s="1"/>
      <c r="H70" s="1">
        <f>SUM(OSRRefH22_12x_0)</f>
        <v>9225</v>
      </c>
      <c r="I70" s="1"/>
      <c r="J70" s="5">
        <f t="shared" ref="J70:J74" si="37">IF(H$12=0,0,H70/H$12)</f>
        <v>4.2720793564789729E-2</v>
      </c>
      <c r="K70" s="1"/>
      <c r="L70" s="1">
        <f t="shared" ref="L70:L74" si="38">+D70-H70</f>
        <v>-3870.7799999999997</v>
      </c>
      <c r="M70" s="1"/>
      <c r="N70" s="5">
        <f t="shared" ref="N70:N74" si="39">IF(H70=0,0,L70/H70)</f>
        <v>-0.41959674796747964</v>
      </c>
      <c r="O70" s="13"/>
      <c r="P70" s="1">
        <f>SUM(OSRRefP22_12x_0)</f>
        <v>42531.8</v>
      </c>
      <c r="Q70" s="1"/>
      <c r="R70" s="5">
        <f t="shared" ref="R70:R74" si="40">IF(P$12=0,0,P70/P$12)</f>
        <v>1.6856330338386519E-2</v>
      </c>
      <c r="S70" s="1"/>
      <c r="T70" s="1">
        <f>SUM(OSRRefT22_12x_0)</f>
        <v>49707</v>
      </c>
      <c r="U70" s="1"/>
      <c r="V70" s="5">
        <f t="shared" ref="V70:V74" si="41">IF(T$12=0,0,T70/T$12)</f>
        <v>1.9889244115093289E-2</v>
      </c>
      <c r="W70" s="1"/>
      <c r="X70" s="1">
        <f t="shared" ref="X70:X74" si="42">+P70-T70</f>
        <v>-7175.1999999999971</v>
      </c>
      <c r="Y70" s="1"/>
      <c r="Z70" s="5">
        <f t="shared" ref="Z70:Z74" si="43">IF(T70=0,0,X70/T70)</f>
        <v>-0.14434989035749488</v>
      </c>
    </row>
    <row r="71" spans="1:26" s="24" customFormat="1" hidden="1" outlineLevel="2" x14ac:dyDescent="0.25">
      <c r="A71" s="25"/>
      <c r="B71" s="11" t="str">
        <f>CONCATENATE("          ", "6282", " - ", "JANITORIAL/EXTERMINATOR EXPENS")</f>
        <v xml:space="preserve">          6282 - JANITORIAL/EXTERMINATOR EXPENS</v>
      </c>
      <c r="C71" s="11"/>
      <c r="D71" s="7"/>
      <c r="E71" s="2"/>
      <c r="F71" s="6">
        <f t="shared" si="36"/>
        <v>0</v>
      </c>
      <c r="G71" s="2"/>
      <c r="H71" s="7">
        <v>430</v>
      </c>
      <c r="I71" s="2"/>
      <c r="J71" s="6">
        <f t="shared" si="37"/>
        <v>1.9913215428574074E-3</v>
      </c>
      <c r="K71" s="2"/>
      <c r="L71" s="7">
        <f t="shared" si="38"/>
        <v>-430</v>
      </c>
      <c r="M71" s="2"/>
      <c r="N71" s="6">
        <f t="shared" si="39"/>
        <v>-1</v>
      </c>
      <c r="O71" s="11"/>
      <c r="P71" s="7">
        <v>2949.38</v>
      </c>
      <c r="Q71" s="2"/>
      <c r="R71" s="6">
        <f t="shared" si="40"/>
        <v>1.1689071135816125E-3</v>
      </c>
      <c r="S71" s="2"/>
      <c r="T71" s="7">
        <v>3010</v>
      </c>
      <c r="U71" s="2"/>
      <c r="V71" s="6">
        <f t="shared" si="41"/>
        <v>1.2043902224320681E-3</v>
      </c>
      <c r="W71" s="2"/>
      <c r="X71" s="7">
        <f t="shared" si="42"/>
        <v>-60.619999999999891</v>
      </c>
      <c r="Y71" s="2"/>
      <c r="Z71" s="6">
        <f t="shared" si="43"/>
        <v>-2.0139534883720896E-2</v>
      </c>
    </row>
    <row r="72" spans="1:26" s="24" customFormat="1" hidden="1" outlineLevel="2" x14ac:dyDescent="0.25">
      <c r="A72" s="25"/>
      <c r="B72" s="11" t="str">
        <f>CONCATENATE("          ", "6284", " - ", "TRASH REMOVAL EXPENSE")</f>
        <v xml:space="preserve">          6284 - TRASH REMOVAL EXPENSE</v>
      </c>
      <c r="C72" s="11"/>
      <c r="D72" s="7"/>
      <c r="E72" s="2"/>
      <c r="F72" s="6">
        <f t="shared" si="36"/>
        <v>0</v>
      </c>
      <c r="G72" s="2"/>
      <c r="H72" s="7"/>
      <c r="I72" s="2"/>
      <c r="J72" s="6">
        <f t="shared" si="37"/>
        <v>0</v>
      </c>
      <c r="K72" s="2"/>
      <c r="L72" s="7">
        <f t="shared" si="38"/>
        <v>0</v>
      </c>
      <c r="M72" s="2"/>
      <c r="N72" s="6">
        <f t="shared" si="39"/>
        <v>0</v>
      </c>
      <c r="O72" s="11"/>
      <c r="P72" s="7"/>
      <c r="Q72" s="2"/>
      <c r="R72" s="6">
        <f t="shared" si="40"/>
        <v>0</v>
      </c>
      <c r="S72" s="2"/>
      <c r="T72" s="7">
        <v>0</v>
      </c>
      <c r="U72" s="2"/>
      <c r="V72" s="6">
        <f t="shared" si="41"/>
        <v>0</v>
      </c>
      <c r="W72" s="2"/>
      <c r="X72" s="7">
        <f t="shared" si="42"/>
        <v>0</v>
      </c>
      <c r="Y72" s="2"/>
      <c r="Z72" s="6">
        <f t="shared" si="43"/>
        <v>0</v>
      </c>
    </row>
    <row r="73" spans="1:26" s="24" customFormat="1" hidden="1" outlineLevel="2" x14ac:dyDescent="0.25">
      <c r="A73" s="25"/>
      <c r="B73" s="11" t="str">
        <f>CONCATENATE("          ", "6285", " - ", "JANITORIAL SERVICES")</f>
        <v xml:space="preserve">          6285 - JANITORIAL SERVICES</v>
      </c>
      <c r="C73" s="11"/>
      <c r="D73" s="7">
        <v>4194.1000000000004</v>
      </c>
      <c r="E73" s="2"/>
      <c r="F73" s="6">
        <f t="shared" si="36"/>
        <v>1.8353399719944478E-2</v>
      </c>
      <c r="G73" s="2"/>
      <c r="H73" s="7">
        <v>7195</v>
      </c>
      <c r="I73" s="2"/>
      <c r="J73" s="6">
        <f t="shared" si="37"/>
        <v>3.3319903490369875E-2</v>
      </c>
      <c r="K73" s="2"/>
      <c r="L73" s="7">
        <f t="shared" si="38"/>
        <v>-3000.8999999999996</v>
      </c>
      <c r="M73" s="2"/>
      <c r="N73" s="6">
        <f t="shared" si="39"/>
        <v>-0.41708130646282138</v>
      </c>
      <c r="O73" s="11"/>
      <c r="P73" s="7">
        <v>30348.620000000003</v>
      </c>
      <c r="Q73" s="2"/>
      <c r="R73" s="6">
        <f t="shared" si="40"/>
        <v>1.2027855957992934E-2</v>
      </c>
      <c r="S73" s="2"/>
      <c r="T73" s="7">
        <v>35497</v>
      </c>
      <c r="U73" s="2"/>
      <c r="V73" s="6">
        <f t="shared" si="41"/>
        <v>1.4203401902216318E-2</v>
      </c>
      <c r="W73" s="2"/>
      <c r="X73" s="7">
        <f t="shared" si="42"/>
        <v>-5148.3799999999974</v>
      </c>
      <c r="Y73" s="2"/>
      <c r="Z73" s="6">
        <f t="shared" si="43"/>
        <v>-0.14503704538411688</v>
      </c>
    </row>
    <row r="74" spans="1:26" s="24" customFormat="1" hidden="1" outlineLevel="2" x14ac:dyDescent="0.25">
      <c r="A74" s="25"/>
      <c r="B74" s="11" t="str">
        <f>CONCATENATE("          ", "6286", " - ", "LAUNDRY EXPENSE")</f>
        <v xml:space="preserve">          6286 - LAUNDRY EXPENSE</v>
      </c>
      <c r="C74" s="11"/>
      <c r="D74" s="7">
        <v>1160.1199999999999</v>
      </c>
      <c r="E74" s="2"/>
      <c r="F74" s="6">
        <f t="shared" si="36"/>
        <v>5.0766901321146335E-3</v>
      </c>
      <c r="G74" s="2"/>
      <c r="H74" s="7">
        <v>1600</v>
      </c>
      <c r="I74" s="2"/>
      <c r="J74" s="6">
        <f t="shared" si="37"/>
        <v>7.409568531562446E-3</v>
      </c>
      <c r="K74" s="2"/>
      <c r="L74" s="7">
        <f t="shared" si="38"/>
        <v>-439.88000000000011</v>
      </c>
      <c r="M74" s="2"/>
      <c r="N74" s="6">
        <f t="shared" si="39"/>
        <v>-0.27492500000000009</v>
      </c>
      <c r="O74" s="11"/>
      <c r="P74" s="7">
        <v>9233.7999999999993</v>
      </c>
      <c r="Q74" s="2"/>
      <c r="R74" s="6">
        <f t="shared" si="40"/>
        <v>3.6595672668119717E-3</v>
      </c>
      <c r="S74" s="2"/>
      <c r="T74" s="7">
        <v>11200</v>
      </c>
      <c r="U74" s="2"/>
      <c r="V74" s="6">
        <f t="shared" si="41"/>
        <v>4.4814519904449041E-3</v>
      </c>
      <c r="W74" s="2"/>
      <c r="X74" s="7">
        <f t="shared" si="42"/>
        <v>-1966.2000000000007</v>
      </c>
      <c r="Y74" s="2"/>
      <c r="Z74" s="6">
        <f t="shared" si="43"/>
        <v>-0.1755535714285715</v>
      </c>
    </row>
    <row r="75" spans="1:26" s="27" customFormat="1" outlineLevel="1" collapsed="1" x14ac:dyDescent="0.25">
      <c r="A75" s="26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SUM(OSRRefD22_13x_0)</f>
        <v>5722.34</v>
      </c>
      <c r="E75" s="1"/>
      <c r="F75" s="5">
        <f t="shared" ref="F75:F83" si="44">IF(D$12=0,0,D75/D$12)</f>
        <v>2.5040984562463241E-2</v>
      </c>
      <c r="G75" s="1"/>
      <c r="H75" s="1">
        <f>SUM(OSRRefH22_13x_0)</f>
        <v>8880</v>
      </c>
      <c r="I75" s="1"/>
      <c r="J75" s="5">
        <f t="shared" ref="J75:J83" si="45">IF(H$12=0,0,H75/H$12)</f>
        <v>4.1123105350171579E-2</v>
      </c>
      <c r="K75" s="1"/>
      <c r="L75" s="1">
        <f t="shared" ref="L75:L83" si="46">+D75-H75</f>
        <v>-3157.66</v>
      </c>
      <c r="M75" s="1"/>
      <c r="N75" s="5">
        <f t="shared" ref="N75:N83" si="47">IF(H75=0,0,L75/H75)</f>
        <v>-0.35559234234234233</v>
      </c>
      <c r="O75" s="13"/>
      <c r="P75" s="1">
        <f>SUM(OSRRefP22_13x_0)</f>
        <v>63615.87</v>
      </c>
      <c r="Q75" s="1"/>
      <c r="R75" s="5">
        <f t="shared" ref="R75:R83" si="48">IF(P$12=0,0,P75/P$12)</f>
        <v>2.5212432097485946E-2</v>
      </c>
      <c r="S75" s="1"/>
      <c r="T75" s="1">
        <f>SUM(OSRRefT22_13x_0)</f>
        <v>68160</v>
      </c>
      <c r="U75" s="1"/>
      <c r="V75" s="5">
        <f t="shared" ref="V75:V83" si="49">IF(T$12=0,0,T75/T$12)</f>
        <v>2.7272836398993274E-2</v>
      </c>
      <c r="W75" s="1"/>
      <c r="X75" s="1">
        <f t="shared" ref="X75:X83" si="50">+P75-T75</f>
        <v>-4544.1299999999974</v>
      </c>
      <c r="Y75" s="1"/>
      <c r="Z75" s="5">
        <f t="shared" ref="Z75:Z83" si="51">IF(T75=0,0,X75/T75)</f>
        <v>-6.6668573943661935E-2</v>
      </c>
    </row>
    <row r="76" spans="1:26" s="24" customFormat="1" hidden="1" outlineLevel="2" x14ac:dyDescent="0.25">
      <c r="A76" s="25"/>
      <c r="B76" s="11" t="str">
        <f>CONCATENATE("          ", "6234", " - ", "EXPENDABLE SUPPLIES &amp; EQUIPMEN")</f>
        <v xml:space="preserve">          6234 - EXPENDABLE SUPPLIES &amp; EQUIPMEN</v>
      </c>
      <c r="C76" s="11"/>
      <c r="D76" s="7"/>
      <c r="E76" s="2"/>
      <c r="F76" s="6">
        <f t="shared" si="44"/>
        <v>0</v>
      </c>
      <c r="G76" s="2"/>
      <c r="H76" s="7"/>
      <c r="I76" s="2"/>
      <c r="J76" s="6">
        <f t="shared" si="45"/>
        <v>0</v>
      </c>
      <c r="K76" s="2"/>
      <c r="L76" s="7">
        <f t="shared" si="46"/>
        <v>0</v>
      </c>
      <c r="M76" s="2"/>
      <c r="N76" s="6">
        <f t="shared" si="47"/>
        <v>0</v>
      </c>
      <c r="O76" s="11"/>
      <c r="P76" s="7">
        <v>100</v>
      </c>
      <c r="Q76" s="2"/>
      <c r="R76" s="6">
        <f t="shared" si="48"/>
        <v>3.9632299452142908E-5</v>
      </c>
      <c r="S76" s="2"/>
      <c r="T76" s="7"/>
      <c r="U76" s="2"/>
      <c r="V76" s="6">
        <f t="shared" si="49"/>
        <v>0</v>
      </c>
      <c r="W76" s="2"/>
      <c r="X76" s="7">
        <f t="shared" si="50"/>
        <v>100</v>
      </c>
      <c r="Y76" s="2"/>
      <c r="Z76" s="6">
        <f t="shared" si="51"/>
        <v>0</v>
      </c>
    </row>
    <row r="77" spans="1:26" s="24" customFormat="1" hidden="1" outlineLevel="2" x14ac:dyDescent="0.25">
      <c r="A77" s="25"/>
      <c r="B77" s="11" t="str">
        <f>CONCATENATE("          ", "6237", " - ", "JANITORIAL SUPPLIES")</f>
        <v xml:space="preserve">          6237 - JANITORIAL SUPPLIES</v>
      </c>
      <c r="C77" s="11"/>
      <c r="D77" s="7">
        <v>3525.68</v>
      </c>
      <c r="E77" s="2"/>
      <c r="F77" s="6">
        <f t="shared" si="44"/>
        <v>1.5428390912141781E-2</v>
      </c>
      <c r="G77" s="2"/>
      <c r="H77" s="7">
        <v>4000</v>
      </c>
      <c r="I77" s="2"/>
      <c r="J77" s="6">
        <f t="shared" si="45"/>
        <v>1.8523921328906116E-2</v>
      </c>
      <c r="K77" s="2"/>
      <c r="L77" s="7">
        <f t="shared" si="46"/>
        <v>-474.32000000000016</v>
      </c>
      <c r="M77" s="2"/>
      <c r="N77" s="6">
        <f t="shared" si="47"/>
        <v>-0.11858000000000005</v>
      </c>
      <c r="O77" s="11"/>
      <c r="P77" s="7">
        <v>26622.769999999997</v>
      </c>
      <c r="Q77" s="2"/>
      <c r="R77" s="6">
        <f t="shared" si="48"/>
        <v>1.0551215928855264E-2</v>
      </c>
      <c r="S77" s="2"/>
      <c r="T77" s="7">
        <v>28000</v>
      </c>
      <c r="U77" s="2"/>
      <c r="V77" s="6">
        <f t="shared" si="49"/>
        <v>1.120362997611226E-2</v>
      </c>
      <c r="W77" s="2"/>
      <c r="X77" s="7">
        <f t="shared" si="50"/>
        <v>-1377.2300000000032</v>
      </c>
      <c r="Y77" s="2"/>
      <c r="Z77" s="6">
        <f t="shared" si="51"/>
        <v>-4.9186785714285829E-2</v>
      </c>
    </row>
    <row r="78" spans="1:26" s="24" customFormat="1" hidden="1" outlineLevel="2" x14ac:dyDescent="0.25">
      <c r="A78" s="25"/>
      <c r="B78" s="11" t="str">
        <f>CONCATENATE("          ", "6239", " - ", "KITCHEN SUPPLIES")</f>
        <v xml:space="preserve">          6239 - KITCHEN SUPPLIES</v>
      </c>
      <c r="C78" s="11"/>
      <c r="D78" s="7">
        <v>156.97999999999999</v>
      </c>
      <c r="E78" s="2"/>
      <c r="F78" s="6">
        <f t="shared" si="44"/>
        <v>6.8694515820721589E-4</v>
      </c>
      <c r="G78" s="2"/>
      <c r="H78" s="7">
        <v>1000</v>
      </c>
      <c r="I78" s="2"/>
      <c r="J78" s="6">
        <f t="shared" si="45"/>
        <v>4.6309803322265291E-3</v>
      </c>
      <c r="K78" s="2"/>
      <c r="L78" s="7">
        <f t="shared" si="46"/>
        <v>-843.02</v>
      </c>
      <c r="M78" s="2"/>
      <c r="N78" s="6">
        <f t="shared" si="47"/>
        <v>-0.84301999999999999</v>
      </c>
      <c r="O78" s="11"/>
      <c r="P78" s="7">
        <v>16070.7</v>
      </c>
      <c r="Q78" s="2"/>
      <c r="R78" s="6">
        <f t="shared" si="48"/>
        <v>6.3691879480555309E-3</v>
      </c>
      <c r="S78" s="2"/>
      <c r="T78" s="7">
        <v>13000</v>
      </c>
      <c r="U78" s="2"/>
      <c r="V78" s="6">
        <f t="shared" si="49"/>
        <v>5.2016853460521211E-3</v>
      </c>
      <c r="W78" s="2"/>
      <c r="X78" s="7">
        <f t="shared" si="50"/>
        <v>3070.7000000000007</v>
      </c>
      <c r="Y78" s="2"/>
      <c r="Z78" s="6">
        <f t="shared" si="51"/>
        <v>0.23620769230769237</v>
      </c>
    </row>
    <row r="79" spans="1:26" s="24" customFormat="1" hidden="1" outlineLevel="2" x14ac:dyDescent="0.25">
      <c r="A79" s="25"/>
      <c r="B79" s="11" t="str">
        <f>CONCATENATE("          ", "6241", " - ", "OFFICE EXPENSE")</f>
        <v xml:space="preserve">          6241 - OFFICE EXPENSE</v>
      </c>
      <c r="C79" s="11"/>
      <c r="D79" s="7">
        <v>65.83</v>
      </c>
      <c r="E79" s="2"/>
      <c r="F79" s="6">
        <f t="shared" si="44"/>
        <v>2.8807236440808395E-4</v>
      </c>
      <c r="G79" s="2"/>
      <c r="H79" s="7">
        <v>305</v>
      </c>
      <c r="I79" s="2"/>
      <c r="J79" s="6">
        <f t="shared" si="45"/>
        <v>1.4124490013290914E-3</v>
      </c>
      <c r="K79" s="2"/>
      <c r="L79" s="7">
        <f t="shared" si="46"/>
        <v>-239.17000000000002</v>
      </c>
      <c r="M79" s="2"/>
      <c r="N79" s="6">
        <f t="shared" si="47"/>
        <v>-0.78416393442622956</v>
      </c>
      <c r="O79" s="11"/>
      <c r="P79" s="7">
        <v>2821.85</v>
      </c>
      <c r="Q79" s="2"/>
      <c r="R79" s="6">
        <f t="shared" si="48"/>
        <v>1.1183640420902945E-3</v>
      </c>
      <c r="S79" s="2"/>
      <c r="T79" s="7">
        <v>2135</v>
      </c>
      <c r="U79" s="2"/>
      <c r="V79" s="6">
        <f t="shared" si="49"/>
        <v>8.5427678567855981E-4</v>
      </c>
      <c r="W79" s="2"/>
      <c r="X79" s="7">
        <f t="shared" si="50"/>
        <v>686.84999999999991</v>
      </c>
      <c r="Y79" s="2"/>
      <c r="Z79" s="6">
        <f t="shared" si="51"/>
        <v>0.32170960187353626</v>
      </c>
    </row>
    <row r="80" spans="1:26" s="24" customFormat="1" hidden="1" outlineLevel="2" x14ac:dyDescent="0.25">
      <c r="A80" s="25"/>
      <c r="B80" s="11" t="str">
        <f>CONCATENATE("          ", "6243", " - ", "PAPER SUPPLIES")</f>
        <v xml:space="preserve">          6243 - PAPER SUPPLIES</v>
      </c>
      <c r="C80" s="11"/>
      <c r="D80" s="7">
        <v>1244.18</v>
      </c>
      <c r="E80" s="2"/>
      <c r="F80" s="6">
        <f t="shared" si="44"/>
        <v>5.4445370552825452E-3</v>
      </c>
      <c r="G80" s="2"/>
      <c r="H80" s="7">
        <v>3200</v>
      </c>
      <c r="I80" s="2"/>
      <c r="J80" s="6">
        <f t="shared" si="45"/>
        <v>1.4819137063124892E-2</v>
      </c>
      <c r="K80" s="2"/>
      <c r="L80" s="7">
        <f t="shared" si="46"/>
        <v>-1955.82</v>
      </c>
      <c r="M80" s="2"/>
      <c r="N80" s="6">
        <f t="shared" si="47"/>
        <v>-0.61119374999999998</v>
      </c>
      <c r="O80" s="11"/>
      <c r="P80" s="7">
        <v>14837.76</v>
      </c>
      <c r="Q80" s="2"/>
      <c r="R80" s="6">
        <f t="shared" si="48"/>
        <v>5.8805454751902795E-3</v>
      </c>
      <c r="S80" s="2"/>
      <c r="T80" s="7">
        <v>22400</v>
      </c>
      <c r="U80" s="2"/>
      <c r="V80" s="6">
        <f t="shared" si="49"/>
        <v>8.9629039808898081E-3</v>
      </c>
      <c r="W80" s="2"/>
      <c r="X80" s="7">
        <f t="shared" si="50"/>
        <v>-7562.24</v>
      </c>
      <c r="Y80" s="2"/>
      <c r="Z80" s="6">
        <f t="shared" si="51"/>
        <v>-0.33760000000000001</v>
      </c>
    </row>
    <row r="81" spans="1:26" s="24" customFormat="1" hidden="1" outlineLevel="2" x14ac:dyDescent="0.25">
      <c r="A81" s="25"/>
      <c r="B81" s="11" t="str">
        <f>CONCATENATE("          ", "6245", " - ", "PRINTING")</f>
        <v xml:space="preserve">          6245 - PRINTING</v>
      </c>
      <c r="C81" s="11"/>
      <c r="D81" s="7"/>
      <c r="E81" s="2"/>
      <c r="F81" s="6">
        <f t="shared" si="44"/>
        <v>0</v>
      </c>
      <c r="G81" s="2"/>
      <c r="H81" s="7"/>
      <c r="I81" s="2"/>
      <c r="J81" s="6">
        <f t="shared" si="45"/>
        <v>0</v>
      </c>
      <c r="K81" s="2"/>
      <c r="L81" s="7">
        <f t="shared" si="46"/>
        <v>0</v>
      </c>
      <c r="M81" s="2"/>
      <c r="N81" s="6">
        <f t="shared" si="47"/>
        <v>0</v>
      </c>
      <c r="O81" s="11"/>
      <c r="P81" s="7">
        <v>441</v>
      </c>
      <c r="Q81" s="2"/>
      <c r="R81" s="6">
        <f t="shared" si="48"/>
        <v>1.7477844058395024E-4</v>
      </c>
      <c r="S81" s="2"/>
      <c r="T81" s="7"/>
      <c r="U81" s="2"/>
      <c r="V81" s="6">
        <f t="shared" si="49"/>
        <v>0</v>
      </c>
      <c r="W81" s="2"/>
      <c r="X81" s="7">
        <f t="shared" si="50"/>
        <v>441</v>
      </c>
      <c r="Y81" s="2"/>
      <c r="Z81" s="6">
        <f t="shared" si="51"/>
        <v>0</v>
      </c>
    </row>
    <row r="82" spans="1:26" s="24" customFormat="1" hidden="1" outlineLevel="2" x14ac:dyDescent="0.25">
      <c r="A82" s="25"/>
      <c r="B82" s="11" t="str">
        <f>CONCATENATE("          ", "6247", " - ", "STORE SUPPLIES")</f>
        <v xml:space="preserve">          6247 - STORE SUPPLIES</v>
      </c>
      <c r="C82" s="11"/>
      <c r="D82" s="7"/>
      <c r="E82" s="2"/>
      <c r="F82" s="6">
        <f t="shared" si="44"/>
        <v>0</v>
      </c>
      <c r="G82" s="2"/>
      <c r="H82" s="7"/>
      <c r="I82" s="2"/>
      <c r="J82" s="6">
        <f t="shared" si="45"/>
        <v>0</v>
      </c>
      <c r="K82" s="2"/>
      <c r="L82" s="7">
        <f t="shared" si="46"/>
        <v>0</v>
      </c>
      <c r="M82" s="2"/>
      <c r="N82" s="6">
        <f t="shared" si="47"/>
        <v>0</v>
      </c>
      <c r="O82" s="11"/>
      <c r="P82" s="7">
        <v>153.87</v>
      </c>
      <c r="Q82" s="2"/>
      <c r="R82" s="6">
        <f t="shared" si="48"/>
        <v>6.0982219167012297E-5</v>
      </c>
      <c r="S82" s="2"/>
      <c r="T82" s="7"/>
      <c r="U82" s="2"/>
      <c r="V82" s="6">
        <f t="shared" si="49"/>
        <v>0</v>
      </c>
      <c r="W82" s="2"/>
      <c r="X82" s="7">
        <f t="shared" si="50"/>
        <v>153.87</v>
      </c>
      <c r="Y82" s="2"/>
      <c r="Z82" s="6">
        <f t="shared" si="51"/>
        <v>0</v>
      </c>
    </row>
    <row r="83" spans="1:26" s="24" customFormat="1" hidden="1" outlineLevel="2" x14ac:dyDescent="0.25">
      <c r="A83" s="25"/>
      <c r="B83" s="11" t="str">
        <f>CONCATENATE("          ", "6248", " - ", "UNIFORMS")</f>
        <v xml:space="preserve">          6248 - UNIFORMS</v>
      </c>
      <c r="C83" s="11"/>
      <c r="D83" s="7">
        <v>729.67</v>
      </c>
      <c r="E83" s="2"/>
      <c r="F83" s="6">
        <f t="shared" si="44"/>
        <v>3.1930390724236157E-3</v>
      </c>
      <c r="G83" s="2"/>
      <c r="H83" s="7">
        <v>375</v>
      </c>
      <c r="I83" s="2"/>
      <c r="J83" s="6">
        <f t="shared" si="45"/>
        <v>1.7366176245849484E-3</v>
      </c>
      <c r="K83" s="2"/>
      <c r="L83" s="7">
        <f t="shared" si="46"/>
        <v>354.66999999999996</v>
      </c>
      <c r="M83" s="2"/>
      <c r="N83" s="6">
        <f t="shared" si="47"/>
        <v>0.94578666666666655</v>
      </c>
      <c r="O83" s="11"/>
      <c r="P83" s="7">
        <v>2567.92</v>
      </c>
      <c r="Q83" s="2"/>
      <c r="R83" s="6">
        <f t="shared" si="48"/>
        <v>1.0177257440914683E-3</v>
      </c>
      <c r="S83" s="2"/>
      <c r="T83" s="7">
        <v>2625</v>
      </c>
      <c r="U83" s="2"/>
      <c r="V83" s="6">
        <f t="shared" si="49"/>
        <v>1.0503403102605244E-3</v>
      </c>
      <c r="W83" s="2"/>
      <c r="X83" s="7">
        <f t="shared" si="50"/>
        <v>-57.079999999999927</v>
      </c>
      <c r="Y83" s="2"/>
      <c r="Z83" s="6">
        <f t="shared" si="51"/>
        <v>-2.1744761904761878E-2</v>
      </c>
    </row>
    <row r="84" spans="1:26" s="27" customFormat="1" outlineLevel="1" collapsed="1" x14ac:dyDescent="0.25">
      <c r="A84" s="26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SUM(OSRRefD22_14x_0)</f>
        <v>261.25</v>
      </c>
      <c r="E84" s="1"/>
      <c r="F84" s="5">
        <f t="shared" ref="F84:F89" si="52">IF(D$12=0,0,D84/D$12)</f>
        <v>1.143231128689229E-3</v>
      </c>
      <c r="G84" s="1"/>
      <c r="H84" s="1">
        <f>SUM(OSRRefH22_14x_0)</f>
        <v>275</v>
      </c>
      <c r="I84" s="1"/>
      <c r="J84" s="5">
        <f t="shared" ref="J84:J89" si="53">IF(H$12=0,0,H84/H$12)</f>
        <v>1.2735195913622956E-3</v>
      </c>
      <c r="K84" s="1"/>
      <c r="L84" s="1">
        <f t="shared" ref="L84:L89" si="54">+D84-H84</f>
        <v>-13.75</v>
      </c>
      <c r="M84" s="1"/>
      <c r="N84" s="5">
        <f t="shared" ref="N84:N89" si="55">IF(H84=0,0,L84/H84)</f>
        <v>-0.05</v>
      </c>
      <c r="O84" s="13"/>
      <c r="P84" s="1">
        <f>SUM(OSRRefP22_14x_0)</f>
        <v>2228.3000000000002</v>
      </c>
      <c r="Q84" s="1"/>
      <c r="R84" s="5">
        <f t="shared" ref="R84:R89" si="56">IF(P$12=0,0,P84/P$12)</f>
        <v>8.8312652869210054E-4</v>
      </c>
      <c r="S84" s="1"/>
      <c r="T84" s="1">
        <f>SUM(OSRRefT22_14x_0)</f>
        <v>1925</v>
      </c>
      <c r="U84" s="1"/>
      <c r="V84" s="5">
        <f t="shared" ref="V84:V89" si="57">IF(T$12=0,0,T84/T$12)</f>
        <v>7.7024956085771788E-4</v>
      </c>
      <c r="W84" s="1"/>
      <c r="X84" s="1">
        <f t="shared" ref="X84:X89" si="58">+P84-T84</f>
        <v>303.30000000000018</v>
      </c>
      <c r="Y84" s="1"/>
      <c r="Z84" s="5">
        <f t="shared" ref="Z84:Z89" si="59">IF(T84=0,0,X84/T84)</f>
        <v>0.15755844155844165</v>
      </c>
    </row>
    <row r="85" spans="1:26" s="24" customFormat="1" hidden="1" outlineLevel="2" x14ac:dyDescent="0.25">
      <c r="A85" s="25"/>
      <c r="B85" s="11" t="str">
        <f>CONCATENATE("          ", "6309", " - ", "TELEPHONE")</f>
        <v xml:space="preserve">          6309 - TELEPHONE</v>
      </c>
      <c r="C85" s="11"/>
      <c r="D85" s="7">
        <v>261.25</v>
      </c>
      <c r="E85" s="2"/>
      <c r="F85" s="6">
        <f t="shared" si="52"/>
        <v>1.143231128689229E-3</v>
      </c>
      <c r="G85" s="2"/>
      <c r="H85" s="7">
        <v>275</v>
      </c>
      <c r="I85" s="2"/>
      <c r="J85" s="6">
        <f t="shared" si="53"/>
        <v>1.2735195913622956E-3</v>
      </c>
      <c r="K85" s="2"/>
      <c r="L85" s="7">
        <f t="shared" si="54"/>
        <v>-13.75</v>
      </c>
      <c r="M85" s="2"/>
      <c r="N85" s="6">
        <f t="shared" si="55"/>
        <v>-0.05</v>
      </c>
      <c r="O85" s="11"/>
      <c r="P85" s="7">
        <v>2228.3000000000002</v>
      </c>
      <c r="Q85" s="2"/>
      <c r="R85" s="6">
        <f t="shared" si="56"/>
        <v>8.8312652869210054E-4</v>
      </c>
      <c r="S85" s="2"/>
      <c r="T85" s="7">
        <v>1925</v>
      </c>
      <c r="U85" s="2"/>
      <c r="V85" s="6">
        <f t="shared" si="57"/>
        <v>7.7024956085771788E-4</v>
      </c>
      <c r="W85" s="2"/>
      <c r="X85" s="7">
        <f t="shared" si="58"/>
        <v>303.30000000000018</v>
      </c>
      <c r="Y85" s="2"/>
      <c r="Z85" s="6">
        <f t="shared" si="59"/>
        <v>0.15755844155844165</v>
      </c>
    </row>
    <row r="86" spans="1:26" s="27" customFormat="1" outlineLevel="1" collapsed="1" x14ac:dyDescent="0.25">
      <c r="A86" s="26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SUM(OSRRefD22_15x_0)</f>
        <v>273.32</v>
      </c>
      <c r="E86" s="1"/>
      <c r="F86" s="5">
        <f t="shared" si="52"/>
        <v>1.1960495008357514E-3</v>
      </c>
      <c r="G86" s="1"/>
      <c r="H86" s="1">
        <f>SUM(OSRRefH22_15x_0)</f>
        <v>700</v>
      </c>
      <c r="I86" s="1"/>
      <c r="J86" s="5">
        <f t="shared" si="53"/>
        <v>3.2416862325585702E-3</v>
      </c>
      <c r="K86" s="1"/>
      <c r="L86" s="1">
        <f t="shared" si="54"/>
        <v>-426.68</v>
      </c>
      <c r="M86" s="1"/>
      <c r="N86" s="5">
        <f t="shared" si="55"/>
        <v>-0.60954285714285716</v>
      </c>
      <c r="O86" s="13"/>
      <c r="P86" s="1">
        <f>SUM(OSRRefP22_15x_0)</f>
        <v>911.32</v>
      </c>
      <c r="Q86" s="1"/>
      <c r="R86" s="5">
        <f t="shared" si="56"/>
        <v>3.6117707136726877E-4</v>
      </c>
      <c r="S86" s="1"/>
      <c r="T86" s="1">
        <f>SUM(OSRRefT22_15x_0)</f>
        <v>4900</v>
      </c>
      <c r="U86" s="1"/>
      <c r="V86" s="5">
        <f t="shared" si="57"/>
        <v>1.9606352458196455E-3</v>
      </c>
      <c r="W86" s="1"/>
      <c r="X86" s="1">
        <f t="shared" si="58"/>
        <v>-3988.68</v>
      </c>
      <c r="Y86" s="1"/>
      <c r="Z86" s="5">
        <f t="shared" si="59"/>
        <v>-0.81401632653061218</v>
      </c>
    </row>
    <row r="87" spans="1:26" s="24" customFormat="1" hidden="1" outlineLevel="2" x14ac:dyDescent="0.25">
      <c r="A87" s="25"/>
      <c r="B87" s="11" t="str">
        <f>CONCATENATE("          ", "6376", " - ", "TRAINING")</f>
        <v xml:space="preserve">          6376 - TRAINING</v>
      </c>
      <c r="C87" s="11"/>
      <c r="D87" s="7">
        <v>273.32</v>
      </c>
      <c r="E87" s="2"/>
      <c r="F87" s="6">
        <f t="shared" si="52"/>
        <v>1.1960495008357514E-3</v>
      </c>
      <c r="G87" s="2"/>
      <c r="H87" s="7">
        <v>700</v>
      </c>
      <c r="I87" s="2"/>
      <c r="J87" s="6">
        <f t="shared" si="53"/>
        <v>3.2416862325585702E-3</v>
      </c>
      <c r="K87" s="2"/>
      <c r="L87" s="7">
        <f t="shared" si="54"/>
        <v>-426.68</v>
      </c>
      <c r="M87" s="2"/>
      <c r="N87" s="6">
        <f t="shared" si="55"/>
        <v>-0.60954285714285716</v>
      </c>
      <c r="O87" s="11"/>
      <c r="P87" s="7">
        <v>911.32</v>
      </c>
      <c r="Q87" s="2"/>
      <c r="R87" s="6">
        <f t="shared" si="56"/>
        <v>3.6117707136726877E-4</v>
      </c>
      <c r="S87" s="2"/>
      <c r="T87" s="7">
        <v>4900</v>
      </c>
      <c r="U87" s="2"/>
      <c r="V87" s="6">
        <f t="shared" si="57"/>
        <v>1.9606352458196455E-3</v>
      </c>
      <c r="W87" s="2"/>
      <c r="X87" s="7">
        <f t="shared" si="58"/>
        <v>-3988.68</v>
      </c>
      <c r="Y87" s="2"/>
      <c r="Z87" s="6">
        <f t="shared" si="59"/>
        <v>-0.81401632653061218</v>
      </c>
    </row>
    <row r="88" spans="1:26" s="27" customFormat="1" outlineLevel="1" collapsed="1" x14ac:dyDescent="0.25">
      <c r="A88" s="26"/>
      <c r="B88" s="13" t="str">
        <f>CONCATENATE("     ","Travel                                            ")</f>
        <v xml:space="preserve">     Travel                                            </v>
      </c>
      <c r="C88" s="13"/>
      <c r="D88" s="1">
        <f>SUM(OSRRefD22_16x_0)</f>
        <v>0</v>
      </c>
      <c r="E88" s="1"/>
      <c r="F88" s="5">
        <f t="shared" si="52"/>
        <v>0</v>
      </c>
      <c r="G88" s="1"/>
      <c r="H88" s="1">
        <f>SUM(OSRRefH22_16x_0)</f>
        <v>0</v>
      </c>
      <c r="I88" s="1"/>
      <c r="J88" s="5">
        <f t="shared" si="53"/>
        <v>0</v>
      </c>
      <c r="K88" s="1"/>
      <c r="L88" s="1">
        <f t="shared" si="54"/>
        <v>0</v>
      </c>
      <c r="M88" s="1"/>
      <c r="N88" s="5">
        <f t="shared" si="55"/>
        <v>0</v>
      </c>
      <c r="O88" s="13"/>
      <c r="P88" s="1">
        <f>SUM(OSRRefP22_16x_0)</f>
        <v>59.14</v>
      </c>
      <c r="Q88" s="1"/>
      <c r="R88" s="5">
        <f t="shared" si="56"/>
        <v>2.3438541895997318E-5</v>
      </c>
      <c r="S88" s="1"/>
      <c r="T88" s="1">
        <f>SUM(OSRRefT22_16x_0)</f>
        <v>0</v>
      </c>
      <c r="U88" s="1"/>
      <c r="V88" s="5">
        <f t="shared" si="57"/>
        <v>0</v>
      </c>
      <c r="W88" s="1"/>
      <c r="X88" s="1">
        <f t="shared" si="58"/>
        <v>59.14</v>
      </c>
      <c r="Y88" s="1"/>
      <c r="Z88" s="5">
        <f t="shared" si="59"/>
        <v>0</v>
      </c>
    </row>
    <row r="89" spans="1:26" s="24" customFormat="1" hidden="1" outlineLevel="2" x14ac:dyDescent="0.25">
      <c r="A89" s="25"/>
      <c r="B89" s="11" t="str">
        <f>CONCATENATE("          ", "6292", " - ", "TRAVEL/CONFERENCE")</f>
        <v xml:space="preserve">          6292 - TRAVEL/CONFERENCE</v>
      </c>
      <c r="C89" s="11"/>
      <c r="D89" s="7"/>
      <c r="E89" s="2"/>
      <c r="F89" s="6">
        <f t="shared" si="52"/>
        <v>0</v>
      </c>
      <c r="G89" s="2"/>
      <c r="H89" s="7"/>
      <c r="I89" s="2"/>
      <c r="J89" s="6">
        <f t="shared" si="53"/>
        <v>0</v>
      </c>
      <c r="K89" s="2"/>
      <c r="L89" s="7">
        <f t="shared" si="54"/>
        <v>0</v>
      </c>
      <c r="M89" s="2"/>
      <c r="N89" s="6">
        <f t="shared" si="55"/>
        <v>0</v>
      </c>
      <c r="O89" s="11"/>
      <c r="P89" s="7">
        <v>59.14</v>
      </c>
      <c r="Q89" s="2"/>
      <c r="R89" s="6">
        <f t="shared" si="56"/>
        <v>2.3438541895997318E-5</v>
      </c>
      <c r="S89" s="2"/>
      <c r="T89" s="7"/>
      <c r="U89" s="2"/>
      <c r="V89" s="6">
        <f t="shared" si="57"/>
        <v>0</v>
      </c>
      <c r="W89" s="2"/>
      <c r="X89" s="7">
        <f t="shared" si="58"/>
        <v>59.14</v>
      </c>
      <c r="Y89" s="2"/>
      <c r="Z89" s="6">
        <f t="shared" si="59"/>
        <v>0</v>
      </c>
    </row>
    <row r="90" spans="1:26" s="53" customFormat="1" x14ac:dyDescent="0.25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25">
      <c r="A91" s="10"/>
      <c r="B91" s="28" t="s">
        <v>0</v>
      </c>
      <c r="C91" s="10"/>
      <c r="D91" s="4">
        <f>SUM(0)</f>
        <v>0</v>
      </c>
      <c r="E91" s="4"/>
      <c r="F91" s="12">
        <f>IF(D$12=0,0,D91/D$12)</f>
        <v>0</v>
      </c>
      <c r="G91" s="4"/>
      <c r="H91" s="4">
        <f>SUM(0)</f>
        <v>0</v>
      </c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>
        <f>SUM(0)</f>
        <v>0</v>
      </c>
      <c r="Q91" s="4"/>
      <c r="R91" s="12">
        <f>IF(P$12=0,0,P91/P$12)</f>
        <v>0</v>
      </c>
      <c r="S91" s="4"/>
      <c r="T91" s="4">
        <f>SUM(0)</f>
        <v>0</v>
      </c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9" t="s">
        <v>3</v>
      </c>
      <c r="C93" s="29"/>
      <c r="D93" s="21">
        <f>+D23-D25+D91</f>
        <v>22891.109999999957</v>
      </c>
      <c r="E93" s="14"/>
      <c r="F93" s="20">
        <f>IF(D$12=0,0,D93/D$12)</f>
        <v>0.10017159625741337</v>
      </c>
      <c r="G93" s="14"/>
      <c r="H93" s="21">
        <f>+H23-H25+H91</f>
        <v>1391.2196837392403</v>
      </c>
      <c r="I93" s="14"/>
      <c r="J93" s="20">
        <f>IF(H$12=0,0,H93/H$12)</f>
        <v>6.4427109932028333E-3</v>
      </c>
      <c r="K93" s="16"/>
      <c r="L93" s="21">
        <f>+D93-H93</f>
        <v>21499.890316260717</v>
      </c>
      <c r="M93" s="16"/>
      <c r="N93" s="20">
        <f>IF(H93=0,0,L93/H93)</f>
        <v>15.453986575631641</v>
      </c>
      <c r="O93" s="28"/>
      <c r="P93" s="21">
        <f>+P23-P25+P91</f>
        <v>674914.69</v>
      </c>
      <c r="Q93" s="14"/>
      <c r="R93" s="20">
        <f>IF(P$12=0,0,P93/P$12)</f>
        <v>0.26748421098730196</v>
      </c>
      <c r="S93" s="14"/>
      <c r="T93" s="21">
        <f>+T23-T25+T91</f>
        <v>550372.38030067924</v>
      </c>
      <c r="U93" s="14"/>
      <c r="V93" s="20">
        <f>IF(T$12=0,0,T93/T$12)</f>
        <v>0.22022030349860525</v>
      </c>
      <c r="W93" s="16"/>
      <c r="X93" s="21">
        <f>+P93-T93</f>
        <v>124542.3096993207</v>
      </c>
      <c r="Y93" s="16"/>
      <c r="Z93" s="20">
        <f>IF(T93=0,0,X93/T93)</f>
        <v>0.22628735408430342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2"/>
      <c r="B95" s="10" t="s">
        <v>14</v>
      </c>
      <c r="C95" s="10"/>
      <c r="D95" s="4">
        <v>15290.82</v>
      </c>
      <c r="E95" s="4"/>
      <c r="F95" s="12">
        <f>IF(D$12=0,0,D95/D$12)</f>
        <v>6.6912694381564913E-2</v>
      </c>
      <c r="G95" s="4"/>
      <c r="H95" s="4">
        <v>13594</v>
      </c>
      <c r="I95" s="4"/>
      <c r="J95" s="12">
        <f>IF(H$12=0,0,H95/H$12)</f>
        <v>6.2953546636287439E-2</v>
      </c>
      <c r="K95" s="4"/>
      <c r="L95" s="4">
        <f>+D95-H95</f>
        <v>1696.8199999999997</v>
      </c>
      <c r="M95" s="4"/>
      <c r="N95" s="12">
        <f>IF(H95=0,0,L95/H95)</f>
        <v>0.12482124466676472</v>
      </c>
      <c r="O95" s="10"/>
      <c r="P95" s="4">
        <v>263133.45</v>
      </c>
      <c r="Q95" s="4"/>
      <c r="R95" s="12">
        <f>IF(P$12=0,0,P95/P$12)</f>
        <v>0.10428583686275474</v>
      </c>
      <c r="S95" s="4"/>
      <c r="T95" s="4">
        <v>307711</v>
      </c>
      <c r="U95" s="4"/>
      <c r="V95" s="12">
        <f>IF(T$12=0,0,T95/T$12)</f>
        <v>0.12312429227069571</v>
      </c>
      <c r="W95" s="4"/>
      <c r="X95" s="4">
        <f>+P95-T95</f>
        <v>-44577.549999999988</v>
      </c>
      <c r="Y95" s="4"/>
      <c r="Z95" s="12">
        <f>IF(T95=0,0,X95/T95)</f>
        <v>-0.14486823675461713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4</v>
      </c>
      <c r="C97" s="29"/>
      <c r="D97" s="34">
        <f>+D93-D95</f>
        <v>7600.2899999999572</v>
      </c>
      <c r="E97" s="14"/>
      <c r="F97" s="32">
        <f>IF(D$12=0,0,D97/D$12)</f>
        <v>3.3258901875848464E-2</v>
      </c>
      <c r="G97" s="14"/>
      <c r="H97" s="34">
        <f>+H93-H95</f>
        <v>-12202.78031626076</v>
      </c>
      <c r="I97" s="14"/>
      <c r="J97" s="32">
        <f>IF(H$12=0,0,H97/H$12)</f>
        <v>-5.6510835643084602E-2</v>
      </c>
      <c r="K97" s="16"/>
      <c r="L97" s="34">
        <f>D97-H97</f>
        <v>19803.070316260717</v>
      </c>
      <c r="M97" s="16"/>
      <c r="N97" s="32">
        <f>IF(H97=0,0,L97/H97)</f>
        <v>-1.6228326498570351</v>
      </c>
      <c r="O97" s="28"/>
      <c r="P97" s="34">
        <f>+P93-P95</f>
        <v>411781.23999999993</v>
      </c>
      <c r="Q97" s="14"/>
      <c r="R97" s="32">
        <f>IF(P$12=0,0,P97/P$12)</f>
        <v>0.16319837412454724</v>
      </c>
      <c r="S97" s="14"/>
      <c r="T97" s="34">
        <f>+T93-T95</f>
        <v>242661.38030067924</v>
      </c>
      <c r="U97" s="14"/>
      <c r="V97" s="32">
        <f>IF(T$12=0,0,T97/T$12)</f>
        <v>9.7096011227909534E-2</v>
      </c>
      <c r="W97" s="16"/>
      <c r="X97" s="34">
        <f>P97-T97</f>
        <v>169119.85969932069</v>
      </c>
      <c r="Y97" s="16"/>
      <c r="Z97" s="32">
        <f>IF(T97=0,0,X97/T97)</f>
        <v>0.69693768118258448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9" t="s">
        <v>5</v>
      </c>
      <c r="C100" s="29"/>
      <c r="D100" s="31">
        <f>SUM(D97:D99)</f>
        <v>7600.2899999999572</v>
      </c>
      <c r="E100" s="14"/>
      <c r="F100" s="30">
        <f>IF(D$12=0,0,D100/D$12)</f>
        <v>3.3258901875848464E-2</v>
      </c>
      <c r="G100" s="14"/>
      <c r="H100" s="31">
        <f>SUM(H97:H99)</f>
        <v>-12202.78031626076</v>
      </c>
      <c r="I100" s="14"/>
      <c r="J100" s="30">
        <f>IF(H$12=0,0,H100/H$12)</f>
        <v>-5.6510835643084602E-2</v>
      </c>
      <c r="K100" s="16"/>
      <c r="L100" s="31">
        <f>+D100-H100</f>
        <v>19803.070316260717</v>
      </c>
      <c r="M100" s="16"/>
      <c r="N100" s="30">
        <f>IF(H100=0,0,L100/H100)</f>
        <v>-1.6228326498570351</v>
      </c>
      <c r="O100" s="28"/>
      <c r="P100" s="31">
        <f>SUM(P97:P99)</f>
        <v>411781.23999999993</v>
      </c>
      <c r="Q100" s="14"/>
      <c r="R100" s="30">
        <f>IF(P$12=0,0,P100/P$12)</f>
        <v>0.16319837412454724</v>
      </c>
      <c r="S100" s="14"/>
      <c r="T100" s="31">
        <f>SUM(T97:T99)</f>
        <v>242661.38030067924</v>
      </c>
      <c r="U100" s="14"/>
      <c r="V100" s="30">
        <f>IF(T$12=0,0,T100/T$12)</f>
        <v>9.7096011227909534E-2</v>
      </c>
      <c r="W100" s="16"/>
      <c r="X100" s="31">
        <f>+P100-T100</f>
        <v>169119.85969932069</v>
      </c>
      <c r="Y100" s="16"/>
      <c r="Z100" s="30">
        <f>IF(T100=0,0,X100/T100)</f>
        <v>0.69693768118258448</v>
      </c>
    </row>
    <row r="101" spans="1:26" ht="15.75" thickTop="1" x14ac:dyDescent="0.25">
      <c r="A101" s="9"/>
      <c r="C101" s="9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63">
        <v>43879.546714780095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7" t="s">
        <v>314</v>
      </c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A104" s="9"/>
      <c r="B104" s="60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","450", " - ", "Beachside Dining Hall")</f>
        <v>Department 450 - Beachside Dining Hall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146467.37</v>
      </c>
      <c r="E12" s="4"/>
      <c r="F12" s="12"/>
      <c r="G12" s="4"/>
      <c r="H12" s="4">
        <f>SUM(OSRRefH13x_0)</f>
        <v>146003</v>
      </c>
      <c r="I12" s="4"/>
      <c r="J12" s="12"/>
      <c r="K12" s="4"/>
      <c r="L12" s="4">
        <f t="shared" ref="L12:L16" si="0">+D12-H12</f>
        <v>464.36999999999534</v>
      </c>
      <c r="M12" s="4"/>
      <c r="N12" s="12">
        <f t="shared" ref="N12:N16" si="1">IF(H12=0,0,L12/H12)</f>
        <v>3.1805510845667236E-3</v>
      </c>
      <c r="O12" s="10"/>
      <c r="P12" s="4">
        <f>SUM(OSRRefP13x_0)</f>
        <v>1445345.27</v>
      </c>
      <c r="Q12" s="4"/>
      <c r="R12" s="12"/>
      <c r="S12" s="4"/>
      <c r="T12" s="4">
        <f>SUM(OSRRefT13x_0)</f>
        <v>1391644</v>
      </c>
      <c r="U12" s="4"/>
      <c r="V12" s="12"/>
      <c r="W12" s="4"/>
      <c r="X12" s="4">
        <f t="shared" ref="X12:X16" si="2">+P12-T12</f>
        <v>53701.270000000019</v>
      </c>
      <c r="Y12" s="4"/>
      <c r="Z12" s="12">
        <f t="shared" ref="Z12:Z16" si="3">IF(T12=0,0,X12/T12)</f>
        <v>3.8588367427301824E-2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4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--135.72</f>
        <v>135.72</v>
      </c>
      <c r="Q13" s="2"/>
      <c r="R13" s="19"/>
      <c r="S13" s="2"/>
      <c r="T13" s="2"/>
      <c r="U13" s="2"/>
      <c r="V13" s="19"/>
      <c r="W13" s="2"/>
      <c r="X13" s="2">
        <f t="shared" si="2"/>
        <v>135.72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146003</v>
      </c>
      <c r="I14" s="2"/>
      <c r="J14" s="19"/>
      <c r="K14" s="2"/>
      <c r="L14" s="2">
        <f t="shared" si="0"/>
        <v>-146003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1391644</v>
      </c>
      <c r="U14" s="2"/>
      <c r="V14" s="19"/>
      <c r="W14" s="2"/>
      <c r="X14" s="2">
        <f t="shared" si="2"/>
        <v>-1391644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--145969.43</f>
        <v>145969.43</v>
      </c>
      <c r="E15" s="2"/>
      <c r="F15" s="19"/>
      <c r="G15" s="2"/>
      <c r="H15" s="2"/>
      <c r="I15" s="2"/>
      <c r="J15" s="19"/>
      <c r="K15" s="2"/>
      <c r="L15" s="2">
        <f t="shared" si="0"/>
        <v>145969.43</v>
      </c>
      <c r="M15" s="2"/>
      <c r="N15" s="19">
        <f t="shared" si="1"/>
        <v>0</v>
      </c>
      <c r="O15" s="11"/>
      <c r="P15" s="2">
        <f>--1438419.05</f>
        <v>1438419.05</v>
      </c>
      <c r="Q15" s="2"/>
      <c r="R15" s="19"/>
      <c r="S15" s="2"/>
      <c r="T15" s="2"/>
      <c r="U15" s="2"/>
      <c r="V15" s="19"/>
      <c r="W15" s="2"/>
      <c r="X15" s="2">
        <f t="shared" si="2"/>
        <v>1438419.05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--497.94</f>
        <v>497.94</v>
      </c>
      <c r="E16" s="2"/>
      <c r="F16" s="19"/>
      <c r="G16" s="2"/>
      <c r="H16" s="2"/>
      <c r="I16" s="2"/>
      <c r="J16" s="19"/>
      <c r="K16" s="2"/>
      <c r="L16" s="2">
        <f t="shared" si="0"/>
        <v>497.94</v>
      </c>
      <c r="M16" s="2"/>
      <c r="N16" s="19">
        <f t="shared" si="1"/>
        <v>0</v>
      </c>
      <c r="O16" s="11"/>
      <c r="P16" s="2">
        <f>--6790.5</f>
        <v>6790.5</v>
      </c>
      <c r="Q16" s="2"/>
      <c r="R16" s="19"/>
      <c r="S16" s="2"/>
      <c r="T16" s="2"/>
      <c r="U16" s="2"/>
      <c r="V16" s="19"/>
      <c r="W16" s="2"/>
      <c r="X16" s="2">
        <f t="shared" si="2"/>
        <v>6790.5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32394.21</v>
      </c>
      <c r="E18" s="4"/>
      <c r="F18" s="12">
        <f t="shared" ref="F18:F21" si="5">IF(D$12=0,0,D18/D$12)</f>
        <v>0.22117014868226281</v>
      </c>
      <c r="G18" s="4"/>
      <c r="H18" s="4">
        <f>SUM(OSRRefH16x_0)</f>
        <v>36247</v>
      </c>
      <c r="I18" s="4"/>
      <c r="J18" s="12">
        <f t="shared" ref="J18:J21" si="6">IF(H$12=0,0,H18/H$12)</f>
        <v>0.24826202201324629</v>
      </c>
      <c r="K18" s="4"/>
      <c r="L18" s="4">
        <f t="shared" ref="L18:L21" si="7">+D18-H18</f>
        <v>-3852.7900000000009</v>
      </c>
      <c r="M18" s="4"/>
      <c r="N18" s="12">
        <f t="shared" ref="N18:N21" si="8">IF(H18=0,0,L18/H18)</f>
        <v>-0.10629265870278921</v>
      </c>
      <c r="O18" s="10"/>
      <c r="P18" s="4">
        <f>SUM(OSRRefP16x_0)</f>
        <v>330064.09000000003</v>
      </c>
      <c r="Q18" s="4"/>
      <c r="R18" s="12">
        <f t="shared" ref="R18:R21" si="9">IF(P$12=0,0,P18/P$12)</f>
        <v>0.22836348992237684</v>
      </c>
      <c r="S18" s="4"/>
      <c r="T18" s="4">
        <f>SUM(OSRRefT16x_0)</f>
        <v>343205</v>
      </c>
      <c r="U18" s="4"/>
      <c r="V18" s="12">
        <f t="shared" ref="V18:V21" si="10">IF(T$12=0,0,T18/T$12)</f>
        <v>0.24661838803602071</v>
      </c>
      <c r="W18" s="4"/>
      <c r="X18" s="4">
        <f t="shared" ref="X18:X21" si="11">+P18-T18</f>
        <v>-13140.909999999974</v>
      </c>
      <c r="Y18" s="4"/>
      <c r="Z18" s="12">
        <f t="shared" ref="Z18:Z21" si="12">IF(T18=0,0,X18/T18)</f>
        <v>-3.8288806981250201E-2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36247</v>
      </c>
      <c r="I19" s="2"/>
      <c r="J19" s="19">
        <f t="shared" si="6"/>
        <v>0.24826202201324629</v>
      </c>
      <c r="K19" s="2"/>
      <c r="L19" s="2">
        <f t="shared" si="7"/>
        <v>-36247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343205</v>
      </c>
      <c r="U19" s="2"/>
      <c r="V19" s="19">
        <f t="shared" si="10"/>
        <v>0.24661838803602071</v>
      </c>
      <c r="W19" s="2"/>
      <c r="X19" s="2">
        <f t="shared" si="11"/>
        <v>-343205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34409.21</v>
      </c>
      <c r="E20" s="2"/>
      <c r="F20" s="19">
        <f t="shared" si="5"/>
        <v>0.23492747906922887</v>
      </c>
      <c r="G20" s="2"/>
      <c r="H20" s="2"/>
      <c r="I20" s="2"/>
      <c r="J20" s="19">
        <f t="shared" si="6"/>
        <v>0</v>
      </c>
      <c r="K20" s="2"/>
      <c r="L20" s="2">
        <f t="shared" si="7"/>
        <v>34409.21</v>
      </c>
      <c r="M20" s="2"/>
      <c r="N20" s="19">
        <f t="shared" si="8"/>
        <v>0</v>
      </c>
      <c r="O20" s="11"/>
      <c r="P20" s="2">
        <v>332961.09000000003</v>
      </c>
      <c r="Q20" s="2"/>
      <c r="R20" s="19">
        <f t="shared" si="9"/>
        <v>0.23036785528761583</v>
      </c>
      <c r="S20" s="2"/>
      <c r="T20" s="2"/>
      <c r="U20" s="2"/>
      <c r="V20" s="19">
        <f t="shared" si="10"/>
        <v>0</v>
      </c>
      <c r="W20" s="2"/>
      <c r="X20" s="2">
        <f t="shared" si="11"/>
        <v>332961.09000000003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-2015</v>
      </c>
      <c r="E21" s="2"/>
      <c r="F21" s="19">
        <f t="shared" si="5"/>
        <v>-1.3757330386966053E-2</v>
      </c>
      <c r="G21" s="2"/>
      <c r="H21" s="2"/>
      <c r="I21" s="2"/>
      <c r="J21" s="19">
        <f t="shared" si="6"/>
        <v>0</v>
      </c>
      <c r="K21" s="2"/>
      <c r="L21" s="2">
        <f t="shared" si="7"/>
        <v>-2015</v>
      </c>
      <c r="M21" s="2"/>
      <c r="N21" s="19">
        <f t="shared" si="8"/>
        <v>0</v>
      </c>
      <c r="O21" s="11"/>
      <c r="P21" s="2">
        <v>-2897</v>
      </c>
      <c r="Q21" s="2"/>
      <c r="R21" s="19">
        <f t="shared" si="9"/>
        <v>-2.0043653652389924E-3</v>
      </c>
      <c r="S21" s="2"/>
      <c r="T21" s="2"/>
      <c r="U21" s="2"/>
      <c r="V21" s="19">
        <f t="shared" si="10"/>
        <v>0</v>
      </c>
      <c r="W21" s="2"/>
      <c r="X21" s="2">
        <f t="shared" si="11"/>
        <v>-2897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1">
        <f>D12-D18</f>
        <v>114073.16</v>
      </c>
      <c r="E23" s="14"/>
      <c r="F23" s="20">
        <f>IF(D$12=0,0,D23/D$12)</f>
        <v>0.77882985131773719</v>
      </c>
      <c r="G23" s="14"/>
      <c r="H23" s="21">
        <f>H12-H18</f>
        <v>109756</v>
      </c>
      <c r="I23" s="14"/>
      <c r="J23" s="20">
        <f>IF(H$12=0,0,H23/H$12)</f>
        <v>0.75173797798675368</v>
      </c>
      <c r="K23" s="16"/>
      <c r="L23" s="21">
        <f>+D23-H23</f>
        <v>4317.1600000000035</v>
      </c>
      <c r="M23" s="16"/>
      <c r="N23" s="20">
        <f>IF(H23=0,0,L23/H23)</f>
        <v>3.9334159408141729E-2</v>
      </c>
      <c r="O23" s="28"/>
      <c r="P23" s="21">
        <f>P12-P18</f>
        <v>1115281.18</v>
      </c>
      <c r="Q23" s="14"/>
      <c r="R23" s="20">
        <f>IF(P$12=0,0,P23/P$12)</f>
        <v>0.77163651007762313</v>
      </c>
      <c r="S23" s="14"/>
      <c r="T23" s="21">
        <f>T12-T18</f>
        <v>1048439</v>
      </c>
      <c r="U23" s="14"/>
      <c r="V23" s="20">
        <f>IF(T$12=0,0,T23/T$12)</f>
        <v>0.75338161196397935</v>
      </c>
      <c r="W23" s="16"/>
      <c r="X23" s="21">
        <f>+P23-T23</f>
        <v>66842.179999999935</v>
      </c>
      <c r="Y23" s="16"/>
      <c r="Z23" s="20">
        <f>IF(T23=0,0,X23/T23)</f>
        <v>6.3753999994277138E-2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2">
        <f>SUM(OSRRefD22x_0)</f>
        <v>107473.15</v>
      </c>
      <c r="E25" s="22"/>
      <c r="F25" s="35">
        <f t="shared" ref="F25:F36" si="13">IF(D$12=0,0,D25/D$12)</f>
        <v>0.73376855199898783</v>
      </c>
      <c r="G25" s="22"/>
      <c r="H25" s="22">
        <f>SUM(OSRRefH22x_0)</f>
        <v>88438.205223222292</v>
      </c>
      <c r="I25" s="22"/>
      <c r="J25" s="35">
        <f t="shared" ref="J25:J36" si="14">IF(H$12=0,0,H25/H$12)</f>
        <v>0.60572868518607348</v>
      </c>
      <c r="K25" s="4"/>
      <c r="L25" s="22">
        <f t="shared" ref="L25:L36" si="15">+D25-H25</f>
        <v>19034.944776777702</v>
      </c>
      <c r="M25" s="4"/>
      <c r="N25" s="35">
        <f t="shared" ref="N25:N36" si="16">IF(H25=0,0,L25/H25)</f>
        <v>0.21523440835024393</v>
      </c>
      <c r="O25" s="10"/>
      <c r="P25" s="22">
        <f>SUM(OSRRefP22x_0)</f>
        <v>853968.87</v>
      </c>
      <c r="Q25" s="22"/>
      <c r="R25" s="35">
        <f t="shared" ref="R25:R36" si="17">IF(P$12=0,0,P25/P$12)</f>
        <v>0.59084074077331017</v>
      </c>
      <c r="S25" s="22"/>
      <c r="T25" s="22">
        <f>SUM(OSRRefT22x_0)</f>
        <v>676293.08875353611</v>
      </c>
      <c r="U25" s="22"/>
      <c r="V25" s="35">
        <f t="shared" ref="V25:V36" si="18">IF(T$12=0,0,T25/T$12)</f>
        <v>0.48596702084264087</v>
      </c>
      <c r="W25" s="4"/>
      <c r="X25" s="22">
        <f t="shared" ref="X25:X36" si="19">+P25-T25</f>
        <v>177675.78124646388</v>
      </c>
      <c r="Y25" s="4"/>
      <c r="Z25" s="35">
        <f t="shared" ref="Z25:Z36" si="20">IF(T25=0,0,X25/T25)</f>
        <v>0.26272009015194137</v>
      </c>
    </row>
    <row r="26" spans="1:26" s="27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28210.030000000006</v>
      </c>
      <c r="E26" s="1"/>
      <c r="F26" s="5">
        <f t="shared" si="13"/>
        <v>0.19260283024130226</v>
      </c>
      <c r="G26" s="1"/>
      <c r="H26" s="1">
        <f>SUM(OSRRefH22_0x_0)</f>
        <v>17682.750999376145</v>
      </c>
      <c r="I26" s="1"/>
      <c r="J26" s="5">
        <f t="shared" si="14"/>
        <v>0.12111224426468048</v>
      </c>
      <c r="K26" s="1"/>
      <c r="L26" s="1">
        <f t="shared" si="15"/>
        <v>10527.279000623861</v>
      </c>
      <c r="M26" s="1"/>
      <c r="N26" s="5">
        <f t="shared" si="16"/>
        <v>0.59534169773669654</v>
      </c>
      <c r="O26" s="13"/>
      <c r="P26" s="1">
        <f>SUM(OSRRefP22_0x_0)</f>
        <v>188830.52000000002</v>
      </c>
      <c r="Q26" s="1"/>
      <c r="R26" s="5">
        <f t="shared" si="17"/>
        <v>0.13064734352366891</v>
      </c>
      <c r="S26" s="1"/>
      <c r="T26" s="1">
        <f>SUM(OSRRefT22_0x_0)</f>
        <v>129686.11720568994</v>
      </c>
      <c r="U26" s="1"/>
      <c r="V26" s="5">
        <f t="shared" si="18"/>
        <v>9.3189146941092649E-2</v>
      </c>
      <c r="W26" s="1"/>
      <c r="X26" s="1">
        <f t="shared" si="19"/>
        <v>59144.402794310081</v>
      </c>
      <c r="Y26" s="1"/>
      <c r="Z26" s="5">
        <f t="shared" si="20"/>
        <v>0.45605808908985623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7">
        <v>2874.92</v>
      </c>
      <c r="E27" s="2"/>
      <c r="F27" s="6">
        <f t="shared" si="13"/>
        <v>1.9628399144464737E-2</v>
      </c>
      <c r="G27" s="2"/>
      <c r="H27" s="7">
        <v>3012.1867323761498</v>
      </c>
      <c r="I27" s="2"/>
      <c r="J27" s="6">
        <f t="shared" si="14"/>
        <v>2.0630992050684915E-2</v>
      </c>
      <c r="K27" s="2"/>
      <c r="L27" s="7">
        <f t="shared" si="15"/>
        <v>-137.26673237614978</v>
      </c>
      <c r="M27" s="2"/>
      <c r="N27" s="6">
        <f t="shared" si="16"/>
        <v>-4.5570459128829482E-2</v>
      </c>
      <c r="O27" s="11"/>
      <c r="P27" s="7">
        <v>25894.91</v>
      </c>
      <c r="Q27" s="2"/>
      <c r="R27" s="6">
        <f t="shared" si="17"/>
        <v>1.7916072053842193E-2</v>
      </c>
      <c r="S27" s="2"/>
      <c r="T27" s="7">
        <v>24107.042666056128</v>
      </c>
      <c r="U27" s="2"/>
      <c r="V27" s="6">
        <f t="shared" si="18"/>
        <v>1.7322708010134868E-2</v>
      </c>
      <c r="W27" s="2"/>
      <c r="X27" s="7">
        <f t="shared" si="19"/>
        <v>1787.8673339438719</v>
      </c>
      <c r="Y27" s="2"/>
      <c r="Z27" s="6">
        <f t="shared" si="20"/>
        <v>7.4163693934191061E-2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7">
        <v>1746.89</v>
      </c>
      <c r="E28" s="2"/>
      <c r="F28" s="6">
        <f t="shared" si="13"/>
        <v>1.192682028768592E-2</v>
      </c>
      <c r="G28" s="2"/>
      <c r="H28" s="7">
        <v>1665.6979232307699</v>
      </c>
      <c r="I28" s="2"/>
      <c r="J28" s="6">
        <f t="shared" si="14"/>
        <v>1.1408655460714985E-2</v>
      </c>
      <c r="K28" s="2"/>
      <c r="L28" s="7">
        <f t="shared" si="15"/>
        <v>81.192076769230198</v>
      </c>
      <c r="M28" s="2"/>
      <c r="N28" s="6">
        <f t="shared" si="16"/>
        <v>4.8743578074319088E-2</v>
      </c>
      <c r="O28" s="11"/>
      <c r="P28" s="7">
        <v>14538.86</v>
      </c>
      <c r="Q28" s="2"/>
      <c r="R28" s="6">
        <f t="shared" si="17"/>
        <v>1.0059091278584252E-2</v>
      </c>
      <c r="S28" s="2"/>
      <c r="T28" s="7">
        <v>13498.121603390789</v>
      </c>
      <c r="U28" s="2"/>
      <c r="V28" s="6">
        <f t="shared" si="18"/>
        <v>9.6994070346947854E-3</v>
      </c>
      <c r="W28" s="2"/>
      <c r="X28" s="7">
        <f t="shared" si="19"/>
        <v>1040.7383966092111</v>
      </c>
      <c r="Y28" s="2"/>
      <c r="Z28" s="6">
        <f t="shared" si="20"/>
        <v>7.7102461156356217E-2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7">
        <v>15945.350000000002</v>
      </c>
      <c r="E29" s="2"/>
      <c r="F29" s="6">
        <f t="shared" si="13"/>
        <v>0.10886622733787056</v>
      </c>
      <c r="G29" s="2"/>
      <c r="H29" s="7">
        <v>10500.692307692299</v>
      </c>
      <c r="I29" s="2"/>
      <c r="J29" s="6">
        <f t="shared" si="14"/>
        <v>7.1921072222435836E-2</v>
      </c>
      <c r="K29" s="2"/>
      <c r="L29" s="7">
        <f t="shared" si="15"/>
        <v>5444.6576923077027</v>
      </c>
      <c r="M29" s="2"/>
      <c r="N29" s="6">
        <f t="shared" si="16"/>
        <v>0.51850464071966096</v>
      </c>
      <c r="O29" s="11"/>
      <c r="P29" s="7">
        <v>97924.44</v>
      </c>
      <c r="Q29" s="2"/>
      <c r="R29" s="6">
        <f t="shared" si="17"/>
        <v>6.7751589902113843E-2</v>
      </c>
      <c r="S29" s="2"/>
      <c r="T29" s="7">
        <v>73504.846153846098</v>
      </c>
      <c r="U29" s="2"/>
      <c r="V29" s="6">
        <f t="shared" si="18"/>
        <v>5.2818713804569345E-2</v>
      </c>
      <c r="W29" s="2"/>
      <c r="X29" s="7">
        <f t="shared" si="19"/>
        <v>24419.593846153904</v>
      </c>
      <c r="Y29" s="2"/>
      <c r="Z29" s="6">
        <f t="shared" si="20"/>
        <v>0.33221746760810222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121.4</v>
      </c>
      <c r="E30" s="2"/>
      <c r="F30" s="6">
        <f t="shared" si="13"/>
        <v>8.2885355284252052E-4</v>
      </c>
      <c r="G30" s="2"/>
      <c r="H30" s="7">
        <v>111.618933</v>
      </c>
      <c r="I30" s="2"/>
      <c r="J30" s="6">
        <f t="shared" si="14"/>
        <v>7.6449753087265329E-4</v>
      </c>
      <c r="K30" s="2"/>
      <c r="L30" s="7">
        <f t="shared" si="15"/>
        <v>9.7810670000000073</v>
      </c>
      <c r="M30" s="2"/>
      <c r="N30" s="6">
        <f t="shared" si="16"/>
        <v>8.7629103209578313E-2</v>
      </c>
      <c r="O30" s="11"/>
      <c r="P30" s="7">
        <v>1221.78</v>
      </c>
      <c r="Q30" s="2"/>
      <c r="R30" s="6">
        <f t="shared" si="17"/>
        <v>8.4532050947245282E-4</v>
      </c>
      <c r="S30" s="2"/>
      <c r="T30" s="7">
        <v>904.51330331999998</v>
      </c>
      <c r="U30" s="2"/>
      <c r="V30" s="6">
        <f t="shared" si="18"/>
        <v>6.499602652115052E-4</v>
      </c>
      <c r="W30" s="2"/>
      <c r="X30" s="7">
        <f t="shared" si="19"/>
        <v>317.26669668</v>
      </c>
      <c r="Y30" s="2"/>
      <c r="Z30" s="6">
        <f t="shared" si="20"/>
        <v>0.35075956927938839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7">
        <v>1439.45</v>
      </c>
      <c r="E31" s="2"/>
      <c r="F31" s="6">
        <f t="shared" si="13"/>
        <v>9.8277862161381072E-3</v>
      </c>
      <c r="G31" s="2"/>
      <c r="H31" s="7">
        <v>504.65048076923097</v>
      </c>
      <c r="I31" s="2"/>
      <c r="J31" s="6">
        <f t="shared" si="14"/>
        <v>3.4564391195333723E-3</v>
      </c>
      <c r="K31" s="2"/>
      <c r="L31" s="7">
        <f t="shared" si="15"/>
        <v>934.79951923076908</v>
      </c>
      <c r="M31" s="2"/>
      <c r="N31" s="6">
        <f t="shared" si="16"/>
        <v>1.8523702143429419</v>
      </c>
      <c r="O31" s="11"/>
      <c r="P31" s="7">
        <v>8323.33</v>
      </c>
      <c r="Q31" s="2"/>
      <c r="R31" s="6">
        <f t="shared" si="17"/>
        <v>5.7587139715066142E-3</v>
      </c>
      <c r="S31" s="2"/>
      <c r="T31" s="7">
        <v>3128.832980769233</v>
      </c>
      <c r="U31" s="2"/>
      <c r="V31" s="6">
        <f t="shared" si="18"/>
        <v>2.2482998387297563E-3</v>
      </c>
      <c r="W31" s="2"/>
      <c r="X31" s="7">
        <f t="shared" si="19"/>
        <v>5194.4970192307665</v>
      </c>
      <c r="Y31" s="2"/>
      <c r="Z31" s="6">
        <f t="shared" si="20"/>
        <v>1.6602027181245333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7">
        <v>803.11</v>
      </c>
      <c r="E33" s="2"/>
      <c r="F33" s="6">
        <f t="shared" si="13"/>
        <v>5.4832007975564798E-3</v>
      </c>
      <c r="G33" s="2"/>
      <c r="H33" s="7"/>
      <c r="I33" s="2"/>
      <c r="J33" s="6">
        <f t="shared" si="14"/>
        <v>0</v>
      </c>
      <c r="K33" s="2"/>
      <c r="L33" s="7">
        <f t="shared" si="15"/>
        <v>803.11</v>
      </c>
      <c r="M33" s="2"/>
      <c r="N33" s="6">
        <f t="shared" si="16"/>
        <v>0</v>
      </c>
      <c r="O33" s="11"/>
      <c r="P33" s="7">
        <v>3710.48</v>
      </c>
      <c r="Q33" s="2"/>
      <c r="R33" s="6">
        <f t="shared" si="17"/>
        <v>2.5671928203009928E-3</v>
      </c>
      <c r="S33" s="2"/>
      <c r="T33" s="7"/>
      <c r="U33" s="2"/>
      <c r="V33" s="6">
        <f t="shared" si="18"/>
        <v>0</v>
      </c>
      <c r="W33" s="2"/>
      <c r="X33" s="7">
        <f t="shared" si="19"/>
        <v>3710.48</v>
      </c>
      <c r="Y33" s="2"/>
      <c r="Z33" s="6">
        <f t="shared" si="20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7">
        <v>2156.5700000000002</v>
      </c>
      <c r="E34" s="2"/>
      <c r="F34" s="6">
        <f t="shared" si="13"/>
        <v>1.4723893792863218E-2</v>
      </c>
      <c r="G34" s="2"/>
      <c r="H34" s="7">
        <v>658.67414538461503</v>
      </c>
      <c r="I34" s="2"/>
      <c r="J34" s="6">
        <f t="shared" si="14"/>
        <v>4.5113740497429167E-3</v>
      </c>
      <c r="K34" s="2"/>
      <c r="L34" s="7">
        <f t="shared" si="15"/>
        <v>1497.8958546153851</v>
      </c>
      <c r="M34" s="2"/>
      <c r="N34" s="6">
        <f t="shared" si="16"/>
        <v>2.2741075615480995</v>
      </c>
      <c r="O34" s="11"/>
      <c r="P34" s="7">
        <v>16360.96</v>
      </c>
      <c r="Q34" s="2"/>
      <c r="R34" s="6">
        <f t="shared" si="17"/>
        <v>1.1319758911308438E-2</v>
      </c>
      <c r="S34" s="2"/>
      <c r="T34" s="7">
        <v>4469.886325384613</v>
      </c>
      <c r="U34" s="2"/>
      <c r="V34" s="6">
        <f t="shared" si="18"/>
        <v>3.2119466798869634E-3</v>
      </c>
      <c r="W34" s="2"/>
      <c r="X34" s="7">
        <f t="shared" si="19"/>
        <v>11891.073674615385</v>
      </c>
      <c r="Y34" s="2"/>
      <c r="Z34" s="6">
        <f t="shared" si="20"/>
        <v>2.660263104921849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7">
        <v>1515.87</v>
      </c>
      <c r="E35" s="2"/>
      <c r="F35" s="6">
        <f t="shared" si="13"/>
        <v>1.0349540651955449E-2</v>
      </c>
      <c r="G35" s="2"/>
      <c r="H35" s="7">
        <v>1229.2304769230798</v>
      </c>
      <c r="I35" s="2"/>
      <c r="J35" s="6">
        <f t="shared" si="14"/>
        <v>8.4192138306958056E-3</v>
      </c>
      <c r="K35" s="2"/>
      <c r="L35" s="7">
        <f t="shared" si="15"/>
        <v>286.63952307692011</v>
      </c>
      <c r="M35" s="2"/>
      <c r="N35" s="6">
        <f t="shared" si="16"/>
        <v>0.2331861505699202</v>
      </c>
      <c r="O35" s="11"/>
      <c r="P35" s="7">
        <v>12654.25</v>
      </c>
      <c r="Q35" s="2"/>
      <c r="R35" s="6">
        <f t="shared" si="17"/>
        <v>8.755174464299454E-3</v>
      </c>
      <c r="S35" s="2"/>
      <c r="T35" s="7">
        <v>10072.874172923079</v>
      </c>
      <c r="U35" s="2"/>
      <c r="V35" s="6">
        <f t="shared" si="18"/>
        <v>7.2381113078654304E-3</v>
      </c>
      <c r="W35" s="2"/>
      <c r="X35" s="7">
        <f t="shared" si="19"/>
        <v>2581.3758270769213</v>
      </c>
      <c r="Y35" s="2"/>
      <c r="Z35" s="6">
        <f t="shared" si="20"/>
        <v>0.25627003601573073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7">
        <v>1606.47</v>
      </c>
      <c r="E36" s="2"/>
      <c r="F36" s="6">
        <f t="shared" si="13"/>
        <v>1.0968108459925239E-2</v>
      </c>
      <c r="G36" s="2"/>
      <c r="H36" s="7"/>
      <c r="I36" s="2"/>
      <c r="J36" s="6">
        <f t="shared" si="14"/>
        <v>0</v>
      </c>
      <c r="K36" s="2"/>
      <c r="L36" s="7">
        <f t="shared" si="15"/>
        <v>1606.47</v>
      </c>
      <c r="M36" s="2"/>
      <c r="N36" s="6">
        <f t="shared" si="16"/>
        <v>0</v>
      </c>
      <c r="O36" s="11"/>
      <c r="P36" s="7">
        <v>8201.51</v>
      </c>
      <c r="Q36" s="2"/>
      <c r="R36" s="6">
        <f t="shared" si="17"/>
        <v>5.6744296122406791E-3</v>
      </c>
      <c r="S36" s="2"/>
      <c r="T36" s="7"/>
      <c r="U36" s="2"/>
      <c r="V36" s="6">
        <f t="shared" si="18"/>
        <v>0</v>
      </c>
      <c r="W36" s="2"/>
      <c r="X36" s="7">
        <f t="shared" si="19"/>
        <v>8201.51</v>
      </c>
      <c r="Y36" s="2"/>
      <c r="Z36" s="6">
        <f t="shared" si="20"/>
        <v>0</v>
      </c>
    </row>
    <row r="37" spans="1:26" s="27" customFormat="1" outlineLevel="1" collapsed="1" x14ac:dyDescent="0.25">
      <c r="A37" s="26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58845.439999999988</v>
      </c>
      <c r="E37" s="1"/>
      <c r="F37" s="5">
        <f t="shared" ref="F37:F47" si="21">IF(D$12=0,0,D37/D$12)</f>
        <v>0.40176484359622205</v>
      </c>
      <c r="G37" s="1"/>
      <c r="H37" s="1">
        <f>SUM(OSRRefH22_1x_0)</f>
        <v>41042.454223846151</v>
      </c>
      <c r="I37" s="1"/>
      <c r="J37" s="5">
        <f t="shared" ref="J37:J47" si="22">IF(H$12=0,0,H37/H$12)</f>
        <v>0.28110692399365872</v>
      </c>
      <c r="K37" s="1"/>
      <c r="L37" s="1">
        <f t="shared" ref="L37:L47" si="23">+D37-H37</f>
        <v>17802.985776153837</v>
      </c>
      <c r="M37" s="1"/>
      <c r="N37" s="5">
        <f t="shared" ref="N37:N47" si="24">IF(H37=0,0,L37/H37)</f>
        <v>0.43377000992816095</v>
      </c>
      <c r="O37" s="13"/>
      <c r="P37" s="1">
        <f>SUM(OSRRefP22_1x_0)</f>
        <v>452190.17</v>
      </c>
      <c r="Q37" s="1"/>
      <c r="R37" s="5">
        <f t="shared" ref="R37:R47" si="25">IF(P$12=0,0,P37/P$12)</f>
        <v>0.31285961865707007</v>
      </c>
      <c r="S37" s="1"/>
      <c r="T37" s="1">
        <f>SUM(OSRRefT22_1x_0)</f>
        <v>333346.9715478461</v>
      </c>
      <c r="U37" s="1"/>
      <c r="V37" s="5">
        <f t="shared" ref="V37:V47" si="26">IF(T$12=0,0,T37/T$12)</f>
        <v>0.23953465940128804</v>
      </c>
      <c r="W37" s="1"/>
      <c r="X37" s="1">
        <f t="shared" ref="X37:X47" si="27">+P37-T37</f>
        <v>118843.19845215388</v>
      </c>
      <c r="Y37" s="1"/>
      <c r="Z37" s="5">
        <f t="shared" ref="Z37:Z47" si="28">IF(T37=0,0,X37/T37)</f>
        <v>0.35651500867196578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7">
        <v>10987.13</v>
      </c>
      <c r="E39" s="2"/>
      <c r="F39" s="6">
        <f t="shared" si="21"/>
        <v>7.5014182339725219E-2</v>
      </c>
      <c r="G39" s="2"/>
      <c r="H39" s="7">
        <v>5574.6274038461497</v>
      </c>
      <c r="I39" s="2"/>
      <c r="J39" s="6">
        <f t="shared" si="22"/>
        <v>3.8181594925077909E-2</v>
      </c>
      <c r="K39" s="2"/>
      <c r="L39" s="7">
        <f t="shared" si="23"/>
        <v>5412.5025961538495</v>
      </c>
      <c r="M39" s="2"/>
      <c r="N39" s="6">
        <f t="shared" si="24"/>
        <v>0.97091737331531003</v>
      </c>
      <c r="O39" s="11"/>
      <c r="P39" s="7">
        <v>69387.91</v>
      </c>
      <c r="Q39" s="2"/>
      <c r="R39" s="6">
        <f t="shared" si="25"/>
        <v>4.8007843828208607E-2</v>
      </c>
      <c r="S39" s="2"/>
      <c r="T39" s="7">
        <v>34562.689903846127</v>
      </c>
      <c r="U39" s="2"/>
      <c r="V39" s="6">
        <f t="shared" si="26"/>
        <v>2.4835870311549598E-2</v>
      </c>
      <c r="W39" s="2"/>
      <c r="X39" s="7">
        <f t="shared" si="27"/>
        <v>34825.220096153877</v>
      </c>
      <c r="Y39" s="2"/>
      <c r="Z39" s="6">
        <f t="shared" si="28"/>
        <v>1.0075957685306933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7">
        <v>19298.809999999998</v>
      </c>
      <c r="E41" s="2"/>
      <c r="F41" s="6">
        <f t="shared" si="21"/>
        <v>0.1317618388314066</v>
      </c>
      <c r="G41" s="2"/>
      <c r="H41" s="7">
        <v>15122.50944</v>
      </c>
      <c r="I41" s="2"/>
      <c r="J41" s="6">
        <f t="shared" si="22"/>
        <v>0.10357670349239399</v>
      </c>
      <c r="K41" s="2"/>
      <c r="L41" s="7">
        <f t="shared" si="23"/>
        <v>4176.3005599999979</v>
      </c>
      <c r="M41" s="2"/>
      <c r="N41" s="6">
        <f t="shared" si="24"/>
        <v>0.27616451995416957</v>
      </c>
      <c r="O41" s="11"/>
      <c r="P41" s="7">
        <v>147983.13</v>
      </c>
      <c r="Q41" s="2"/>
      <c r="R41" s="6">
        <f t="shared" si="25"/>
        <v>0.10238600635542261</v>
      </c>
      <c r="S41" s="2"/>
      <c r="T41" s="7">
        <v>105857.56608</v>
      </c>
      <c r="U41" s="2"/>
      <c r="V41" s="6">
        <f t="shared" si="26"/>
        <v>7.6066555872047734E-2</v>
      </c>
      <c r="W41" s="2"/>
      <c r="X41" s="7">
        <f t="shared" si="27"/>
        <v>42125.563920000001</v>
      </c>
      <c r="Y41" s="2"/>
      <c r="Z41" s="6">
        <f t="shared" si="28"/>
        <v>0.39794570648038841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7">
        <v>3829.74</v>
      </c>
      <c r="E42" s="2"/>
      <c r="F42" s="6">
        <f t="shared" si="21"/>
        <v>2.61473937847044E-2</v>
      </c>
      <c r="G42" s="2"/>
      <c r="H42" s="7">
        <v>3463.6798800000001</v>
      </c>
      <c r="I42" s="2"/>
      <c r="J42" s="6">
        <f t="shared" si="22"/>
        <v>2.3723347328479551E-2</v>
      </c>
      <c r="K42" s="2"/>
      <c r="L42" s="7">
        <f t="shared" si="23"/>
        <v>366.06011999999964</v>
      </c>
      <c r="M42" s="2"/>
      <c r="N42" s="6">
        <f t="shared" si="24"/>
        <v>0.10568532101182504</v>
      </c>
      <c r="O42" s="11"/>
      <c r="P42" s="7">
        <v>74960.460000000006</v>
      </c>
      <c r="Q42" s="2"/>
      <c r="R42" s="6">
        <f t="shared" si="25"/>
        <v>5.1863358573138722E-2</v>
      </c>
      <c r="S42" s="2"/>
      <c r="T42" s="7">
        <v>27016.703064000001</v>
      </c>
      <c r="U42" s="2"/>
      <c r="V42" s="6">
        <f t="shared" si="26"/>
        <v>1.9413516002655853E-2</v>
      </c>
      <c r="W42" s="2"/>
      <c r="X42" s="7">
        <f t="shared" si="27"/>
        <v>47943.756936000005</v>
      </c>
      <c r="Y42" s="2"/>
      <c r="Z42" s="6">
        <f t="shared" si="28"/>
        <v>1.7745968789169353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>
        <v>10378.219999999999</v>
      </c>
      <c r="Q43" s="2"/>
      <c r="R43" s="6">
        <f t="shared" si="25"/>
        <v>7.1804434659408396E-3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10378.219999999999</v>
      </c>
      <c r="Y43" s="2"/>
      <c r="Z43" s="6">
        <f t="shared" si="28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7">
        <v>23329.01</v>
      </c>
      <c r="E44" s="2"/>
      <c r="F44" s="6">
        <f t="shared" si="21"/>
        <v>0.15927786509718853</v>
      </c>
      <c r="G44" s="2"/>
      <c r="H44" s="7">
        <v>16881.637500000001</v>
      </c>
      <c r="I44" s="2"/>
      <c r="J44" s="6">
        <f t="shared" si="22"/>
        <v>0.11562527824770724</v>
      </c>
      <c r="K44" s="2"/>
      <c r="L44" s="7">
        <f t="shared" si="23"/>
        <v>6447.3724999999977</v>
      </c>
      <c r="M44" s="2"/>
      <c r="N44" s="6">
        <f t="shared" si="24"/>
        <v>0.38191629810792926</v>
      </c>
      <c r="O44" s="11"/>
      <c r="P44" s="7">
        <v>108392.7</v>
      </c>
      <c r="Q44" s="2"/>
      <c r="R44" s="6">
        <f t="shared" si="25"/>
        <v>7.4994329901532791E-2</v>
      </c>
      <c r="S44" s="2"/>
      <c r="T44" s="7">
        <v>161024.85</v>
      </c>
      <c r="U44" s="2"/>
      <c r="V44" s="6">
        <f t="shared" si="26"/>
        <v>0.11570836363322805</v>
      </c>
      <c r="W44" s="2"/>
      <c r="X44" s="7">
        <f t="shared" si="27"/>
        <v>-52632.150000000009</v>
      </c>
      <c r="Y44" s="2"/>
      <c r="Z44" s="6">
        <f t="shared" si="28"/>
        <v>-0.32685731425925879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7">
        <v>1400.75</v>
      </c>
      <c r="E45" s="2"/>
      <c r="F45" s="6">
        <f t="shared" si="21"/>
        <v>9.5635635431973696E-3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1400.75</v>
      </c>
      <c r="M45" s="2"/>
      <c r="N45" s="6">
        <f t="shared" si="24"/>
        <v>0</v>
      </c>
      <c r="O45" s="11"/>
      <c r="P45" s="7">
        <v>41087.75</v>
      </c>
      <c r="Q45" s="2"/>
      <c r="R45" s="6">
        <f t="shared" si="25"/>
        <v>2.8427636532826511E-2</v>
      </c>
      <c r="S45" s="2"/>
      <c r="T45" s="7">
        <v>4885.1624999999995</v>
      </c>
      <c r="U45" s="2"/>
      <c r="V45" s="6">
        <f t="shared" si="26"/>
        <v>3.5103535818068409E-3</v>
      </c>
      <c r="W45" s="2"/>
      <c r="X45" s="7">
        <f t="shared" si="27"/>
        <v>36202.587500000001</v>
      </c>
      <c r="Y45" s="2"/>
      <c r="Z45" s="6">
        <f t="shared" si="28"/>
        <v>7.4107232870963875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7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104.5</v>
      </c>
      <c r="E48" s="1"/>
      <c r="F48" s="5">
        <f t="shared" ref="F48:F52" si="29">IF(D$12=0,0,D48/D$12)</f>
        <v>7.1346949153248268E-4</v>
      </c>
      <c r="G48" s="1"/>
      <c r="H48" s="1">
        <f>SUM(OSRRefH22_2x_0)</f>
        <v>200</v>
      </c>
      <c r="I48" s="1"/>
      <c r="J48" s="5">
        <f t="shared" ref="J48:J52" si="30">IF(H$12=0,0,H48/H$12)</f>
        <v>1.3698348664068546E-3</v>
      </c>
      <c r="K48" s="1"/>
      <c r="L48" s="1">
        <f t="shared" ref="L48:L52" si="31">+D48-H48</f>
        <v>-95.5</v>
      </c>
      <c r="M48" s="1"/>
      <c r="N48" s="5">
        <f t="shared" ref="N48:N52" si="32">IF(H48=0,0,L48/H48)</f>
        <v>-0.47749999999999998</v>
      </c>
      <c r="O48" s="13"/>
      <c r="P48" s="1">
        <f>SUM(OSRRefP22_2x_0)</f>
        <v>2914.17</v>
      </c>
      <c r="Q48" s="1"/>
      <c r="R48" s="5">
        <f t="shared" ref="R48:R52" si="33">IF(P$12=0,0,P48/P$12)</f>
        <v>2.0162448796750138E-3</v>
      </c>
      <c r="S48" s="1"/>
      <c r="T48" s="1">
        <f>SUM(OSRRefT22_2x_0)</f>
        <v>3700</v>
      </c>
      <c r="U48" s="1"/>
      <c r="V48" s="5">
        <f t="shared" ref="V48:V52" si="34">IF(T$12=0,0,T48/T$12)</f>
        <v>2.6587259385302564E-3</v>
      </c>
      <c r="W48" s="1"/>
      <c r="X48" s="1">
        <f t="shared" ref="X48:X52" si="35">+P48-T48</f>
        <v>-785.82999999999993</v>
      </c>
      <c r="Y48" s="1"/>
      <c r="Z48" s="5">
        <f t="shared" ref="Z48:Z52" si="36">IF(T48=0,0,X48/T48)</f>
        <v>-0.21238648648648648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7">
        <v>104.5</v>
      </c>
      <c r="E49" s="2"/>
      <c r="F49" s="6">
        <f t="shared" si="29"/>
        <v>7.1346949153248268E-4</v>
      </c>
      <c r="G49" s="2"/>
      <c r="H49" s="7">
        <v>200</v>
      </c>
      <c r="I49" s="2"/>
      <c r="J49" s="6">
        <f t="shared" si="30"/>
        <v>1.3698348664068546E-3</v>
      </c>
      <c r="K49" s="2"/>
      <c r="L49" s="7">
        <f t="shared" si="31"/>
        <v>-95.5</v>
      </c>
      <c r="M49" s="2"/>
      <c r="N49" s="6">
        <f t="shared" si="32"/>
        <v>-0.47749999999999998</v>
      </c>
      <c r="O49" s="11"/>
      <c r="P49" s="7">
        <v>2914.17</v>
      </c>
      <c r="Q49" s="2"/>
      <c r="R49" s="6">
        <f t="shared" si="33"/>
        <v>2.0162448796750138E-3</v>
      </c>
      <c r="S49" s="2"/>
      <c r="T49" s="7">
        <v>3700</v>
      </c>
      <c r="U49" s="2"/>
      <c r="V49" s="6">
        <f t="shared" si="34"/>
        <v>2.6587259385302564E-3</v>
      </c>
      <c r="W49" s="2"/>
      <c r="X49" s="7">
        <f t="shared" si="35"/>
        <v>-785.82999999999993</v>
      </c>
      <c r="Y49" s="2"/>
      <c r="Z49" s="6">
        <f t="shared" si="36"/>
        <v>-0.21238648648648648</v>
      </c>
    </row>
    <row r="50" spans="1:26" s="27" customFormat="1" outlineLevel="1" collapsed="1" x14ac:dyDescent="0.25">
      <c r="A50" s="26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70</v>
      </c>
      <c r="I50" s="1"/>
      <c r="J50" s="5">
        <f t="shared" si="30"/>
        <v>4.7944220324239916E-4</v>
      </c>
      <c r="K50" s="1"/>
      <c r="L50" s="1">
        <f t="shared" si="31"/>
        <v>-70</v>
      </c>
      <c r="M50" s="1"/>
      <c r="N50" s="5">
        <f t="shared" si="32"/>
        <v>-1</v>
      </c>
      <c r="O50" s="13"/>
      <c r="P50" s="1">
        <f>SUM(OSRRefP22_3x_0)</f>
        <v>13.18</v>
      </c>
      <c r="Q50" s="1"/>
      <c r="R50" s="5">
        <f t="shared" si="33"/>
        <v>9.1189283789609651E-6</v>
      </c>
      <c r="S50" s="1"/>
      <c r="T50" s="1">
        <f>SUM(OSRRefT22_3x_0)</f>
        <v>420</v>
      </c>
      <c r="U50" s="1"/>
      <c r="V50" s="5">
        <f t="shared" si="34"/>
        <v>3.0180132275208312E-4</v>
      </c>
      <c r="W50" s="1"/>
      <c r="X50" s="1">
        <f t="shared" si="35"/>
        <v>-406.82</v>
      </c>
      <c r="Y50" s="1"/>
      <c r="Z50" s="5">
        <f t="shared" si="36"/>
        <v>-0.9686190476190476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9"/>
        <v>0</v>
      </c>
      <c r="G51" s="2"/>
      <c r="H51" s="7">
        <v>20</v>
      </c>
      <c r="I51" s="2"/>
      <c r="J51" s="6">
        <f t="shared" si="30"/>
        <v>1.3698348664068546E-4</v>
      </c>
      <c r="K51" s="2"/>
      <c r="L51" s="7">
        <f t="shared" si="31"/>
        <v>-20</v>
      </c>
      <c r="M51" s="2"/>
      <c r="N51" s="6">
        <f t="shared" si="32"/>
        <v>-1</v>
      </c>
      <c r="O51" s="11"/>
      <c r="P51" s="7">
        <v>13.18</v>
      </c>
      <c r="Q51" s="2"/>
      <c r="R51" s="6">
        <f t="shared" si="33"/>
        <v>9.1189283789609651E-6</v>
      </c>
      <c r="S51" s="2"/>
      <c r="T51" s="7">
        <v>120</v>
      </c>
      <c r="U51" s="2"/>
      <c r="V51" s="6">
        <f t="shared" si="34"/>
        <v>8.6228949357738041E-5</v>
      </c>
      <c r="W51" s="2"/>
      <c r="X51" s="7">
        <f t="shared" si="35"/>
        <v>-106.82</v>
      </c>
      <c r="Y51" s="2"/>
      <c r="Z51" s="6">
        <f t="shared" si="36"/>
        <v>-0.89016666666666666</v>
      </c>
    </row>
    <row r="52" spans="1:26" s="24" customFormat="1" hidden="1" outlineLevel="2" x14ac:dyDescent="0.25">
      <c r="A52" s="25"/>
      <c r="B52" s="11" t="str">
        <f>CONCATENATE("          ", "6342", " - ", "BAD DEBT")</f>
        <v xml:space="preserve">          6342 - BAD DEBT</v>
      </c>
      <c r="C52" s="11"/>
      <c r="D52" s="7"/>
      <c r="E52" s="2"/>
      <c r="F52" s="6">
        <f t="shared" si="29"/>
        <v>0</v>
      </c>
      <c r="G52" s="2"/>
      <c r="H52" s="7">
        <v>50</v>
      </c>
      <c r="I52" s="2"/>
      <c r="J52" s="6">
        <f t="shared" si="30"/>
        <v>3.4245871660171364E-4</v>
      </c>
      <c r="K52" s="2"/>
      <c r="L52" s="7">
        <f t="shared" si="31"/>
        <v>-50</v>
      </c>
      <c r="M52" s="2"/>
      <c r="N52" s="6">
        <f t="shared" si="32"/>
        <v>-1</v>
      </c>
      <c r="O52" s="11"/>
      <c r="P52" s="7"/>
      <c r="Q52" s="2"/>
      <c r="R52" s="6">
        <f t="shared" si="33"/>
        <v>0</v>
      </c>
      <c r="S52" s="2"/>
      <c r="T52" s="7">
        <v>300</v>
      </c>
      <c r="U52" s="2"/>
      <c r="V52" s="6">
        <f t="shared" si="34"/>
        <v>2.155723733943451E-4</v>
      </c>
      <c r="W52" s="2"/>
      <c r="X52" s="7">
        <f t="shared" si="35"/>
        <v>-300</v>
      </c>
      <c r="Y52" s="2"/>
      <c r="Z52" s="6">
        <f t="shared" si="36"/>
        <v>-1</v>
      </c>
    </row>
    <row r="53" spans="1:26" s="27" customFormat="1" outlineLevel="1" collapsed="1" x14ac:dyDescent="0.25">
      <c r="A53" s="26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3.9</v>
      </c>
      <c r="E53" s="1"/>
      <c r="F53" s="5">
        <f t="shared" ref="F53:F70" si="37">IF(D$12=0,0,D53/D$12)</f>
        <v>2.6627091071547199E-5</v>
      </c>
      <c r="G53" s="1"/>
      <c r="H53" s="1">
        <f>SUM(OSRRefH22_4x_0)</f>
        <v>20</v>
      </c>
      <c r="I53" s="1"/>
      <c r="J53" s="5">
        <f t="shared" ref="J53:J70" si="38">IF(H$12=0,0,H53/H$12)</f>
        <v>1.3698348664068546E-4</v>
      </c>
      <c r="K53" s="1"/>
      <c r="L53" s="1">
        <f t="shared" ref="L53:L70" si="39">+D53-H53</f>
        <v>-16.100000000000001</v>
      </c>
      <c r="M53" s="1"/>
      <c r="N53" s="5">
        <f t="shared" ref="N53:N70" si="40">IF(H53=0,0,L53/H53)</f>
        <v>-0.80500000000000005</v>
      </c>
      <c r="O53" s="13"/>
      <c r="P53" s="1">
        <f>SUM(OSRRefP22_4x_0)</f>
        <v>54.7</v>
      </c>
      <c r="Q53" s="1"/>
      <c r="R53" s="5">
        <f t="shared" ref="R53:R70" si="41">IF(P$12=0,0,P53/P$12)</f>
        <v>3.7845628401302342E-5</v>
      </c>
      <c r="S53" s="1"/>
      <c r="T53" s="1">
        <f>SUM(OSRRefT22_4x_0)</f>
        <v>140</v>
      </c>
      <c r="U53" s="1"/>
      <c r="V53" s="5">
        <f t="shared" ref="V53:V70" si="42">IF(T$12=0,0,T53/T$12)</f>
        <v>1.0060044091736105E-4</v>
      </c>
      <c r="W53" s="1"/>
      <c r="X53" s="1">
        <f t="shared" ref="X53:X70" si="43">+P53-T53</f>
        <v>-85.3</v>
      </c>
      <c r="Y53" s="1"/>
      <c r="Z53" s="5">
        <f t="shared" ref="Z53:Z70" si="44">IF(T53=0,0,X53/T53)</f>
        <v>-0.60928571428571432</v>
      </c>
    </row>
    <row r="54" spans="1:26" s="24" customFormat="1" hidden="1" outlineLevel="2" x14ac:dyDescent="0.25">
      <c r="A54" s="25"/>
      <c r="B54" s="11" t="str">
        <f>CONCATENATE("          ", "6381", " - ", "BANK/CREDIT CARD FEES")</f>
        <v xml:space="preserve">          6381 - BANK/CREDIT CARD FEES</v>
      </c>
      <c r="C54" s="11"/>
      <c r="D54" s="7">
        <v>3.9</v>
      </c>
      <c r="E54" s="2"/>
      <c r="F54" s="6">
        <f t="shared" si="37"/>
        <v>2.6627091071547199E-5</v>
      </c>
      <c r="G54" s="2"/>
      <c r="H54" s="7">
        <v>20</v>
      </c>
      <c r="I54" s="2"/>
      <c r="J54" s="6">
        <f t="shared" si="38"/>
        <v>1.3698348664068546E-4</v>
      </c>
      <c r="K54" s="2"/>
      <c r="L54" s="7">
        <f t="shared" si="39"/>
        <v>-16.100000000000001</v>
      </c>
      <c r="M54" s="2"/>
      <c r="N54" s="6">
        <f t="shared" si="40"/>
        <v>-0.80500000000000005</v>
      </c>
      <c r="O54" s="11"/>
      <c r="P54" s="7">
        <v>54.7</v>
      </c>
      <c r="Q54" s="2"/>
      <c r="R54" s="6">
        <f t="shared" si="41"/>
        <v>3.7845628401302342E-5</v>
      </c>
      <c r="S54" s="2"/>
      <c r="T54" s="7">
        <v>140</v>
      </c>
      <c r="U54" s="2"/>
      <c r="V54" s="6">
        <f t="shared" si="42"/>
        <v>1.0060044091736105E-4</v>
      </c>
      <c r="W54" s="2"/>
      <c r="X54" s="7">
        <f t="shared" si="43"/>
        <v>-85.3</v>
      </c>
      <c r="Y54" s="2"/>
      <c r="Z54" s="6">
        <f t="shared" si="44"/>
        <v>-0.60928571428571432</v>
      </c>
    </row>
    <row r="55" spans="1:26" s="27" customFormat="1" outlineLevel="1" collapsed="1" x14ac:dyDescent="0.25">
      <c r="A55" s="26"/>
      <c r="B55" s="13" t="str">
        <f>CONCATENATE("     ","Donations                                         ")</f>
        <v xml:space="preserve">     Donations                                         </v>
      </c>
      <c r="C55" s="13"/>
      <c r="D55" s="1">
        <f>SUM(OSRRefD22_5x_0)</f>
        <v>1745.3</v>
      </c>
      <c r="E55" s="1"/>
      <c r="F55" s="5">
        <f t="shared" si="37"/>
        <v>1.1915964627479828E-2</v>
      </c>
      <c r="G55" s="1"/>
      <c r="H55" s="1">
        <f>SUM(OSRRefH22_5x_0)</f>
        <v>1314</v>
      </c>
      <c r="I55" s="1"/>
      <c r="J55" s="5">
        <f t="shared" si="38"/>
        <v>8.9998150722930357E-3</v>
      </c>
      <c r="K55" s="1"/>
      <c r="L55" s="1">
        <f t="shared" si="39"/>
        <v>431.29999999999995</v>
      </c>
      <c r="M55" s="1"/>
      <c r="N55" s="5">
        <f t="shared" si="40"/>
        <v>0.32823439878234395</v>
      </c>
      <c r="O55" s="13"/>
      <c r="P55" s="1">
        <f>SUM(OSRRefP22_5x_0)</f>
        <v>15479.88</v>
      </c>
      <c r="Q55" s="1"/>
      <c r="R55" s="5">
        <f t="shared" si="41"/>
        <v>1.0710160624803511E-2</v>
      </c>
      <c r="S55" s="1"/>
      <c r="T55" s="1">
        <f>SUM(OSRRefT22_5x_0)</f>
        <v>10804</v>
      </c>
      <c r="U55" s="1"/>
      <c r="V55" s="5">
        <f t="shared" si="42"/>
        <v>7.7634797405083484E-3</v>
      </c>
      <c r="W55" s="1"/>
      <c r="X55" s="1">
        <f t="shared" si="43"/>
        <v>4675.8799999999992</v>
      </c>
      <c r="Y55" s="1"/>
      <c r="Z55" s="5">
        <f t="shared" si="44"/>
        <v>0.43279155868196956</v>
      </c>
    </row>
    <row r="56" spans="1:26" s="24" customFormat="1" hidden="1" outlineLevel="2" x14ac:dyDescent="0.25">
      <c r="A56" s="25"/>
      <c r="B56" s="11" t="str">
        <f>CONCATENATE("          ", "6399", " - ", "DONATION-ON CAMPUS")</f>
        <v xml:space="preserve">          6399 - DONATION-ON CAMPUS</v>
      </c>
      <c r="C56" s="11"/>
      <c r="D56" s="7">
        <v>1745.3</v>
      </c>
      <c r="E56" s="2"/>
      <c r="F56" s="6">
        <f t="shared" si="37"/>
        <v>1.1915964627479828E-2</v>
      </c>
      <c r="G56" s="2"/>
      <c r="H56" s="7">
        <v>1314</v>
      </c>
      <c r="I56" s="2"/>
      <c r="J56" s="6">
        <f t="shared" si="38"/>
        <v>8.9998150722930357E-3</v>
      </c>
      <c r="K56" s="2"/>
      <c r="L56" s="7">
        <f t="shared" si="39"/>
        <v>431.29999999999995</v>
      </c>
      <c r="M56" s="2"/>
      <c r="N56" s="6">
        <f t="shared" si="40"/>
        <v>0.32823439878234395</v>
      </c>
      <c r="O56" s="11"/>
      <c r="P56" s="7">
        <v>15479.88</v>
      </c>
      <c r="Q56" s="2"/>
      <c r="R56" s="6">
        <f t="shared" si="41"/>
        <v>1.0710160624803511E-2</v>
      </c>
      <c r="S56" s="2"/>
      <c r="T56" s="7">
        <v>10804</v>
      </c>
      <c r="U56" s="2"/>
      <c r="V56" s="6">
        <f t="shared" si="42"/>
        <v>7.7634797405083484E-3</v>
      </c>
      <c r="W56" s="2"/>
      <c r="X56" s="7">
        <f t="shared" si="43"/>
        <v>4675.8799999999992</v>
      </c>
      <c r="Y56" s="2"/>
      <c r="Z56" s="6">
        <f t="shared" si="44"/>
        <v>0.43279155868196956</v>
      </c>
    </row>
    <row r="57" spans="1:26" s="27" customFormat="1" outlineLevel="1" collapsed="1" x14ac:dyDescent="0.25">
      <c r="A57" s="26"/>
      <c r="B57" s="13" t="str">
        <f>CONCATENATE("     ","Employees' Appreciation                           ")</f>
        <v xml:space="preserve">     Employees' Appreciation                           </v>
      </c>
      <c r="C57" s="13"/>
      <c r="D57" s="1">
        <f>SUM(OSRRefD22_6x_0)</f>
        <v>0</v>
      </c>
      <c r="E57" s="1"/>
      <c r="F57" s="5">
        <f t="shared" si="37"/>
        <v>0</v>
      </c>
      <c r="G57" s="1"/>
      <c r="H57" s="1">
        <f>SUM(OSRRefH22_6x_0)</f>
        <v>200</v>
      </c>
      <c r="I57" s="1"/>
      <c r="J57" s="5">
        <f t="shared" si="38"/>
        <v>1.3698348664068546E-3</v>
      </c>
      <c r="K57" s="1"/>
      <c r="L57" s="1">
        <f t="shared" si="39"/>
        <v>-200</v>
      </c>
      <c r="M57" s="1"/>
      <c r="N57" s="5">
        <f t="shared" si="40"/>
        <v>-1</v>
      </c>
      <c r="O57" s="13"/>
      <c r="P57" s="1">
        <f>SUM(OSRRefP22_6x_0)</f>
        <v>21.34</v>
      </c>
      <c r="Q57" s="1"/>
      <c r="R57" s="5">
        <f t="shared" si="41"/>
        <v>1.4764638209941351E-5</v>
      </c>
      <c r="S57" s="1"/>
      <c r="T57" s="1">
        <f>SUM(OSRRefT22_6x_0)</f>
        <v>600</v>
      </c>
      <c r="U57" s="1"/>
      <c r="V57" s="5">
        <f t="shared" si="42"/>
        <v>4.3114474678869019E-4</v>
      </c>
      <c r="W57" s="1"/>
      <c r="X57" s="1">
        <f t="shared" si="43"/>
        <v>-578.66</v>
      </c>
      <c r="Y57" s="1"/>
      <c r="Z57" s="5">
        <f t="shared" si="44"/>
        <v>-0.96443333333333325</v>
      </c>
    </row>
    <row r="58" spans="1:26" s="24" customFormat="1" hidden="1" outlineLevel="2" x14ac:dyDescent="0.25">
      <c r="A58" s="25"/>
      <c r="B58" s="11" t="str">
        <f>CONCATENATE("          ", "6277", " - ", "EMPLOYEE APPRECIATION")</f>
        <v xml:space="preserve">          6277 - EMPLOYEE APPRECIATION</v>
      </c>
      <c r="C58" s="11"/>
      <c r="D58" s="7"/>
      <c r="E58" s="2"/>
      <c r="F58" s="6">
        <f t="shared" si="37"/>
        <v>0</v>
      </c>
      <c r="G58" s="2"/>
      <c r="H58" s="7">
        <v>200</v>
      </c>
      <c r="I58" s="2"/>
      <c r="J58" s="6">
        <f t="shared" si="38"/>
        <v>1.3698348664068546E-3</v>
      </c>
      <c r="K58" s="2"/>
      <c r="L58" s="7">
        <f t="shared" si="39"/>
        <v>-200</v>
      </c>
      <c r="M58" s="2"/>
      <c r="N58" s="6">
        <f t="shared" si="40"/>
        <v>-1</v>
      </c>
      <c r="O58" s="11"/>
      <c r="P58" s="7">
        <v>21.34</v>
      </c>
      <c r="Q58" s="2"/>
      <c r="R58" s="6">
        <f t="shared" si="41"/>
        <v>1.4764638209941351E-5</v>
      </c>
      <c r="S58" s="2"/>
      <c r="T58" s="7">
        <v>600</v>
      </c>
      <c r="U58" s="2"/>
      <c r="V58" s="6">
        <f t="shared" si="42"/>
        <v>4.3114474678869019E-4</v>
      </c>
      <c r="W58" s="2"/>
      <c r="X58" s="7">
        <f t="shared" si="43"/>
        <v>-578.66</v>
      </c>
      <c r="Y58" s="2"/>
      <c r="Z58" s="6">
        <f t="shared" si="44"/>
        <v>-0.96443333333333325</v>
      </c>
    </row>
    <row r="59" spans="1:26" s="27" customFormat="1" outlineLevel="1" collapsed="1" x14ac:dyDescent="0.25">
      <c r="A59" s="26"/>
      <c r="B59" s="13" t="str">
        <f>CONCATENATE("     ","Equipment Rental                                  ")</f>
        <v xml:space="preserve">     Equipment Rental                                  </v>
      </c>
      <c r="C59" s="13"/>
      <c r="D59" s="1">
        <f>SUM(OSRRefD22_7x_0)</f>
        <v>0</v>
      </c>
      <c r="E59" s="1"/>
      <c r="F59" s="5">
        <f t="shared" si="37"/>
        <v>0</v>
      </c>
      <c r="G59" s="1"/>
      <c r="H59" s="1">
        <f>SUM(OSRRefH22_7x_0)</f>
        <v>0</v>
      </c>
      <c r="I59" s="1"/>
      <c r="J59" s="5">
        <f t="shared" si="38"/>
        <v>0</v>
      </c>
      <c r="K59" s="1"/>
      <c r="L59" s="1">
        <f t="shared" si="39"/>
        <v>0</v>
      </c>
      <c r="M59" s="1"/>
      <c r="N59" s="5">
        <f t="shared" si="40"/>
        <v>0</v>
      </c>
      <c r="O59" s="13"/>
      <c r="P59" s="1">
        <f>SUM(OSRRefP22_7x_0)</f>
        <v>0.01</v>
      </c>
      <c r="Q59" s="1"/>
      <c r="R59" s="5">
        <f t="shared" si="41"/>
        <v>6.9187620477700807E-9</v>
      </c>
      <c r="S59" s="1"/>
      <c r="T59" s="1">
        <f>SUM(OSRRefT22_7x_0)</f>
        <v>0</v>
      </c>
      <c r="U59" s="1"/>
      <c r="V59" s="5">
        <f t="shared" si="42"/>
        <v>0</v>
      </c>
      <c r="W59" s="1"/>
      <c r="X59" s="1">
        <f t="shared" si="43"/>
        <v>0.01</v>
      </c>
      <c r="Y59" s="1"/>
      <c r="Z59" s="5">
        <f t="shared" si="44"/>
        <v>0</v>
      </c>
    </row>
    <row r="60" spans="1:26" s="24" customFormat="1" hidden="1" outlineLevel="2" x14ac:dyDescent="0.25">
      <c r="A60" s="25"/>
      <c r="B60" s="11" t="str">
        <f>CONCATENATE("          ", "6351", " - ", "EQUIPMENT RENTAL")</f>
        <v xml:space="preserve">          6351 - EQUIPMENT RENTAL</v>
      </c>
      <c r="C60" s="11"/>
      <c r="D60" s="7"/>
      <c r="E60" s="2"/>
      <c r="F60" s="6">
        <f t="shared" si="37"/>
        <v>0</v>
      </c>
      <c r="G60" s="2"/>
      <c r="H60" s="7"/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>
        <v>0.01</v>
      </c>
      <c r="Q60" s="2"/>
      <c r="R60" s="6">
        <f t="shared" si="41"/>
        <v>6.9187620477700807E-9</v>
      </c>
      <c r="S60" s="2"/>
      <c r="T60" s="7"/>
      <c r="U60" s="2"/>
      <c r="V60" s="6">
        <f t="shared" si="42"/>
        <v>0</v>
      </c>
      <c r="W60" s="2"/>
      <c r="X60" s="7">
        <f t="shared" si="43"/>
        <v>0.01</v>
      </c>
      <c r="Y60" s="2"/>
      <c r="Z60" s="6">
        <f t="shared" si="44"/>
        <v>0</v>
      </c>
    </row>
    <row r="61" spans="1:26" s="27" customFormat="1" outlineLevel="1" collapsed="1" x14ac:dyDescent="0.25">
      <c r="A61" s="26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SUM(OSRRefD22_8x_0)</f>
        <v>0</v>
      </c>
      <c r="E61" s="1"/>
      <c r="F61" s="5">
        <f t="shared" si="37"/>
        <v>0</v>
      </c>
      <c r="G61" s="1"/>
      <c r="H61" s="1">
        <f>SUM(OSRRefH22_8x_0)</f>
        <v>275</v>
      </c>
      <c r="I61" s="1"/>
      <c r="J61" s="5">
        <f t="shared" si="38"/>
        <v>1.883522941309425E-3</v>
      </c>
      <c r="K61" s="1"/>
      <c r="L61" s="1">
        <f t="shared" si="39"/>
        <v>-275</v>
      </c>
      <c r="M61" s="1"/>
      <c r="N61" s="5">
        <f t="shared" si="40"/>
        <v>-1</v>
      </c>
      <c r="O61" s="13"/>
      <c r="P61" s="1">
        <f>SUM(OSRRefP22_8x_0)</f>
        <v>1517.11</v>
      </c>
      <c r="Q61" s="1"/>
      <c r="R61" s="5">
        <f t="shared" si="41"/>
        <v>1.0496523090292465E-3</v>
      </c>
      <c r="S61" s="1"/>
      <c r="T61" s="1">
        <f>SUM(OSRRefT22_8x_0)</f>
        <v>1925</v>
      </c>
      <c r="U61" s="1"/>
      <c r="V61" s="5">
        <f t="shared" si="42"/>
        <v>1.3832560626137144E-3</v>
      </c>
      <c r="W61" s="1"/>
      <c r="X61" s="1">
        <f t="shared" si="43"/>
        <v>-407.8900000000001</v>
      </c>
      <c r="Y61" s="1"/>
      <c r="Z61" s="5">
        <f t="shared" si="44"/>
        <v>-0.21189090909090913</v>
      </c>
    </row>
    <row r="62" spans="1:26" s="24" customFormat="1" hidden="1" outlineLevel="2" x14ac:dyDescent="0.25">
      <c r="A62" s="25"/>
      <c r="B62" s="11" t="str">
        <f>CONCATENATE("          ", "6279", " - ", "GENERAL EXPENSE")</f>
        <v xml:space="preserve">          6279 - GENERAL EXPENSE</v>
      </c>
      <c r="C62" s="11"/>
      <c r="D62" s="7"/>
      <c r="E62" s="2"/>
      <c r="F62" s="6">
        <f t="shared" si="37"/>
        <v>0</v>
      </c>
      <c r="G62" s="2"/>
      <c r="H62" s="7">
        <v>275</v>
      </c>
      <c r="I62" s="2"/>
      <c r="J62" s="6">
        <f t="shared" si="38"/>
        <v>1.883522941309425E-3</v>
      </c>
      <c r="K62" s="2"/>
      <c r="L62" s="7">
        <f t="shared" si="39"/>
        <v>-275</v>
      </c>
      <c r="M62" s="2"/>
      <c r="N62" s="6">
        <f t="shared" si="40"/>
        <v>-1</v>
      </c>
      <c r="O62" s="11"/>
      <c r="P62" s="7">
        <v>1517.11</v>
      </c>
      <c r="Q62" s="2"/>
      <c r="R62" s="6">
        <f t="shared" si="41"/>
        <v>1.0496523090292465E-3</v>
      </c>
      <c r="S62" s="2"/>
      <c r="T62" s="7">
        <v>1925</v>
      </c>
      <c r="U62" s="2"/>
      <c r="V62" s="6">
        <f t="shared" si="42"/>
        <v>1.3832560626137144E-3</v>
      </c>
      <c r="W62" s="2"/>
      <c r="X62" s="7">
        <f t="shared" si="43"/>
        <v>-407.8900000000001</v>
      </c>
      <c r="Y62" s="2"/>
      <c r="Z62" s="6">
        <f t="shared" si="44"/>
        <v>-0.21189090909090913</v>
      </c>
    </row>
    <row r="63" spans="1:26" s="27" customFormat="1" outlineLevel="1" collapsed="1" x14ac:dyDescent="0.25">
      <c r="A63" s="26"/>
      <c r="B63" s="13" t="str">
        <f>CONCATENATE("     ","Insurance                                         ")</f>
        <v xml:space="preserve">     Insurance                                         </v>
      </c>
      <c r="C63" s="13"/>
      <c r="D63" s="1">
        <f>SUM(OSRRefD22_9x_0)</f>
        <v>5.9</v>
      </c>
      <c r="E63" s="1"/>
      <c r="F63" s="5">
        <f t="shared" si="37"/>
        <v>4.0282009569776535E-5</v>
      </c>
      <c r="G63" s="1"/>
      <c r="H63" s="1">
        <f>SUM(OSRRefH22_9x_0)</f>
        <v>5</v>
      </c>
      <c r="I63" s="1"/>
      <c r="J63" s="5">
        <f t="shared" si="38"/>
        <v>3.4245871660171364E-5</v>
      </c>
      <c r="K63" s="1"/>
      <c r="L63" s="1">
        <f t="shared" si="39"/>
        <v>0.90000000000000036</v>
      </c>
      <c r="M63" s="1"/>
      <c r="N63" s="5">
        <f t="shared" si="40"/>
        <v>0.18000000000000008</v>
      </c>
      <c r="O63" s="13"/>
      <c r="P63" s="1">
        <f>SUM(OSRRefP22_9x_0)</f>
        <v>41.3</v>
      </c>
      <c r="Q63" s="1"/>
      <c r="R63" s="5">
        <f t="shared" si="41"/>
        <v>2.8574487257290432E-5</v>
      </c>
      <c r="S63" s="1"/>
      <c r="T63" s="1">
        <f>SUM(OSRRefT22_9x_0)</f>
        <v>35</v>
      </c>
      <c r="U63" s="1"/>
      <c r="V63" s="5">
        <f t="shared" si="42"/>
        <v>2.5150110229340261E-5</v>
      </c>
      <c r="W63" s="1"/>
      <c r="X63" s="1">
        <f t="shared" si="43"/>
        <v>6.2999999999999972</v>
      </c>
      <c r="Y63" s="1"/>
      <c r="Z63" s="5">
        <f t="shared" si="44"/>
        <v>0.17999999999999991</v>
      </c>
    </row>
    <row r="64" spans="1:26" s="24" customFormat="1" hidden="1" outlineLevel="2" x14ac:dyDescent="0.25">
      <c r="A64" s="25"/>
      <c r="B64" s="11" t="str">
        <f>CONCATENATE("          ", "6314", " - ", "LIABILITY INSURANCE")</f>
        <v xml:space="preserve">          6314 - LIABILITY INSURANCE</v>
      </c>
      <c r="C64" s="11"/>
      <c r="D64" s="7">
        <v>5.9</v>
      </c>
      <c r="E64" s="2"/>
      <c r="F64" s="6">
        <f t="shared" si="37"/>
        <v>4.0282009569776535E-5</v>
      </c>
      <c r="G64" s="2"/>
      <c r="H64" s="7">
        <v>5</v>
      </c>
      <c r="I64" s="2"/>
      <c r="J64" s="6">
        <f t="shared" si="38"/>
        <v>3.4245871660171364E-5</v>
      </c>
      <c r="K64" s="2"/>
      <c r="L64" s="7">
        <f t="shared" si="39"/>
        <v>0.90000000000000036</v>
      </c>
      <c r="M64" s="2"/>
      <c r="N64" s="6">
        <f t="shared" si="40"/>
        <v>0.18000000000000008</v>
      </c>
      <c r="O64" s="11"/>
      <c r="P64" s="7">
        <v>41.3</v>
      </c>
      <c r="Q64" s="2"/>
      <c r="R64" s="6">
        <f t="shared" si="41"/>
        <v>2.8574487257290432E-5</v>
      </c>
      <c r="S64" s="2"/>
      <c r="T64" s="7">
        <v>35</v>
      </c>
      <c r="U64" s="2"/>
      <c r="V64" s="6">
        <f t="shared" si="42"/>
        <v>2.5150110229340261E-5</v>
      </c>
      <c r="W64" s="2"/>
      <c r="X64" s="7">
        <f t="shared" si="43"/>
        <v>6.2999999999999972</v>
      </c>
      <c r="Y64" s="2"/>
      <c r="Z64" s="6">
        <f t="shared" si="44"/>
        <v>0.17999999999999991</v>
      </c>
    </row>
    <row r="65" spans="1:26" s="27" customFormat="1" outlineLevel="1" collapsed="1" x14ac:dyDescent="0.25">
      <c r="A65" s="26"/>
      <c r="B65" s="13" t="str">
        <f>CONCATENATE("     ","R/H Commissions                                   ")</f>
        <v xml:space="preserve">     R/H Commissions                                   </v>
      </c>
      <c r="C65" s="13"/>
      <c r="D65" s="1">
        <f>SUM(OSRRefD22_10x_0)</f>
        <v>11705.54</v>
      </c>
      <c r="E65" s="1"/>
      <c r="F65" s="5">
        <f t="shared" si="37"/>
        <v>7.9919097338881695E-2</v>
      </c>
      <c r="G65" s="1"/>
      <c r="H65" s="1">
        <f>SUM(OSRRefH22_10x_0)</f>
        <v>11680</v>
      </c>
      <c r="I65" s="1"/>
      <c r="J65" s="5">
        <f t="shared" si="38"/>
        <v>7.9998356198160314E-2</v>
      </c>
      <c r="K65" s="1"/>
      <c r="L65" s="1">
        <f t="shared" si="39"/>
        <v>25.540000000000873</v>
      </c>
      <c r="M65" s="1"/>
      <c r="N65" s="5">
        <f t="shared" si="40"/>
        <v>2.1866438356165133E-3</v>
      </c>
      <c r="O65" s="13"/>
      <c r="P65" s="1">
        <f>SUM(OSRRefP22_10x_0)</f>
        <v>112797.2</v>
      </c>
      <c r="Q65" s="1"/>
      <c r="R65" s="5">
        <f t="shared" si="41"/>
        <v>7.8041698645473126E-2</v>
      </c>
      <c r="S65" s="1"/>
      <c r="T65" s="1">
        <f>SUM(OSRRefT22_10x_0)</f>
        <v>111409</v>
      </c>
      <c r="U65" s="1"/>
      <c r="V65" s="5">
        <f t="shared" si="42"/>
        <v>8.0055675158301975E-2</v>
      </c>
      <c r="W65" s="1"/>
      <c r="X65" s="1">
        <f t="shared" si="43"/>
        <v>1388.1999999999971</v>
      </c>
      <c r="Y65" s="1"/>
      <c r="Z65" s="5">
        <f t="shared" si="44"/>
        <v>1.2460393684531744E-2</v>
      </c>
    </row>
    <row r="66" spans="1:26" s="24" customFormat="1" hidden="1" outlineLevel="2" x14ac:dyDescent="0.25">
      <c r="A66" s="25"/>
      <c r="B66" s="11" t="str">
        <f>CONCATENATE("          ", "6387", " - ", "COMMISSION DUE HOUSING")</f>
        <v xml:space="preserve">          6387 - COMMISSION DUE HOUSING</v>
      </c>
      <c r="C66" s="11"/>
      <c r="D66" s="7">
        <v>11705.54</v>
      </c>
      <c r="E66" s="2"/>
      <c r="F66" s="6">
        <f t="shared" si="37"/>
        <v>7.9919097338881695E-2</v>
      </c>
      <c r="G66" s="2"/>
      <c r="H66" s="7">
        <v>11680</v>
      </c>
      <c r="I66" s="2"/>
      <c r="J66" s="6">
        <f t="shared" si="38"/>
        <v>7.9998356198160314E-2</v>
      </c>
      <c r="K66" s="2"/>
      <c r="L66" s="7">
        <f t="shared" si="39"/>
        <v>25.540000000000873</v>
      </c>
      <c r="M66" s="2"/>
      <c r="N66" s="6">
        <f t="shared" si="40"/>
        <v>2.1866438356165133E-3</v>
      </c>
      <c r="O66" s="11"/>
      <c r="P66" s="7">
        <v>112797.2</v>
      </c>
      <c r="Q66" s="2"/>
      <c r="R66" s="6">
        <f t="shared" si="41"/>
        <v>7.8041698645473126E-2</v>
      </c>
      <c r="S66" s="2"/>
      <c r="T66" s="7">
        <v>111409</v>
      </c>
      <c r="U66" s="2"/>
      <c r="V66" s="6">
        <f t="shared" si="42"/>
        <v>8.0055675158301975E-2</v>
      </c>
      <c r="W66" s="2"/>
      <c r="X66" s="7">
        <f t="shared" si="43"/>
        <v>1388.1999999999971</v>
      </c>
      <c r="Y66" s="2"/>
      <c r="Z66" s="6">
        <f t="shared" si="44"/>
        <v>1.2460393684531744E-2</v>
      </c>
    </row>
    <row r="67" spans="1:26" s="27" customFormat="1" outlineLevel="1" collapsed="1" x14ac:dyDescent="0.25">
      <c r="A67" s="26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SUM(OSRRefD22_11x_0)</f>
        <v>0</v>
      </c>
      <c r="E67" s="1"/>
      <c r="F67" s="5">
        <f t="shared" si="37"/>
        <v>0</v>
      </c>
      <c r="G67" s="1"/>
      <c r="H67" s="1">
        <f>SUM(OSRRefH22_11x_0)</f>
        <v>497</v>
      </c>
      <c r="I67" s="1"/>
      <c r="J67" s="5">
        <f t="shared" si="38"/>
        <v>3.4040396430210338E-3</v>
      </c>
      <c r="K67" s="1"/>
      <c r="L67" s="1">
        <f t="shared" si="39"/>
        <v>-497</v>
      </c>
      <c r="M67" s="1"/>
      <c r="N67" s="5">
        <f t="shared" si="40"/>
        <v>-1</v>
      </c>
      <c r="O67" s="13"/>
      <c r="P67" s="1">
        <f>SUM(OSRRefP22_11x_0)</f>
        <v>139.83000000000001</v>
      </c>
      <c r="Q67" s="1"/>
      <c r="R67" s="5">
        <f t="shared" si="41"/>
        <v>9.6745049713969049E-5</v>
      </c>
      <c r="S67" s="1"/>
      <c r="T67" s="1">
        <f>SUM(OSRRefT22_11x_0)</f>
        <v>3619</v>
      </c>
      <c r="U67" s="1"/>
      <c r="V67" s="5">
        <f t="shared" si="42"/>
        <v>2.6005213977137831E-3</v>
      </c>
      <c r="W67" s="1"/>
      <c r="X67" s="1">
        <f t="shared" si="43"/>
        <v>-3479.17</v>
      </c>
      <c r="Y67" s="1"/>
      <c r="Z67" s="5">
        <f t="shared" si="44"/>
        <v>-0.96136225476651016</v>
      </c>
    </row>
    <row r="68" spans="1:26" s="24" customFormat="1" hidden="1" outlineLevel="2" x14ac:dyDescent="0.25">
      <c r="A68" s="25"/>
      <c r="B68" s="11" t="str">
        <f>CONCATENATE("          ", "6371", " - ", "COMPUTER SOFTWARE MAINTENANCE")</f>
        <v xml:space="preserve">          6371 - COMPUTER SOFTWARE MAINTENANCE</v>
      </c>
      <c r="C68" s="11"/>
      <c r="D68" s="7"/>
      <c r="E68" s="2"/>
      <c r="F68" s="6">
        <f t="shared" si="37"/>
        <v>0</v>
      </c>
      <c r="G68" s="2"/>
      <c r="H68" s="7">
        <v>497</v>
      </c>
      <c r="I68" s="2"/>
      <c r="J68" s="6">
        <f t="shared" si="38"/>
        <v>3.4040396430210338E-3</v>
      </c>
      <c r="K68" s="2"/>
      <c r="L68" s="7">
        <f t="shared" si="39"/>
        <v>-497</v>
      </c>
      <c r="M68" s="2"/>
      <c r="N68" s="6">
        <f t="shared" si="40"/>
        <v>-1</v>
      </c>
      <c r="O68" s="11"/>
      <c r="P68" s="7"/>
      <c r="Q68" s="2"/>
      <c r="R68" s="6">
        <f t="shared" si="41"/>
        <v>0</v>
      </c>
      <c r="S68" s="2"/>
      <c r="T68" s="7">
        <v>3479</v>
      </c>
      <c r="U68" s="2"/>
      <c r="V68" s="6">
        <f t="shared" si="42"/>
        <v>2.4999209567964221E-3</v>
      </c>
      <c r="W68" s="2"/>
      <c r="X68" s="7">
        <f t="shared" si="43"/>
        <v>-3479</v>
      </c>
      <c r="Y68" s="2"/>
      <c r="Z68" s="6">
        <f t="shared" si="44"/>
        <v>-1</v>
      </c>
    </row>
    <row r="69" spans="1:26" s="24" customFormat="1" hidden="1" outlineLevel="2" x14ac:dyDescent="0.25">
      <c r="A69" s="25"/>
      <c r="B69" s="11" t="str">
        <f>CONCATENATE("          ", "6372", " - ", "COMPUTER HARDWARE MAINTENANCE")</f>
        <v xml:space="preserve">          6372 - COMPUTER HARDWARE MAINTENANCE</v>
      </c>
      <c r="C69" s="11"/>
      <c r="D69" s="7"/>
      <c r="E69" s="2"/>
      <c r="F69" s="6">
        <f t="shared" si="37"/>
        <v>0</v>
      </c>
      <c r="G69" s="2"/>
      <c r="H69" s="7"/>
      <c r="I69" s="2"/>
      <c r="J69" s="6">
        <f t="shared" si="38"/>
        <v>0</v>
      </c>
      <c r="K69" s="2"/>
      <c r="L69" s="7">
        <f t="shared" si="39"/>
        <v>0</v>
      </c>
      <c r="M69" s="2"/>
      <c r="N69" s="6">
        <f t="shared" si="40"/>
        <v>0</v>
      </c>
      <c r="O69" s="11"/>
      <c r="P69" s="7"/>
      <c r="Q69" s="2"/>
      <c r="R69" s="6">
        <f t="shared" si="41"/>
        <v>0</v>
      </c>
      <c r="S69" s="2"/>
      <c r="T69" s="7">
        <v>140</v>
      </c>
      <c r="U69" s="2"/>
      <c r="V69" s="6">
        <f t="shared" si="42"/>
        <v>1.0060044091736105E-4</v>
      </c>
      <c r="W69" s="2"/>
      <c r="X69" s="7">
        <f t="shared" si="43"/>
        <v>-140</v>
      </c>
      <c r="Y69" s="2"/>
      <c r="Z69" s="6">
        <f t="shared" si="44"/>
        <v>-1</v>
      </c>
    </row>
    <row r="70" spans="1:26" s="24" customFormat="1" hidden="1" outlineLevel="2" x14ac:dyDescent="0.25">
      <c r="A70" s="25"/>
      <c r="B70" s="11" t="str">
        <f>CONCATENATE("          ", "6373", " - ", "MAINTENANCE CONTRACTS")</f>
        <v xml:space="preserve">          6373 - MAINTENANCE CONTRACTS</v>
      </c>
      <c r="C70" s="11"/>
      <c r="D70" s="7"/>
      <c r="E70" s="2"/>
      <c r="F70" s="6">
        <f t="shared" si="37"/>
        <v>0</v>
      </c>
      <c r="G70" s="2"/>
      <c r="H70" s="7"/>
      <c r="I70" s="2"/>
      <c r="J70" s="6">
        <f t="shared" si="38"/>
        <v>0</v>
      </c>
      <c r="K70" s="2"/>
      <c r="L70" s="7">
        <f t="shared" si="39"/>
        <v>0</v>
      </c>
      <c r="M70" s="2"/>
      <c r="N70" s="6">
        <f t="shared" si="40"/>
        <v>0</v>
      </c>
      <c r="O70" s="11"/>
      <c r="P70" s="7">
        <v>139.83000000000001</v>
      </c>
      <c r="Q70" s="2"/>
      <c r="R70" s="6">
        <f t="shared" si="41"/>
        <v>9.6745049713969049E-5</v>
      </c>
      <c r="S70" s="2"/>
      <c r="T70" s="7"/>
      <c r="U70" s="2"/>
      <c r="V70" s="6">
        <f t="shared" si="42"/>
        <v>0</v>
      </c>
      <c r="W70" s="2"/>
      <c r="X70" s="7">
        <f t="shared" si="43"/>
        <v>139.83000000000001</v>
      </c>
      <c r="Y70" s="2"/>
      <c r="Z70" s="6">
        <f t="shared" si="44"/>
        <v>0</v>
      </c>
    </row>
    <row r="71" spans="1:26" s="27" customFormat="1" outlineLevel="1" collapsed="1" x14ac:dyDescent="0.25">
      <c r="A71" s="26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SUM(OSRRefD22_12x_0)</f>
        <v>4886.63</v>
      </c>
      <c r="E71" s="1"/>
      <c r="F71" s="5">
        <f t="shared" ref="F71:F74" si="45">IF(D$12=0,0,D71/D$12)</f>
        <v>3.33632671905012E-2</v>
      </c>
      <c r="G71" s="1"/>
      <c r="H71" s="1">
        <f>SUM(OSRRefH22_12x_0)</f>
        <v>6202</v>
      </c>
      <c r="I71" s="1"/>
      <c r="J71" s="5">
        <f t="shared" ref="J71:J74" si="46">IF(H$12=0,0,H71/H$12)</f>
        <v>4.2478579207276559E-2</v>
      </c>
      <c r="K71" s="1"/>
      <c r="L71" s="1">
        <f t="shared" ref="L71:L74" si="47">+D71-H71</f>
        <v>-1315.37</v>
      </c>
      <c r="M71" s="1"/>
      <c r="N71" s="5">
        <f t="shared" ref="N71:N74" si="48">IF(H71=0,0,L71/H71)</f>
        <v>-0.21208803611738147</v>
      </c>
      <c r="O71" s="13"/>
      <c r="P71" s="1">
        <f>SUM(OSRRefP22_12x_0)</f>
        <v>42567.61</v>
      </c>
      <c r="Q71" s="1"/>
      <c r="R71" s="5">
        <f t="shared" ref="R71:R74" si="49">IF(P$12=0,0,P71/P$12)</f>
        <v>2.9451516453227817E-2</v>
      </c>
      <c r="S71" s="1"/>
      <c r="T71" s="1">
        <f>SUM(OSRRefT22_12x_0)</f>
        <v>37962</v>
      </c>
      <c r="U71" s="1"/>
      <c r="V71" s="5">
        <f t="shared" ref="V71:V74" si="50">IF(T$12=0,0,T71/T$12)</f>
        <v>2.7278528129320429E-2</v>
      </c>
      <c r="W71" s="1"/>
      <c r="X71" s="1">
        <f t="shared" ref="X71:X74" si="51">+P71-T71</f>
        <v>4605.6100000000006</v>
      </c>
      <c r="Y71" s="1"/>
      <c r="Z71" s="5">
        <f t="shared" ref="Z71:Z74" si="52">IF(T71=0,0,X71/T71)</f>
        <v>0.12132158474263739</v>
      </c>
    </row>
    <row r="72" spans="1:26" s="24" customFormat="1" hidden="1" outlineLevel="2" x14ac:dyDescent="0.25">
      <c r="A72" s="25"/>
      <c r="B72" s="11" t="str">
        <f>CONCATENATE("          ", "6282", " - ", "JANITORIAL/EXTERMINATOR EXPENS")</f>
        <v xml:space="preserve">          6282 - JANITORIAL/EXTERMINATOR EXPENS</v>
      </c>
      <c r="C72" s="11"/>
      <c r="D72" s="7"/>
      <c r="E72" s="2"/>
      <c r="F72" s="6">
        <f t="shared" si="45"/>
        <v>0</v>
      </c>
      <c r="G72" s="2"/>
      <c r="H72" s="7">
        <v>750</v>
      </c>
      <c r="I72" s="2"/>
      <c r="J72" s="6">
        <f t="shared" si="46"/>
        <v>5.1368807490257051E-3</v>
      </c>
      <c r="K72" s="2"/>
      <c r="L72" s="7">
        <f t="shared" si="47"/>
        <v>-750</v>
      </c>
      <c r="M72" s="2"/>
      <c r="N72" s="6">
        <f t="shared" si="48"/>
        <v>-1</v>
      </c>
      <c r="O72" s="11"/>
      <c r="P72" s="7">
        <v>4837.4799999999996</v>
      </c>
      <c r="Q72" s="2"/>
      <c r="R72" s="6">
        <f t="shared" si="49"/>
        <v>3.3469373030846805E-3</v>
      </c>
      <c r="S72" s="2"/>
      <c r="T72" s="7">
        <v>5250</v>
      </c>
      <c r="U72" s="2"/>
      <c r="V72" s="6">
        <f t="shared" si="50"/>
        <v>3.7725165344010395E-3</v>
      </c>
      <c r="W72" s="2"/>
      <c r="X72" s="7">
        <f t="shared" si="51"/>
        <v>-412.52000000000044</v>
      </c>
      <c r="Y72" s="2"/>
      <c r="Z72" s="6">
        <f t="shared" si="52"/>
        <v>-7.8575238095238184E-2</v>
      </c>
    </row>
    <row r="73" spans="1:26" s="24" customFormat="1" hidden="1" outlineLevel="2" x14ac:dyDescent="0.25">
      <c r="A73" s="25"/>
      <c r="B73" s="11" t="str">
        <f>CONCATENATE("          ", "6285", " - ", "JANITORIAL SERVICES")</f>
        <v xml:space="preserve">          6285 - JANITORIAL SERVICES</v>
      </c>
      <c r="C73" s="11"/>
      <c r="D73" s="7">
        <v>3897.05</v>
      </c>
      <c r="E73" s="2"/>
      <c r="F73" s="6">
        <f t="shared" si="45"/>
        <v>2.6606950066762312E-2</v>
      </c>
      <c r="G73" s="2"/>
      <c r="H73" s="7">
        <v>3852</v>
      </c>
      <c r="I73" s="2"/>
      <c r="J73" s="6">
        <f t="shared" si="46"/>
        <v>2.638301952699602E-2</v>
      </c>
      <c r="K73" s="2"/>
      <c r="L73" s="7">
        <f t="shared" si="47"/>
        <v>45.050000000000182</v>
      </c>
      <c r="M73" s="2"/>
      <c r="N73" s="6">
        <f t="shared" si="48"/>
        <v>1.1695223260643869E-2</v>
      </c>
      <c r="O73" s="11"/>
      <c r="P73" s="7">
        <v>27278.17</v>
      </c>
      <c r="Q73" s="2"/>
      <c r="R73" s="6">
        <f t="shared" si="49"/>
        <v>1.8873116732862037E-2</v>
      </c>
      <c r="S73" s="2"/>
      <c r="T73" s="7">
        <v>23112</v>
      </c>
      <c r="U73" s="2"/>
      <c r="V73" s="6">
        <f t="shared" si="50"/>
        <v>1.6607695646300345E-2</v>
      </c>
      <c r="W73" s="2"/>
      <c r="X73" s="7">
        <f t="shared" si="51"/>
        <v>4166.1699999999983</v>
      </c>
      <c r="Y73" s="2"/>
      <c r="Z73" s="6">
        <f t="shared" si="52"/>
        <v>0.18026003807545857</v>
      </c>
    </row>
    <row r="74" spans="1:26" s="24" customFormat="1" hidden="1" outlineLevel="2" x14ac:dyDescent="0.25">
      <c r="A74" s="25"/>
      <c r="B74" s="11" t="str">
        <f>CONCATENATE("          ", "6286", " - ", "LAUNDRY EXPENSE")</f>
        <v xml:space="preserve">          6286 - LAUNDRY EXPENSE</v>
      </c>
      <c r="C74" s="11"/>
      <c r="D74" s="7">
        <v>989.58</v>
      </c>
      <c r="E74" s="2"/>
      <c r="F74" s="6">
        <f t="shared" si="45"/>
        <v>6.7563171237388919E-3</v>
      </c>
      <c r="G74" s="2"/>
      <c r="H74" s="7">
        <v>1600</v>
      </c>
      <c r="I74" s="2"/>
      <c r="J74" s="6">
        <f t="shared" si="46"/>
        <v>1.0958678931254837E-2</v>
      </c>
      <c r="K74" s="2"/>
      <c r="L74" s="7">
        <f t="shared" si="47"/>
        <v>-610.41999999999996</v>
      </c>
      <c r="M74" s="2"/>
      <c r="N74" s="6">
        <f t="shared" si="48"/>
        <v>-0.38151249999999998</v>
      </c>
      <c r="O74" s="11"/>
      <c r="P74" s="7">
        <v>10451.959999999999</v>
      </c>
      <c r="Q74" s="2"/>
      <c r="R74" s="6">
        <f t="shared" si="49"/>
        <v>7.2314624172810961E-3</v>
      </c>
      <c r="S74" s="2"/>
      <c r="T74" s="7">
        <v>9600</v>
      </c>
      <c r="U74" s="2"/>
      <c r="V74" s="6">
        <f t="shared" si="50"/>
        <v>6.898315948619043E-3</v>
      </c>
      <c r="W74" s="2"/>
      <c r="X74" s="7">
        <f t="shared" si="51"/>
        <v>851.95999999999913</v>
      </c>
      <c r="Y74" s="2"/>
      <c r="Z74" s="6">
        <f t="shared" si="52"/>
        <v>8.8745833333333246E-2</v>
      </c>
    </row>
    <row r="75" spans="1:26" s="27" customFormat="1" outlineLevel="1" collapsed="1" x14ac:dyDescent="0.25">
      <c r="A75" s="26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SUM(OSRRefD22_13x_0)</f>
        <v>1804.6599999999999</v>
      </c>
      <c r="E75" s="1"/>
      <c r="F75" s="5">
        <f t="shared" ref="F75:F81" si="53">IF(D$12=0,0,D75/D$12)</f>
        <v>1.2321242608507274E-2</v>
      </c>
      <c r="G75" s="1"/>
      <c r="H75" s="1">
        <f>SUM(OSRRefH22_13x_0)</f>
        <v>7588</v>
      </c>
      <c r="I75" s="1"/>
      <c r="J75" s="5">
        <f t="shared" ref="J75:J81" si="54">IF(H$12=0,0,H75/H$12)</f>
        <v>5.1971534831476068E-2</v>
      </c>
      <c r="K75" s="1"/>
      <c r="L75" s="1">
        <f t="shared" ref="L75:L81" si="55">+D75-H75</f>
        <v>-5783.34</v>
      </c>
      <c r="M75" s="1"/>
      <c r="N75" s="5">
        <f t="shared" ref="N75:N81" si="56">IF(H75=0,0,L75/H75)</f>
        <v>-0.76216921454928832</v>
      </c>
      <c r="O75" s="13"/>
      <c r="P75" s="1">
        <f>SUM(OSRRefP22_13x_0)</f>
        <v>34817.560000000012</v>
      </c>
      <c r="Q75" s="1"/>
      <c r="R75" s="5">
        <f t="shared" ref="R75:R81" si="57">IF(P$12=0,0,P75/P$12)</f>
        <v>2.4089441272395772E-2</v>
      </c>
      <c r="S75" s="1"/>
      <c r="T75" s="1">
        <f>SUM(OSRRefT22_13x_0)</f>
        <v>36528</v>
      </c>
      <c r="U75" s="1"/>
      <c r="V75" s="5">
        <f t="shared" ref="V75:V81" si="58">IF(T$12=0,0,T75/T$12)</f>
        <v>2.6248092184495461E-2</v>
      </c>
      <c r="W75" s="1"/>
      <c r="X75" s="1">
        <f t="shared" ref="X75:X81" si="59">+P75-T75</f>
        <v>-1710.4399999999878</v>
      </c>
      <c r="Y75" s="1"/>
      <c r="Z75" s="5">
        <f t="shared" ref="Z75:Z81" si="60">IF(T75=0,0,X75/T75)</f>
        <v>-4.6825448970652314E-2</v>
      </c>
    </row>
    <row r="76" spans="1:26" s="24" customFormat="1" hidden="1" outlineLevel="2" x14ac:dyDescent="0.25">
      <c r="A76" s="25"/>
      <c r="B76" s="11" t="str">
        <f>CONCATENATE("          ", "6237", " - ", "JANITORIAL SUPPLIES")</f>
        <v xml:space="preserve">          6237 - JANITORIAL SUPPLIES</v>
      </c>
      <c r="C76" s="11"/>
      <c r="D76" s="7">
        <v>631.14</v>
      </c>
      <c r="E76" s="2"/>
      <c r="F76" s="6">
        <f t="shared" si="53"/>
        <v>4.3090826304862306E-3</v>
      </c>
      <c r="G76" s="2"/>
      <c r="H76" s="7">
        <v>2005</v>
      </c>
      <c r="I76" s="2"/>
      <c r="J76" s="6">
        <f t="shared" si="54"/>
        <v>1.3732594535728717E-2</v>
      </c>
      <c r="K76" s="2"/>
      <c r="L76" s="7">
        <f t="shared" si="55"/>
        <v>-1373.8600000000001</v>
      </c>
      <c r="M76" s="2"/>
      <c r="N76" s="6">
        <f t="shared" si="56"/>
        <v>-0.68521695760598511</v>
      </c>
      <c r="O76" s="11"/>
      <c r="P76" s="7">
        <v>9392.64</v>
      </c>
      <c r="Q76" s="2"/>
      <c r="R76" s="6">
        <f t="shared" si="57"/>
        <v>6.4985441160367169E-3</v>
      </c>
      <c r="S76" s="2"/>
      <c r="T76" s="7">
        <v>12030</v>
      </c>
      <c r="U76" s="2"/>
      <c r="V76" s="6">
        <f t="shared" si="58"/>
        <v>8.6444521731132394E-3</v>
      </c>
      <c r="W76" s="2"/>
      <c r="X76" s="7">
        <f t="shared" si="59"/>
        <v>-2637.3600000000006</v>
      </c>
      <c r="Y76" s="2"/>
      <c r="Z76" s="6">
        <f t="shared" si="60"/>
        <v>-0.2192319201995013</v>
      </c>
    </row>
    <row r="77" spans="1:26" s="24" customFormat="1" hidden="1" outlineLevel="2" x14ac:dyDescent="0.25">
      <c r="A77" s="25"/>
      <c r="B77" s="11" t="str">
        <f>CONCATENATE("          ", "6239", " - ", "KITCHEN SUPPLIES")</f>
        <v xml:space="preserve">          6239 - KITCHEN SUPPLIES</v>
      </c>
      <c r="C77" s="11"/>
      <c r="D77" s="7">
        <v>1515.92</v>
      </c>
      <c r="E77" s="2"/>
      <c r="F77" s="6">
        <f t="shared" si="53"/>
        <v>1.0349882024917906E-2</v>
      </c>
      <c r="G77" s="2"/>
      <c r="H77" s="7">
        <v>750</v>
      </c>
      <c r="I77" s="2"/>
      <c r="J77" s="6">
        <f t="shared" si="54"/>
        <v>5.1368807490257051E-3</v>
      </c>
      <c r="K77" s="2"/>
      <c r="L77" s="7">
        <f t="shared" si="55"/>
        <v>765.92000000000007</v>
      </c>
      <c r="M77" s="2"/>
      <c r="N77" s="6">
        <f t="shared" si="56"/>
        <v>1.0212266666666667</v>
      </c>
      <c r="O77" s="11"/>
      <c r="P77" s="7">
        <v>4034.69</v>
      </c>
      <c r="Q77" s="2"/>
      <c r="R77" s="6">
        <f t="shared" si="57"/>
        <v>2.7915060046517465E-3</v>
      </c>
      <c r="S77" s="2"/>
      <c r="T77" s="7">
        <v>4500</v>
      </c>
      <c r="U77" s="2"/>
      <c r="V77" s="6">
        <f t="shared" si="58"/>
        <v>3.2335856009151768E-3</v>
      </c>
      <c r="W77" s="2"/>
      <c r="X77" s="7">
        <f t="shared" si="59"/>
        <v>-465.30999999999995</v>
      </c>
      <c r="Y77" s="2"/>
      <c r="Z77" s="6">
        <f t="shared" si="60"/>
        <v>-0.10340222222222221</v>
      </c>
    </row>
    <row r="78" spans="1:26" s="24" customFormat="1" hidden="1" outlineLevel="2" x14ac:dyDescent="0.25">
      <c r="A78" s="25"/>
      <c r="B78" s="11" t="str">
        <f>CONCATENATE("          ", "6241", " - ", "OFFICE EXPENSE")</f>
        <v xml:space="preserve">          6241 - OFFICE EXPENSE</v>
      </c>
      <c r="C78" s="11"/>
      <c r="D78" s="7">
        <v>-1977.37</v>
      </c>
      <c r="E78" s="2"/>
      <c r="F78" s="6">
        <f t="shared" si="53"/>
        <v>-1.3500413095421868E-2</v>
      </c>
      <c r="G78" s="2"/>
      <c r="H78" s="7">
        <v>524</v>
      </c>
      <c r="I78" s="2"/>
      <c r="J78" s="6">
        <f t="shared" si="54"/>
        <v>3.5889673499859592E-3</v>
      </c>
      <c r="K78" s="2"/>
      <c r="L78" s="7">
        <f t="shared" si="55"/>
        <v>-2501.37</v>
      </c>
      <c r="M78" s="2"/>
      <c r="N78" s="6">
        <f t="shared" si="56"/>
        <v>-4.7736068702290071</v>
      </c>
      <c r="O78" s="11"/>
      <c r="P78" s="7">
        <v>18124.47</v>
      </c>
      <c r="Q78" s="2"/>
      <c r="R78" s="6">
        <f t="shared" si="57"/>
        <v>1.253988951719474E-2</v>
      </c>
      <c r="S78" s="2"/>
      <c r="T78" s="7">
        <v>3144</v>
      </c>
      <c r="U78" s="2"/>
      <c r="V78" s="6">
        <f t="shared" si="58"/>
        <v>2.2591984731727367E-3</v>
      </c>
      <c r="W78" s="2"/>
      <c r="X78" s="7">
        <f t="shared" si="59"/>
        <v>14980.470000000001</v>
      </c>
      <c r="Y78" s="2"/>
      <c r="Z78" s="6">
        <f t="shared" si="60"/>
        <v>4.7647805343511456</v>
      </c>
    </row>
    <row r="79" spans="1:26" s="24" customFormat="1" hidden="1" outlineLevel="2" x14ac:dyDescent="0.25">
      <c r="A79" s="25"/>
      <c r="B79" s="11" t="str">
        <f>CONCATENATE("          ", "6243", " - ", "PAPER SUPPLIES")</f>
        <v xml:space="preserve">          6243 - PAPER SUPPLIES</v>
      </c>
      <c r="C79" s="11"/>
      <c r="D79" s="7">
        <v>905.3</v>
      </c>
      <c r="E79" s="2"/>
      <c r="F79" s="6">
        <f t="shared" si="53"/>
        <v>6.1808988582235077E-3</v>
      </c>
      <c r="G79" s="2"/>
      <c r="H79" s="7">
        <v>1809</v>
      </c>
      <c r="I79" s="2"/>
      <c r="J79" s="6">
        <f t="shared" si="54"/>
        <v>1.239015636665E-2</v>
      </c>
      <c r="K79" s="2"/>
      <c r="L79" s="7">
        <f t="shared" si="55"/>
        <v>-903.7</v>
      </c>
      <c r="M79" s="2"/>
      <c r="N79" s="6">
        <f t="shared" si="56"/>
        <v>-0.49955776672194585</v>
      </c>
      <c r="O79" s="11"/>
      <c r="P79" s="7">
        <v>10126.27</v>
      </c>
      <c r="Q79" s="2"/>
      <c r="R79" s="6">
        <f t="shared" si="57"/>
        <v>7.0061252561472737E-3</v>
      </c>
      <c r="S79" s="2"/>
      <c r="T79" s="7">
        <v>10854</v>
      </c>
      <c r="U79" s="2"/>
      <c r="V79" s="6">
        <f t="shared" si="58"/>
        <v>7.799408469407406E-3</v>
      </c>
      <c r="W79" s="2"/>
      <c r="X79" s="7">
        <f t="shared" si="59"/>
        <v>-727.72999999999956</v>
      </c>
      <c r="Y79" s="2"/>
      <c r="Z79" s="6">
        <f t="shared" si="60"/>
        <v>-6.7047171549659071E-2</v>
      </c>
    </row>
    <row r="80" spans="1:26" s="24" customFormat="1" hidden="1" outlineLevel="2" x14ac:dyDescent="0.25">
      <c r="A80" s="25"/>
      <c r="B80" s="11" t="str">
        <f>CONCATENATE("          ", "6245", " - ", "PRINTING")</f>
        <v xml:space="preserve">          6245 - PRINTING</v>
      </c>
      <c r="C80" s="11"/>
      <c r="D80" s="7"/>
      <c r="E80" s="2"/>
      <c r="F80" s="6">
        <f t="shared" si="53"/>
        <v>0</v>
      </c>
      <c r="G80" s="2"/>
      <c r="H80" s="7"/>
      <c r="I80" s="2"/>
      <c r="J80" s="6">
        <f t="shared" si="54"/>
        <v>0</v>
      </c>
      <c r="K80" s="2"/>
      <c r="L80" s="7">
        <f t="shared" si="55"/>
        <v>0</v>
      </c>
      <c r="M80" s="2"/>
      <c r="N80" s="6">
        <f t="shared" si="56"/>
        <v>0</v>
      </c>
      <c r="O80" s="11"/>
      <c r="P80" s="7">
        <v>469.44</v>
      </c>
      <c r="Q80" s="2"/>
      <c r="R80" s="6">
        <f t="shared" si="57"/>
        <v>3.2479436557051868E-4</v>
      </c>
      <c r="S80" s="2"/>
      <c r="T80" s="7"/>
      <c r="U80" s="2"/>
      <c r="V80" s="6">
        <f t="shared" si="58"/>
        <v>0</v>
      </c>
      <c r="W80" s="2"/>
      <c r="X80" s="7">
        <f t="shared" si="59"/>
        <v>469.44</v>
      </c>
      <c r="Y80" s="2"/>
      <c r="Z80" s="6">
        <f t="shared" si="60"/>
        <v>0</v>
      </c>
    </row>
    <row r="81" spans="1:26" s="24" customFormat="1" hidden="1" outlineLevel="2" x14ac:dyDescent="0.25">
      <c r="A81" s="25"/>
      <c r="B81" s="11" t="str">
        <f>CONCATENATE("          ", "6248", " - ", "UNIFORMS")</f>
        <v xml:space="preserve">          6248 - UNIFORMS</v>
      </c>
      <c r="C81" s="11"/>
      <c r="D81" s="7">
        <v>729.67</v>
      </c>
      <c r="E81" s="2"/>
      <c r="F81" s="6">
        <f t="shared" si="53"/>
        <v>4.9817921903014982E-3</v>
      </c>
      <c r="G81" s="2"/>
      <c r="H81" s="7">
        <v>2500</v>
      </c>
      <c r="I81" s="2"/>
      <c r="J81" s="6">
        <f t="shared" si="54"/>
        <v>1.7122935830085683E-2</v>
      </c>
      <c r="K81" s="2"/>
      <c r="L81" s="7">
        <f t="shared" si="55"/>
        <v>-1770.33</v>
      </c>
      <c r="M81" s="2"/>
      <c r="N81" s="6">
        <f t="shared" si="56"/>
        <v>-0.70813199999999998</v>
      </c>
      <c r="O81" s="11"/>
      <c r="P81" s="7">
        <v>-7329.95</v>
      </c>
      <c r="Q81" s="2"/>
      <c r="R81" s="6">
        <f t="shared" si="57"/>
        <v>-5.0714179872052298E-3</v>
      </c>
      <c r="S81" s="2"/>
      <c r="T81" s="7">
        <v>6000</v>
      </c>
      <c r="U81" s="2"/>
      <c r="V81" s="6">
        <f t="shared" si="58"/>
        <v>4.3114474678869023E-3</v>
      </c>
      <c r="W81" s="2"/>
      <c r="X81" s="7">
        <f t="shared" si="59"/>
        <v>-13329.95</v>
      </c>
      <c r="Y81" s="2"/>
      <c r="Z81" s="6">
        <f t="shared" si="60"/>
        <v>-2.2216583333333335</v>
      </c>
    </row>
    <row r="82" spans="1:26" s="27" customFormat="1" outlineLevel="1" collapsed="1" x14ac:dyDescent="0.25">
      <c r="A82" s="26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SUM(OSRRefD22_14x_0)</f>
        <v>161.25</v>
      </c>
      <c r="E82" s="1"/>
      <c r="F82" s="5">
        <f t="shared" ref="F82:F88" si="61">IF(D$12=0,0,D82/D$12)</f>
        <v>1.10092780391974E-3</v>
      </c>
      <c r="G82" s="1"/>
      <c r="H82" s="1">
        <f>SUM(OSRRefH22_14x_0)</f>
        <v>233</v>
      </c>
      <c r="I82" s="1"/>
      <c r="J82" s="5">
        <f t="shared" ref="J82:J88" si="62">IF(H$12=0,0,H82/H$12)</f>
        <v>1.5958576193639857E-3</v>
      </c>
      <c r="K82" s="1"/>
      <c r="L82" s="1">
        <f t="shared" ref="L82:L88" si="63">+D82-H82</f>
        <v>-71.75</v>
      </c>
      <c r="M82" s="1"/>
      <c r="N82" s="5">
        <f t="shared" ref="N82:N88" si="64">IF(H82=0,0,L82/H82)</f>
        <v>-0.30793991416309013</v>
      </c>
      <c r="O82" s="13"/>
      <c r="P82" s="1">
        <f>SUM(OSRRefP22_14x_0)</f>
        <v>949</v>
      </c>
      <c r="Q82" s="1"/>
      <c r="R82" s="5">
        <f t="shared" ref="R82:R88" si="65">IF(P$12=0,0,P82/P$12)</f>
        <v>6.5659051833338064E-4</v>
      </c>
      <c r="S82" s="1"/>
      <c r="T82" s="1">
        <f>SUM(OSRRefT22_14x_0)</f>
        <v>1631</v>
      </c>
      <c r="U82" s="1"/>
      <c r="V82" s="5">
        <f t="shared" ref="V82:V88" si="66">IF(T$12=0,0,T82/T$12)</f>
        <v>1.1719951366872562E-3</v>
      </c>
      <c r="W82" s="1"/>
      <c r="X82" s="1">
        <f t="shared" ref="X82:X88" si="67">+P82-T82</f>
        <v>-682</v>
      </c>
      <c r="Y82" s="1"/>
      <c r="Z82" s="5">
        <f t="shared" ref="Z82:Z88" si="68">IF(T82=0,0,X82/T82)</f>
        <v>-0.41814837522992032</v>
      </c>
    </row>
    <row r="83" spans="1:26" s="24" customFormat="1" hidden="1" outlineLevel="2" x14ac:dyDescent="0.25">
      <c r="A83" s="25"/>
      <c r="B83" s="11" t="str">
        <f>CONCATENATE("          ", "6309", " - ", "TELEPHONE")</f>
        <v xml:space="preserve">          6309 - TELEPHONE</v>
      </c>
      <c r="C83" s="11"/>
      <c r="D83" s="7">
        <v>161.25</v>
      </c>
      <c r="E83" s="2"/>
      <c r="F83" s="6">
        <f t="shared" si="61"/>
        <v>1.10092780391974E-3</v>
      </c>
      <c r="G83" s="2"/>
      <c r="H83" s="7">
        <v>233</v>
      </c>
      <c r="I83" s="2"/>
      <c r="J83" s="6">
        <f t="shared" si="62"/>
        <v>1.5958576193639857E-3</v>
      </c>
      <c r="K83" s="2"/>
      <c r="L83" s="7">
        <f t="shared" si="63"/>
        <v>-71.75</v>
      </c>
      <c r="M83" s="2"/>
      <c r="N83" s="6">
        <f t="shared" si="64"/>
        <v>-0.30793991416309013</v>
      </c>
      <c r="O83" s="11"/>
      <c r="P83" s="7">
        <v>949</v>
      </c>
      <c r="Q83" s="2"/>
      <c r="R83" s="6">
        <f t="shared" si="65"/>
        <v>6.5659051833338064E-4</v>
      </c>
      <c r="S83" s="2"/>
      <c r="T83" s="7">
        <v>1631</v>
      </c>
      <c r="U83" s="2"/>
      <c r="V83" s="6">
        <f t="shared" si="66"/>
        <v>1.1719951366872562E-3</v>
      </c>
      <c r="W83" s="2"/>
      <c r="X83" s="7">
        <f t="shared" si="67"/>
        <v>-682</v>
      </c>
      <c r="Y83" s="2"/>
      <c r="Z83" s="6">
        <f t="shared" si="68"/>
        <v>-0.41814837522992032</v>
      </c>
    </row>
    <row r="84" spans="1:26" s="27" customFormat="1" outlineLevel="1" collapsed="1" x14ac:dyDescent="0.25">
      <c r="A84" s="26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SUM(OSRRefD22_15x_0)</f>
        <v>0</v>
      </c>
      <c r="E84" s="1"/>
      <c r="F84" s="5">
        <f t="shared" si="61"/>
        <v>0</v>
      </c>
      <c r="G84" s="1"/>
      <c r="H84" s="1">
        <f>SUM(OSRRefH22_15x_0)</f>
        <v>1379</v>
      </c>
      <c r="I84" s="1"/>
      <c r="J84" s="5">
        <f t="shared" si="62"/>
        <v>9.4450114038752628E-3</v>
      </c>
      <c r="K84" s="1"/>
      <c r="L84" s="1">
        <f t="shared" si="63"/>
        <v>-1379</v>
      </c>
      <c r="M84" s="1"/>
      <c r="N84" s="5">
        <f t="shared" si="64"/>
        <v>-1</v>
      </c>
      <c r="O84" s="13"/>
      <c r="P84" s="1">
        <f>SUM(OSRRefP22_15x_0)</f>
        <v>1555.78</v>
      </c>
      <c r="Q84" s="1"/>
      <c r="R84" s="5">
        <f t="shared" si="65"/>
        <v>1.0764071618679736E-3</v>
      </c>
      <c r="S84" s="1"/>
      <c r="T84" s="1">
        <f>SUM(OSRRefT22_15x_0)</f>
        <v>4137</v>
      </c>
      <c r="U84" s="1"/>
      <c r="V84" s="5">
        <f t="shared" si="66"/>
        <v>2.9727430291080189E-3</v>
      </c>
      <c r="W84" s="1"/>
      <c r="X84" s="1">
        <f t="shared" si="67"/>
        <v>-2581.2200000000003</v>
      </c>
      <c r="Y84" s="1"/>
      <c r="Z84" s="5">
        <f t="shared" si="68"/>
        <v>-0.62393521875755387</v>
      </c>
    </row>
    <row r="85" spans="1:26" s="24" customFormat="1" hidden="1" outlineLevel="2" x14ac:dyDescent="0.25">
      <c r="A85" s="25"/>
      <c r="B85" s="11" t="str">
        <f>CONCATENATE("          ", "6376", " - ", "TRAINING")</f>
        <v xml:space="preserve">          6376 - TRAINING</v>
      </c>
      <c r="C85" s="11"/>
      <c r="D85" s="7"/>
      <c r="E85" s="2"/>
      <c r="F85" s="6">
        <f t="shared" si="61"/>
        <v>0</v>
      </c>
      <c r="G85" s="2"/>
      <c r="H85" s="7">
        <v>1379</v>
      </c>
      <c r="I85" s="2"/>
      <c r="J85" s="6">
        <f t="shared" si="62"/>
        <v>9.4450114038752628E-3</v>
      </c>
      <c r="K85" s="2"/>
      <c r="L85" s="7">
        <f t="shared" si="63"/>
        <v>-1379</v>
      </c>
      <c r="M85" s="2"/>
      <c r="N85" s="6">
        <f t="shared" si="64"/>
        <v>-1</v>
      </c>
      <c r="O85" s="11"/>
      <c r="P85" s="7">
        <v>1555.78</v>
      </c>
      <c r="Q85" s="2"/>
      <c r="R85" s="6">
        <f t="shared" si="65"/>
        <v>1.0764071618679736E-3</v>
      </c>
      <c r="S85" s="2"/>
      <c r="T85" s="7">
        <v>4137</v>
      </c>
      <c r="U85" s="2"/>
      <c r="V85" s="6">
        <f t="shared" si="66"/>
        <v>2.9727430291080189E-3</v>
      </c>
      <c r="W85" s="2"/>
      <c r="X85" s="7">
        <f t="shared" si="67"/>
        <v>-2581.2200000000003</v>
      </c>
      <c r="Y85" s="2"/>
      <c r="Z85" s="6">
        <f t="shared" si="68"/>
        <v>-0.62393521875755387</v>
      </c>
    </row>
    <row r="86" spans="1:26" s="27" customFormat="1" outlineLevel="1" collapsed="1" x14ac:dyDescent="0.25">
      <c r="A86" s="26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SUM(OSRRefD22_16x_0)</f>
        <v>0</v>
      </c>
      <c r="E86" s="1"/>
      <c r="F86" s="5">
        <f t="shared" si="61"/>
        <v>0</v>
      </c>
      <c r="G86" s="1"/>
      <c r="H86" s="1">
        <f>SUM(OSRRefH22_16x_0)</f>
        <v>50</v>
      </c>
      <c r="I86" s="1"/>
      <c r="J86" s="5">
        <f t="shared" si="62"/>
        <v>3.4245871660171364E-4</v>
      </c>
      <c r="K86" s="1"/>
      <c r="L86" s="1">
        <f t="shared" si="63"/>
        <v>-50</v>
      </c>
      <c r="M86" s="1"/>
      <c r="N86" s="5">
        <f t="shared" si="64"/>
        <v>-1</v>
      </c>
      <c r="O86" s="13"/>
      <c r="P86" s="1">
        <f>SUM(OSRRefP22_16x_0)</f>
        <v>79.510000000000005</v>
      </c>
      <c r="Q86" s="1"/>
      <c r="R86" s="5">
        <f t="shared" si="65"/>
        <v>5.501107704181991E-5</v>
      </c>
      <c r="S86" s="1"/>
      <c r="T86" s="1">
        <f>SUM(OSRRefT22_16x_0)</f>
        <v>350</v>
      </c>
      <c r="U86" s="1"/>
      <c r="V86" s="5">
        <f t="shared" si="66"/>
        <v>2.5150110229340265E-4</v>
      </c>
      <c r="W86" s="1"/>
      <c r="X86" s="1">
        <f t="shared" si="67"/>
        <v>-270.49</v>
      </c>
      <c r="Y86" s="1"/>
      <c r="Z86" s="5">
        <f t="shared" si="68"/>
        <v>-0.77282857142857142</v>
      </c>
    </row>
    <row r="87" spans="1:26" s="24" customFormat="1" hidden="1" outlineLevel="2" x14ac:dyDescent="0.25">
      <c r="A87" s="25"/>
      <c r="B87" s="11" t="str">
        <f>CONCATENATE("          ", "6292", " - ", "TRAVEL/CONFERENCE")</f>
        <v xml:space="preserve">          6292 - TRAVEL/CONFERENCE</v>
      </c>
      <c r="C87" s="11"/>
      <c r="D87" s="7"/>
      <c r="E87" s="2"/>
      <c r="F87" s="6">
        <f t="shared" si="61"/>
        <v>0</v>
      </c>
      <c r="G87" s="2"/>
      <c r="H87" s="7"/>
      <c r="I87" s="2"/>
      <c r="J87" s="6">
        <f t="shared" si="62"/>
        <v>0</v>
      </c>
      <c r="K87" s="2"/>
      <c r="L87" s="7">
        <f t="shared" si="63"/>
        <v>0</v>
      </c>
      <c r="M87" s="2"/>
      <c r="N87" s="6">
        <f t="shared" si="64"/>
        <v>0</v>
      </c>
      <c r="O87" s="11"/>
      <c r="P87" s="7">
        <v>79.510000000000005</v>
      </c>
      <c r="Q87" s="2"/>
      <c r="R87" s="6">
        <f t="shared" si="65"/>
        <v>5.501107704181991E-5</v>
      </c>
      <c r="S87" s="2"/>
      <c r="T87" s="7"/>
      <c r="U87" s="2"/>
      <c r="V87" s="6">
        <f t="shared" si="66"/>
        <v>0</v>
      </c>
      <c r="W87" s="2"/>
      <c r="X87" s="7">
        <f t="shared" si="67"/>
        <v>79.510000000000005</v>
      </c>
      <c r="Y87" s="2"/>
      <c r="Z87" s="6">
        <f t="shared" si="68"/>
        <v>0</v>
      </c>
    </row>
    <row r="88" spans="1:26" s="24" customFormat="1" hidden="1" outlineLevel="2" x14ac:dyDescent="0.25">
      <c r="A88" s="25"/>
      <c r="B88" s="11" t="str">
        <f>CONCATENATE("          ", "6298", " - ", "VEHICLE MILEAGE")</f>
        <v xml:space="preserve">          6298 - VEHICLE MILEAGE</v>
      </c>
      <c r="C88" s="11"/>
      <c r="D88" s="7"/>
      <c r="E88" s="2"/>
      <c r="F88" s="6">
        <f t="shared" si="61"/>
        <v>0</v>
      </c>
      <c r="G88" s="2"/>
      <c r="H88" s="7">
        <v>50</v>
      </c>
      <c r="I88" s="2"/>
      <c r="J88" s="6">
        <f t="shared" si="62"/>
        <v>3.4245871660171364E-4</v>
      </c>
      <c r="K88" s="2"/>
      <c r="L88" s="7">
        <f t="shared" si="63"/>
        <v>-50</v>
      </c>
      <c r="M88" s="2"/>
      <c r="N88" s="6">
        <f t="shared" si="64"/>
        <v>-1</v>
      </c>
      <c r="O88" s="11"/>
      <c r="P88" s="7"/>
      <c r="Q88" s="2"/>
      <c r="R88" s="6">
        <f t="shared" si="65"/>
        <v>0</v>
      </c>
      <c r="S88" s="2"/>
      <c r="T88" s="7">
        <v>350</v>
      </c>
      <c r="U88" s="2"/>
      <c r="V88" s="6">
        <f t="shared" si="66"/>
        <v>2.5150110229340265E-4</v>
      </c>
      <c r="W88" s="2"/>
      <c r="X88" s="7">
        <f t="shared" si="67"/>
        <v>-350</v>
      </c>
      <c r="Y88" s="2"/>
      <c r="Z88" s="6">
        <f t="shared" si="68"/>
        <v>-1</v>
      </c>
    </row>
    <row r="89" spans="1:26" s="53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8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3</v>
      </c>
      <c r="C92" s="29"/>
      <c r="D92" s="21">
        <f>+D23-D25+D90</f>
        <v>6600.0100000000093</v>
      </c>
      <c r="E92" s="14"/>
      <c r="F92" s="20">
        <f>IF(D$12=0,0,D92/D$12)</f>
        <v>4.5061299318749352E-2</v>
      </c>
      <c r="G92" s="14"/>
      <c r="H92" s="21">
        <f>+H23-H25+H90</f>
        <v>21317.794776777708</v>
      </c>
      <c r="I92" s="14"/>
      <c r="J92" s="20">
        <f>IF(H$12=0,0,H92/H$12)</f>
        <v>0.14600929280068017</v>
      </c>
      <c r="K92" s="16"/>
      <c r="L92" s="21">
        <f>+D92-H92</f>
        <v>-14717.784776777698</v>
      </c>
      <c r="M92" s="16"/>
      <c r="N92" s="20">
        <f>IF(H92=0,0,L92/H92)</f>
        <v>-0.69039902723945656</v>
      </c>
      <c r="O92" s="28"/>
      <c r="P92" s="21">
        <f>+P23-P25+P90</f>
        <v>261312.30999999994</v>
      </c>
      <c r="Q92" s="14"/>
      <c r="R92" s="20">
        <f>IF(P$12=0,0,P92/P$12)</f>
        <v>0.18079576930431296</v>
      </c>
      <c r="S92" s="14"/>
      <c r="T92" s="21">
        <f>+T23-T25+T90</f>
        <v>372145.91124646389</v>
      </c>
      <c r="U92" s="14"/>
      <c r="V92" s="20">
        <f>IF(T$12=0,0,T92/T$12)</f>
        <v>0.26741459112133842</v>
      </c>
      <c r="W92" s="16"/>
      <c r="X92" s="21">
        <f>+P92-T92</f>
        <v>-110833.60124646395</v>
      </c>
      <c r="Y92" s="16"/>
      <c r="Z92" s="20">
        <f>IF(T92=0,0,X92/T92)</f>
        <v>-0.29782297184251838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10440.209999999999</v>
      </c>
      <c r="E94" s="4"/>
      <c r="F94" s="12">
        <f>IF(D$12=0,0,D94/D$12)</f>
        <v>7.1280108327199429E-2</v>
      </c>
      <c r="G94" s="4"/>
      <c r="H94" s="4">
        <v>10888</v>
      </c>
      <c r="I94" s="4"/>
      <c r="J94" s="12">
        <f>IF(H$12=0,0,H94/H$12)</f>
        <v>7.4573810127189166E-2</v>
      </c>
      <c r="K94" s="4"/>
      <c r="L94" s="4">
        <f>+D94-H94</f>
        <v>-447.79000000000087</v>
      </c>
      <c r="M94" s="4"/>
      <c r="N94" s="12">
        <f>IF(H94=0,0,L94/H94)</f>
        <v>-4.1126928728875904E-2</v>
      </c>
      <c r="O94" s="10"/>
      <c r="P94" s="4">
        <v>150729.03999999998</v>
      </c>
      <c r="Q94" s="4"/>
      <c r="R94" s="12">
        <f>IF(P$12=0,0,P94/P$12)</f>
        <v>0.10428583614488182</v>
      </c>
      <c r="S94" s="4"/>
      <c r="T94" s="4">
        <v>171346</v>
      </c>
      <c r="U94" s="4"/>
      <c r="V94" s="12">
        <f>IF(T$12=0,0,T94/T$12)</f>
        <v>0.12312487963875819</v>
      </c>
      <c r="W94" s="4"/>
      <c r="X94" s="4">
        <f>+P94-T94</f>
        <v>-20616.960000000021</v>
      </c>
      <c r="Y94" s="4"/>
      <c r="Z94" s="12">
        <f>IF(T94=0,0,X94/T94)</f>
        <v>-0.12032355584606598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4</v>
      </c>
      <c r="C96" s="29"/>
      <c r="D96" s="34">
        <f>+D92-D94</f>
        <v>-3840.1999999999898</v>
      </c>
      <c r="E96" s="14"/>
      <c r="F96" s="32">
        <f>IF(D$12=0,0,D96/D$12)</f>
        <v>-2.6218809008450073E-2</v>
      </c>
      <c r="G96" s="14"/>
      <c r="H96" s="34">
        <f>+H92-H94</f>
        <v>10429.794776777708</v>
      </c>
      <c r="I96" s="14"/>
      <c r="J96" s="32">
        <f>IF(H$12=0,0,H96/H$12)</f>
        <v>7.1435482673491008E-2</v>
      </c>
      <c r="K96" s="16"/>
      <c r="L96" s="34">
        <f>D96-H96</f>
        <v>-14269.994776777698</v>
      </c>
      <c r="M96" s="16"/>
      <c r="N96" s="32">
        <f>IF(H96=0,0,L96/H96)</f>
        <v>-1.3681951641608832</v>
      </c>
      <c r="O96" s="28"/>
      <c r="P96" s="34">
        <f>+P92-P94</f>
        <v>110583.26999999996</v>
      </c>
      <c r="Q96" s="14"/>
      <c r="R96" s="32">
        <f>IF(P$12=0,0,P96/P$12)</f>
        <v>7.6509933159431137E-2</v>
      </c>
      <c r="S96" s="14"/>
      <c r="T96" s="34">
        <f>+T92-T94</f>
        <v>200799.91124646389</v>
      </c>
      <c r="U96" s="14"/>
      <c r="V96" s="32">
        <f>IF(T$12=0,0,T96/T$12)</f>
        <v>0.14428971148258024</v>
      </c>
      <c r="W96" s="16"/>
      <c r="X96" s="34">
        <f>P96-T96</f>
        <v>-90216.641246463929</v>
      </c>
      <c r="Y96" s="16"/>
      <c r="Z96" s="32">
        <f>IF(T96=0,0,X96/T96)</f>
        <v>-0.44928626056876636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5</v>
      </c>
      <c r="C99" s="29"/>
      <c r="D99" s="31">
        <f>SUM(D96:D98)</f>
        <v>-3840.1999999999898</v>
      </c>
      <c r="E99" s="14"/>
      <c r="F99" s="30">
        <f>IF(D$12=0,0,D99/D$12)</f>
        <v>-2.6218809008450073E-2</v>
      </c>
      <c r="G99" s="14"/>
      <c r="H99" s="31">
        <f>SUM(H96:H98)</f>
        <v>10429.794776777708</v>
      </c>
      <c r="I99" s="14"/>
      <c r="J99" s="30">
        <f>IF(H$12=0,0,H99/H$12)</f>
        <v>7.1435482673491008E-2</v>
      </c>
      <c r="K99" s="16"/>
      <c r="L99" s="31">
        <f>+D99-H99</f>
        <v>-14269.994776777698</v>
      </c>
      <c r="M99" s="16"/>
      <c r="N99" s="30">
        <f>IF(H99=0,0,L99/H99)</f>
        <v>-1.3681951641608832</v>
      </c>
      <c r="O99" s="28"/>
      <c r="P99" s="31">
        <f>SUM(P96:P98)</f>
        <v>110583.26999999996</v>
      </c>
      <c r="Q99" s="14"/>
      <c r="R99" s="30">
        <f>IF(P$12=0,0,P99/P$12)</f>
        <v>7.6509933159431137E-2</v>
      </c>
      <c r="S99" s="14"/>
      <c r="T99" s="31">
        <f>SUM(T96:T98)</f>
        <v>200799.91124646389</v>
      </c>
      <c r="U99" s="14"/>
      <c r="V99" s="30">
        <f>IF(T$12=0,0,T99/T$12)</f>
        <v>0.14428971148258024</v>
      </c>
      <c r="W99" s="16"/>
      <c r="X99" s="31">
        <f>+P99-T99</f>
        <v>-90216.641246463929</v>
      </c>
      <c r="Y99" s="16"/>
      <c r="Z99" s="30">
        <f>IF(T99=0,0,X99/T99)</f>
        <v>-0.44928626056876636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63">
        <v>43879.546743865743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7" t="s">
        <v>314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60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">
        <v>298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24844</v>
      </c>
      <c r="E12" s="4"/>
      <c r="F12" s="12"/>
      <c r="G12" s="4"/>
      <c r="H12" s="4">
        <f>SUM(OSRRefH13x_0)</f>
        <v>24165</v>
      </c>
      <c r="I12" s="4"/>
      <c r="J12" s="12"/>
      <c r="K12" s="4"/>
      <c r="L12" s="4">
        <f t="shared" ref="L12:L13" si="0">+D12-H12</f>
        <v>679</v>
      </c>
      <c r="M12" s="4"/>
      <c r="N12" s="12">
        <f t="shared" ref="N12:N13" si="1">IF(H12=0,0,L12/H12)</f>
        <v>2.8098489551003518E-2</v>
      </c>
      <c r="O12" s="10"/>
      <c r="P12" s="4">
        <f>SUM(OSRRefP13x_0)</f>
        <v>191645</v>
      </c>
      <c r="Q12" s="4"/>
      <c r="R12" s="12"/>
      <c r="S12" s="4"/>
      <c r="T12" s="4">
        <f>SUM(OSRRefT13x_0)</f>
        <v>331950</v>
      </c>
      <c r="U12" s="4"/>
      <c r="V12" s="12"/>
      <c r="W12" s="4"/>
      <c r="X12" s="4">
        <f t="shared" ref="X12:X13" si="2">+P12-T12</f>
        <v>-140305</v>
      </c>
      <c r="Y12" s="4"/>
      <c r="Z12" s="12">
        <f t="shared" ref="Z12:Z13" si="3">IF(T12=0,0,X12/T12)</f>
        <v>-0.42266907666817294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--24844</f>
        <v>24844</v>
      </c>
      <c r="E13" s="2"/>
      <c r="F13" s="19"/>
      <c r="G13" s="2"/>
      <c r="H13" s="2">
        <v>24165</v>
      </c>
      <c r="I13" s="2"/>
      <c r="J13" s="19"/>
      <c r="K13" s="2"/>
      <c r="L13" s="2">
        <f t="shared" si="0"/>
        <v>679</v>
      </c>
      <c r="M13" s="2"/>
      <c r="N13" s="19">
        <f t="shared" si="1"/>
        <v>2.8098489551003518E-2</v>
      </c>
      <c r="O13" s="11"/>
      <c r="P13" s="2">
        <f>--191645</f>
        <v>191645</v>
      </c>
      <c r="Q13" s="2"/>
      <c r="R13" s="19"/>
      <c r="S13" s="2"/>
      <c r="T13" s="2">
        <v>331950</v>
      </c>
      <c r="U13" s="2"/>
      <c r="V13" s="19"/>
      <c r="W13" s="2"/>
      <c r="X13" s="2">
        <f t="shared" si="2"/>
        <v>-140305</v>
      </c>
      <c r="Y13" s="2"/>
      <c r="Z13" s="19">
        <f t="shared" si="3"/>
        <v>-0.42266907666817294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1">
        <f>D12-D15</f>
        <v>24844</v>
      </c>
      <c r="E17" s="14"/>
      <c r="F17" s="20">
        <f>IF(D$12=0,0,D17/D$12)</f>
        <v>1</v>
      </c>
      <c r="G17" s="14"/>
      <c r="H17" s="21">
        <f>H12-H15</f>
        <v>24165</v>
      </c>
      <c r="I17" s="14"/>
      <c r="J17" s="20">
        <f>IF(H$12=0,0,H17/H$12)</f>
        <v>1</v>
      </c>
      <c r="K17" s="16"/>
      <c r="L17" s="21">
        <f>+D17-H17</f>
        <v>679</v>
      </c>
      <c r="M17" s="16"/>
      <c r="N17" s="20">
        <f>IF(H17=0,0,L17/H17)</f>
        <v>2.8098489551003518E-2</v>
      </c>
      <c r="O17" s="28"/>
      <c r="P17" s="21">
        <f>P12-P15</f>
        <v>191645</v>
      </c>
      <c r="Q17" s="14"/>
      <c r="R17" s="20">
        <f>IF(P$12=0,0,P17/P$12)</f>
        <v>1</v>
      </c>
      <c r="S17" s="14"/>
      <c r="T17" s="21">
        <f>T12-T15</f>
        <v>331950</v>
      </c>
      <c r="U17" s="14"/>
      <c r="V17" s="20">
        <f>IF(T$12=0,0,T17/T$12)</f>
        <v>1</v>
      </c>
      <c r="W17" s="16"/>
      <c r="X17" s="21">
        <f>+P17-T17</f>
        <v>-140305</v>
      </c>
      <c r="Y17" s="16"/>
      <c r="Z17" s="20">
        <f>IF(T17=0,0,X17/T17)</f>
        <v>-0.42266907666817294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25649.16</v>
      </c>
      <c r="E19" s="22"/>
      <c r="F19" s="35">
        <f t="shared" ref="F19:F29" si="4">IF(D$12=0,0,D19/D$12)</f>
        <v>1.0324086298502657</v>
      </c>
      <c r="G19" s="22"/>
      <c r="H19" s="22">
        <f>SUM(OSRRefH22x_0)</f>
        <v>24995.023626057693</v>
      </c>
      <c r="I19" s="22"/>
      <c r="J19" s="35">
        <f t="shared" ref="J19:J29" si="5">IF(H$12=0,0,H19/H$12)</f>
        <v>1.0343481740557705</v>
      </c>
      <c r="K19" s="4"/>
      <c r="L19" s="22">
        <f t="shared" ref="L19:L29" si="6">+D19-H19</f>
        <v>654.13637394230682</v>
      </c>
      <c r="M19" s="4"/>
      <c r="N19" s="35">
        <f t="shared" ref="N19:N29" si="7">IF(H19=0,0,L19/H19)</f>
        <v>2.6170664358178868E-2</v>
      </c>
      <c r="O19" s="10"/>
      <c r="P19" s="22">
        <f>SUM(OSRRefP22x_0)</f>
        <v>190924.10999999993</v>
      </c>
      <c r="Q19" s="22"/>
      <c r="R19" s="35">
        <f t="shared" ref="R19:R29" si="8">IF(P$12=0,0,P19/P$12)</f>
        <v>0.99623840955934106</v>
      </c>
      <c r="S19" s="22"/>
      <c r="T19" s="22">
        <f>SUM(OSRRefT22x_0)</f>
        <v>307852.07366155769</v>
      </c>
      <c r="U19" s="22"/>
      <c r="V19" s="35">
        <f t="shared" ref="V19:V29" si="9">IF(T$12=0,0,T19/T$12)</f>
        <v>0.9274049515335373</v>
      </c>
      <c r="W19" s="4"/>
      <c r="X19" s="22">
        <f t="shared" ref="X19:X29" si="10">+P19-T19</f>
        <v>-116927.96366155776</v>
      </c>
      <c r="Y19" s="4"/>
      <c r="Z19" s="35">
        <f t="shared" ref="Z19:Z29" si="11">IF(T19=0,0,X19/T19)</f>
        <v>-0.37981866508427181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4285.4500000000007</v>
      </c>
      <c r="E20" s="1"/>
      <c r="F20" s="5">
        <f t="shared" si="4"/>
        <v>0.17249436483658029</v>
      </c>
      <c r="G20" s="1"/>
      <c r="H20" s="1">
        <f>SUM(OSRRefH22_0x_0)</f>
        <v>1107.8630491346148</v>
      </c>
      <c r="I20" s="1"/>
      <c r="J20" s="5">
        <f t="shared" si="5"/>
        <v>4.5845770706998336E-2</v>
      </c>
      <c r="K20" s="1"/>
      <c r="L20" s="1">
        <f t="shared" si="6"/>
        <v>3177.5869508653859</v>
      </c>
      <c r="M20" s="1"/>
      <c r="N20" s="5">
        <f t="shared" si="7"/>
        <v>2.8682127753493489</v>
      </c>
      <c r="O20" s="13"/>
      <c r="P20" s="1">
        <f>SUM(OSRRefP22_0x_0)</f>
        <v>31385.910000000003</v>
      </c>
      <c r="Q20" s="1"/>
      <c r="R20" s="5">
        <f t="shared" si="8"/>
        <v>0.16377108716637534</v>
      </c>
      <c r="S20" s="1"/>
      <c r="T20" s="1">
        <f>SUM(OSRRefT22_0x_0)</f>
        <v>9221.6980846346123</v>
      </c>
      <c r="U20" s="1"/>
      <c r="V20" s="5">
        <f t="shared" si="9"/>
        <v>2.7780382842701047E-2</v>
      </c>
      <c r="W20" s="1"/>
      <c r="X20" s="1">
        <f t="shared" si="10"/>
        <v>22164.211915365391</v>
      </c>
      <c r="Y20" s="1"/>
      <c r="Z20" s="5">
        <f t="shared" si="11"/>
        <v>2.4034848801107325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7">
        <v>920.98</v>
      </c>
      <c r="E21" s="2"/>
      <c r="F21" s="6">
        <f t="shared" si="4"/>
        <v>3.7070520045081309E-2</v>
      </c>
      <c r="G21" s="2"/>
      <c r="H21" s="7">
        <v>353.765076057692</v>
      </c>
      <c r="I21" s="2"/>
      <c r="J21" s="6">
        <f t="shared" si="5"/>
        <v>1.4639564496490461E-2</v>
      </c>
      <c r="K21" s="2"/>
      <c r="L21" s="7">
        <f t="shared" si="6"/>
        <v>567.21492394230802</v>
      </c>
      <c r="M21" s="2"/>
      <c r="N21" s="6">
        <f t="shared" si="7"/>
        <v>1.6033660819865854</v>
      </c>
      <c r="O21" s="11"/>
      <c r="P21" s="7">
        <v>7717.72</v>
      </c>
      <c r="Q21" s="2"/>
      <c r="R21" s="6">
        <f t="shared" si="8"/>
        <v>4.0270917581987531E-2</v>
      </c>
      <c r="S21" s="2"/>
      <c r="T21" s="7">
        <v>3617.2606515576899</v>
      </c>
      <c r="U21" s="2"/>
      <c r="V21" s="6">
        <f t="shared" si="9"/>
        <v>1.0897004523445369E-2</v>
      </c>
      <c r="W21" s="2"/>
      <c r="X21" s="7">
        <f t="shared" si="10"/>
        <v>4100.4593484423103</v>
      </c>
      <c r="Y21" s="2"/>
      <c r="Z21" s="6">
        <f t="shared" si="11"/>
        <v>1.1335813875277532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7">
        <v>50.97</v>
      </c>
      <c r="E22" s="2"/>
      <c r="F22" s="6">
        <f t="shared" si="4"/>
        <v>2.0516019964578972E-3</v>
      </c>
      <c r="G22" s="2"/>
      <c r="H22" s="7">
        <v>207.74252884615402</v>
      </c>
      <c r="I22" s="2"/>
      <c r="J22" s="6">
        <f t="shared" si="5"/>
        <v>8.596835458148315E-3</v>
      </c>
      <c r="K22" s="2"/>
      <c r="L22" s="7">
        <f t="shared" si="6"/>
        <v>-156.77252884615402</v>
      </c>
      <c r="M22" s="2"/>
      <c r="N22" s="6">
        <f t="shared" si="7"/>
        <v>-0.75464821631324996</v>
      </c>
      <c r="O22" s="11"/>
      <c r="P22" s="7">
        <v>338.26</v>
      </c>
      <c r="Q22" s="2"/>
      <c r="R22" s="6">
        <f t="shared" si="8"/>
        <v>1.7650343082261473E-3</v>
      </c>
      <c r="S22" s="2"/>
      <c r="T22" s="7">
        <v>1575.1411788461539</v>
      </c>
      <c r="U22" s="2"/>
      <c r="V22" s="6">
        <f t="shared" si="9"/>
        <v>4.7451157669713929E-3</v>
      </c>
      <c r="W22" s="2"/>
      <c r="X22" s="7">
        <f t="shared" si="10"/>
        <v>-1236.8811788461539</v>
      </c>
      <c r="Y22" s="2"/>
      <c r="Z22" s="6">
        <f t="shared" si="11"/>
        <v>-0.78525099556613254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7">
        <v>1298.72</v>
      </c>
      <c r="E23" s="2"/>
      <c r="F23" s="6">
        <f t="shared" si="4"/>
        <v>5.2274995974883276E-2</v>
      </c>
      <c r="G23" s="2"/>
      <c r="H23" s="7">
        <v>138.1</v>
      </c>
      <c r="I23" s="2"/>
      <c r="J23" s="6">
        <f t="shared" si="5"/>
        <v>5.714876888061245E-3</v>
      </c>
      <c r="K23" s="2"/>
      <c r="L23" s="7">
        <f t="shared" si="6"/>
        <v>1160.6200000000001</v>
      </c>
      <c r="M23" s="2"/>
      <c r="N23" s="6">
        <f t="shared" si="7"/>
        <v>8.4041998551774082</v>
      </c>
      <c r="O23" s="11"/>
      <c r="P23" s="7">
        <v>8758.58</v>
      </c>
      <c r="Q23" s="2"/>
      <c r="R23" s="6">
        <f t="shared" si="8"/>
        <v>4.5702105455399308E-2</v>
      </c>
      <c r="S23" s="2"/>
      <c r="T23" s="7">
        <v>966.7</v>
      </c>
      <c r="U23" s="2"/>
      <c r="V23" s="6">
        <f t="shared" si="9"/>
        <v>2.9121855701159816E-3</v>
      </c>
      <c r="W23" s="2"/>
      <c r="X23" s="7">
        <f t="shared" si="10"/>
        <v>7791.88</v>
      </c>
      <c r="Y23" s="2"/>
      <c r="Z23" s="6">
        <f t="shared" si="11"/>
        <v>8.060287576290472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39.020000000000003</v>
      </c>
      <c r="E24" s="2"/>
      <c r="F24" s="6">
        <f t="shared" si="4"/>
        <v>1.5706005474158751E-3</v>
      </c>
      <c r="G24" s="2"/>
      <c r="H24" s="7">
        <v>28.427924999999998</v>
      </c>
      <c r="I24" s="2"/>
      <c r="J24" s="6">
        <f t="shared" si="5"/>
        <v>1.1764090626939789E-3</v>
      </c>
      <c r="K24" s="2"/>
      <c r="L24" s="7">
        <f t="shared" si="6"/>
        <v>10.592075000000005</v>
      </c>
      <c r="M24" s="2"/>
      <c r="N24" s="6">
        <f t="shared" si="7"/>
        <v>0.372594025065143</v>
      </c>
      <c r="O24" s="11"/>
      <c r="P24" s="7">
        <v>327.96</v>
      </c>
      <c r="Q24" s="2"/>
      <c r="R24" s="6">
        <f t="shared" si="8"/>
        <v>1.7112891022463407E-3</v>
      </c>
      <c r="S24" s="2"/>
      <c r="T24" s="7">
        <v>215.545635</v>
      </c>
      <c r="U24" s="2"/>
      <c r="V24" s="6">
        <f t="shared" si="9"/>
        <v>6.4933163126976959E-4</v>
      </c>
      <c r="W24" s="2"/>
      <c r="X24" s="7">
        <f t="shared" si="10"/>
        <v>112.41436499999998</v>
      </c>
      <c r="Y24" s="2"/>
      <c r="Z24" s="6">
        <f t="shared" si="11"/>
        <v>0.52153394338048165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7">
        <v>959.21</v>
      </c>
      <c r="E25" s="2"/>
      <c r="F25" s="6">
        <f t="shared" si="4"/>
        <v>3.8609322170342943E-2</v>
      </c>
      <c r="G25" s="2"/>
      <c r="H25" s="7">
        <v>71.170788461538493</v>
      </c>
      <c r="I25" s="2"/>
      <c r="J25" s="6">
        <f t="shared" si="5"/>
        <v>2.9452012605643905E-3</v>
      </c>
      <c r="K25" s="2"/>
      <c r="L25" s="7">
        <f t="shared" si="6"/>
        <v>888.03921153846159</v>
      </c>
      <c r="M25" s="2"/>
      <c r="N25" s="6">
        <f t="shared" si="7"/>
        <v>12.477580068097295</v>
      </c>
      <c r="O25" s="11"/>
      <c r="P25" s="7">
        <v>5566.45</v>
      </c>
      <c r="Q25" s="2"/>
      <c r="R25" s="6">
        <f t="shared" si="8"/>
        <v>2.9045631245271205E-2</v>
      </c>
      <c r="S25" s="2"/>
      <c r="T25" s="7">
        <v>441.25888846153873</v>
      </c>
      <c r="U25" s="2"/>
      <c r="V25" s="6">
        <f t="shared" si="9"/>
        <v>1.3292932322986556E-3</v>
      </c>
      <c r="W25" s="2"/>
      <c r="X25" s="7">
        <f t="shared" si="10"/>
        <v>5125.191111538461</v>
      </c>
      <c r="Y25" s="2"/>
      <c r="Z25" s="6">
        <f t="shared" si="11"/>
        <v>11.614930023070087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7">
        <v>577.95000000000005</v>
      </c>
      <c r="E27" s="2"/>
      <c r="F27" s="6">
        <f t="shared" si="4"/>
        <v>2.326316213170182E-2</v>
      </c>
      <c r="G27" s="2"/>
      <c r="H27" s="7">
        <v>41.3783653846154</v>
      </c>
      <c r="I27" s="2"/>
      <c r="J27" s="6">
        <f t="shared" si="5"/>
        <v>1.7123263142816221E-3</v>
      </c>
      <c r="K27" s="2"/>
      <c r="L27" s="7">
        <f t="shared" si="6"/>
        <v>536.5716346153846</v>
      </c>
      <c r="M27" s="2"/>
      <c r="N27" s="6">
        <f t="shared" si="7"/>
        <v>12.967443968071381</v>
      </c>
      <c r="O27" s="11"/>
      <c r="P27" s="7">
        <v>5070.83</v>
      </c>
      <c r="Q27" s="2"/>
      <c r="R27" s="6">
        <f t="shared" si="8"/>
        <v>2.6459495421221529E-2</v>
      </c>
      <c r="S27" s="2"/>
      <c r="T27" s="7">
        <v>256.54586538461541</v>
      </c>
      <c r="U27" s="2"/>
      <c r="V27" s="6">
        <f t="shared" si="9"/>
        <v>7.7284490249921801E-4</v>
      </c>
      <c r="W27" s="2"/>
      <c r="X27" s="7">
        <f t="shared" si="10"/>
        <v>4814.2841346153846</v>
      </c>
      <c r="Y27" s="2"/>
      <c r="Z27" s="6">
        <f t="shared" si="11"/>
        <v>18.76578337131949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7">
        <v>288.58</v>
      </c>
      <c r="E28" s="2"/>
      <c r="F28" s="6">
        <f t="shared" si="4"/>
        <v>1.1615681854773787E-2</v>
      </c>
      <c r="G28" s="2"/>
      <c r="H28" s="7">
        <v>117.27836538461499</v>
      </c>
      <c r="I28" s="2"/>
      <c r="J28" s="6">
        <f t="shared" si="5"/>
        <v>4.8532325836794944E-3</v>
      </c>
      <c r="K28" s="2"/>
      <c r="L28" s="7">
        <f t="shared" si="6"/>
        <v>171.30163461538501</v>
      </c>
      <c r="M28" s="2"/>
      <c r="N28" s="6">
        <f t="shared" si="7"/>
        <v>1.4606413898556689</v>
      </c>
      <c r="O28" s="11"/>
      <c r="P28" s="7">
        <v>2554.2800000000002</v>
      </c>
      <c r="Q28" s="2"/>
      <c r="R28" s="6">
        <f t="shared" si="8"/>
        <v>1.3328184925252421E-2</v>
      </c>
      <c r="S28" s="2"/>
      <c r="T28" s="7">
        <v>1099.2458653846138</v>
      </c>
      <c r="U28" s="2"/>
      <c r="V28" s="6">
        <f t="shared" si="9"/>
        <v>3.3114802391462986E-3</v>
      </c>
      <c r="W28" s="2"/>
      <c r="X28" s="7">
        <f t="shared" si="10"/>
        <v>1455.0341346153864</v>
      </c>
      <c r="Y28" s="2"/>
      <c r="Z28" s="6">
        <f t="shared" si="11"/>
        <v>1.3236657789076935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7">
        <v>150.02000000000001</v>
      </c>
      <c r="E29" s="2"/>
      <c r="F29" s="6">
        <f t="shared" si="4"/>
        <v>6.0384801159233618E-3</v>
      </c>
      <c r="G29" s="2"/>
      <c r="H29" s="7">
        <v>150</v>
      </c>
      <c r="I29" s="2"/>
      <c r="J29" s="6">
        <f t="shared" si="5"/>
        <v>6.2073246430788334E-3</v>
      </c>
      <c r="K29" s="2"/>
      <c r="L29" s="7">
        <f t="shared" si="6"/>
        <v>2.0000000000010232E-2</v>
      </c>
      <c r="M29" s="2"/>
      <c r="N29" s="6">
        <f t="shared" si="7"/>
        <v>1.3333333333340154E-4</v>
      </c>
      <c r="O29" s="11"/>
      <c r="P29" s="7">
        <v>1051.83</v>
      </c>
      <c r="Q29" s="2"/>
      <c r="R29" s="6">
        <f t="shared" si="8"/>
        <v>5.488429126770852E-3</v>
      </c>
      <c r="S29" s="2"/>
      <c r="T29" s="7">
        <v>1050</v>
      </c>
      <c r="U29" s="2"/>
      <c r="V29" s="6">
        <f t="shared" si="9"/>
        <v>3.1631269769543608E-3</v>
      </c>
      <c r="W29" s="2"/>
      <c r="X29" s="7">
        <f t="shared" si="10"/>
        <v>1.8299999999999272</v>
      </c>
      <c r="Y29" s="2"/>
      <c r="Z29" s="6">
        <f t="shared" si="11"/>
        <v>1.7428571428570736E-3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19262.39</v>
      </c>
      <c r="E30" s="1"/>
      <c r="F30" s="5">
        <f t="shared" ref="F30:F40" si="12">IF(D$12=0,0,D30/D$12)</f>
        <v>0.77533368217678311</v>
      </c>
      <c r="G30" s="1"/>
      <c r="H30" s="1">
        <f>SUM(OSRRefH22_1x_0)</f>
        <v>10775.160576923077</v>
      </c>
      <c r="I30" s="1"/>
      <c r="J30" s="5">
        <f t="shared" ref="J30:J40" si="13">IF(H$12=0,0,H30/H$12)</f>
        <v>0.4458994652151077</v>
      </c>
      <c r="K30" s="1"/>
      <c r="L30" s="1">
        <f t="shared" ref="L30:L40" si="14">+D30-H30</f>
        <v>8487.2294230769221</v>
      </c>
      <c r="M30" s="1"/>
      <c r="N30" s="5">
        <f t="shared" ref="N30:N40" si="15">IF(H30=0,0,L30/H30)</f>
        <v>0.78766616631717146</v>
      </c>
      <c r="O30" s="13"/>
      <c r="P30" s="1">
        <f>SUM(OSRRefP22_1x_0)</f>
        <v>119293.84000000001</v>
      </c>
      <c r="Q30" s="1"/>
      <c r="R30" s="5">
        <f t="shared" ref="R30:R40" si="16">IF(P$12=0,0,P30/P$12)</f>
        <v>0.62247300999243393</v>
      </c>
      <c r="S30" s="1"/>
      <c r="T30" s="1">
        <f>SUM(OSRRefT22_1x_0)</f>
        <v>81546.375576923077</v>
      </c>
      <c r="U30" s="1"/>
      <c r="V30" s="5">
        <f t="shared" ref="V30:V40" si="17">IF(T$12=0,0,T30/T$12)</f>
        <v>0.245658609962112</v>
      </c>
      <c r="W30" s="1"/>
      <c r="X30" s="1">
        <f t="shared" ref="X30:X40" si="18">+P30-T30</f>
        <v>37747.464423076934</v>
      </c>
      <c r="Y30" s="1"/>
      <c r="Z30" s="5">
        <f t="shared" ref="Z30:Z40" si="19">IF(T30=0,0,X30/T30)</f>
        <v>0.46289567324141306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>
        <v>6881.99</v>
      </c>
      <c r="E32" s="2"/>
      <c r="F32" s="6">
        <f t="shared" si="12"/>
        <v>0.27700813073579134</v>
      </c>
      <c r="G32" s="2"/>
      <c r="H32" s="7">
        <v>744.81057692307706</v>
      </c>
      <c r="I32" s="2"/>
      <c r="J32" s="6">
        <f t="shared" si="13"/>
        <v>3.0821873657069194E-2</v>
      </c>
      <c r="K32" s="2"/>
      <c r="L32" s="7">
        <f t="shared" si="14"/>
        <v>6137.1794230769228</v>
      </c>
      <c r="M32" s="2"/>
      <c r="N32" s="6">
        <f t="shared" si="15"/>
        <v>8.2399198040802819</v>
      </c>
      <c r="O32" s="11"/>
      <c r="P32" s="7">
        <v>41381.870000000003</v>
      </c>
      <c r="Q32" s="2"/>
      <c r="R32" s="6">
        <f t="shared" si="16"/>
        <v>0.21592981815335649</v>
      </c>
      <c r="S32" s="2"/>
      <c r="T32" s="7">
        <v>4617.8255769230791</v>
      </c>
      <c r="U32" s="2"/>
      <c r="V32" s="6">
        <f t="shared" si="17"/>
        <v>1.3911208244985929E-2</v>
      </c>
      <c r="W32" s="2"/>
      <c r="X32" s="7">
        <f t="shared" si="18"/>
        <v>36764.044423076921</v>
      </c>
      <c r="Y32" s="2"/>
      <c r="Z32" s="6">
        <f t="shared" si="19"/>
        <v>7.9613324086557009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3719.1</v>
      </c>
      <c r="I34" s="2"/>
      <c r="J34" s="6">
        <f t="shared" si="13"/>
        <v>0.15390440720049658</v>
      </c>
      <c r="K34" s="2"/>
      <c r="L34" s="7">
        <f t="shared" si="14"/>
        <v>-3719.1</v>
      </c>
      <c r="M34" s="2"/>
      <c r="N34" s="6">
        <f t="shared" si="15"/>
        <v>-1</v>
      </c>
      <c r="O34" s="11"/>
      <c r="P34" s="7"/>
      <c r="Q34" s="2"/>
      <c r="R34" s="6">
        <f t="shared" si="16"/>
        <v>0</v>
      </c>
      <c r="S34" s="2"/>
      <c r="T34" s="7">
        <v>21300.3</v>
      </c>
      <c r="U34" s="2"/>
      <c r="V34" s="6">
        <f t="shared" si="17"/>
        <v>6.4167193854496152E-2</v>
      </c>
      <c r="W34" s="2"/>
      <c r="X34" s="7">
        <f t="shared" si="18"/>
        <v>-21300.3</v>
      </c>
      <c r="Y34" s="2"/>
      <c r="Z34" s="6">
        <f t="shared" si="19"/>
        <v>-1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7">
        <v>6157.33</v>
      </c>
      <c r="E35" s="2"/>
      <c r="F35" s="6">
        <f t="shared" si="12"/>
        <v>0.24783971985187569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6157.33</v>
      </c>
      <c r="M35" s="2"/>
      <c r="N35" s="6">
        <f t="shared" si="15"/>
        <v>0</v>
      </c>
      <c r="O35" s="11"/>
      <c r="P35" s="7">
        <v>51094.64</v>
      </c>
      <c r="Q35" s="2"/>
      <c r="R35" s="6">
        <f t="shared" si="16"/>
        <v>0.26661086905476272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51094.64</v>
      </c>
      <c r="Y35" s="2"/>
      <c r="Z35" s="6">
        <f t="shared" si="19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7">
        <v>5974.57</v>
      </c>
      <c r="E37" s="2"/>
      <c r="F37" s="6">
        <f t="shared" si="12"/>
        <v>0.24048341651907904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5974.57</v>
      </c>
      <c r="M37" s="2"/>
      <c r="N37" s="6">
        <f t="shared" si="15"/>
        <v>0</v>
      </c>
      <c r="O37" s="11"/>
      <c r="P37" s="7">
        <v>22619.5</v>
      </c>
      <c r="Q37" s="2"/>
      <c r="R37" s="6">
        <f t="shared" si="16"/>
        <v>0.11802812491846905</v>
      </c>
      <c r="S37" s="2"/>
      <c r="T37" s="7">
        <v>19992</v>
      </c>
      <c r="U37" s="2"/>
      <c r="V37" s="6">
        <f t="shared" si="17"/>
        <v>6.0225937641211029E-2</v>
      </c>
      <c r="W37" s="2"/>
      <c r="X37" s="7">
        <f t="shared" si="18"/>
        <v>2627.5</v>
      </c>
      <c r="Y37" s="2"/>
      <c r="Z37" s="6">
        <f t="shared" si="19"/>
        <v>0.13142757102841138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7">
        <v>248.5</v>
      </c>
      <c r="E38" s="2"/>
      <c r="F38" s="6">
        <f t="shared" si="12"/>
        <v>1.0002415070037031E-2</v>
      </c>
      <c r="G38" s="2"/>
      <c r="H38" s="7">
        <v>6311.25</v>
      </c>
      <c r="I38" s="2"/>
      <c r="J38" s="6">
        <f t="shared" si="13"/>
        <v>0.26117318435754189</v>
      </c>
      <c r="K38" s="2"/>
      <c r="L38" s="7">
        <f t="shared" si="14"/>
        <v>-6062.75</v>
      </c>
      <c r="M38" s="2"/>
      <c r="N38" s="6">
        <f t="shared" si="15"/>
        <v>-0.96062586650821946</v>
      </c>
      <c r="O38" s="11"/>
      <c r="P38" s="7">
        <v>4197.83</v>
      </c>
      <c r="Q38" s="2"/>
      <c r="R38" s="6">
        <f t="shared" si="16"/>
        <v>2.1904197865845704E-2</v>
      </c>
      <c r="S38" s="2"/>
      <c r="T38" s="7">
        <v>35636.25</v>
      </c>
      <c r="U38" s="2"/>
      <c r="V38" s="6">
        <f t="shared" si="17"/>
        <v>0.10735427022141888</v>
      </c>
      <c r="W38" s="2"/>
      <c r="X38" s="7">
        <f t="shared" si="18"/>
        <v>-31438.42</v>
      </c>
      <c r="Y38" s="2"/>
      <c r="Z38" s="6">
        <f t="shared" si="19"/>
        <v>-0.882203374373005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7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0" si="20">IF(D$12=0,0,D41/D$12)</f>
        <v>0</v>
      </c>
      <c r="G41" s="1"/>
      <c r="H41" s="1">
        <f>SUM(OSRRefH22_2x_0)</f>
        <v>400</v>
      </c>
      <c r="I41" s="1"/>
      <c r="J41" s="5">
        <f t="shared" ref="J41:J60" si="21">IF(H$12=0,0,H41/H$12)</f>
        <v>1.6552865714876887E-2</v>
      </c>
      <c r="K41" s="1"/>
      <c r="L41" s="1">
        <f t="shared" ref="L41:L60" si="22">+D41-H41</f>
        <v>-400</v>
      </c>
      <c r="M41" s="1"/>
      <c r="N41" s="5">
        <f t="shared" ref="N41:N60" si="23">IF(H41=0,0,L41/H41)</f>
        <v>-1</v>
      </c>
      <c r="O41" s="13"/>
      <c r="P41" s="1">
        <f>SUM(OSRRefP22_2x_0)</f>
        <v>106.77</v>
      </c>
      <c r="Q41" s="1"/>
      <c r="R41" s="5">
        <f t="shared" ref="R41:R60" si="24">IF(P$12=0,0,P41/P$12)</f>
        <v>5.5712384878290591E-4</v>
      </c>
      <c r="S41" s="1"/>
      <c r="T41" s="1">
        <f>SUM(OSRRefT22_2x_0)</f>
        <v>2800</v>
      </c>
      <c r="U41" s="1"/>
      <c r="V41" s="5">
        <f t="shared" ref="V41:V60" si="25">IF(T$12=0,0,T41/T$12)</f>
        <v>8.4350052718782948E-3</v>
      </c>
      <c r="W41" s="1"/>
      <c r="X41" s="1">
        <f t="shared" ref="X41:X60" si="26">+P41-T41</f>
        <v>-2693.23</v>
      </c>
      <c r="Y41" s="1"/>
      <c r="Z41" s="5">
        <f t="shared" ref="Z41:Z60" si="27">IF(T41=0,0,X41/T41)</f>
        <v>-0.96186785714285716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0"/>
        <v>0</v>
      </c>
      <c r="G42" s="2"/>
      <c r="H42" s="7">
        <v>400</v>
      </c>
      <c r="I42" s="2"/>
      <c r="J42" s="6">
        <f t="shared" si="21"/>
        <v>1.6552865714876887E-2</v>
      </c>
      <c r="K42" s="2"/>
      <c r="L42" s="7">
        <f t="shared" si="22"/>
        <v>-400</v>
      </c>
      <c r="M42" s="2"/>
      <c r="N42" s="6">
        <f t="shared" si="23"/>
        <v>-1</v>
      </c>
      <c r="O42" s="11"/>
      <c r="P42" s="7">
        <v>106.77</v>
      </c>
      <c r="Q42" s="2"/>
      <c r="R42" s="6">
        <f t="shared" si="24"/>
        <v>5.5712384878290591E-4</v>
      </c>
      <c r="S42" s="2"/>
      <c r="T42" s="7">
        <v>2800</v>
      </c>
      <c r="U42" s="2"/>
      <c r="V42" s="6">
        <f t="shared" si="25"/>
        <v>8.4350052718782948E-3</v>
      </c>
      <c r="W42" s="2"/>
      <c r="X42" s="7">
        <f t="shared" si="26"/>
        <v>-2693.23</v>
      </c>
      <c r="Y42" s="2"/>
      <c r="Z42" s="6">
        <f t="shared" si="27"/>
        <v>-0.96186785714285716</v>
      </c>
    </row>
    <row r="43" spans="1:26" s="27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1723.63</v>
      </c>
      <c r="E43" s="1"/>
      <c r="F43" s="5">
        <f t="shared" si="20"/>
        <v>6.9378119465464502E-2</v>
      </c>
      <c r="G43" s="1"/>
      <c r="H43" s="1">
        <f>SUM(OSRRefH22_3x_0)</f>
        <v>2000</v>
      </c>
      <c r="I43" s="1"/>
      <c r="J43" s="5">
        <f t="shared" si="21"/>
        <v>8.2764328574384441E-2</v>
      </c>
      <c r="K43" s="1"/>
      <c r="L43" s="1">
        <f t="shared" si="22"/>
        <v>-276.36999999999989</v>
      </c>
      <c r="M43" s="1"/>
      <c r="N43" s="5">
        <f t="shared" si="23"/>
        <v>-0.13818499999999995</v>
      </c>
      <c r="O43" s="13"/>
      <c r="P43" s="1">
        <f>SUM(OSRRefP22_3x_0)</f>
        <v>14279.63</v>
      </c>
      <c r="Q43" s="1"/>
      <c r="R43" s="5">
        <f t="shared" si="24"/>
        <v>7.4510840355866317E-2</v>
      </c>
      <c r="S43" s="1"/>
      <c r="T43" s="1">
        <f>SUM(OSRRefT22_3x_0)</f>
        <v>11700</v>
      </c>
      <c r="U43" s="1"/>
      <c r="V43" s="5">
        <f t="shared" si="25"/>
        <v>3.5246272028920021E-2</v>
      </c>
      <c r="W43" s="1"/>
      <c r="X43" s="1">
        <f t="shared" si="26"/>
        <v>2579.6299999999992</v>
      </c>
      <c r="Y43" s="1"/>
      <c r="Z43" s="5">
        <f t="shared" si="27"/>
        <v>0.22048119658119653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7">
        <v>1723.63</v>
      </c>
      <c r="E44" s="2"/>
      <c r="F44" s="6">
        <f t="shared" si="20"/>
        <v>6.9378119465464502E-2</v>
      </c>
      <c r="G44" s="2"/>
      <c r="H44" s="7">
        <v>2000</v>
      </c>
      <c r="I44" s="2"/>
      <c r="J44" s="6">
        <f t="shared" si="21"/>
        <v>8.2764328574384441E-2</v>
      </c>
      <c r="K44" s="2"/>
      <c r="L44" s="7">
        <f t="shared" si="22"/>
        <v>-276.36999999999989</v>
      </c>
      <c r="M44" s="2"/>
      <c r="N44" s="6">
        <f t="shared" si="23"/>
        <v>-0.13818499999999995</v>
      </c>
      <c r="O44" s="11"/>
      <c r="P44" s="7">
        <v>14279.63</v>
      </c>
      <c r="Q44" s="2"/>
      <c r="R44" s="6">
        <f t="shared" si="24"/>
        <v>7.4510840355866317E-2</v>
      </c>
      <c r="S44" s="2"/>
      <c r="T44" s="7">
        <v>11700</v>
      </c>
      <c r="U44" s="2"/>
      <c r="V44" s="6">
        <f t="shared" si="25"/>
        <v>3.5246272028920021E-2</v>
      </c>
      <c r="W44" s="2"/>
      <c r="X44" s="7">
        <f t="shared" si="26"/>
        <v>2579.6299999999992</v>
      </c>
      <c r="Y44" s="2"/>
      <c r="Z44" s="6">
        <f t="shared" si="27"/>
        <v>0.22048119658119653</v>
      </c>
    </row>
    <row r="45" spans="1:26" s="27" customFormat="1" outlineLevel="1" collapsed="1" x14ac:dyDescent="0.25">
      <c r="A45" s="26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3.1036623215394167E-3</v>
      </c>
      <c r="K45" s="1"/>
      <c r="L45" s="1">
        <f t="shared" si="22"/>
        <v>-75</v>
      </c>
      <c r="M45" s="1"/>
      <c r="N45" s="5">
        <f t="shared" si="23"/>
        <v>-1</v>
      </c>
      <c r="O45" s="13"/>
      <c r="P45" s="1">
        <f>SUM(OSRRefP22_4x_0)</f>
        <v>64.239999999999995</v>
      </c>
      <c r="Q45" s="1"/>
      <c r="R45" s="5">
        <f t="shared" si="24"/>
        <v>3.3520310991677318E-4</v>
      </c>
      <c r="S45" s="1"/>
      <c r="T45" s="1">
        <f>SUM(OSRRefT22_4x_0)</f>
        <v>525</v>
      </c>
      <c r="U45" s="1"/>
      <c r="V45" s="5">
        <f t="shared" si="25"/>
        <v>1.5815634884771804E-3</v>
      </c>
      <c r="W45" s="1"/>
      <c r="X45" s="1">
        <f t="shared" si="26"/>
        <v>-460.76</v>
      </c>
      <c r="Y45" s="1"/>
      <c r="Z45" s="5">
        <f t="shared" si="27"/>
        <v>-0.87763809523809522</v>
      </c>
    </row>
    <row r="46" spans="1:26" s="24" customFormat="1" hidden="1" outlineLevel="2" x14ac:dyDescent="0.25">
      <c r="A46" s="25"/>
      <c r="B46" s="11" t="str">
        <f>CONCATENATE("          ", "6277", " - ", "EMPLOYEE APPRECIATION")</f>
        <v xml:space="preserve">          6277 - EMPLOYEE APPRECIATION</v>
      </c>
      <c r="C46" s="11"/>
      <c r="D46" s="7"/>
      <c r="E46" s="2"/>
      <c r="F46" s="6">
        <f t="shared" si="20"/>
        <v>0</v>
      </c>
      <c r="G46" s="2"/>
      <c r="H46" s="7">
        <v>75</v>
      </c>
      <c r="I46" s="2"/>
      <c r="J46" s="6">
        <f t="shared" si="21"/>
        <v>3.1036623215394167E-3</v>
      </c>
      <c r="K46" s="2"/>
      <c r="L46" s="7">
        <f t="shared" si="22"/>
        <v>-75</v>
      </c>
      <c r="M46" s="2"/>
      <c r="N46" s="6">
        <f t="shared" si="23"/>
        <v>-1</v>
      </c>
      <c r="O46" s="11"/>
      <c r="P46" s="7">
        <v>64.239999999999995</v>
      </c>
      <c r="Q46" s="2"/>
      <c r="R46" s="6">
        <f t="shared" si="24"/>
        <v>3.3520310991677318E-4</v>
      </c>
      <c r="S46" s="2"/>
      <c r="T46" s="7">
        <v>525</v>
      </c>
      <c r="U46" s="2"/>
      <c r="V46" s="6">
        <f t="shared" si="25"/>
        <v>1.5815634884771804E-3</v>
      </c>
      <c r="W46" s="2"/>
      <c r="X46" s="7">
        <f t="shared" si="26"/>
        <v>-460.76</v>
      </c>
      <c r="Y46" s="2"/>
      <c r="Z46" s="6">
        <f t="shared" si="27"/>
        <v>-0.87763809523809522</v>
      </c>
    </row>
    <row r="47" spans="1:26" s="27" customFormat="1" outlineLevel="1" collapsed="1" x14ac:dyDescent="0.25">
      <c r="A47" s="26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4.1382164287192218E-4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70</v>
      </c>
      <c r="U47" s="1"/>
      <c r="V47" s="5">
        <f t="shared" si="25"/>
        <v>2.1087513179695737E-4</v>
      </c>
      <c r="W47" s="1"/>
      <c r="X47" s="1">
        <f t="shared" si="26"/>
        <v>-70</v>
      </c>
      <c r="Y47" s="1"/>
      <c r="Z47" s="5">
        <f t="shared" si="27"/>
        <v>-1</v>
      </c>
    </row>
    <row r="48" spans="1:26" s="24" customFormat="1" hidden="1" outlineLevel="2" x14ac:dyDescent="0.25">
      <c r="A48" s="25"/>
      <c r="B48" s="11" t="str">
        <f>CONCATENATE("          ", "6307", " - ", "POSTAGE")</f>
        <v xml:space="preserve">          6307 - POSTAGE</v>
      </c>
      <c r="C48" s="11"/>
      <c r="D48" s="7"/>
      <c r="E48" s="2"/>
      <c r="F48" s="6">
        <f t="shared" si="20"/>
        <v>0</v>
      </c>
      <c r="G48" s="2"/>
      <c r="H48" s="7">
        <v>10</v>
      </c>
      <c r="I48" s="2"/>
      <c r="J48" s="6">
        <f t="shared" si="21"/>
        <v>4.1382164287192218E-4</v>
      </c>
      <c r="K48" s="2"/>
      <c r="L48" s="7">
        <f t="shared" si="22"/>
        <v>-10</v>
      </c>
      <c r="M48" s="2"/>
      <c r="N48" s="6">
        <f t="shared" si="23"/>
        <v>-1</v>
      </c>
      <c r="O48" s="11"/>
      <c r="P48" s="7"/>
      <c r="Q48" s="2"/>
      <c r="R48" s="6">
        <f t="shared" si="24"/>
        <v>0</v>
      </c>
      <c r="S48" s="2"/>
      <c r="T48" s="7">
        <v>70</v>
      </c>
      <c r="U48" s="2"/>
      <c r="V48" s="6">
        <f t="shared" si="25"/>
        <v>2.1087513179695737E-4</v>
      </c>
      <c r="W48" s="2"/>
      <c r="X48" s="7">
        <f t="shared" si="26"/>
        <v>-70</v>
      </c>
      <c r="Y48" s="2"/>
      <c r="Z48" s="6">
        <f t="shared" si="27"/>
        <v>-1</v>
      </c>
    </row>
    <row r="49" spans="1:26" s="27" customFormat="1" outlineLevel="1" collapsed="1" x14ac:dyDescent="0.25">
      <c r="A49" s="26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47.34</v>
      </c>
      <c r="E49" s="1"/>
      <c r="F49" s="5">
        <f t="shared" si="20"/>
        <v>1.9054902592175174E-3</v>
      </c>
      <c r="G49" s="1"/>
      <c r="H49" s="1">
        <f>SUM(OSRRefH22_6x_0)</f>
        <v>50</v>
      </c>
      <c r="I49" s="1"/>
      <c r="J49" s="5">
        <f t="shared" si="21"/>
        <v>2.0691082143596108E-3</v>
      </c>
      <c r="K49" s="1"/>
      <c r="L49" s="1">
        <f t="shared" si="22"/>
        <v>-2.6599999999999966</v>
      </c>
      <c r="M49" s="1"/>
      <c r="N49" s="5">
        <f t="shared" si="23"/>
        <v>-5.3199999999999935E-2</v>
      </c>
      <c r="O49" s="13"/>
      <c r="P49" s="1">
        <f>SUM(OSRRefP22_6x_0)</f>
        <v>47.34</v>
      </c>
      <c r="Q49" s="1"/>
      <c r="R49" s="5">
        <f t="shared" si="24"/>
        <v>2.4701922826058601E-4</v>
      </c>
      <c r="S49" s="1"/>
      <c r="T49" s="1">
        <f>SUM(OSRRefT22_6x_0)</f>
        <v>350</v>
      </c>
      <c r="U49" s="1"/>
      <c r="V49" s="5">
        <f t="shared" si="25"/>
        <v>1.0543756589847869E-3</v>
      </c>
      <c r="W49" s="1"/>
      <c r="X49" s="1">
        <f t="shared" si="26"/>
        <v>-302.65999999999997</v>
      </c>
      <c r="Y49" s="1"/>
      <c r="Z49" s="5">
        <f t="shared" si="27"/>
        <v>-0.86474285714285704</v>
      </c>
    </row>
    <row r="50" spans="1:26" s="24" customFormat="1" hidden="1" outlineLevel="2" x14ac:dyDescent="0.25">
      <c r="A50" s="25"/>
      <c r="B50" s="11" t="str">
        <f>CONCATENATE("          ", "6279", " - ", "GENERAL EXPENSE")</f>
        <v xml:space="preserve">          6279 - GENERAL EXPENSE</v>
      </c>
      <c r="C50" s="11"/>
      <c r="D50" s="7">
        <v>47.34</v>
      </c>
      <c r="E50" s="2"/>
      <c r="F50" s="6">
        <f t="shared" si="20"/>
        <v>1.9054902592175174E-3</v>
      </c>
      <c r="G50" s="2"/>
      <c r="H50" s="7">
        <v>50</v>
      </c>
      <c r="I50" s="2"/>
      <c r="J50" s="6">
        <f t="shared" si="21"/>
        <v>2.0691082143596108E-3</v>
      </c>
      <c r="K50" s="2"/>
      <c r="L50" s="7">
        <f t="shared" si="22"/>
        <v>-2.6599999999999966</v>
      </c>
      <c r="M50" s="2"/>
      <c r="N50" s="6">
        <f t="shared" si="23"/>
        <v>-5.3199999999999935E-2</v>
      </c>
      <c r="O50" s="11"/>
      <c r="P50" s="7">
        <v>47.34</v>
      </c>
      <c r="Q50" s="2"/>
      <c r="R50" s="6">
        <f t="shared" si="24"/>
        <v>2.4701922826058601E-4</v>
      </c>
      <c r="S50" s="2"/>
      <c r="T50" s="7">
        <v>350</v>
      </c>
      <c r="U50" s="2"/>
      <c r="V50" s="6">
        <f t="shared" si="25"/>
        <v>1.0543756589847869E-3</v>
      </c>
      <c r="W50" s="2"/>
      <c r="X50" s="7">
        <f t="shared" si="26"/>
        <v>-302.65999999999997</v>
      </c>
      <c r="Y50" s="2"/>
      <c r="Z50" s="6">
        <f t="shared" si="27"/>
        <v>-0.86474285714285704</v>
      </c>
    </row>
    <row r="51" spans="1:26" s="27" customFormat="1" outlineLevel="1" collapsed="1" x14ac:dyDescent="0.25">
      <c r="A51" s="26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1.1676863629045244E-3</v>
      </c>
      <c r="G51" s="1"/>
      <c r="H51" s="1">
        <f>SUM(OSRRefH22_7x_0)</f>
        <v>27</v>
      </c>
      <c r="I51" s="1"/>
      <c r="J51" s="5">
        <f t="shared" si="21"/>
        <v>1.1173184357541898E-3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203.07</v>
      </c>
      <c r="Q51" s="1"/>
      <c r="R51" s="5">
        <f t="shared" si="24"/>
        <v>1.0596154347882803E-3</v>
      </c>
      <c r="S51" s="1"/>
      <c r="T51" s="1">
        <f>SUM(OSRRefT22_7x_0)</f>
        <v>189</v>
      </c>
      <c r="U51" s="1"/>
      <c r="V51" s="5">
        <f t="shared" si="25"/>
        <v>5.6936285585178486E-4</v>
      </c>
      <c r="W51" s="1"/>
      <c r="X51" s="1">
        <f t="shared" si="26"/>
        <v>14.069999999999993</v>
      </c>
      <c r="Y51" s="1"/>
      <c r="Z51" s="5">
        <f t="shared" si="27"/>
        <v>7.444444444444441E-2</v>
      </c>
    </row>
    <row r="52" spans="1:26" s="24" customFormat="1" hidden="1" outlineLevel="2" x14ac:dyDescent="0.25">
      <c r="A52" s="25"/>
      <c r="B52" s="11" t="str">
        <f>CONCATENATE("          ", "6314", " - ", "LIABILITY INSURANCE")</f>
        <v xml:space="preserve">          6314 - LIABILITY INSURANCE</v>
      </c>
      <c r="C52" s="11"/>
      <c r="D52" s="7">
        <v>29.01</v>
      </c>
      <c r="E52" s="2"/>
      <c r="F52" s="6">
        <f t="shared" si="20"/>
        <v>1.1676863629045244E-3</v>
      </c>
      <c r="G52" s="2"/>
      <c r="H52" s="7">
        <v>27</v>
      </c>
      <c r="I52" s="2"/>
      <c r="J52" s="6">
        <f t="shared" si="21"/>
        <v>1.1173184357541898E-3</v>
      </c>
      <c r="K52" s="2"/>
      <c r="L52" s="7">
        <f t="shared" si="22"/>
        <v>2.0100000000000016</v>
      </c>
      <c r="M52" s="2"/>
      <c r="N52" s="6">
        <f t="shared" si="23"/>
        <v>7.4444444444444507E-2</v>
      </c>
      <c r="O52" s="11"/>
      <c r="P52" s="7">
        <v>203.07</v>
      </c>
      <c r="Q52" s="2"/>
      <c r="R52" s="6">
        <f t="shared" si="24"/>
        <v>1.0596154347882803E-3</v>
      </c>
      <c r="S52" s="2"/>
      <c r="T52" s="7">
        <v>189</v>
      </c>
      <c r="U52" s="2"/>
      <c r="V52" s="6">
        <f t="shared" si="25"/>
        <v>5.6936285585178486E-4</v>
      </c>
      <c r="W52" s="2"/>
      <c r="X52" s="7">
        <f t="shared" si="26"/>
        <v>14.069999999999993</v>
      </c>
      <c r="Y52" s="2"/>
      <c r="Z52" s="6">
        <f t="shared" si="27"/>
        <v>7.444444444444441E-2</v>
      </c>
    </row>
    <row r="53" spans="1:26" s="27" customFormat="1" outlineLevel="1" collapsed="1" x14ac:dyDescent="0.25">
      <c r="A53" s="26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1.6552865714876887E-2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2800</v>
      </c>
      <c r="U53" s="1"/>
      <c r="V53" s="5">
        <f t="shared" si="25"/>
        <v>8.4350052718782948E-3</v>
      </c>
      <c r="W53" s="1"/>
      <c r="X53" s="1">
        <f t="shared" si="26"/>
        <v>-2800</v>
      </c>
      <c r="Y53" s="1"/>
      <c r="Z53" s="5">
        <f t="shared" si="27"/>
        <v>-1</v>
      </c>
    </row>
    <row r="54" spans="1:26" s="24" customFormat="1" hidden="1" outlineLevel="2" x14ac:dyDescent="0.25">
      <c r="A54" s="25"/>
      <c r="B54" s="11" t="str">
        <f>CONCATENATE("          ", "6336", " - ", "PROFESSIONAL SERVICES")</f>
        <v xml:space="preserve">          6336 - PROFESSIONAL SERVICES</v>
      </c>
      <c r="C54" s="11"/>
      <c r="D54" s="7"/>
      <c r="E54" s="2"/>
      <c r="F54" s="6">
        <f t="shared" si="20"/>
        <v>0</v>
      </c>
      <c r="G54" s="2"/>
      <c r="H54" s="7">
        <v>400</v>
      </c>
      <c r="I54" s="2"/>
      <c r="J54" s="6">
        <f t="shared" si="21"/>
        <v>1.6552865714876887E-2</v>
      </c>
      <c r="K54" s="2"/>
      <c r="L54" s="7">
        <f t="shared" si="22"/>
        <v>-400</v>
      </c>
      <c r="M54" s="2"/>
      <c r="N54" s="6">
        <f t="shared" si="23"/>
        <v>-1</v>
      </c>
      <c r="O54" s="11"/>
      <c r="P54" s="7"/>
      <c r="Q54" s="2"/>
      <c r="R54" s="6">
        <f t="shared" si="24"/>
        <v>0</v>
      </c>
      <c r="S54" s="2"/>
      <c r="T54" s="7">
        <v>2800</v>
      </c>
      <c r="U54" s="2"/>
      <c r="V54" s="6">
        <f t="shared" si="25"/>
        <v>8.4350052718782948E-3</v>
      </c>
      <c r="W54" s="2"/>
      <c r="X54" s="7">
        <f t="shared" si="26"/>
        <v>-2800</v>
      </c>
      <c r="Y54" s="2"/>
      <c r="Z54" s="6">
        <f t="shared" si="27"/>
        <v>-1</v>
      </c>
    </row>
    <row r="55" spans="1:26" s="27" customFormat="1" outlineLevel="1" collapsed="1" x14ac:dyDescent="0.25">
      <c r="A55" s="26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-800</v>
      </c>
      <c r="E55" s="1"/>
      <c r="F55" s="5">
        <f t="shared" si="20"/>
        <v>-3.2200933827080988E-2</v>
      </c>
      <c r="G55" s="1"/>
      <c r="H55" s="1">
        <f>SUM(OSRRefH22_9x_0)</f>
        <v>800</v>
      </c>
      <c r="I55" s="1"/>
      <c r="J55" s="5">
        <f t="shared" si="21"/>
        <v>3.3105731429753774E-2</v>
      </c>
      <c r="K55" s="1"/>
      <c r="L55" s="1">
        <f t="shared" si="22"/>
        <v>-1600</v>
      </c>
      <c r="M55" s="1"/>
      <c r="N55" s="5">
        <f t="shared" si="23"/>
        <v>-2</v>
      </c>
      <c r="O55" s="13"/>
      <c r="P55" s="1">
        <f>SUM(OSRRefP22_9x_0)</f>
        <v>4000</v>
      </c>
      <c r="Q55" s="1"/>
      <c r="R55" s="5">
        <f t="shared" si="24"/>
        <v>2.0871924652352006E-2</v>
      </c>
      <c r="S55" s="1"/>
      <c r="T55" s="1">
        <f>SUM(OSRRefT22_9x_0)</f>
        <v>5600</v>
      </c>
      <c r="U55" s="1"/>
      <c r="V55" s="5">
        <f t="shared" si="25"/>
        <v>1.687001054375659E-2</v>
      </c>
      <c r="W55" s="1"/>
      <c r="X55" s="1">
        <f t="shared" si="26"/>
        <v>-1600</v>
      </c>
      <c r="Y55" s="1"/>
      <c r="Z55" s="5">
        <f t="shared" si="27"/>
        <v>-0.2857142857142857</v>
      </c>
    </row>
    <row r="56" spans="1:26" s="24" customFormat="1" hidden="1" outlineLevel="2" x14ac:dyDescent="0.25">
      <c r="A56" s="25"/>
      <c r="B56" s="11" t="str">
        <f>CONCATENATE("          ", "6273", " - ", "RENT")</f>
        <v xml:space="preserve">          6273 - RENT</v>
      </c>
      <c r="C56" s="11"/>
      <c r="D56" s="7">
        <v>-800</v>
      </c>
      <c r="E56" s="2"/>
      <c r="F56" s="6">
        <f t="shared" si="20"/>
        <v>-3.2200933827080988E-2</v>
      </c>
      <c r="G56" s="2"/>
      <c r="H56" s="7">
        <v>800</v>
      </c>
      <c r="I56" s="2"/>
      <c r="J56" s="6">
        <f t="shared" si="21"/>
        <v>3.3105731429753774E-2</v>
      </c>
      <c r="K56" s="2"/>
      <c r="L56" s="7">
        <f t="shared" si="22"/>
        <v>-1600</v>
      </c>
      <c r="M56" s="2"/>
      <c r="N56" s="6">
        <f t="shared" si="23"/>
        <v>-2</v>
      </c>
      <c r="O56" s="11"/>
      <c r="P56" s="7">
        <v>4000</v>
      </c>
      <c r="Q56" s="2"/>
      <c r="R56" s="6">
        <f t="shared" si="24"/>
        <v>2.0871924652352006E-2</v>
      </c>
      <c r="S56" s="2"/>
      <c r="T56" s="7">
        <v>5600</v>
      </c>
      <c r="U56" s="2"/>
      <c r="V56" s="6">
        <f t="shared" si="25"/>
        <v>1.687001054375659E-2</v>
      </c>
      <c r="W56" s="2"/>
      <c r="X56" s="7">
        <f t="shared" si="26"/>
        <v>-1600</v>
      </c>
      <c r="Y56" s="2"/>
      <c r="Z56" s="6">
        <f t="shared" si="27"/>
        <v>-0.2857142857142857</v>
      </c>
    </row>
    <row r="57" spans="1:26" s="27" customFormat="1" outlineLevel="1" collapsed="1" x14ac:dyDescent="0.25">
      <c r="A57" s="26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0</v>
      </c>
      <c r="E57" s="1"/>
      <c r="F57" s="5">
        <f t="shared" si="20"/>
        <v>0</v>
      </c>
      <c r="G57" s="1"/>
      <c r="H57" s="1">
        <f>SUM(OSRRefH22_10x_0)</f>
        <v>2000</v>
      </c>
      <c r="I57" s="1"/>
      <c r="J57" s="5">
        <f t="shared" si="21"/>
        <v>8.2764328574384441E-2</v>
      </c>
      <c r="K57" s="1"/>
      <c r="L57" s="1">
        <f t="shared" si="22"/>
        <v>-2000</v>
      </c>
      <c r="M57" s="1"/>
      <c r="N57" s="5">
        <f t="shared" si="23"/>
        <v>-1</v>
      </c>
      <c r="O57" s="13"/>
      <c r="P57" s="1">
        <f>SUM(OSRRefP22_10x_0)</f>
        <v>749.96</v>
      </c>
      <c r="Q57" s="1"/>
      <c r="R57" s="5">
        <f t="shared" si="24"/>
        <v>3.9132771530694778E-3</v>
      </c>
      <c r="S57" s="1"/>
      <c r="T57" s="1">
        <f>SUM(OSRRefT22_10x_0)</f>
        <v>139000</v>
      </c>
      <c r="U57" s="1"/>
      <c r="V57" s="5">
        <f t="shared" si="25"/>
        <v>0.41873776171110105</v>
      </c>
      <c r="W57" s="1"/>
      <c r="X57" s="1">
        <f t="shared" si="26"/>
        <v>-138250.04</v>
      </c>
      <c r="Y57" s="1"/>
      <c r="Z57" s="5">
        <f t="shared" si="27"/>
        <v>-0.99460460431654685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0"/>
        <v>0</v>
      </c>
      <c r="G58" s="2"/>
      <c r="H58" s="7"/>
      <c r="I58" s="2"/>
      <c r="J58" s="6">
        <f t="shared" si="21"/>
        <v>0</v>
      </c>
      <c r="K58" s="2"/>
      <c r="L58" s="7">
        <f t="shared" si="22"/>
        <v>0</v>
      </c>
      <c r="M58" s="2"/>
      <c r="N58" s="6">
        <f t="shared" si="23"/>
        <v>0</v>
      </c>
      <c r="O58" s="11"/>
      <c r="P58" s="7">
        <v>437.31</v>
      </c>
      <c r="Q58" s="2"/>
      <c r="R58" s="6">
        <f t="shared" si="24"/>
        <v>2.2818753424300136E-3</v>
      </c>
      <c r="S58" s="2"/>
      <c r="T58" s="7">
        <v>125000</v>
      </c>
      <c r="U58" s="2"/>
      <c r="V58" s="6">
        <f t="shared" si="25"/>
        <v>0.37656273535170959</v>
      </c>
      <c r="W58" s="2"/>
      <c r="X58" s="7">
        <f t="shared" si="26"/>
        <v>-124562.69</v>
      </c>
      <c r="Y58" s="2"/>
      <c r="Z58" s="6">
        <f t="shared" si="27"/>
        <v>-0.99650152000000003</v>
      </c>
    </row>
    <row r="59" spans="1:26" s="24" customFormat="1" hidden="1" outlineLevel="2" x14ac:dyDescent="0.25">
      <c r="A59" s="25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0"/>
        <v>0</v>
      </c>
      <c r="G59" s="2"/>
      <c r="H59" s="7">
        <v>2000</v>
      </c>
      <c r="I59" s="2"/>
      <c r="J59" s="6">
        <f t="shared" si="21"/>
        <v>8.2764328574384441E-2</v>
      </c>
      <c r="K59" s="2"/>
      <c r="L59" s="7">
        <f t="shared" si="22"/>
        <v>-2000</v>
      </c>
      <c r="M59" s="2"/>
      <c r="N59" s="6">
        <f t="shared" si="23"/>
        <v>-1</v>
      </c>
      <c r="O59" s="11"/>
      <c r="P59" s="7"/>
      <c r="Q59" s="2"/>
      <c r="R59" s="6">
        <f t="shared" si="24"/>
        <v>0</v>
      </c>
      <c r="S59" s="2"/>
      <c r="T59" s="7">
        <v>14000</v>
      </c>
      <c r="U59" s="2"/>
      <c r="V59" s="6">
        <f t="shared" si="25"/>
        <v>4.2175026359391472E-2</v>
      </c>
      <c r="W59" s="2"/>
      <c r="X59" s="7">
        <f t="shared" si="26"/>
        <v>-14000</v>
      </c>
      <c r="Y59" s="2"/>
      <c r="Z59" s="6">
        <f t="shared" si="27"/>
        <v>-1</v>
      </c>
    </row>
    <row r="60" spans="1:26" s="24" customFormat="1" hidden="1" outlineLevel="2" x14ac:dyDescent="0.25">
      <c r="A60" s="25"/>
      <c r="B60" s="11" t="str">
        <f>CONCATENATE("          ", "6375", " - ", "OUTSIDE REPAIRS &amp; MAINTENANCE")</f>
        <v xml:space="preserve">          6375 - OUTSIDE REPAIRS &amp; MAINTENANCE</v>
      </c>
      <c r="C60" s="11"/>
      <c r="D60" s="7"/>
      <c r="E60" s="2"/>
      <c r="F60" s="6">
        <f t="shared" si="20"/>
        <v>0</v>
      </c>
      <c r="G60" s="2"/>
      <c r="H60" s="7"/>
      <c r="I60" s="2"/>
      <c r="J60" s="6">
        <f t="shared" si="21"/>
        <v>0</v>
      </c>
      <c r="K60" s="2"/>
      <c r="L60" s="7">
        <f t="shared" si="22"/>
        <v>0</v>
      </c>
      <c r="M60" s="2"/>
      <c r="N60" s="6">
        <f t="shared" si="23"/>
        <v>0</v>
      </c>
      <c r="O60" s="11"/>
      <c r="P60" s="7">
        <v>312.64999999999998</v>
      </c>
      <c r="Q60" s="2"/>
      <c r="R60" s="6">
        <f t="shared" si="24"/>
        <v>1.6314018106394635E-3</v>
      </c>
      <c r="S60" s="2"/>
      <c r="T60" s="7"/>
      <c r="U60" s="2"/>
      <c r="V60" s="6">
        <f t="shared" si="25"/>
        <v>0</v>
      </c>
      <c r="W60" s="2"/>
      <c r="X60" s="7">
        <f t="shared" si="26"/>
        <v>312.64999999999998</v>
      </c>
      <c r="Y60" s="2"/>
      <c r="Z60" s="6">
        <f t="shared" si="27"/>
        <v>0</v>
      </c>
    </row>
    <row r="61" spans="1:26" s="27" customFormat="1" outlineLevel="1" collapsed="1" x14ac:dyDescent="0.25">
      <c r="A61" s="26"/>
      <c r="B61" s="13" t="str">
        <f>CONCATENATE("     ","Subscriptions &amp; Dues                              ")</f>
        <v xml:space="preserve">     Subscriptions &amp; Dues                              </v>
      </c>
      <c r="C61" s="13"/>
      <c r="D61" s="1">
        <f>SUM(OSRRefD22_11x_0)</f>
        <v>825</v>
      </c>
      <c r="E61" s="1"/>
      <c r="F61" s="5">
        <f t="shared" ref="F61:F66" si="28">IF(D$12=0,0,D61/D$12)</f>
        <v>3.3207213009177269E-2</v>
      </c>
      <c r="G61" s="1"/>
      <c r="H61" s="1">
        <f>SUM(OSRRefH22_11x_0)</f>
        <v>0</v>
      </c>
      <c r="I61" s="1"/>
      <c r="J61" s="5">
        <f t="shared" ref="J61:J66" si="29">IF(H$12=0,0,H61/H$12)</f>
        <v>0</v>
      </c>
      <c r="K61" s="1"/>
      <c r="L61" s="1">
        <f t="shared" ref="L61:L66" si="30">+D61-H61</f>
        <v>825</v>
      </c>
      <c r="M61" s="1"/>
      <c r="N61" s="5">
        <f t="shared" ref="N61:N66" si="31">IF(H61=0,0,L61/H61)</f>
        <v>0</v>
      </c>
      <c r="O61" s="13"/>
      <c r="P61" s="1">
        <f>SUM(OSRRefP22_11x_0)</f>
        <v>825</v>
      </c>
      <c r="Q61" s="1"/>
      <c r="R61" s="5">
        <f t="shared" ref="R61:R66" si="32">IF(P$12=0,0,P61/P$12)</f>
        <v>4.3048344595476009E-3</v>
      </c>
      <c r="S61" s="1"/>
      <c r="T61" s="1">
        <f>SUM(OSRRefT22_11x_0)</f>
        <v>0</v>
      </c>
      <c r="U61" s="1"/>
      <c r="V61" s="5">
        <f t="shared" ref="V61:V66" si="33">IF(T$12=0,0,T61/T$12)</f>
        <v>0</v>
      </c>
      <c r="W61" s="1"/>
      <c r="X61" s="1">
        <f t="shared" ref="X61:X66" si="34">+P61-T61</f>
        <v>825</v>
      </c>
      <c r="Y61" s="1"/>
      <c r="Z61" s="5">
        <f t="shared" ref="Z61:Z66" si="35">IF(T61=0,0,X61/T61)</f>
        <v>0</v>
      </c>
    </row>
    <row r="62" spans="1:26" s="24" customFormat="1" hidden="1" outlineLevel="2" x14ac:dyDescent="0.25">
      <c r="A62" s="25"/>
      <c r="B62" s="11" t="str">
        <f>CONCATENATE("          ", "6258", " - ", "MEMBERSHIP DUES")</f>
        <v xml:space="preserve">          6258 - MEMBERSHIP DUES</v>
      </c>
      <c r="C62" s="11"/>
      <c r="D62" s="7">
        <v>825</v>
      </c>
      <c r="E62" s="2"/>
      <c r="F62" s="6">
        <f t="shared" si="28"/>
        <v>3.3207213009177269E-2</v>
      </c>
      <c r="G62" s="2"/>
      <c r="H62" s="7"/>
      <c r="I62" s="2"/>
      <c r="J62" s="6">
        <f t="shared" si="29"/>
        <v>0</v>
      </c>
      <c r="K62" s="2"/>
      <c r="L62" s="7">
        <f t="shared" si="30"/>
        <v>825</v>
      </c>
      <c r="M62" s="2"/>
      <c r="N62" s="6">
        <f t="shared" si="31"/>
        <v>0</v>
      </c>
      <c r="O62" s="11"/>
      <c r="P62" s="7">
        <v>825</v>
      </c>
      <c r="Q62" s="2"/>
      <c r="R62" s="6">
        <f t="shared" si="32"/>
        <v>4.3048344595476009E-3</v>
      </c>
      <c r="S62" s="2"/>
      <c r="T62" s="7"/>
      <c r="U62" s="2"/>
      <c r="V62" s="6">
        <f t="shared" si="33"/>
        <v>0</v>
      </c>
      <c r="W62" s="2"/>
      <c r="X62" s="7">
        <f t="shared" si="34"/>
        <v>825</v>
      </c>
      <c r="Y62" s="2"/>
      <c r="Z62" s="6">
        <f t="shared" si="35"/>
        <v>0</v>
      </c>
    </row>
    <row r="63" spans="1:26" s="27" customFormat="1" outlineLevel="1" collapsed="1" x14ac:dyDescent="0.25">
      <c r="A63" s="26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SUM(OSRRefD22_12x_0)</f>
        <v>93.69</v>
      </c>
      <c r="E63" s="1"/>
      <c r="F63" s="5">
        <f t="shared" si="28"/>
        <v>3.7711318628240219E-3</v>
      </c>
      <c r="G63" s="1"/>
      <c r="H63" s="1">
        <f>SUM(OSRRefH22_12x_0)</f>
        <v>7000</v>
      </c>
      <c r="I63" s="1"/>
      <c r="J63" s="5">
        <f t="shared" si="29"/>
        <v>0.28967515001034555</v>
      </c>
      <c r="K63" s="1"/>
      <c r="L63" s="1">
        <f t="shared" si="30"/>
        <v>-6906.31</v>
      </c>
      <c r="M63" s="1"/>
      <c r="N63" s="5">
        <f t="shared" si="31"/>
        <v>-0.98661571428571437</v>
      </c>
      <c r="O63" s="13"/>
      <c r="P63" s="1">
        <f>SUM(OSRRefP22_12x_0)</f>
        <v>18654.350000000002</v>
      </c>
      <c r="Q63" s="1"/>
      <c r="R63" s="5">
        <f t="shared" si="32"/>
        <v>9.7338046909650672E-2</v>
      </c>
      <c r="S63" s="1"/>
      <c r="T63" s="1">
        <f>SUM(OSRRefT22_12x_0)</f>
        <v>49100</v>
      </c>
      <c r="U63" s="1"/>
      <c r="V63" s="5">
        <f t="shared" si="33"/>
        <v>0.14791384244615152</v>
      </c>
      <c r="W63" s="1"/>
      <c r="X63" s="1">
        <f t="shared" si="34"/>
        <v>-30445.649999999998</v>
      </c>
      <c r="Y63" s="1"/>
      <c r="Z63" s="5">
        <f t="shared" si="35"/>
        <v>-0.62007433808553969</v>
      </c>
    </row>
    <row r="64" spans="1:26" s="24" customFormat="1" hidden="1" outlineLevel="2" x14ac:dyDescent="0.25">
      <c r="A64" s="25"/>
      <c r="B64" s="11" t="str">
        <f>CONCATENATE("          ", "6234", " - ", "EXPENDABLE SUPPLIES &amp; EQUIPMEN")</f>
        <v xml:space="preserve">          6234 - EXPENDABLE SUPPLIES &amp; EQUIPMEN</v>
      </c>
      <c r="C64" s="11"/>
      <c r="D64" s="7"/>
      <c r="E64" s="2"/>
      <c r="F64" s="6">
        <f t="shared" si="28"/>
        <v>0</v>
      </c>
      <c r="G64" s="2"/>
      <c r="H64" s="7">
        <v>7000</v>
      </c>
      <c r="I64" s="2"/>
      <c r="J64" s="6">
        <f t="shared" si="29"/>
        <v>0.28967515001034555</v>
      </c>
      <c r="K64" s="2"/>
      <c r="L64" s="7">
        <f t="shared" si="30"/>
        <v>-7000</v>
      </c>
      <c r="M64" s="2"/>
      <c r="N64" s="6">
        <f t="shared" si="31"/>
        <v>-1</v>
      </c>
      <c r="O64" s="11"/>
      <c r="P64" s="7">
        <v>413.27</v>
      </c>
      <c r="Q64" s="2"/>
      <c r="R64" s="6">
        <f t="shared" si="32"/>
        <v>2.1564350752693784E-3</v>
      </c>
      <c r="S64" s="2"/>
      <c r="T64" s="7">
        <v>49100</v>
      </c>
      <c r="U64" s="2"/>
      <c r="V64" s="6">
        <f t="shared" si="33"/>
        <v>0.14791384244615152</v>
      </c>
      <c r="W64" s="2"/>
      <c r="X64" s="7">
        <f t="shared" si="34"/>
        <v>-48686.73</v>
      </c>
      <c r="Y64" s="2"/>
      <c r="Z64" s="6">
        <f t="shared" si="35"/>
        <v>-0.99158309572301429</v>
      </c>
    </row>
    <row r="65" spans="1:26" s="24" customFormat="1" hidden="1" outlineLevel="2" x14ac:dyDescent="0.25">
      <c r="A65" s="25"/>
      <c r="B65" s="11" t="str">
        <f>CONCATENATE("          ", "6241", " - ", "OFFICE EXPENSE")</f>
        <v xml:space="preserve">          6241 - OFFICE EXPENSE</v>
      </c>
      <c r="C65" s="11"/>
      <c r="D65" s="7">
        <v>11</v>
      </c>
      <c r="E65" s="2"/>
      <c r="F65" s="6">
        <f t="shared" si="28"/>
        <v>4.4276284012236352E-4</v>
      </c>
      <c r="G65" s="2"/>
      <c r="H65" s="7"/>
      <c r="I65" s="2"/>
      <c r="J65" s="6">
        <f t="shared" si="29"/>
        <v>0</v>
      </c>
      <c r="K65" s="2"/>
      <c r="L65" s="7">
        <f t="shared" si="30"/>
        <v>11</v>
      </c>
      <c r="M65" s="2"/>
      <c r="N65" s="6">
        <f t="shared" si="31"/>
        <v>0</v>
      </c>
      <c r="O65" s="11"/>
      <c r="P65" s="7">
        <v>18037.560000000001</v>
      </c>
      <c r="Q65" s="2"/>
      <c r="R65" s="6">
        <f t="shared" si="32"/>
        <v>9.4119648308069612E-2</v>
      </c>
      <c r="S65" s="2"/>
      <c r="T65" s="7"/>
      <c r="U65" s="2"/>
      <c r="V65" s="6">
        <f t="shared" si="33"/>
        <v>0</v>
      </c>
      <c r="W65" s="2"/>
      <c r="X65" s="7">
        <f t="shared" si="34"/>
        <v>18037.560000000001</v>
      </c>
      <c r="Y65" s="2"/>
      <c r="Z65" s="6">
        <f t="shared" si="35"/>
        <v>0</v>
      </c>
    </row>
    <row r="66" spans="1:26" s="24" customFormat="1" hidden="1" outlineLevel="2" x14ac:dyDescent="0.25">
      <c r="A66" s="25"/>
      <c r="B66" s="11" t="str">
        <f>CONCATENATE("          ", "6245", " - ", "PRINTING")</f>
        <v xml:space="preserve">          6245 - PRINTING</v>
      </c>
      <c r="C66" s="11"/>
      <c r="D66" s="7">
        <v>82.69</v>
      </c>
      <c r="E66" s="2"/>
      <c r="F66" s="6">
        <f t="shared" si="28"/>
        <v>3.3283690227016581E-3</v>
      </c>
      <c r="G66" s="2"/>
      <c r="H66" s="7"/>
      <c r="I66" s="2"/>
      <c r="J66" s="6">
        <f t="shared" si="29"/>
        <v>0</v>
      </c>
      <c r="K66" s="2"/>
      <c r="L66" s="7">
        <f t="shared" si="30"/>
        <v>82.69</v>
      </c>
      <c r="M66" s="2"/>
      <c r="N66" s="6">
        <f t="shared" si="31"/>
        <v>0</v>
      </c>
      <c r="O66" s="11"/>
      <c r="P66" s="7">
        <v>203.52</v>
      </c>
      <c r="Q66" s="2"/>
      <c r="R66" s="6">
        <f t="shared" si="32"/>
        <v>1.06196352631167E-3</v>
      </c>
      <c r="S66" s="2"/>
      <c r="T66" s="7"/>
      <c r="U66" s="2"/>
      <c r="V66" s="6">
        <f t="shared" si="33"/>
        <v>0</v>
      </c>
      <c r="W66" s="2"/>
      <c r="X66" s="7">
        <f t="shared" si="34"/>
        <v>203.52</v>
      </c>
      <c r="Y66" s="2"/>
      <c r="Z66" s="6">
        <f t="shared" si="35"/>
        <v>0</v>
      </c>
    </row>
    <row r="67" spans="1:26" s="27" customFormat="1" outlineLevel="1" collapsed="1" x14ac:dyDescent="0.25">
      <c r="A67" s="26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SUM(OSRRefD22_13x_0)</f>
        <v>182.65</v>
      </c>
      <c r="E67" s="1"/>
      <c r="F67" s="5">
        <f t="shared" ref="F67:F70" si="36">IF(D$12=0,0,D67/D$12)</f>
        <v>7.3518757043954273E-3</v>
      </c>
      <c r="G67" s="1"/>
      <c r="H67" s="1">
        <f>SUM(OSRRefH22_13x_0)</f>
        <v>350</v>
      </c>
      <c r="I67" s="1"/>
      <c r="J67" s="5">
        <f t="shared" ref="J67:J70" si="37">IF(H$12=0,0,H67/H$12)</f>
        <v>1.4483757500517277E-2</v>
      </c>
      <c r="K67" s="1"/>
      <c r="L67" s="1">
        <f t="shared" ref="L67:L70" si="38">+D67-H67</f>
        <v>-167.35</v>
      </c>
      <c r="M67" s="1"/>
      <c r="N67" s="5">
        <f t="shared" ref="N67:N70" si="39">IF(H67=0,0,L67/H67)</f>
        <v>-0.47814285714285715</v>
      </c>
      <c r="O67" s="13"/>
      <c r="P67" s="1">
        <f>SUM(OSRRefP22_13x_0)</f>
        <v>1314</v>
      </c>
      <c r="Q67" s="1"/>
      <c r="R67" s="5">
        <f t="shared" ref="R67:R70" si="40">IF(P$12=0,0,P67/P$12)</f>
        <v>6.8564272482976333E-3</v>
      </c>
      <c r="S67" s="1"/>
      <c r="T67" s="1">
        <f>SUM(OSRRefT22_13x_0)</f>
        <v>2450</v>
      </c>
      <c r="U67" s="1"/>
      <c r="V67" s="5">
        <f t="shared" ref="V67:V70" si="41">IF(T$12=0,0,T67/T$12)</f>
        <v>7.3806296128935082E-3</v>
      </c>
      <c r="W67" s="1"/>
      <c r="X67" s="1">
        <f t="shared" ref="X67:X70" si="42">+P67-T67</f>
        <v>-1136</v>
      </c>
      <c r="Y67" s="1"/>
      <c r="Z67" s="5">
        <f t="shared" ref="Z67:Z70" si="43">IF(T67=0,0,X67/T67)</f>
        <v>-0.46367346938775511</v>
      </c>
    </row>
    <row r="68" spans="1:26" s="24" customFormat="1" hidden="1" outlineLevel="2" x14ac:dyDescent="0.25">
      <c r="A68" s="25"/>
      <c r="B68" s="11" t="str">
        <f>CONCATENATE("          ", "6309", " - ", "TELEPHONE")</f>
        <v xml:space="preserve">          6309 - TELEPHONE</v>
      </c>
      <c r="C68" s="11"/>
      <c r="D68" s="7">
        <v>182.65</v>
      </c>
      <c r="E68" s="2"/>
      <c r="F68" s="6">
        <f t="shared" si="36"/>
        <v>7.3518757043954273E-3</v>
      </c>
      <c r="G68" s="2"/>
      <c r="H68" s="7">
        <v>350</v>
      </c>
      <c r="I68" s="2"/>
      <c r="J68" s="6">
        <f t="shared" si="37"/>
        <v>1.4483757500517277E-2</v>
      </c>
      <c r="K68" s="2"/>
      <c r="L68" s="7">
        <f t="shared" si="38"/>
        <v>-167.35</v>
      </c>
      <c r="M68" s="2"/>
      <c r="N68" s="6">
        <f t="shared" si="39"/>
        <v>-0.47814285714285715</v>
      </c>
      <c r="O68" s="11"/>
      <c r="P68" s="7">
        <v>1314</v>
      </c>
      <c r="Q68" s="2"/>
      <c r="R68" s="6">
        <f t="shared" si="40"/>
        <v>6.8564272482976333E-3</v>
      </c>
      <c r="S68" s="2"/>
      <c r="T68" s="7">
        <v>2450</v>
      </c>
      <c r="U68" s="2"/>
      <c r="V68" s="6">
        <f t="shared" si="41"/>
        <v>7.3806296128935082E-3</v>
      </c>
      <c r="W68" s="2"/>
      <c r="X68" s="7">
        <f t="shared" si="42"/>
        <v>-1136</v>
      </c>
      <c r="Y68" s="2"/>
      <c r="Z68" s="6">
        <f t="shared" si="43"/>
        <v>-0.46367346938775511</v>
      </c>
    </row>
    <row r="69" spans="1:26" s="27" customFormat="1" outlineLevel="1" collapsed="1" x14ac:dyDescent="0.25">
      <c r="A69" s="26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SUM(OSRRefD22_14x_0)</f>
        <v>0</v>
      </c>
      <c r="E69" s="1"/>
      <c r="F69" s="5">
        <f t="shared" si="36"/>
        <v>0</v>
      </c>
      <c r="G69" s="1"/>
      <c r="H69" s="1">
        <f>SUM(OSRRefH22_14x_0)</f>
        <v>0</v>
      </c>
      <c r="I69" s="1"/>
      <c r="J69" s="5">
        <f t="shared" si="37"/>
        <v>0</v>
      </c>
      <c r="K69" s="1"/>
      <c r="L69" s="1">
        <f t="shared" si="38"/>
        <v>0</v>
      </c>
      <c r="M69" s="1"/>
      <c r="N69" s="5">
        <f t="shared" si="39"/>
        <v>0</v>
      </c>
      <c r="O69" s="13"/>
      <c r="P69" s="1">
        <f>SUM(OSRRefP22_14x_0)</f>
        <v>0</v>
      </c>
      <c r="Q69" s="1"/>
      <c r="R69" s="5">
        <f t="shared" si="40"/>
        <v>0</v>
      </c>
      <c r="S69" s="1"/>
      <c r="T69" s="1">
        <f>SUM(OSRRefT22_14x_0)</f>
        <v>2500</v>
      </c>
      <c r="U69" s="1"/>
      <c r="V69" s="5">
        <f t="shared" si="41"/>
        <v>7.5312547070341919E-3</v>
      </c>
      <c r="W69" s="1"/>
      <c r="X69" s="1">
        <f t="shared" si="42"/>
        <v>-2500</v>
      </c>
      <c r="Y69" s="1"/>
      <c r="Z69" s="5">
        <f t="shared" si="43"/>
        <v>-1</v>
      </c>
    </row>
    <row r="70" spans="1:26" s="24" customFormat="1" hidden="1" outlineLevel="2" x14ac:dyDescent="0.25">
      <c r="A70" s="25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36"/>
        <v>0</v>
      </c>
      <c r="G70" s="2"/>
      <c r="H70" s="7"/>
      <c r="I70" s="2"/>
      <c r="J70" s="6">
        <f t="shared" si="37"/>
        <v>0</v>
      </c>
      <c r="K70" s="2"/>
      <c r="L70" s="7">
        <f t="shared" si="38"/>
        <v>0</v>
      </c>
      <c r="M70" s="2"/>
      <c r="N70" s="6">
        <f t="shared" si="39"/>
        <v>0</v>
      </c>
      <c r="O70" s="11"/>
      <c r="P70" s="7"/>
      <c r="Q70" s="2"/>
      <c r="R70" s="6">
        <f t="shared" si="40"/>
        <v>0</v>
      </c>
      <c r="S70" s="2"/>
      <c r="T70" s="7">
        <v>2500</v>
      </c>
      <c r="U70" s="2"/>
      <c r="V70" s="6">
        <f t="shared" si="41"/>
        <v>7.5312547070341919E-3</v>
      </c>
      <c r="W70" s="2"/>
      <c r="X70" s="7">
        <f t="shared" si="42"/>
        <v>-2500</v>
      </c>
      <c r="Y70" s="2"/>
      <c r="Z70" s="6">
        <f t="shared" si="43"/>
        <v>-1</v>
      </c>
    </row>
    <row r="71" spans="1:26" s="53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25">
      <c r="A72" s="10"/>
      <c r="B72" s="28" t="s">
        <v>0</v>
      </c>
      <c r="C72" s="10"/>
      <c r="D72" s="4">
        <f>SUM(OSRRefD25x_0)</f>
        <v>3460.41</v>
      </c>
      <c r="E72" s="4"/>
      <c r="F72" s="12">
        <f t="shared" ref="F72:F73" si="44">IF(D$12=0,0,D72/D$12)</f>
        <v>0.13928554178071165</v>
      </c>
      <c r="G72" s="4"/>
      <c r="H72" s="4">
        <f>SUM(OSRRefH25x_0)</f>
        <v>4000</v>
      </c>
      <c r="I72" s="4"/>
      <c r="J72" s="12">
        <f t="shared" ref="J72:J73" si="45">IF(H$12=0,0,H72/H$12)</f>
        <v>0.16552865714876888</v>
      </c>
      <c r="K72" s="4"/>
      <c r="L72" s="4">
        <f t="shared" ref="L72:L73" si="46">+D72-H72</f>
        <v>-539.59000000000015</v>
      </c>
      <c r="M72" s="4"/>
      <c r="N72" s="12">
        <f t="shared" ref="N72:N73" si="47">IF(H72=0,0,L72/H72)</f>
        <v>-0.13489750000000003</v>
      </c>
      <c r="O72" s="10"/>
      <c r="P72" s="4">
        <f>SUM(OSRRefP25x_0)</f>
        <v>17211.75</v>
      </c>
      <c r="Q72" s="4"/>
      <c r="R72" s="12">
        <f t="shared" ref="R72:R73" si="48">IF(P$12=0,0,P72/P$12)</f>
        <v>8.98105872837799E-2</v>
      </c>
      <c r="S72" s="4"/>
      <c r="T72" s="4">
        <f>SUM(OSRRefT25x_0)</f>
        <v>19450</v>
      </c>
      <c r="U72" s="4"/>
      <c r="V72" s="12">
        <f t="shared" ref="V72:V73" si="49">IF(T$12=0,0,T72/T$12)</f>
        <v>5.859316162072601E-2</v>
      </c>
      <c r="W72" s="4"/>
      <c r="X72" s="4">
        <f t="shared" ref="X72:X73" si="50">+P72-T72</f>
        <v>-2238.25</v>
      </c>
      <c r="Y72" s="4"/>
      <c r="Z72" s="12">
        <f t="shared" ref="Z72:Z73" si="51">IF(T72=0,0,X72/T72)</f>
        <v>-0.11507712082262211</v>
      </c>
    </row>
    <row r="73" spans="1:26" s="24" customFormat="1" hidden="1" outlineLevel="1" x14ac:dyDescent="0.25">
      <c r="A73" s="44"/>
      <c r="B73" s="11" t="str">
        <f>CONCATENATE("          ", "9150", " - ", "MISC. INCOME")</f>
        <v xml:space="preserve">          9150 - MISC. INCOME</v>
      </c>
      <c r="C73" s="11"/>
      <c r="D73" s="2">
        <f>--3460.41</f>
        <v>3460.41</v>
      </c>
      <c r="E73" s="2"/>
      <c r="F73" s="19">
        <f t="shared" si="44"/>
        <v>0.13928554178071165</v>
      </c>
      <c r="G73" s="2"/>
      <c r="H73" s="2">
        <v>4000</v>
      </c>
      <c r="I73" s="2"/>
      <c r="J73" s="19">
        <f t="shared" si="45"/>
        <v>0.16552865714876888</v>
      </c>
      <c r="K73" s="2"/>
      <c r="L73" s="2">
        <f t="shared" si="46"/>
        <v>-539.59000000000015</v>
      </c>
      <c r="M73" s="2"/>
      <c r="N73" s="19">
        <f t="shared" si="47"/>
        <v>-0.13489750000000003</v>
      </c>
      <c r="O73" s="11"/>
      <c r="P73" s="2">
        <f>--17211.75</f>
        <v>17211.75</v>
      </c>
      <c r="Q73" s="2"/>
      <c r="R73" s="19">
        <f t="shared" si="48"/>
        <v>8.98105872837799E-2</v>
      </c>
      <c r="S73" s="2"/>
      <c r="T73" s="2">
        <v>19450</v>
      </c>
      <c r="U73" s="2"/>
      <c r="V73" s="19">
        <f t="shared" si="49"/>
        <v>5.859316162072601E-2</v>
      </c>
      <c r="W73" s="2"/>
      <c r="X73" s="2">
        <f t="shared" si="50"/>
        <v>-2238.25</v>
      </c>
      <c r="Y73" s="2"/>
      <c r="Z73" s="19">
        <f t="shared" si="51"/>
        <v>-0.11507712082262211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9" t="s">
        <v>3</v>
      </c>
      <c r="C75" s="29"/>
      <c r="D75" s="21">
        <f>+D17-D19+D72</f>
        <v>2655.25</v>
      </c>
      <c r="E75" s="14"/>
      <c r="F75" s="20">
        <f>IF(D$12=0,0,D75/D$12)</f>
        <v>0.10687691193044599</v>
      </c>
      <c r="G75" s="14"/>
      <c r="H75" s="21">
        <f>+H17-H19+H72</f>
        <v>3169.976373942307</v>
      </c>
      <c r="I75" s="14"/>
      <c r="J75" s="20">
        <f>IF(H$12=0,0,H75/H$12)</f>
        <v>0.13118048309299843</v>
      </c>
      <c r="K75" s="16"/>
      <c r="L75" s="21">
        <f>+D75-H75</f>
        <v>-514.72637394230696</v>
      </c>
      <c r="M75" s="16"/>
      <c r="N75" s="20">
        <f>IF(H75=0,0,L75/H75)</f>
        <v>-0.16237546064173755</v>
      </c>
      <c r="O75" s="28"/>
      <c r="P75" s="21">
        <f>+P17-P19+P72</f>
        <v>17932.640000000072</v>
      </c>
      <c r="Q75" s="14"/>
      <c r="R75" s="20">
        <f>IF(P$12=0,0,P75/P$12)</f>
        <v>9.3572177724438793E-2</v>
      </c>
      <c r="S75" s="14"/>
      <c r="T75" s="21">
        <f>+T17-T19+T72</f>
        <v>43547.92633844231</v>
      </c>
      <c r="U75" s="14"/>
      <c r="V75" s="20">
        <f>IF(T$12=0,0,T75/T$12)</f>
        <v>0.13118821008718876</v>
      </c>
      <c r="W75" s="16"/>
      <c r="X75" s="21">
        <f>+P75-T75</f>
        <v>-25615.286338442238</v>
      </c>
      <c r="Y75" s="16"/>
      <c r="Z75" s="20">
        <f>IF(T75=0,0,X75/T75)</f>
        <v>-0.5882090949490314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2"/>
      <c r="B77" s="10" t="s">
        <v>14</v>
      </c>
      <c r="C77" s="10"/>
      <c r="D77" s="4">
        <v>1970.07</v>
      </c>
      <c r="E77" s="4"/>
      <c r="F77" s="12">
        <f>IF(D$12=0,0,D77/D$12)</f>
        <v>7.9297617130896794E-2</v>
      </c>
      <c r="G77" s="4"/>
      <c r="H77" s="4">
        <v>1224</v>
      </c>
      <c r="I77" s="4"/>
      <c r="J77" s="12">
        <f>IF(H$12=0,0,H77/H$12)</f>
        <v>5.065176908752328E-2</v>
      </c>
      <c r="K77" s="4"/>
      <c r="L77" s="4">
        <f>+D77-H77</f>
        <v>746.06999999999994</v>
      </c>
      <c r="M77" s="4"/>
      <c r="N77" s="12">
        <f>IF(H77=0,0,L77/H77)</f>
        <v>0.60953431372549016</v>
      </c>
      <c r="O77" s="10"/>
      <c r="P77" s="4">
        <v>19985.86</v>
      </c>
      <c r="Q77" s="4"/>
      <c r="R77" s="12">
        <f>IF(P$12=0,0,P77/P$12)</f>
        <v>0.10428584100811396</v>
      </c>
      <c r="S77" s="4"/>
      <c r="T77" s="4">
        <v>40871</v>
      </c>
      <c r="U77" s="4"/>
      <c r="V77" s="12">
        <f>IF(T$12=0,0,T77/T$12)</f>
        <v>0.12312396445247778</v>
      </c>
      <c r="W77" s="4"/>
      <c r="X77" s="4">
        <f>+P77-T77</f>
        <v>-20885.14</v>
      </c>
      <c r="Y77" s="4"/>
      <c r="Z77" s="12">
        <f>IF(T77=0,0,X77/T77)</f>
        <v>-0.51100144356634292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9" t="s">
        <v>4</v>
      </c>
      <c r="C79" s="29"/>
      <c r="D79" s="34">
        <f>+D75-D77</f>
        <v>685.18000000000006</v>
      </c>
      <c r="E79" s="14"/>
      <c r="F79" s="32">
        <f>IF(D$12=0,0,D79/D$12)</f>
        <v>2.7579294799549188E-2</v>
      </c>
      <c r="G79" s="14"/>
      <c r="H79" s="34">
        <f>+H75-H77</f>
        <v>1945.976373942307</v>
      </c>
      <c r="I79" s="14"/>
      <c r="J79" s="32">
        <f>IF(H$12=0,0,H79/H$12)</f>
        <v>8.0528714005475149E-2</v>
      </c>
      <c r="K79" s="16"/>
      <c r="L79" s="34">
        <f>D79-H79</f>
        <v>-1260.7963739423069</v>
      </c>
      <c r="M79" s="16"/>
      <c r="N79" s="32">
        <f>IF(H79=0,0,L79/H79)</f>
        <v>-0.64789911677503553</v>
      </c>
      <c r="O79" s="28"/>
      <c r="P79" s="34">
        <f>+P75-P77</f>
        <v>-2053.2199999999284</v>
      </c>
      <c r="Q79" s="14"/>
      <c r="R79" s="32">
        <f>IF(P$12=0,0,P79/P$12)</f>
        <v>-1.0713663283675172E-2</v>
      </c>
      <c r="S79" s="14"/>
      <c r="T79" s="34">
        <f>+T75-T77</f>
        <v>2676.9263384423102</v>
      </c>
      <c r="U79" s="14"/>
      <c r="V79" s="32">
        <f>IF(T$12=0,0,T79/T$12)</f>
        <v>8.0642456347109811E-3</v>
      </c>
      <c r="W79" s="16"/>
      <c r="X79" s="34">
        <f>P79-T79</f>
        <v>-4730.1463384422386</v>
      </c>
      <c r="Y79" s="16"/>
      <c r="Z79" s="32">
        <f>IF(T79=0,0,X79/T79)</f>
        <v>-1.7670065367561389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5</v>
      </c>
      <c r="C82" s="29"/>
      <c r="D82" s="31">
        <f>SUM(D79:D81)</f>
        <v>685.18000000000006</v>
      </c>
      <c r="E82" s="14"/>
      <c r="F82" s="30">
        <f>IF(D$12=0,0,D82/D$12)</f>
        <v>2.7579294799549188E-2</v>
      </c>
      <c r="G82" s="14"/>
      <c r="H82" s="31">
        <f>SUM(H79:H81)</f>
        <v>1945.976373942307</v>
      </c>
      <c r="I82" s="14"/>
      <c r="J82" s="30">
        <f>IF(H$12=0,0,H82/H$12)</f>
        <v>8.0528714005475149E-2</v>
      </c>
      <c r="K82" s="16"/>
      <c r="L82" s="31">
        <f>+D82-H82</f>
        <v>-1260.7963739423069</v>
      </c>
      <c r="M82" s="16"/>
      <c r="N82" s="30">
        <f>IF(H82=0,0,L82/H82)</f>
        <v>-0.64789911677503553</v>
      </c>
      <c r="O82" s="28"/>
      <c r="P82" s="31">
        <f>SUM(P79:P81)</f>
        <v>-2053.2199999999284</v>
      </c>
      <c r="Q82" s="14"/>
      <c r="R82" s="30">
        <f>IF(P$12=0,0,P82/P$12)</f>
        <v>-1.0713663283675172E-2</v>
      </c>
      <c r="S82" s="14"/>
      <c r="T82" s="31">
        <f>SUM(T79:T81)</f>
        <v>2676.9263384423102</v>
      </c>
      <c r="U82" s="14"/>
      <c r="V82" s="30">
        <f>IF(T$12=0,0,T82/T$12)</f>
        <v>8.0642456347109811E-3</v>
      </c>
      <c r="W82" s="16"/>
      <c r="X82" s="31">
        <f>+P82-T82</f>
        <v>-4730.1463384422386</v>
      </c>
      <c r="Y82" s="16"/>
      <c r="Z82" s="30">
        <f>IF(T82=0,0,X82/T82)</f>
        <v>-1.7670065367561389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63">
        <v>43879.545897187498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7" t="s">
        <v>314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60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7"/>
      <c r="F3" s="46"/>
      <c r="G3" s="17"/>
      <c r="H3" s="17"/>
      <c r="I3" s="17"/>
      <c r="J3" s="40"/>
      <c r="K3" s="17"/>
      <c r="L3" s="17"/>
      <c r="M3" s="17"/>
      <c r="N3" s="46"/>
      <c r="O3" s="54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9" t="str">
        <f>CONCATENATE("Period ",RIGHT(202007,2),", ",2020)</f>
        <v>Period 07, 2020</v>
      </c>
      <c r="E4" s="17"/>
      <c r="F4" s="46"/>
      <c r="G4" s="17"/>
      <c r="H4" s="17"/>
      <c r="I4" s="17"/>
      <c r="J4" s="40"/>
      <c r="K4" s="17"/>
      <c r="L4" s="17"/>
      <c r="M4" s="17"/>
      <c r="N4" s="46"/>
      <c r="O4" s="54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43862</v>
      </c>
      <c r="E5" s="17"/>
      <c r="F5" s="46"/>
      <c r="G5" s="17"/>
      <c r="H5" s="17"/>
      <c r="I5" s="17"/>
      <c r="J5" s="40"/>
      <c r="K5" s="17"/>
      <c r="L5" s="17"/>
      <c r="M5" s="17"/>
      <c r="N5" s="46"/>
      <c r="O5" s="54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5"/>
      <c r="C6" s="45"/>
      <c r="D6" s="23" t="str">
        <f>CONCATENATE("Department ","501", " - ", "ID Card Services")</f>
        <v>Department 501 - ID Card Services</v>
      </c>
      <c r="E6" s="17"/>
      <c r="F6" s="46"/>
      <c r="G6" s="17"/>
      <c r="H6" s="17"/>
      <c r="I6" s="17"/>
      <c r="J6" s="40"/>
      <c r="K6" s="17"/>
      <c r="L6" s="17"/>
      <c r="M6" s="17"/>
      <c r="N6" s="46"/>
      <c r="O6" s="56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8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8"/>
      <c r="W9" s="15"/>
      <c r="X9" s="15"/>
      <c r="Y9" s="15"/>
      <c r="Z9" s="37"/>
    </row>
    <row r="10" spans="1:26" x14ac:dyDescent="0.25">
      <c r="A10" s="10"/>
      <c r="B10" s="62"/>
      <c r="C10" s="10"/>
      <c r="D10" s="42" t="s">
        <v>10</v>
      </c>
      <c r="E10" s="33"/>
      <c r="F10" s="39" t="s">
        <v>15</v>
      </c>
      <c r="G10" s="33"/>
      <c r="H10" s="47" t="s">
        <v>11</v>
      </c>
      <c r="I10" s="33"/>
      <c r="J10" s="50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3"/>
      <c r="R10" s="39" t="s">
        <v>15</v>
      </c>
      <c r="S10" s="33"/>
      <c r="T10" s="47" t="s">
        <v>11</v>
      </c>
      <c r="U10" s="33"/>
      <c r="V10" s="50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24844</v>
      </c>
      <c r="E12" s="4"/>
      <c r="F12" s="12"/>
      <c r="G12" s="4"/>
      <c r="H12" s="4">
        <f>SUM(OSRRefH13x_0)</f>
        <v>24165</v>
      </c>
      <c r="I12" s="4"/>
      <c r="J12" s="12"/>
      <c r="K12" s="4"/>
      <c r="L12" s="4">
        <f t="shared" ref="L12:L13" si="0">+D12-H12</f>
        <v>679</v>
      </c>
      <c r="M12" s="4"/>
      <c r="N12" s="12">
        <f t="shared" ref="N12:N13" si="1">IF(H12=0,0,L12/H12)</f>
        <v>2.8098489551003518E-2</v>
      </c>
      <c r="O12" s="10"/>
      <c r="P12" s="4">
        <f>SUM(OSRRefP13x_0)</f>
        <v>191645</v>
      </c>
      <c r="Q12" s="4"/>
      <c r="R12" s="12"/>
      <c r="S12" s="4"/>
      <c r="T12" s="4">
        <f>SUM(OSRRefT13x_0)</f>
        <v>331950</v>
      </c>
      <c r="U12" s="4"/>
      <c r="V12" s="12"/>
      <c r="W12" s="4"/>
      <c r="X12" s="4">
        <f t="shared" ref="X12:X13" si="2">+P12-T12</f>
        <v>-140305</v>
      </c>
      <c r="Y12" s="4"/>
      <c r="Z12" s="12">
        <f t="shared" ref="Z12:Z13" si="3">IF(T12=0,0,X12/T12)</f>
        <v>-0.42266907666817294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--24844</f>
        <v>24844</v>
      </c>
      <c r="E13" s="2"/>
      <c r="F13" s="19"/>
      <c r="G13" s="2"/>
      <c r="H13" s="2">
        <v>24165</v>
      </c>
      <c r="I13" s="2"/>
      <c r="J13" s="19"/>
      <c r="K13" s="2"/>
      <c r="L13" s="2">
        <f t="shared" si="0"/>
        <v>679</v>
      </c>
      <c r="M13" s="2"/>
      <c r="N13" s="19">
        <f t="shared" si="1"/>
        <v>2.8098489551003518E-2</v>
      </c>
      <c r="O13" s="11"/>
      <c r="P13" s="2">
        <f>--191645</f>
        <v>191645</v>
      </c>
      <c r="Q13" s="2"/>
      <c r="R13" s="19"/>
      <c r="S13" s="2"/>
      <c r="T13" s="2">
        <v>331950</v>
      </c>
      <c r="U13" s="2"/>
      <c r="V13" s="19"/>
      <c r="W13" s="2"/>
      <c r="X13" s="2">
        <f t="shared" si="2"/>
        <v>-140305</v>
      </c>
      <c r="Y13" s="2"/>
      <c r="Z13" s="19">
        <f t="shared" si="3"/>
        <v>-0.42266907666817294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1">
        <f>D12-D15</f>
        <v>24844</v>
      </c>
      <c r="E17" s="14"/>
      <c r="F17" s="20">
        <f>IF(D$12=0,0,D17/D$12)</f>
        <v>1</v>
      </c>
      <c r="G17" s="14"/>
      <c r="H17" s="21">
        <f>H12-H15</f>
        <v>24165</v>
      </c>
      <c r="I17" s="14"/>
      <c r="J17" s="20">
        <f>IF(H$12=0,0,H17/H$12)</f>
        <v>1</v>
      </c>
      <c r="K17" s="16"/>
      <c r="L17" s="21">
        <f>+D17-H17</f>
        <v>679</v>
      </c>
      <c r="M17" s="16"/>
      <c r="N17" s="20">
        <f>IF(H17=0,0,L17/H17)</f>
        <v>2.8098489551003518E-2</v>
      </c>
      <c r="O17" s="28"/>
      <c r="P17" s="21">
        <f>P12-P15</f>
        <v>191645</v>
      </c>
      <c r="Q17" s="14"/>
      <c r="R17" s="20">
        <f>IF(P$12=0,0,P17/P$12)</f>
        <v>1</v>
      </c>
      <c r="S17" s="14"/>
      <c r="T17" s="21">
        <f>T12-T15</f>
        <v>331950</v>
      </c>
      <c r="U17" s="14"/>
      <c r="V17" s="20">
        <f>IF(T$12=0,0,T17/T$12)</f>
        <v>1</v>
      </c>
      <c r="W17" s="16"/>
      <c r="X17" s="21">
        <f>+P17-T17</f>
        <v>-140305</v>
      </c>
      <c r="Y17" s="16"/>
      <c r="Z17" s="20">
        <f>IF(T17=0,0,X17/T17)</f>
        <v>-0.42266907666817294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25649.16</v>
      </c>
      <c r="E19" s="22"/>
      <c r="F19" s="35">
        <f t="shared" ref="F19:F29" si="4">IF(D$12=0,0,D19/D$12)</f>
        <v>1.0324086298502657</v>
      </c>
      <c r="G19" s="22"/>
      <c r="H19" s="22">
        <f>SUM(OSRRefH22x_0)</f>
        <v>24995.023626057693</v>
      </c>
      <c r="I19" s="22"/>
      <c r="J19" s="35">
        <f t="shared" ref="J19:J29" si="5">IF(H$12=0,0,H19/H$12)</f>
        <v>1.0343481740557705</v>
      </c>
      <c r="K19" s="4"/>
      <c r="L19" s="22">
        <f t="shared" ref="L19:L29" si="6">+D19-H19</f>
        <v>654.13637394230682</v>
      </c>
      <c r="M19" s="4"/>
      <c r="N19" s="35">
        <f t="shared" ref="N19:N29" si="7">IF(H19=0,0,L19/H19)</f>
        <v>2.6170664358178868E-2</v>
      </c>
      <c r="O19" s="10"/>
      <c r="P19" s="22">
        <f>SUM(OSRRefP22x_0)</f>
        <v>190924.10999999993</v>
      </c>
      <c r="Q19" s="22"/>
      <c r="R19" s="35">
        <f t="shared" ref="R19:R29" si="8">IF(P$12=0,0,P19/P$12)</f>
        <v>0.99623840955934106</v>
      </c>
      <c r="S19" s="22"/>
      <c r="T19" s="22">
        <f>SUM(OSRRefT22x_0)</f>
        <v>307852.07366155769</v>
      </c>
      <c r="U19" s="22"/>
      <c r="V19" s="35">
        <f t="shared" ref="V19:V29" si="9">IF(T$12=0,0,T19/T$12)</f>
        <v>0.9274049515335373</v>
      </c>
      <c r="W19" s="4"/>
      <c r="X19" s="22">
        <f t="shared" ref="X19:X29" si="10">+P19-T19</f>
        <v>-116927.96366155776</v>
      </c>
      <c r="Y19" s="4"/>
      <c r="Z19" s="35">
        <f t="shared" ref="Z19:Z29" si="11">IF(T19=0,0,X19/T19)</f>
        <v>-0.37981866508427181</v>
      </c>
    </row>
    <row r="20" spans="1:26" s="27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4285.4500000000007</v>
      </c>
      <c r="E20" s="1"/>
      <c r="F20" s="5">
        <f t="shared" si="4"/>
        <v>0.17249436483658029</v>
      </c>
      <c r="G20" s="1"/>
      <c r="H20" s="1">
        <f>SUM(OSRRefH22_0x_0)</f>
        <v>1107.8630491346148</v>
      </c>
      <c r="I20" s="1"/>
      <c r="J20" s="5">
        <f t="shared" si="5"/>
        <v>4.5845770706998336E-2</v>
      </c>
      <c r="K20" s="1"/>
      <c r="L20" s="1">
        <f t="shared" si="6"/>
        <v>3177.5869508653859</v>
      </c>
      <c r="M20" s="1"/>
      <c r="N20" s="5">
        <f t="shared" si="7"/>
        <v>2.8682127753493489</v>
      </c>
      <c r="O20" s="13"/>
      <c r="P20" s="1">
        <f>SUM(OSRRefP22_0x_0)</f>
        <v>31385.910000000003</v>
      </c>
      <c r="Q20" s="1"/>
      <c r="R20" s="5">
        <f t="shared" si="8"/>
        <v>0.16377108716637534</v>
      </c>
      <c r="S20" s="1"/>
      <c r="T20" s="1">
        <f>SUM(OSRRefT22_0x_0)</f>
        <v>9221.6980846346123</v>
      </c>
      <c r="U20" s="1"/>
      <c r="V20" s="5">
        <f t="shared" si="9"/>
        <v>2.7780382842701047E-2</v>
      </c>
      <c r="W20" s="1"/>
      <c r="X20" s="1">
        <f t="shared" si="10"/>
        <v>22164.211915365391</v>
      </c>
      <c r="Y20" s="1"/>
      <c r="Z20" s="5">
        <f t="shared" si="11"/>
        <v>2.4034848801107325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7">
        <v>920.98</v>
      </c>
      <c r="E21" s="2"/>
      <c r="F21" s="6">
        <f t="shared" si="4"/>
        <v>3.7070520045081309E-2</v>
      </c>
      <c r="G21" s="2"/>
      <c r="H21" s="7">
        <v>353.765076057692</v>
      </c>
      <c r="I21" s="2"/>
      <c r="J21" s="6">
        <f t="shared" si="5"/>
        <v>1.4639564496490461E-2</v>
      </c>
      <c r="K21" s="2"/>
      <c r="L21" s="7">
        <f t="shared" si="6"/>
        <v>567.21492394230802</v>
      </c>
      <c r="M21" s="2"/>
      <c r="N21" s="6">
        <f t="shared" si="7"/>
        <v>1.6033660819865854</v>
      </c>
      <c r="O21" s="11"/>
      <c r="P21" s="7">
        <v>7717.72</v>
      </c>
      <c r="Q21" s="2"/>
      <c r="R21" s="6">
        <f t="shared" si="8"/>
        <v>4.0270917581987531E-2</v>
      </c>
      <c r="S21" s="2"/>
      <c r="T21" s="7">
        <v>3617.2606515576899</v>
      </c>
      <c r="U21" s="2"/>
      <c r="V21" s="6">
        <f t="shared" si="9"/>
        <v>1.0897004523445369E-2</v>
      </c>
      <c r="W21" s="2"/>
      <c r="X21" s="7">
        <f t="shared" si="10"/>
        <v>4100.4593484423103</v>
      </c>
      <c r="Y21" s="2"/>
      <c r="Z21" s="6">
        <f t="shared" si="11"/>
        <v>1.1335813875277532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7">
        <v>50.97</v>
      </c>
      <c r="E22" s="2"/>
      <c r="F22" s="6">
        <f t="shared" si="4"/>
        <v>2.0516019964578972E-3</v>
      </c>
      <c r="G22" s="2"/>
      <c r="H22" s="7">
        <v>207.74252884615402</v>
      </c>
      <c r="I22" s="2"/>
      <c r="J22" s="6">
        <f t="shared" si="5"/>
        <v>8.596835458148315E-3</v>
      </c>
      <c r="K22" s="2"/>
      <c r="L22" s="7">
        <f t="shared" si="6"/>
        <v>-156.77252884615402</v>
      </c>
      <c r="M22" s="2"/>
      <c r="N22" s="6">
        <f t="shared" si="7"/>
        <v>-0.75464821631324996</v>
      </c>
      <c r="O22" s="11"/>
      <c r="P22" s="7">
        <v>338.26</v>
      </c>
      <c r="Q22" s="2"/>
      <c r="R22" s="6">
        <f t="shared" si="8"/>
        <v>1.7650343082261473E-3</v>
      </c>
      <c r="S22" s="2"/>
      <c r="T22" s="7">
        <v>1575.1411788461539</v>
      </c>
      <c r="U22" s="2"/>
      <c r="V22" s="6">
        <f t="shared" si="9"/>
        <v>4.7451157669713929E-3</v>
      </c>
      <c r="W22" s="2"/>
      <c r="X22" s="7">
        <f t="shared" si="10"/>
        <v>-1236.8811788461539</v>
      </c>
      <c r="Y22" s="2"/>
      <c r="Z22" s="6">
        <f t="shared" si="11"/>
        <v>-0.78525099556613254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7">
        <v>1298.72</v>
      </c>
      <c r="E23" s="2"/>
      <c r="F23" s="6">
        <f t="shared" si="4"/>
        <v>5.2274995974883276E-2</v>
      </c>
      <c r="G23" s="2"/>
      <c r="H23" s="7">
        <v>138.1</v>
      </c>
      <c r="I23" s="2"/>
      <c r="J23" s="6">
        <f t="shared" si="5"/>
        <v>5.714876888061245E-3</v>
      </c>
      <c r="K23" s="2"/>
      <c r="L23" s="7">
        <f t="shared" si="6"/>
        <v>1160.6200000000001</v>
      </c>
      <c r="M23" s="2"/>
      <c r="N23" s="6">
        <f t="shared" si="7"/>
        <v>8.4041998551774082</v>
      </c>
      <c r="O23" s="11"/>
      <c r="P23" s="7">
        <v>8758.58</v>
      </c>
      <c r="Q23" s="2"/>
      <c r="R23" s="6">
        <f t="shared" si="8"/>
        <v>4.5702105455399308E-2</v>
      </c>
      <c r="S23" s="2"/>
      <c r="T23" s="7">
        <v>966.7</v>
      </c>
      <c r="U23" s="2"/>
      <c r="V23" s="6">
        <f t="shared" si="9"/>
        <v>2.9121855701159816E-3</v>
      </c>
      <c r="W23" s="2"/>
      <c r="X23" s="7">
        <f t="shared" si="10"/>
        <v>7791.88</v>
      </c>
      <c r="Y23" s="2"/>
      <c r="Z23" s="6">
        <f t="shared" si="11"/>
        <v>8.060287576290472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39.020000000000003</v>
      </c>
      <c r="E24" s="2"/>
      <c r="F24" s="6">
        <f t="shared" si="4"/>
        <v>1.5706005474158751E-3</v>
      </c>
      <c r="G24" s="2"/>
      <c r="H24" s="7">
        <v>28.427924999999998</v>
      </c>
      <c r="I24" s="2"/>
      <c r="J24" s="6">
        <f t="shared" si="5"/>
        <v>1.1764090626939789E-3</v>
      </c>
      <c r="K24" s="2"/>
      <c r="L24" s="7">
        <f t="shared" si="6"/>
        <v>10.592075000000005</v>
      </c>
      <c r="M24" s="2"/>
      <c r="N24" s="6">
        <f t="shared" si="7"/>
        <v>0.372594025065143</v>
      </c>
      <c r="O24" s="11"/>
      <c r="P24" s="7">
        <v>327.96</v>
      </c>
      <c r="Q24" s="2"/>
      <c r="R24" s="6">
        <f t="shared" si="8"/>
        <v>1.7112891022463407E-3</v>
      </c>
      <c r="S24" s="2"/>
      <c r="T24" s="7">
        <v>215.545635</v>
      </c>
      <c r="U24" s="2"/>
      <c r="V24" s="6">
        <f t="shared" si="9"/>
        <v>6.4933163126976959E-4</v>
      </c>
      <c r="W24" s="2"/>
      <c r="X24" s="7">
        <f t="shared" si="10"/>
        <v>112.41436499999998</v>
      </c>
      <c r="Y24" s="2"/>
      <c r="Z24" s="6">
        <f t="shared" si="11"/>
        <v>0.52153394338048165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7">
        <v>959.21</v>
      </c>
      <c r="E25" s="2"/>
      <c r="F25" s="6">
        <f t="shared" si="4"/>
        <v>3.8609322170342943E-2</v>
      </c>
      <c r="G25" s="2"/>
      <c r="H25" s="7">
        <v>71.170788461538493</v>
      </c>
      <c r="I25" s="2"/>
      <c r="J25" s="6">
        <f t="shared" si="5"/>
        <v>2.9452012605643905E-3</v>
      </c>
      <c r="K25" s="2"/>
      <c r="L25" s="7">
        <f t="shared" si="6"/>
        <v>888.03921153846159</v>
      </c>
      <c r="M25" s="2"/>
      <c r="N25" s="6">
        <f t="shared" si="7"/>
        <v>12.477580068097295</v>
      </c>
      <c r="O25" s="11"/>
      <c r="P25" s="7">
        <v>5566.45</v>
      </c>
      <c r="Q25" s="2"/>
      <c r="R25" s="6">
        <f t="shared" si="8"/>
        <v>2.9045631245271205E-2</v>
      </c>
      <c r="S25" s="2"/>
      <c r="T25" s="7">
        <v>441.25888846153873</v>
      </c>
      <c r="U25" s="2"/>
      <c r="V25" s="6">
        <f t="shared" si="9"/>
        <v>1.3292932322986556E-3</v>
      </c>
      <c r="W25" s="2"/>
      <c r="X25" s="7">
        <f t="shared" si="10"/>
        <v>5125.191111538461</v>
      </c>
      <c r="Y25" s="2"/>
      <c r="Z25" s="6">
        <f t="shared" si="11"/>
        <v>11.614930023070087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7">
        <v>577.95000000000005</v>
      </c>
      <c r="E27" s="2"/>
      <c r="F27" s="6">
        <f t="shared" si="4"/>
        <v>2.326316213170182E-2</v>
      </c>
      <c r="G27" s="2"/>
      <c r="H27" s="7">
        <v>41.3783653846154</v>
      </c>
      <c r="I27" s="2"/>
      <c r="J27" s="6">
        <f t="shared" si="5"/>
        <v>1.7123263142816221E-3</v>
      </c>
      <c r="K27" s="2"/>
      <c r="L27" s="7">
        <f t="shared" si="6"/>
        <v>536.5716346153846</v>
      </c>
      <c r="M27" s="2"/>
      <c r="N27" s="6">
        <f t="shared" si="7"/>
        <v>12.967443968071381</v>
      </c>
      <c r="O27" s="11"/>
      <c r="P27" s="7">
        <v>5070.83</v>
      </c>
      <c r="Q27" s="2"/>
      <c r="R27" s="6">
        <f t="shared" si="8"/>
        <v>2.6459495421221529E-2</v>
      </c>
      <c r="S27" s="2"/>
      <c r="T27" s="7">
        <v>256.54586538461541</v>
      </c>
      <c r="U27" s="2"/>
      <c r="V27" s="6">
        <f t="shared" si="9"/>
        <v>7.7284490249921801E-4</v>
      </c>
      <c r="W27" s="2"/>
      <c r="X27" s="7">
        <f t="shared" si="10"/>
        <v>4814.2841346153846</v>
      </c>
      <c r="Y27" s="2"/>
      <c r="Z27" s="6">
        <f t="shared" si="11"/>
        <v>18.76578337131949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7">
        <v>288.58</v>
      </c>
      <c r="E28" s="2"/>
      <c r="F28" s="6">
        <f t="shared" si="4"/>
        <v>1.1615681854773787E-2</v>
      </c>
      <c r="G28" s="2"/>
      <c r="H28" s="7">
        <v>117.27836538461499</v>
      </c>
      <c r="I28" s="2"/>
      <c r="J28" s="6">
        <f t="shared" si="5"/>
        <v>4.8532325836794944E-3</v>
      </c>
      <c r="K28" s="2"/>
      <c r="L28" s="7">
        <f t="shared" si="6"/>
        <v>171.30163461538501</v>
      </c>
      <c r="M28" s="2"/>
      <c r="N28" s="6">
        <f t="shared" si="7"/>
        <v>1.4606413898556689</v>
      </c>
      <c r="O28" s="11"/>
      <c r="P28" s="7">
        <v>2554.2800000000002</v>
      </c>
      <c r="Q28" s="2"/>
      <c r="R28" s="6">
        <f t="shared" si="8"/>
        <v>1.3328184925252421E-2</v>
      </c>
      <c r="S28" s="2"/>
      <c r="T28" s="7">
        <v>1099.2458653846138</v>
      </c>
      <c r="U28" s="2"/>
      <c r="V28" s="6">
        <f t="shared" si="9"/>
        <v>3.3114802391462986E-3</v>
      </c>
      <c r="W28" s="2"/>
      <c r="X28" s="7">
        <f t="shared" si="10"/>
        <v>1455.0341346153864</v>
      </c>
      <c r="Y28" s="2"/>
      <c r="Z28" s="6">
        <f t="shared" si="11"/>
        <v>1.3236657789076935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7">
        <v>150.02000000000001</v>
      </c>
      <c r="E29" s="2"/>
      <c r="F29" s="6">
        <f t="shared" si="4"/>
        <v>6.0384801159233618E-3</v>
      </c>
      <c r="G29" s="2"/>
      <c r="H29" s="7">
        <v>150</v>
      </c>
      <c r="I29" s="2"/>
      <c r="J29" s="6">
        <f t="shared" si="5"/>
        <v>6.2073246430788334E-3</v>
      </c>
      <c r="K29" s="2"/>
      <c r="L29" s="7">
        <f t="shared" si="6"/>
        <v>2.0000000000010232E-2</v>
      </c>
      <c r="M29" s="2"/>
      <c r="N29" s="6">
        <f t="shared" si="7"/>
        <v>1.3333333333340154E-4</v>
      </c>
      <c r="O29" s="11"/>
      <c r="P29" s="7">
        <v>1051.83</v>
      </c>
      <c r="Q29" s="2"/>
      <c r="R29" s="6">
        <f t="shared" si="8"/>
        <v>5.488429126770852E-3</v>
      </c>
      <c r="S29" s="2"/>
      <c r="T29" s="7">
        <v>1050</v>
      </c>
      <c r="U29" s="2"/>
      <c r="V29" s="6">
        <f t="shared" si="9"/>
        <v>3.1631269769543608E-3</v>
      </c>
      <c r="W29" s="2"/>
      <c r="X29" s="7">
        <f t="shared" si="10"/>
        <v>1.8299999999999272</v>
      </c>
      <c r="Y29" s="2"/>
      <c r="Z29" s="6">
        <f t="shared" si="11"/>
        <v>1.7428571428570736E-3</v>
      </c>
    </row>
    <row r="30" spans="1:26" s="27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19262.39</v>
      </c>
      <c r="E30" s="1"/>
      <c r="F30" s="5">
        <f t="shared" ref="F30:F40" si="12">IF(D$12=0,0,D30/D$12)</f>
        <v>0.77533368217678311</v>
      </c>
      <c r="G30" s="1"/>
      <c r="H30" s="1">
        <f>SUM(OSRRefH22_1x_0)</f>
        <v>10775.160576923077</v>
      </c>
      <c r="I30" s="1"/>
      <c r="J30" s="5">
        <f t="shared" ref="J30:J40" si="13">IF(H$12=0,0,H30/H$12)</f>
        <v>0.4458994652151077</v>
      </c>
      <c r="K30" s="1"/>
      <c r="L30" s="1">
        <f t="shared" ref="L30:L40" si="14">+D30-H30</f>
        <v>8487.2294230769221</v>
      </c>
      <c r="M30" s="1"/>
      <c r="N30" s="5">
        <f t="shared" ref="N30:N40" si="15">IF(H30=0,0,L30/H30)</f>
        <v>0.78766616631717146</v>
      </c>
      <c r="O30" s="13"/>
      <c r="P30" s="1">
        <f>SUM(OSRRefP22_1x_0)</f>
        <v>119293.84000000001</v>
      </c>
      <c r="Q30" s="1"/>
      <c r="R30" s="5">
        <f t="shared" ref="R30:R40" si="16">IF(P$12=0,0,P30/P$12)</f>
        <v>0.62247300999243393</v>
      </c>
      <c r="S30" s="1"/>
      <c r="T30" s="1">
        <f>SUM(OSRRefT22_1x_0)</f>
        <v>81546.375576923077</v>
      </c>
      <c r="U30" s="1"/>
      <c r="V30" s="5">
        <f t="shared" ref="V30:V40" si="17">IF(T$12=0,0,T30/T$12)</f>
        <v>0.245658609962112</v>
      </c>
      <c r="W30" s="1"/>
      <c r="X30" s="1">
        <f t="shared" ref="X30:X40" si="18">+P30-T30</f>
        <v>37747.464423076934</v>
      </c>
      <c r="Y30" s="1"/>
      <c r="Z30" s="5">
        <f t="shared" ref="Z30:Z40" si="19">IF(T30=0,0,X30/T30)</f>
        <v>0.46289567324141306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7">
        <v>6881.99</v>
      </c>
      <c r="E32" s="2"/>
      <c r="F32" s="6">
        <f t="shared" si="12"/>
        <v>0.27700813073579134</v>
      </c>
      <c r="G32" s="2"/>
      <c r="H32" s="7">
        <v>744.81057692307706</v>
      </c>
      <c r="I32" s="2"/>
      <c r="J32" s="6">
        <f t="shared" si="13"/>
        <v>3.0821873657069194E-2</v>
      </c>
      <c r="K32" s="2"/>
      <c r="L32" s="7">
        <f t="shared" si="14"/>
        <v>6137.1794230769228</v>
      </c>
      <c r="M32" s="2"/>
      <c r="N32" s="6">
        <f t="shared" si="15"/>
        <v>8.2399198040802819</v>
      </c>
      <c r="O32" s="11"/>
      <c r="P32" s="7">
        <v>41381.870000000003</v>
      </c>
      <c r="Q32" s="2"/>
      <c r="R32" s="6">
        <f t="shared" si="16"/>
        <v>0.21592981815335649</v>
      </c>
      <c r="S32" s="2"/>
      <c r="T32" s="7">
        <v>4617.8255769230791</v>
      </c>
      <c r="U32" s="2"/>
      <c r="V32" s="6">
        <f t="shared" si="17"/>
        <v>1.3911208244985929E-2</v>
      </c>
      <c r="W32" s="2"/>
      <c r="X32" s="7">
        <f t="shared" si="18"/>
        <v>36764.044423076921</v>
      </c>
      <c r="Y32" s="2"/>
      <c r="Z32" s="6">
        <f t="shared" si="19"/>
        <v>7.9613324086557009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3719.1</v>
      </c>
      <c r="I34" s="2"/>
      <c r="J34" s="6">
        <f t="shared" si="13"/>
        <v>0.15390440720049658</v>
      </c>
      <c r="K34" s="2"/>
      <c r="L34" s="7">
        <f t="shared" si="14"/>
        <v>-3719.1</v>
      </c>
      <c r="M34" s="2"/>
      <c r="N34" s="6">
        <f t="shared" si="15"/>
        <v>-1</v>
      </c>
      <c r="O34" s="11"/>
      <c r="P34" s="7"/>
      <c r="Q34" s="2"/>
      <c r="R34" s="6">
        <f t="shared" si="16"/>
        <v>0</v>
      </c>
      <c r="S34" s="2"/>
      <c r="T34" s="7">
        <v>21300.3</v>
      </c>
      <c r="U34" s="2"/>
      <c r="V34" s="6">
        <f t="shared" si="17"/>
        <v>6.4167193854496152E-2</v>
      </c>
      <c r="W34" s="2"/>
      <c r="X34" s="7">
        <f t="shared" si="18"/>
        <v>-21300.3</v>
      </c>
      <c r="Y34" s="2"/>
      <c r="Z34" s="6">
        <f t="shared" si="19"/>
        <v>-1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7">
        <v>6157.33</v>
      </c>
      <c r="E35" s="2"/>
      <c r="F35" s="6">
        <f t="shared" si="12"/>
        <v>0.24783971985187569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6157.33</v>
      </c>
      <c r="M35" s="2"/>
      <c r="N35" s="6">
        <f t="shared" si="15"/>
        <v>0</v>
      </c>
      <c r="O35" s="11"/>
      <c r="P35" s="7">
        <v>51094.64</v>
      </c>
      <c r="Q35" s="2"/>
      <c r="R35" s="6">
        <f t="shared" si="16"/>
        <v>0.26661086905476272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51094.64</v>
      </c>
      <c r="Y35" s="2"/>
      <c r="Z35" s="6">
        <f t="shared" si="19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7">
        <v>5974.57</v>
      </c>
      <c r="E37" s="2"/>
      <c r="F37" s="6">
        <f t="shared" si="12"/>
        <v>0.24048341651907904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5974.57</v>
      </c>
      <c r="M37" s="2"/>
      <c r="N37" s="6">
        <f t="shared" si="15"/>
        <v>0</v>
      </c>
      <c r="O37" s="11"/>
      <c r="P37" s="7">
        <v>22619.5</v>
      </c>
      <c r="Q37" s="2"/>
      <c r="R37" s="6">
        <f t="shared" si="16"/>
        <v>0.11802812491846905</v>
      </c>
      <c r="S37" s="2"/>
      <c r="T37" s="7">
        <v>19992</v>
      </c>
      <c r="U37" s="2"/>
      <c r="V37" s="6">
        <f t="shared" si="17"/>
        <v>6.0225937641211029E-2</v>
      </c>
      <c r="W37" s="2"/>
      <c r="X37" s="7">
        <f t="shared" si="18"/>
        <v>2627.5</v>
      </c>
      <c r="Y37" s="2"/>
      <c r="Z37" s="6">
        <f t="shared" si="19"/>
        <v>0.13142757102841138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7">
        <v>248.5</v>
      </c>
      <c r="E38" s="2"/>
      <c r="F38" s="6">
        <f t="shared" si="12"/>
        <v>1.0002415070037031E-2</v>
      </c>
      <c r="G38" s="2"/>
      <c r="H38" s="7">
        <v>6311.25</v>
      </c>
      <c r="I38" s="2"/>
      <c r="J38" s="6">
        <f t="shared" si="13"/>
        <v>0.26117318435754189</v>
      </c>
      <c r="K38" s="2"/>
      <c r="L38" s="7">
        <f t="shared" si="14"/>
        <v>-6062.75</v>
      </c>
      <c r="M38" s="2"/>
      <c r="N38" s="6">
        <f t="shared" si="15"/>
        <v>-0.96062586650821946</v>
      </c>
      <c r="O38" s="11"/>
      <c r="P38" s="7">
        <v>4197.83</v>
      </c>
      <c r="Q38" s="2"/>
      <c r="R38" s="6">
        <f t="shared" si="16"/>
        <v>2.1904197865845704E-2</v>
      </c>
      <c r="S38" s="2"/>
      <c r="T38" s="7">
        <v>35636.25</v>
      </c>
      <c r="U38" s="2"/>
      <c r="V38" s="6">
        <f t="shared" si="17"/>
        <v>0.10735427022141888</v>
      </c>
      <c r="W38" s="2"/>
      <c r="X38" s="7">
        <f t="shared" si="18"/>
        <v>-31438.42</v>
      </c>
      <c r="Y38" s="2"/>
      <c r="Z38" s="6">
        <f t="shared" si="19"/>
        <v>-0.882203374373005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7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0" si="20">IF(D$12=0,0,D41/D$12)</f>
        <v>0</v>
      </c>
      <c r="G41" s="1"/>
      <c r="H41" s="1">
        <f>SUM(OSRRefH22_2x_0)</f>
        <v>400</v>
      </c>
      <c r="I41" s="1"/>
      <c r="J41" s="5">
        <f t="shared" ref="J41:J60" si="21">IF(H$12=0,0,H41/H$12)</f>
        <v>1.6552865714876887E-2</v>
      </c>
      <c r="K41" s="1"/>
      <c r="L41" s="1">
        <f t="shared" ref="L41:L60" si="22">+D41-H41</f>
        <v>-400</v>
      </c>
      <c r="M41" s="1"/>
      <c r="N41" s="5">
        <f t="shared" ref="N41:N60" si="23">IF(H41=0,0,L41/H41)</f>
        <v>-1</v>
      </c>
      <c r="O41" s="13"/>
      <c r="P41" s="1">
        <f>SUM(OSRRefP22_2x_0)</f>
        <v>106.77</v>
      </c>
      <c r="Q41" s="1"/>
      <c r="R41" s="5">
        <f t="shared" ref="R41:R60" si="24">IF(P$12=0,0,P41/P$12)</f>
        <v>5.5712384878290591E-4</v>
      </c>
      <c r="S41" s="1"/>
      <c r="T41" s="1">
        <f>SUM(OSRRefT22_2x_0)</f>
        <v>2800</v>
      </c>
      <c r="U41" s="1"/>
      <c r="V41" s="5">
        <f t="shared" ref="V41:V60" si="25">IF(T$12=0,0,T41/T$12)</f>
        <v>8.4350052718782948E-3</v>
      </c>
      <c r="W41" s="1"/>
      <c r="X41" s="1">
        <f t="shared" ref="X41:X60" si="26">+P41-T41</f>
        <v>-2693.23</v>
      </c>
      <c r="Y41" s="1"/>
      <c r="Z41" s="5">
        <f t="shared" ref="Z41:Z60" si="27">IF(T41=0,0,X41/T41)</f>
        <v>-0.96186785714285716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0"/>
        <v>0</v>
      </c>
      <c r="G42" s="2"/>
      <c r="H42" s="7">
        <v>400</v>
      </c>
      <c r="I42" s="2"/>
      <c r="J42" s="6">
        <f t="shared" si="21"/>
        <v>1.6552865714876887E-2</v>
      </c>
      <c r="K42" s="2"/>
      <c r="L42" s="7">
        <f t="shared" si="22"/>
        <v>-400</v>
      </c>
      <c r="M42" s="2"/>
      <c r="N42" s="6">
        <f t="shared" si="23"/>
        <v>-1</v>
      </c>
      <c r="O42" s="11"/>
      <c r="P42" s="7">
        <v>106.77</v>
      </c>
      <c r="Q42" s="2"/>
      <c r="R42" s="6">
        <f t="shared" si="24"/>
        <v>5.5712384878290591E-4</v>
      </c>
      <c r="S42" s="2"/>
      <c r="T42" s="7">
        <v>2800</v>
      </c>
      <c r="U42" s="2"/>
      <c r="V42" s="6">
        <f t="shared" si="25"/>
        <v>8.4350052718782948E-3</v>
      </c>
      <c r="W42" s="2"/>
      <c r="X42" s="7">
        <f t="shared" si="26"/>
        <v>-2693.23</v>
      </c>
      <c r="Y42" s="2"/>
      <c r="Z42" s="6">
        <f t="shared" si="27"/>
        <v>-0.96186785714285716</v>
      </c>
    </row>
    <row r="43" spans="1:26" s="27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1723.63</v>
      </c>
      <c r="E43" s="1"/>
      <c r="F43" s="5">
        <f t="shared" si="20"/>
        <v>6.9378119465464502E-2</v>
      </c>
      <c r="G43" s="1"/>
      <c r="H43" s="1">
        <f>SUM(OSRRefH22_3x_0)</f>
        <v>2000</v>
      </c>
      <c r="I43" s="1"/>
      <c r="J43" s="5">
        <f t="shared" si="21"/>
        <v>8.2764328574384441E-2</v>
      </c>
      <c r="K43" s="1"/>
      <c r="L43" s="1">
        <f t="shared" si="22"/>
        <v>-276.36999999999989</v>
      </c>
      <c r="M43" s="1"/>
      <c r="N43" s="5">
        <f t="shared" si="23"/>
        <v>-0.13818499999999995</v>
      </c>
      <c r="O43" s="13"/>
      <c r="P43" s="1">
        <f>SUM(OSRRefP22_3x_0)</f>
        <v>14279.63</v>
      </c>
      <c r="Q43" s="1"/>
      <c r="R43" s="5">
        <f t="shared" si="24"/>
        <v>7.4510840355866317E-2</v>
      </c>
      <c r="S43" s="1"/>
      <c r="T43" s="1">
        <f>SUM(OSRRefT22_3x_0)</f>
        <v>11700</v>
      </c>
      <c r="U43" s="1"/>
      <c r="V43" s="5">
        <f t="shared" si="25"/>
        <v>3.5246272028920021E-2</v>
      </c>
      <c r="W43" s="1"/>
      <c r="X43" s="1">
        <f t="shared" si="26"/>
        <v>2579.6299999999992</v>
      </c>
      <c r="Y43" s="1"/>
      <c r="Z43" s="5">
        <f t="shared" si="27"/>
        <v>0.22048119658119653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7">
        <v>1723.63</v>
      </c>
      <c r="E44" s="2"/>
      <c r="F44" s="6">
        <f t="shared" si="20"/>
        <v>6.9378119465464502E-2</v>
      </c>
      <c r="G44" s="2"/>
      <c r="H44" s="7">
        <v>2000</v>
      </c>
      <c r="I44" s="2"/>
      <c r="J44" s="6">
        <f t="shared" si="21"/>
        <v>8.2764328574384441E-2</v>
      </c>
      <c r="K44" s="2"/>
      <c r="L44" s="7">
        <f t="shared" si="22"/>
        <v>-276.36999999999989</v>
      </c>
      <c r="M44" s="2"/>
      <c r="N44" s="6">
        <f t="shared" si="23"/>
        <v>-0.13818499999999995</v>
      </c>
      <c r="O44" s="11"/>
      <c r="P44" s="7">
        <v>14279.63</v>
      </c>
      <c r="Q44" s="2"/>
      <c r="R44" s="6">
        <f t="shared" si="24"/>
        <v>7.4510840355866317E-2</v>
      </c>
      <c r="S44" s="2"/>
      <c r="T44" s="7">
        <v>11700</v>
      </c>
      <c r="U44" s="2"/>
      <c r="V44" s="6">
        <f t="shared" si="25"/>
        <v>3.5246272028920021E-2</v>
      </c>
      <c r="W44" s="2"/>
      <c r="X44" s="7">
        <f t="shared" si="26"/>
        <v>2579.6299999999992</v>
      </c>
      <c r="Y44" s="2"/>
      <c r="Z44" s="6">
        <f t="shared" si="27"/>
        <v>0.22048119658119653</v>
      </c>
    </row>
    <row r="45" spans="1:26" s="27" customFormat="1" outlineLevel="1" collapsed="1" x14ac:dyDescent="0.25">
      <c r="A45" s="26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3.1036623215394167E-3</v>
      </c>
      <c r="K45" s="1"/>
      <c r="L45" s="1">
        <f t="shared" si="22"/>
        <v>-75</v>
      </c>
      <c r="M45" s="1"/>
      <c r="N45" s="5">
        <f t="shared" si="23"/>
        <v>-1</v>
      </c>
      <c r="O45" s="13"/>
      <c r="P45" s="1">
        <f>SUM(OSRRefP22_4x_0)</f>
        <v>64.239999999999995</v>
      </c>
      <c r="Q45" s="1"/>
      <c r="R45" s="5">
        <f t="shared" si="24"/>
        <v>3.3520310991677318E-4</v>
      </c>
      <c r="S45" s="1"/>
      <c r="T45" s="1">
        <f>SUM(OSRRefT22_4x_0)</f>
        <v>525</v>
      </c>
      <c r="U45" s="1"/>
      <c r="V45" s="5">
        <f t="shared" si="25"/>
        <v>1.5815634884771804E-3</v>
      </c>
      <c r="W45" s="1"/>
      <c r="X45" s="1">
        <f t="shared" si="26"/>
        <v>-460.76</v>
      </c>
      <c r="Y45" s="1"/>
      <c r="Z45" s="5">
        <f t="shared" si="27"/>
        <v>-0.87763809523809522</v>
      </c>
    </row>
    <row r="46" spans="1:26" s="24" customFormat="1" hidden="1" outlineLevel="2" x14ac:dyDescent="0.25">
      <c r="A46" s="25"/>
      <c r="B46" s="11" t="str">
        <f>CONCATENATE("          ", "6277", " - ", "EMPLOYEE APPRECIATION")</f>
        <v xml:space="preserve">          6277 - EMPLOYEE APPRECIATION</v>
      </c>
      <c r="C46" s="11"/>
      <c r="D46" s="7"/>
      <c r="E46" s="2"/>
      <c r="F46" s="6">
        <f t="shared" si="20"/>
        <v>0</v>
      </c>
      <c r="G46" s="2"/>
      <c r="H46" s="7">
        <v>75</v>
      </c>
      <c r="I46" s="2"/>
      <c r="J46" s="6">
        <f t="shared" si="21"/>
        <v>3.1036623215394167E-3</v>
      </c>
      <c r="K46" s="2"/>
      <c r="L46" s="7">
        <f t="shared" si="22"/>
        <v>-75</v>
      </c>
      <c r="M46" s="2"/>
      <c r="N46" s="6">
        <f t="shared" si="23"/>
        <v>-1</v>
      </c>
      <c r="O46" s="11"/>
      <c r="P46" s="7">
        <v>64.239999999999995</v>
      </c>
      <c r="Q46" s="2"/>
      <c r="R46" s="6">
        <f t="shared" si="24"/>
        <v>3.3520310991677318E-4</v>
      </c>
      <c r="S46" s="2"/>
      <c r="T46" s="7">
        <v>525</v>
      </c>
      <c r="U46" s="2"/>
      <c r="V46" s="6">
        <f t="shared" si="25"/>
        <v>1.5815634884771804E-3</v>
      </c>
      <c r="W46" s="2"/>
      <c r="X46" s="7">
        <f t="shared" si="26"/>
        <v>-460.76</v>
      </c>
      <c r="Y46" s="2"/>
      <c r="Z46" s="6">
        <f t="shared" si="27"/>
        <v>-0.87763809523809522</v>
      </c>
    </row>
    <row r="47" spans="1:26" s="27" customFormat="1" outlineLevel="1" collapsed="1" x14ac:dyDescent="0.25">
      <c r="A47" s="26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4.1382164287192218E-4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70</v>
      </c>
      <c r="U47" s="1"/>
      <c r="V47" s="5">
        <f t="shared" si="25"/>
        <v>2.1087513179695737E-4</v>
      </c>
      <c r="W47" s="1"/>
      <c r="X47" s="1">
        <f t="shared" si="26"/>
        <v>-70</v>
      </c>
      <c r="Y47" s="1"/>
      <c r="Z47" s="5">
        <f t="shared" si="27"/>
        <v>-1</v>
      </c>
    </row>
    <row r="48" spans="1:26" s="24" customFormat="1" hidden="1" outlineLevel="2" x14ac:dyDescent="0.25">
      <c r="A48" s="25"/>
      <c r="B48" s="11" t="str">
        <f>CONCATENATE("          ", "6307", " - ", "POSTAGE")</f>
        <v xml:space="preserve">          6307 - POSTAGE</v>
      </c>
      <c r="C48" s="11"/>
      <c r="D48" s="7"/>
      <c r="E48" s="2"/>
      <c r="F48" s="6">
        <f t="shared" si="20"/>
        <v>0</v>
      </c>
      <c r="G48" s="2"/>
      <c r="H48" s="7">
        <v>10</v>
      </c>
      <c r="I48" s="2"/>
      <c r="J48" s="6">
        <f t="shared" si="21"/>
        <v>4.1382164287192218E-4</v>
      </c>
      <c r="K48" s="2"/>
      <c r="L48" s="7">
        <f t="shared" si="22"/>
        <v>-10</v>
      </c>
      <c r="M48" s="2"/>
      <c r="N48" s="6">
        <f t="shared" si="23"/>
        <v>-1</v>
      </c>
      <c r="O48" s="11"/>
      <c r="P48" s="7"/>
      <c r="Q48" s="2"/>
      <c r="R48" s="6">
        <f t="shared" si="24"/>
        <v>0</v>
      </c>
      <c r="S48" s="2"/>
      <c r="T48" s="7">
        <v>70</v>
      </c>
      <c r="U48" s="2"/>
      <c r="V48" s="6">
        <f t="shared" si="25"/>
        <v>2.1087513179695737E-4</v>
      </c>
      <c r="W48" s="2"/>
      <c r="X48" s="7">
        <f t="shared" si="26"/>
        <v>-70</v>
      </c>
      <c r="Y48" s="2"/>
      <c r="Z48" s="6">
        <f t="shared" si="27"/>
        <v>-1</v>
      </c>
    </row>
    <row r="49" spans="1:26" s="27" customFormat="1" outlineLevel="1" collapsed="1" x14ac:dyDescent="0.25">
      <c r="A49" s="26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47.34</v>
      </c>
      <c r="E49" s="1"/>
      <c r="F49" s="5">
        <f t="shared" si="20"/>
        <v>1.9054902592175174E-3</v>
      </c>
      <c r="G49" s="1"/>
      <c r="H49" s="1">
        <f>SUM(OSRRefH22_6x_0)</f>
        <v>50</v>
      </c>
      <c r="I49" s="1"/>
      <c r="J49" s="5">
        <f t="shared" si="21"/>
        <v>2.0691082143596108E-3</v>
      </c>
      <c r="K49" s="1"/>
      <c r="L49" s="1">
        <f t="shared" si="22"/>
        <v>-2.6599999999999966</v>
      </c>
      <c r="M49" s="1"/>
      <c r="N49" s="5">
        <f t="shared" si="23"/>
        <v>-5.3199999999999935E-2</v>
      </c>
      <c r="O49" s="13"/>
      <c r="P49" s="1">
        <f>SUM(OSRRefP22_6x_0)</f>
        <v>47.34</v>
      </c>
      <c r="Q49" s="1"/>
      <c r="R49" s="5">
        <f t="shared" si="24"/>
        <v>2.4701922826058601E-4</v>
      </c>
      <c r="S49" s="1"/>
      <c r="T49" s="1">
        <f>SUM(OSRRefT22_6x_0)</f>
        <v>350</v>
      </c>
      <c r="U49" s="1"/>
      <c r="V49" s="5">
        <f t="shared" si="25"/>
        <v>1.0543756589847869E-3</v>
      </c>
      <c r="W49" s="1"/>
      <c r="X49" s="1">
        <f t="shared" si="26"/>
        <v>-302.65999999999997</v>
      </c>
      <c r="Y49" s="1"/>
      <c r="Z49" s="5">
        <f t="shared" si="27"/>
        <v>-0.86474285714285704</v>
      </c>
    </row>
    <row r="50" spans="1:26" s="24" customFormat="1" hidden="1" outlineLevel="2" x14ac:dyDescent="0.25">
      <c r="A50" s="25"/>
      <c r="B50" s="11" t="str">
        <f>CONCATENATE("          ", "6279", " - ", "GENERAL EXPENSE")</f>
        <v xml:space="preserve">          6279 - GENERAL EXPENSE</v>
      </c>
      <c r="C50" s="11"/>
      <c r="D50" s="7">
        <v>47.34</v>
      </c>
      <c r="E50" s="2"/>
      <c r="F50" s="6">
        <f t="shared" si="20"/>
        <v>1.9054902592175174E-3</v>
      </c>
      <c r="G50" s="2"/>
      <c r="H50" s="7">
        <v>50</v>
      </c>
      <c r="I50" s="2"/>
      <c r="J50" s="6">
        <f t="shared" si="21"/>
        <v>2.0691082143596108E-3</v>
      </c>
      <c r="K50" s="2"/>
      <c r="L50" s="7">
        <f t="shared" si="22"/>
        <v>-2.6599999999999966</v>
      </c>
      <c r="M50" s="2"/>
      <c r="N50" s="6">
        <f t="shared" si="23"/>
        <v>-5.3199999999999935E-2</v>
      </c>
      <c r="O50" s="11"/>
      <c r="P50" s="7">
        <v>47.34</v>
      </c>
      <c r="Q50" s="2"/>
      <c r="R50" s="6">
        <f t="shared" si="24"/>
        <v>2.4701922826058601E-4</v>
      </c>
      <c r="S50" s="2"/>
      <c r="T50" s="7">
        <v>350</v>
      </c>
      <c r="U50" s="2"/>
      <c r="V50" s="6">
        <f t="shared" si="25"/>
        <v>1.0543756589847869E-3</v>
      </c>
      <c r="W50" s="2"/>
      <c r="X50" s="7">
        <f t="shared" si="26"/>
        <v>-302.65999999999997</v>
      </c>
      <c r="Y50" s="2"/>
      <c r="Z50" s="6">
        <f t="shared" si="27"/>
        <v>-0.86474285714285704</v>
      </c>
    </row>
    <row r="51" spans="1:26" s="27" customFormat="1" outlineLevel="1" collapsed="1" x14ac:dyDescent="0.25">
      <c r="A51" s="26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1.1676863629045244E-3</v>
      </c>
      <c r="G51" s="1"/>
      <c r="H51" s="1">
        <f>SUM(OSRRefH22_7x_0)</f>
        <v>27</v>
      </c>
      <c r="I51" s="1"/>
      <c r="J51" s="5">
        <f t="shared" si="21"/>
        <v>1.1173184357541898E-3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203.07</v>
      </c>
      <c r="Q51" s="1"/>
      <c r="R51" s="5">
        <f t="shared" si="24"/>
        <v>1.0596154347882803E-3</v>
      </c>
      <c r="S51" s="1"/>
      <c r="T51" s="1">
        <f>SUM(OSRRefT22_7x_0)</f>
        <v>189</v>
      </c>
      <c r="U51" s="1"/>
      <c r="V51" s="5">
        <f t="shared" si="25"/>
        <v>5.6936285585178486E-4</v>
      </c>
      <c r="W51" s="1"/>
      <c r="X51" s="1">
        <f t="shared" si="26"/>
        <v>14.069999999999993</v>
      </c>
      <c r="Y51" s="1"/>
      <c r="Z51" s="5">
        <f t="shared" si="27"/>
        <v>7.444444444444441E-2</v>
      </c>
    </row>
    <row r="52" spans="1:26" s="24" customFormat="1" hidden="1" outlineLevel="2" x14ac:dyDescent="0.25">
      <c r="A52" s="25"/>
      <c r="B52" s="11" t="str">
        <f>CONCATENATE("          ", "6314", " - ", "LIABILITY INSURANCE")</f>
        <v xml:space="preserve">          6314 - LIABILITY INSURANCE</v>
      </c>
      <c r="C52" s="11"/>
      <c r="D52" s="7">
        <v>29.01</v>
      </c>
      <c r="E52" s="2"/>
      <c r="F52" s="6">
        <f t="shared" si="20"/>
        <v>1.1676863629045244E-3</v>
      </c>
      <c r="G52" s="2"/>
      <c r="H52" s="7">
        <v>27</v>
      </c>
      <c r="I52" s="2"/>
      <c r="J52" s="6">
        <f t="shared" si="21"/>
        <v>1.1173184357541898E-3</v>
      </c>
      <c r="K52" s="2"/>
      <c r="L52" s="7">
        <f t="shared" si="22"/>
        <v>2.0100000000000016</v>
      </c>
      <c r="M52" s="2"/>
      <c r="N52" s="6">
        <f t="shared" si="23"/>
        <v>7.4444444444444507E-2</v>
      </c>
      <c r="O52" s="11"/>
      <c r="P52" s="7">
        <v>203.07</v>
      </c>
      <c r="Q52" s="2"/>
      <c r="R52" s="6">
        <f t="shared" si="24"/>
        <v>1.0596154347882803E-3</v>
      </c>
      <c r="S52" s="2"/>
      <c r="T52" s="7">
        <v>189</v>
      </c>
      <c r="U52" s="2"/>
      <c r="V52" s="6">
        <f t="shared" si="25"/>
        <v>5.6936285585178486E-4</v>
      </c>
      <c r="W52" s="2"/>
      <c r="X52" s="7">
        <f t="shared" si="26"/>
        <v>14.069999999999993</v>
      </c>
      <c r="Y52" s="2"/>
      <c r="Z52" s="6">
        <f t="shared" si="27"/>
        <v>7.444444444444441E-2</v>
      </c>
    </row>
    <row r="53" spans="1:26" s="27" customFormat="1" outlineLevel="1" collapsed="1" x14ac:dyDescent="0.25">
      <c r="A53" s="26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1.6552865714876887E-2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2800</v>
      </c>
      <c r="U53" s="1"/>
      <c r="V53" s="5">
        <f t="shared" si="25"/>
        <v>8.4350052718782948E-3</v>
      </c>
      <c r="W53" s="1"/>
      <c r="X53" s="1">
        <f t="shared" si="26"/>
        <v>-2800</v>
      </c>
      <c r="Y53" s="1"/>
      <c r="Z53" s="5">
        <f t="shared" si="27"/>
        <v>-1</v>
      </c>
    </row>
    <row r="54" spans="1:26" s="24" customFormat="1" hidden="1" outlineLevel="2" x14ac:dyDescent="0.25">
      <c r="A54" s="25"/>
      <c r="B54" s="11" t="str">
        <f>CONCATENATE("          ", "6336", " - ", "PROFESSIONAL SERVICES")</f>
        <v xml:space="preserve">          6336 - PROFESSIONAL SERVICES</v>
      </c>
      <c r="C54" s="11"/>
      <c r="D54" s="7"/>
      <c r="E54" s="2"/>
      <c r="F54" s="6">
        <f t="shared" si="20"/>
        <v>0</v>
      </c>
      <c r="G54" s="2"/>
      <c r="H54" s="7">
        <v>400</v>
      </c>
      <c r="I54" s="2"/>
      <c r="J54" s="6">
        <f t="shared" si="21"/>
        <v>1.6552865714876887E-2</v>
      </c>
      <c r="K54" s="2"/>
      <c r="L54" s="7">
        <f t="shared" si="22"/>
        <v>-400</v>
      </c>
      <c r="M54" s="2"/>
      <c r="N54" s="6">
        <f t="shared" si="23"/>
        <v>-1</v>
      </c>
      <c r="O54" s="11"/>
      <c r="P54" s="7"/>
      <c r="Q54" s="2"/>
      <c r="R54" s="6">
        <f t="shared" si="24"/>
        <v>0</v>
      </c>
      <c r="S54" s="2"/>
      <c r="T54" s="7">
        <v>2800</v>
      </c>
      <c r="U54" s="2"/>
      <c r="V54" s="6">
        <f t="shared" si="25"/>
        <v>8.4350052718782948E-3</v>
      </c>
      <c r="W54" s="2"/>
      <c r="X54" s="7">
        <f t="shared" si="26"/>
        <v>-2800</v>
      </c>
      <c r="Y54" s="2"/>
      <c r="Z54" s="6">
        <f t="shared" si="27"/>
        <v>-1</v>
      </c>
    </row>
    <row r="55" spans="1:26" s="27" customFormat="1" outlineLevel="1" collapsed="1" x14ac:dyDescent="0.25">
      <c r="A55" s="26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-800</v>
      </c>
      <c r="E55" s="1"/>
      <c r="F55" s="5">
        <f t="shared" si="20"/>
        <v>-3.2200933827080988E-2</v>
      </c>
      <c r="G55" s="1"/>
      <c r="H55" s="1">
        <f>SUM(OSRRefH22_9x_0)</f>
        <v>800</v>
      </c>
      <c r="I55" s="1"/>
      <c r="J55" s="5">
        <f t="shared" si="21"/>
        <v>3.3105731429753774E-2</v>
      </c>
      <c r="K55" s="1"/>
      <c r="L55" s="1">
        <f t="shared" si="22"/>
        <v>-1600</v>
      </c>
      <c r="M55" s="1"/>
      <c r="N55" s="5">
        <f t="shared" si="23"/>
        <v>-2</v>
      </c>
      <c r="O55" s="13"/>
      <c r="P55" s="1">
        <f>SUM(OSRRefP22_9x_0)</f>
        <v>4000</v>
      </c>
      <c r="Q55" s="1"/>
      <c r="R55" s="5">
        <f t="shared" si="24"/>
        <v>2.0871924652352006E-2</v>
      </c>
      <c r="S55" s="1"/>
      <c r="T55" s="1">
        <f>SUM(OSRRefT22_9x_0)</f>
        <v>5600</v>
      </c>
      <c r="U55" s="1"/>
      <c r="V55" s="5">
        <f t="shared" si="25"/>
        <v>1.687001054375659E-2</v>
      </c>
      <c r="W55" s="1"/>
      <c r="X55" s="1">
        <f t="shared" si="26"/>
        <v>-1600</v>
      </c>
      <c r="Y55" s="1"/>
      <c r="Z55" s="5">
        <f t="shared" si="27"/>
        <v>-0.2857142857142857</v>
      </c>
    </row>
    <row r="56" spans="1:26" s="24" customFormat="1" hidden="1" outlineLevel="2" x14ac:dyDescent="0.25">
      <c r="A56" s="25"/>
      <c r="B56" s="11" t="str">
        <f>CONCATENATE("          ", "6273", " - ", "RENT")</f>
        <v xml:space="preserve">          6273 - RENT</v>
      </c>
      <c r="C56" s="11"/>
      <c r="D56" s="7">
        <v>-800</v>
      </c>
      <c r="E56" s="2"/>
      <c r="F56" s="6">
        <f t="shared" si="20"/>
        <v>-3.2200933827080988E-2</v>
      </c>
      <c r="G56" s="2"/>
      <c r="H56" s="7">
        <v>800</v>
      </c>
      <c r="I56" s="2"/>
      <c r="J56" s="6">
        <f t="shared" si="21"/>
        <v>3.3105731429753774E-2</v>
      </c>
      <c r="K56" s="2"/>
      <c r="L56" s="7">
        <f t="shared" si="22"/>
        <v>-1600</v>
      </c>
      <c r="M56" s="2"/>
      <c r="N56" s="6">
        <f t="shared" si="23"/>
        <v>-2</v>
      </c>
      <c r="O56" s="11"/>
      <c r="P56" s="7">
        <v>4000</v>
      </c>
      <c r="Q56" s="2"/>
      <c r="R56" s="6">
        <f t="shared" si="24"/>
        <v>2.0871924652352006E-2</v>
      </c>
      <c r="S56" s="2"/>
      <c r="T56" s="7">
        <v>5600</v>
      </c>
      <c r="U56" s="2"/>
      <c r="V56" s="6">
        <f t="shared" si="25"/>
        <v>1.687001054375659E-2</v>
      </c>
      <c r="W56" s="2"/>
      <c r="X56" s="7">
        <f t="shared" si="26"/>
        <v>-1600</v>
      </c>
      <c r="Y56" s="2"/>
      <c r="Z56" s="6">
        <f t="shared" si="27"/>
        <v>-0.2857142857142857</v>
      </c>
    </row>
    <row r="57" spans="1:26" s="27" customFormat="1" outlineLevel="1" collapsed="1" x14ac:dyDescent="0.25">
      <c r="A57" s="26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0</v>
      </c>
      <c r="E57" s="1"/>
      <c r="F57" s="5">
        <f t="shared" si="20"/>
        <v>0</v>
      </c>
      <c r="G57" s="1"/>
      <c r="H57" s="1">
        <f>SUM(OSRRefH22_10x_0)</f>
        <v>2000</v>
      </c>
      <c r="I57" s="1"/>
      <c r="J57" s="5">
        <f t="shared" si="21"/>
        <v>8.2764328574384441E-2</v>
      </c>
      <c r="K57" s="1"/>
      <c r="L57" s="1">
        <f t="shared" si="22"/>
        <v>-2000</v>
      </c>
      <c r="M57" s="1"/>
      <c r="N57" s="5">
        <f t="shared" si="23"/>
        <v>-1</v>
      </c>
      <c r="O57" s="13"/>
      <c r="P57" s="1">
        <f>SUM(OSRRefP22_10x_0)</f>
        <v>749.96</v>
      </c>
      <c r="Q57" s="1"/>
      <c r="R57" s="5">
        <f t="shared" si="24"/>
        <v>3.9132771530694778E-3</v>
      </c>
      <c r="S57" s="1"/>
      <c r="T57" s="1">
        <f>SUM(OSRRefT22_10x_0)</f>
        <v>139000</v>
      </c>
      <c r="U57" s="1"/>
      <c r="V57" s="5">
        <f t="shared" si="25"/>
        <v>0.41873776171110105</v>
      </c>
      <c r="W57" s="1"/>
      <c r="X57" s="1">
        <f t="shared" si="26"/>
        <v>-138250.04</v>
      </c>
      <c r="Y57" s="1"/>
      <c r="Z57" s="5">
        <f t="shared" si="27"/>
        <v>-0.99460460431654685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0"/>
        <v>0</v>
      </c>
      <c r="G58" s="2"/>
      <c r="H58" s="7"/>
      <c r="I58" s="2"/>
      <c r="J58" s="6">
        <f t="shared" si="21"/>
        <v>0</v>
      </c>
      <c r="K58" s="2"/>
      <c r="L58" s="7">
        <f t="shared" si="22"/>
        <v>0</v>
      </c>
      <c r="M58" s="2"/>
      <c r="N58" s="6">
        <f t="shared" si="23"/>
        <v>0</v>
      </c>
      <c r="O58" s="11"/>
      <c r="P58" s="7">
        <v>437.31</v>
      </c>
      <c r="Q58" s="2"/>
      <c r="R58" s="6">
        <f t="shared" si="24"/>
        <v>2.2818753424300136E-3</v>
      </c>
      <c r="S58" s="2"/>
      <c r="T58" s="7">
        <v>125000</v>
      </c>
      <c r="U58" s="2"/>
      <c r="V58" s="6">
        <f t="shared" si="25"/>
        <v>0.37656273535170959</v>
      </c>
      <c r="W58" s="2"/>
      <c r="X58" s="7">
        <f t="shared" si="26"/>
        <v>-124562.69</v>
      </c>
      <c r="Y58" s="2"/>
      <c r="Z58" s="6">
        <f t="shared" si="27"/>
        <v>-0.99650152000000003</v>
      </c>
    </row>
    <row r="59" spans="1:26" s="24" customFormat="1" hidden="1" outlineLevel="2" x14ac:dyDescent="0.25">
      <c r="A59" s="25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0"/>
        <v>0</v>
      </c>
      <c r="G59" s="2"/>
      <c r="H59" s="7">
        <v>2000</v>
      </c>
      <c r="I59" s="2"/>
      <c r="J59" s="6">
        <f t="shared" si="21"/>
        <v>8.2764328574384441E-2</v>
      </c>
      <c r="K59" s="2"/>
      <c r="L59" s="7">
        <f t="shared" si="22"/>
        <v>-2000</v>
      </c>
      <c r="M59" s="2"/>
      <c r="N59" s="6">
        <f t="shared" si="23"/>
        <v>-1</v>
      </c>
      <c r="O59" s="11"/>
      <c r="P59" s="7"/>
      <c r="Q59" s="2"/>
      <c r="R59" s="6">
        <f t="shared" si="24"/>
        <v>0</v>
      </c>
      <c r="S59" s="2"/>
      <c r="T59" s="7">
        <v>14000</v>
      </c>
      <c r="U59" s="2"/>
      <c r="V59" s="6">
        <f t="shared" si="25"/>
        <v>4.2175026359391472E-2</v>
      </c>
      <c r="W59" s="2"/>
      <c r="X59" s="7">
        <f t="shared" si="26"/>
        <v>-14000</v>
      </c>
      <c r="Y59" s="2"/>
      <c r="Z59" s="6">
        <f t="shared" si="27"/>
        <v>-1</v>
      </c>
    </row>
    <row r="60" spans="1:26" s="24" customFormat="1" hidden="1" outlineLevel="2" x14ac:dyDescent="0.25">
      <c r="A60" s="25"/>
      <c r="B60" s="11" t="str">
        <f>CONCATENATE("          ", "6375", " - ", "OUTSIDE REPAIRS &amp; MAINTENANCE")</f>
        <v xml:space="preserve">          6375 - OUTSIDE REPAIRS &amp; MAINTENANCE</v>
      </c>
      <c r="C60" s="11"/>
      <c r="D60" s="7"/>
      <c r="E60" s="2"/>
      <c r="F60" s="6">
        <f t="shared" si="20"/>
        <v>0</v>
      </c>
      <c r="G60" s="2"/>
      <c r="H60" s="7"/>
      <c r="I60" s="2"/>
      <c r="J60" s="6">
        <f t="shared" si="21"/>
        <v>0</v>
      </c>
      <c r="K60" s="2"/>
      <c r="L60" s="7">
        <f t="shared" si="22"/>
        <v>0</v>
      </c>
      <c r="M60" s="2"/>
      <c r="N60" s="6">
        <f t="shared" si="23"/>
        <v>0</v>
      </c>
      <c r="O60" s="11"/>
      <c r="P60" s="7">
        <v>312.64999999999998</v>
      </c>
      <c r="Q60" s="2"/>
      <c r="R60" s="6">
        <f t="shared" si="24"/>
        <v>1.6314018106394635E-3</v>
      </c>
      <c r="S60" s="2"/>
      <c r="T60" s="7"/>
      <c r="U60" s="2"/>
      <c r="V60" s="6">
        <f t="shared" si="25"/>
        <v>0</v>
      </c>
      <c r="W60" s="2"/>
      <c r="X60" s="7">
        <f t="shared" si="26"/>
        <v>312.64999999999998</v>
      </c>
      <c r="Y60" s="2"/>
      <c r="Z60" s="6">
        <f t="shared" si="27"/>
        <v>0</v>
      </c>
    </row>
    <row r="61" spans="1:26" s="27" customFormat="1" outlineLevel="1" collapsed="1" x14ac:dyDescent="0.25">
      <c r="A61" s="26"/>
      <c r="B61" s="13" t="str">
        <f>CONCATENATE("     ","Subscriptions &amp; Dues                              ")</f>
        <v xml:space="preserve">     Subscriptions &amp; Dues                              </v>
      </c>
      <c r="C61" s="13"/>
      <c r="D61" s="1">
        <f>SUM(OSRRefD22_11x_0)</f>
        <v>825</v>
      </c>
      <c r="E61" s="1"/>
      <c r="F61" s="5">
        <f t="shared" ref="F61:F66" si="28">IF(D$12=0,0,D61/D$12)</f>
        <v>3.3207213009177269E-2</v>
      </c>
      <c r="G61" s="1"/>
      <c r="H61" s="1">
        <f>SUM(OSRRefH22_11x_0)</f>
        <v>0</v>
      </c>
      <c r="I61" s="1"/>
      <c r="J61" s="5">
        <f t="shared" ref="J61:J66" si="29">IF(H$12=0,0,H61/H$12)</f>
        <v>0</v>
      </c>
      <c r="K61" s="1"/>
      <c r="L61" s="1">
        <f t="shared" ref="L61:L66" si="30">+D61-H61</f>
        <v>825</v>
      </c>
      <c r="M61" s="1"/>
      <c r="N61" s="5">
        <f t="shared" ref="N61:N66" si="31">IF(H61=0,0,L61/H61)</f>
        <v>0</v>
      </c>
      <c r="O61" s="13"/>
      <c r="P61" s="1">
        <f>SUM(OSRRefP22_11x_0)</f>
        <v>825</v>
      </c>
      <c r="Q61" s="1"/>
      <c r="R61" s="5">
        <f t="shared" ref="R61:R66" si="32">IF(P$12=0,0,P61/P$12)</f>
        <v>4.3048344595476009E-3</v>
      </c>
      <c r="S61" s="1"/>
      <c r="T61" s="1">
        <f>SUM(OSRRefT22_11x_0)</f>
        <v>0</v>
      </c>
      <c r="U61" s="1"/>
      <c r="V61" s="5">
        <f t="shared" ref="V61:V66" si="33">IF(T$12=0,0,T61/T$12)</f>
        <v>0</v>
      </c>
      <c r="W61" s="1"/>
      <c r="X61" s="1">
        <f t="shared" ref="X61:X66" si="34">+P61-T61</f>
        <v>825</v>
      </c>
      <c r="Y61" s="1"/>
      <c r="Z61" s="5">
        <f t="shared" ref="Z61:Z66" si="35">IF(T61=0,0,X61/T61)</f>
        <v>0</v>
      </c>
    </row>
    <row r="62" spans="1:26" s="24" customFormat="1" hidden="1" outlineLevel="2" x14ac:dyDescent="0.25">
      <c r="A62" s="25"/>
      <c r="B62" s="11" t="str">
        <f>CONCATENATE("          ", "6258", " - ", "MEMBERSHIP DUES")</f>
        <v xml:space="preserve">          6258 - MEMBERSHIP DUES</v>
      </c>
      <c r="C62" s="11"/>
      <c r="D62" s="7">
        <v>825</v>
      </c>
      <c r="E62" s="2"/>
      <c r="F62" s="6">
        <f t="shared" si="28"/>
        <v>3.3207213009177269E-2</v>
      </c>
      <c r="G62" s="2"/>
      <c r="H62" s="7"/>
      <c r="I62" s="2"/>
      <c r="J62" s="6">
        <f t="shared" si="29"/>
        <v>0</v>
      </c>
      <c r="K62" s="2"/>
      <c r="L62" s="7">
        <f t="shared" si="30"/>
        <v>825</v>
      </c>
      <c r="M62" s="2"/>
      <c r="N62" s="6">
        <f t="shared" si="31"/>
        <v>0</v>
      </c>
      <c r="O62" s="11"/>
      <c r="P62" s="7">
        <v>825</v>
      </c>
      <c r="Q62" s="2"/>
      <c r="R62" s="6">
        <f t="shared" si="32"/>
        <v>4.3048344595476009E-3</v>
      </c>
      <c r="S62" s="2"/>
      <c r="T62" s="7"/>
      <c r="U62" s="2"/>
      <c r="V62" s="6">
        <f t="shared" si="33"/>
        <v>0</v>
      </c>
      <c r="W62" s="2"/>
      <c r="X62" s="7">
        <f t="shared" si="34"/>
        <v>825</v>
      </c>
      <c r="Y62" s="2"/>
      <c r="Z62" s="6">
        <f t="shared" si="35"/>
        <v>0</v>
      </c>
    </row>
    <row r="63" spans="1:26" s="27" customFormat="1" outlineLevel="1" collapsed="1" x14ac:dyDescent="0.25">
      <c r="A63" s="26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SUM(OSRRefD22_12x_0)</f>
        <v>93.69</v>
      </c>
      <c r="E63" s="1"/>
      <c r="F63" s="5">
        <f t="shared" si="28"/>
        <v>3.7711318628240219E-3</v>
      </c>
      <c r="G63" s="1"/>
      <c r="H63" s="1">
        <f>SUM(OSRRefH22_12x_0)</f>
        <v>7000</v>
      </c>
      <c r="I63" s="1"/>
      <c r="J63" s="5">
        <f t="shared" si="29"/>
        <v>0.28967515001034555</v>
      </c>
      <c r="K63" s="1"/>
      <c r="L63" s="1">
        <f t="shared" si="30"/>
        <v>-6906.31</v>
      </c>
      <c r="M63" s="1"/>
      <c r="N63" s="5">
        <f t="shared" si="31"/>
        <v>-0.98661571428571437</v>
      </c>
      <c r="O63" s="13"/>
      <c r="P63" s="1">
        <f>SUM(OSRRefP22_12x_0)</f>
        <v>18654.350000000002</v>
      </c>
      <c r="Q63" s="1"/>
      <c r="R63" s="5">
        <f t="shared" si="32"/>
        <v>9.7338046909650672E-2</v>
      </c>
      <c r="S63" s="1"/>
      <c r="T63" s="1">
        <f>SUM(OSRRefT22_12x_0)</f>
        <v>49100</v>
      </c>
      <c r="U63" s="1"/>
      <c r="V63" s="5">
        <f t="shared" si="33"/>
        <v>0.14791384244615152</v>
      </c>
      <c r="W63" s="1"/>
      <c r="X63" s="1">
        <f t="shared" si="34"/>
        <v>-30445.649999999998</v>
      </c>
      <c r="Y63" s="1"/>
      <c r="Z63" s="5">
        <f t="shared" si="35"/>
        <v>-0.62007433808553969</v>
      </c>
    </row>
    <row r="64" spans="1:26" s="24" customFormat="1" hidden="1" outlineLevel="2" x14ac:dyDescent="0.25">
      <c r="A64" s="25"/>
      <c r="B64" s="11" t="str">
        <f>CONCATENATE("          ", "6234", " - ", "EXPENDABLE SUPPLIES &amp; EQUIPMEN")</f>
        <v xml:space="preserve">          6234 - EXPENDABLE SUPPLIES &amp; EQUIPMEN</v>
      </c>
      <c r="C64" s="11"/>
      <c r="D64" s="7"/>
      <c r="E64" s="2"/>
      <c r="F64" s="6">
        <f t="shared" si="28"/>
        <v>0</v>
      </c>
      <c r="G64" s="2"/>
      <c r="H64" s="7">
        <v>7000</v>
      </c>
      <c r="I64" s="2"/>
      <c r="J64" s="6">
        <f t="shared" si="29"/>
        <v>0.28967515001034555</v>
      </c>
      <c r="K64" s="2"/>
      <c r="L64" s="7">
        <f t="shared" si="30"/>
        <v>-7000</v>
      </c>
      <c r="M64" s="2"/>
      <c r="N64" s="6">
        <f t="shared" si="31"/>
        <v>-1</v>
      </c>
      <c r="O64" s="11"/>
      <c r="P64" s="7">
        <v>413.27</v>
      </c>
      <c r="Q64" s="2"/>
      <c r="R64" s="6">
        <f t="shared" si="32"/>
        <v>2.1564350752693784E-3</v>
      </c>
      <c r="S64" s="2"/>
      <c r="T64" s="7">
        <v>49100</v>
      </c>
      <c r="U64" s="2"/>
      <c r="V64" s="6">
        <f t="shared" si="33"/>
        <v>0.14791384244615152</v>
      </c>
      <c r="W64" s="2"/>
      <c r="X64" s="7">
        <f t="shared" si="34"/>
        <v>-48686.73</v>
      </c>
      <c r="Y64" s="2"/>
      <c r="Z64" s="6">
        <f t="shared" si="35"/>
        <v>-0.99158309572301429</v>
      </c>
    </row>
    <row r="65" spans="1:26" s="24" customFormat="1" hidden="1" outlineLevel="2" x14ac:dyDescent="0.25">
      <c r="A65" s="25"/>
      <c r="B65" s="11" t="str">
        <f>CONCATENATE("          ", "6241", " - ", "OFFICE EXPENSE")</f>
        <v xml:space="preserve">          6241 - OFFICE EXPENSE</v>
      </c>
      <c r="C65" s="11"/>
      <c r="D65" s="7">
        <v>11</v>
      </c>
      <c r="E65" s="2"/>
      <c r="F65" s="6">
        <f t="shared" si="28"/>
        <v>4.4276284012236352E-4</v>
      </c>
      <c r="G65" s="2"/>
      <c r="H65" s="7"/>
      <c r="I65" s="2"/>
      <c r="J65" s="6">
        <f t="shared" si="29"/>
        <v>0</v>
      </c>
      <c r="K65" s="2"/>
      <c r="L65" s="7">
        <f t="shared" si="30"/>
        <v>11</v>
      </c>
      <c r="M65" s="2"/>
      <c r="N65" s="6">
        <f t="shared" si="31"/>
        <v>0</v>
      </c>
      <c r="O65" s="11"/>
      <c r="P65" s="7">
        <v>18037.560000000001</v>
      </c>
      <c r="Q65" s="2"/>
      <c r="R65" s="6">
        <f t="shared" si="32"/>
        <v>9.4119648308069612E-2</v>
      </c>
      <c r="S65" s="2"/>
      <c r="T65" s="7"/>
      <c r="U65" s="2"/>
      <c r="V65" s="6">
        <f t="shared" si="33"/>
        <v>0</v>
      </c>
      <c r="W65" s="2"/>
      <c r="X65" s="7">
        <f t="shared" si="34"/>
        <v>18037.560000000001</v>
      </c>
      <c r="Y65" s="2"/>
      <c r="Z65" s="6">
        <f t="shared" si="35"/>
        <v>0</v>
      </c>
    </row>
    <row r="66" spans="1:26" s="24" customFormat="1" hidden="1" outlineLevel="2" x14ac:dyDescent="0.25">
      <c r="A66" s="25"/>
      <c r="B66" s="11" t="str">
        <f>CONCATENATE("          ", "6245", " - ", "PRINTING")</f>
        <v xml:space="preserve">          6245 - PRINTING</v>
      </c>
      <c r="C66" s="11"/>
      <c r="D66" s="7">
        <v>82.69</v>
      </c>
      <c r="E66" s="2"/>
      <c r="F66" s="6">
        <f t="shared" si="28"/>
        <v>3.3283690227016581E-3</v>
      </c>
      <c r="G66" s="2"/>
      <c r="H66" s="7"/>
      <c r="I66" s="2"/>
      <c r="J66" s="6">
        <f t="shared" si="29"/>
        <v>0</v>
      </c>
      <c r="K66" s="2"/>
      <c r="L66" s="7">
        <f t="shared" si="30"/>
        <v>82.69</v>
      </c>
      <c r="M66" s="2"/>
      <c r="N66" s="6">
        <f t="shared" si="31"/>
        <v>0</v>
      </c>
      <c r="O66" s="11"/>
      <c r="P66" s="7">
        <v>203.52</v>
      </c>
      <c r="Q66" s="2"/>
      <c r="R66" s="6">
        <f t="shared" si="32"/>
        <v>1.06196352631167E-3</v>
      </c>
      <c r="S66" s="2"/>
      <c r="T66" s="7"/>
      <c r="U66" s="2"/>
      <c r="V66" s="6">
        <f t="shared" si="33"/>
        <v>0</v>
      </c>
      <c r="W66" s="2"/>
      <c r="X66" s="7">
        <f t="shared" si="34"/>
        <v>203.52</v>
      </c>
      <c r="Y66" s="2"/>
      <c r="Z66" s="6">
        <f t="shared" si="35"/>
        <v>0</v>
      </c>
    </row>
    <row r="67" spans="1:26" s="27" customFormat="1" outlineLevel="1" collapsed="1" x14ac:dyDescent="0.25">
      <c r="A67" s="26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SUM(OSRRefD22_13x_0)</f>
        <v>182.65</v>
      </c>
      <c r="E67" s="1"/>
      <c r="F67" s="5">
        <f t="shared" ref="F67:F70" si="36">IF(D$12=0,0,D67/D$12)</f>
        <v>7.3518757043954273E-3</v>
      </c>
      <c r="G67" s="1"/>
      <c r="H67" s="1">
        <f>SUM(OSRRefH22_13x_0)</f>
        <v>350</v>
      </c>
      <c r="I67" s="1"/>
      <c r="J67" s="5">
        <f t="shared" ref="J67:J70" si="37">IF(H$12=0,0,H67/H$12)</f>
        <v>1.4483757500517277E-2</v>
      </c>
      <c r="K67" s="1"/>
      <c r="L67" s="1">
        <f t="shared" ref="L67:L70" si="38">+D67-H67</f>
        <v>-167.35</v>
      </c>
      <c r="M67" s="1"/>
      <c r="N67" s="5">
        <f t="shared" ref="N67:N70" si="39">IF(H67=0,0,L67/H67)</f>
        <v>-0.47814285714285715</v>
      </c>
      <c r="O67" s="13"/>
      <c r="P67" s="1">
        <f>SUM(OSRRefP22_13x_0)</f>
        <v>1314</v>
      </c>
      <c r="Q67" s="1"/>
      <c r="R67" s="5">
        <f t="shared" ref="R67:R70" si="40">IF(P$12=0,0,P67/P$12)</f>
        <v>6.8564272482976333E-3</v>
      </c>
      <c r="S67" s="1"/>
      <c r="T67" s="1">
        <f>SUM(OSRRefT22_13x_0)</f>
        <v>2450</v>
      </c>
      <c r="U67" s="1"/>
      <c r="V67" s="5">
        <f t="shared" ref="V67:V70" si="41">IF(T$12=0,0,T67/T$12)</f>
        <v>7.3806296128935082E-3</v>
      </c>
      <c r="W67" s="1"/>
      <c r="X67" s="1">
        <f t="shared" ref="X67:X70" si="42">+P67-T67</f>
        <v>-1136</v>
      </c>
      <c r="Y67" s="1"/>
      <c r="Z67" s="5">
        <f t="shared" ref="Z67:Z70" si="43">IF(T67=0,0,X67/T67)</f>
        <v>-0.46367346938775511</v>
      </c>
    </row>
    <row r="68" spans="1:26" s="24" customFormat="1" hidden="1" outlineLevel="2" x14ac:dyDescent="0.25">
      <c r="A68" s="25"/>
      <c r="B68" s="11" t="str">
        <f>CONCATENATE("          ", "6309", " - ", "TELEPHONE")</f>
        <v xml:space="preserve">          6309 - TELEPHONE</v>
      </c>
      <c r="C68" s="11"/>
      <c r="D68" s="7">
        <v>182.65</v>
      </c>
      <c r="E68" s="2"/>
      <c r="F68" s="6">
        <f t="shared" si="36"/>
        <v>7.3518757043954273E-3</v>
      </c>
      <c r="G68" s="2"/>
      <c r="H68" s="7">
        <v>350</v>
      </c>
      <c r="I68" s="2"/>
      <c r="J68" s="6">
        <f t="shared" si="37"/>
        <v>1.4483757500517277E-2</v>
      </c>
      <c r="K68" s="2"/>
      <c r="L68" s="7">
        <f t="shared" si="38"/>
        <v>-167.35</v>
      </c>
      <c r="M68" s="2"/>
      <c r="N68" s="6">
        <f t="shared" si="39"/>
        <v>-0.47814285714285715</v>
      </c>
      <c r="O68" s="11"/>
      <c r="P68" s="7">
        <v>1314</v>
      </c>
      <c r="Q68" s="2"/>
      <c r="R68" s="6">
        <f t="shared" si="40"/>
        <v>6.8564272482976333E-3</v>
      </c>
      <c r="S68" s="2"/>
      <c r="T68" s="7">
        <v>2450</v>
      </c>
      <c r="U68" s="2"/>
      <c r="V68" s="6">
        <f t="shared" si="41"/>
        <v>7.3806296128935082E-3</v>
      </c>
      <c r="W68" s="2"/>
      <c r="X68" s="7">
        <f t="shared" si="42"/>
        <v>-1136</v>
      </c>
      <c r="Y68" s="2"/>
      <c r="Z68" s="6">
        <f t="shared" si="43"/>
        <v>-0.46367346938775511</v>
      </c>
    </row>
    <row r="69" spans="1:26" s="27" customFormat="1" outlineLevel="1" collapsed="1" x14ac:dyDescent="0.25">
      <c r="A69" s="26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SUM(OSRRefD22_14x_0)</f>
        <v>0</v>
      </c>
      <c r="E69" s="1"/>
      <c r="F69" s="5">
        <f t="shared" si="36"/>
        <v>0</v>
      </c>
      <c r="G69" s="1"/>
      <c r="H69" s="1">
        <f>SUM(OSRRefH22_14x_0)</f>
        <v>0</v>
      </c>
      <c r="I69" s="1"/>
      <c r="J69" s="5">
        <f t="shared" si="37"/>
        <v>0</v>
      </c>
      <c r="K69" s="1"/>
      <c r="L69" s="1">
        <f t="shared" si="38"/>
        <v>0</v>
      </c>
      <c r="M69" s="1"/>
      <c r="N69" s="5">
        <f t="shared" si="39"/>
        <v>0</v>
      </c>
      <c r="O69" s="13"/>
      <c r="P69" s="1">
        <f>SUM(OSRRefP22_14x_0)</f>
        <v>0</v>
      </c>
      <c r="Q69" s="1"/>
      <c r="R69" s="5">
        <f t="shared" si="40"/>
        <v>0</v>
      </c>
      <c r="S69" s="1"/>
      <c r="T69" s="1">
        <f>SUM(OSRRefT22_14x_0)</f>
        <v>2500</v>
      </c>
      <c r="U69" s="1"/>
      <c r="V69" s="5">
        <f t="shared" si="41"/>
        <v>7.5312547070341919E-3</v>
      </c>
      <c r="W69" s="1"/>
      <c r="X69" s="1">
        <f t="shared" si="42"/>
        <v>-2500</v>
      </c>
      <c r="Y69" s="1"/>
      <c r="Z69" s="5">
        <f t="shared" si="43"/>
        <v>-1</v>
      </c>
    </row>
    <row r="70" spans="1:26" s="24" customFormat="1" hidden="1" outlineLevel="2" x14ac:dyDescent="0.25">
      <c r="A70" s="25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36"/>
        <v>0</v>
      </c>
      <c r="G70" s="2"/>
      <c r="H70" s="7"/>
      <c r="I70" s="2"/>
      <c r="J70" s="6">
        <f t="shared" si="37"/>
        <v>0</v>
      </c>
      <c r="K70" s="2"/>
      <c r="L70" s="7">
        <f t="shared" si="38"/>
        <v>0</v>
      </c>
      <c r="M70" s="2"/>
      <c r="N70" s="6">
        <f t="shared" si="39"/>
        <v>0</v>
      </c>
      <c r="O70" s="11"/>
      <c r="P70" s="7"/>
      <c r="Q70" s="2"/>
      <c r="R70" s="6">
        <f t="shared" si="40"/>
        <v>0</v>
      </c>
      <c r="S70" s="2"/>
      <c r="T70" s="7">
        <v>2500</v>
      </c>
      <c r="U70" s="2"/>
      <c r="V70" s="6">
        <f t="shared" si="41"/>
        <v>7.5312547070341919E-3</v>
      </c>
      <c r="W70" s="2"/>
      <c r="X70" s="7">
        <f t="shared" si="42"/>
        <v>-2500</v>
      </c>
      <c r="Y70" s="2"/>
      <c r="Z70" s="6">
        <f t="shared" si="43"/>
        <v>-1</v>
      </c>
    </row>
    <row r="71" spans="1:26" s="53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25">
      <c r="A72" s="10"/>
      <c r="B72" s="28" t="s">
        <v>0</v>
      </c>
      <c r="C72" s="10"/>
      <c r="D72" s="4">
        <f>SUM(OSRRefD25x_0)</f>
        <v>3460.41</v>
      </c>
      <c r="E72" s="4"/>
      <c r="F72" s="12">
        <f t="shared" ref="F72:F73" si="44">IF(D$12=0,0,D72/D$12)</f>
        <v>0.13928554178071165</v>
      </c>
      <c r="G72" s="4"/>
      <c r="H72" s="4">
        <f>SUM(OSRRefH25x_0)</f>
        <v>4000</v>
      </c>
      <c r="I72" s="4"/>
      <c r="J72" s="12">
        <f t="shared" ref="J72:J73" si="45">IF(H$12=0,0,H72/H$12)</f>
        <v>0.16552865714876888</v>
      </c>
      <c r="K72" s="4"/>
      <c r="L72" s="4">
        <f t="shared" ref="L72:L73" si="46">+D72-H72</f>
        <v>-539.59000000000015</v>
      </c>
      <c r="M72" s="4"/>
      <c r="N72" s="12">
        <f t="shared" ref="N72:N73" si="47">IF(H72=0,0,L72/H72)</f>
        <v>-0.13489750000000003</v>
      </c>
      <c r="O72" s="10"/>
      <c r="P72" s="4">
        <f>SUM(OSRRefP25x_0)</f>
        <v>17211.75</v>
      </c>
      <c r="Q72" s="4"/>
      <c r="R72" s="12">
        <f t="shared" ref="R72:R73" si="48">IF(P$12=0,0,P72/P$12)</f>
        <v>8.98105872837799E-2</v>
      </c>
      <c r="S72" s="4"/>
      <c r="T72" s="4">
        <f>SUM(OSRRefT25x_0)</f>
        <v>19450</v>
      </c>
      <c r="U72" s="4"/>
      <c r="V72" s="12">
        <f t="shared" ref="V72:V73" si="49">IF(T$12=0,0,T72/T$12)</f>
        <v>5.859316162072601E-2</v>
      </c>
      <c r="W72" s="4"/>
      <c r="X72" s="4">
        <f t="shared" ref="X72:X73" si="50">+P72-T72</f>
        <v>-2238.25</v>
      </c>
      <c r="Y72" s="4"/>
      <c r="Z72" s="12">
        <f t="shared" ref="Z72:Z73" si="51">IF(T72=0,0,X72/T72)</f>
        <v>-0.11507712082262211</v>
      </c>
    </row>
    <row r="73" spans="1:26" s="24" customFormat="1" hidden="1" outlineLevel="1" x14ac:dyDescent="0.25">
      <c r="A73" s="44"/>
      <c r="B73" s="11" t="str">
        <f>CONCATENATE("          ", "9150", " - ", "MISC. INCOME")</f>
        <v xml:space="preserve">          9150 - MISC. INCOME</v>
      </c>
      <c r="C73" s="11"/>
      <c r="D73" s="2">
        <f>--3460.41</f>
        <v>3460.41</v>
      </c>
      <c r="E73" s="2"/>
      <c r="F73" s="19">
        <f t="shared" si="44"/>
        <v>0.13928554178071165</v>
      </c>
      <c r="G73" s="2"/>
      <c r="H73" s="2">
        <v>4000</v>
      </c>
      <c r="I73" s="2"/>
      <c r="J73" s="19">
        <f t="shared" si="45"/>
        <v>0.16552865714876888</v>
      </c>
      <c r="K73" s="2"/>
      <c r="L73" s="2">
        <f t="shared" si="46"/>
        <v>-539.59000000000015</v>
      </c>
      <c r="M73" s="2"/>
      <c r="N73" s="19">
        <f t="shared" si="47"/>
        <v>-0.13489750000000003</v>
      </c>
      <c r="O73" s="11"/>
      <c r="P73" s="2">
        <f>--17211.75</f>
        <v>17211.75</v>
      </c>
      <c r="Q73" s="2"/>
      <c r="R73" s="19">
        <f t="shared" si="48"/>
        <v>8.98105872837799E-2</v>
      </c>
      <c r="S73" s="2"/>
      <c r="T73" s="2">
        <v>19450</v>
      </c>
      <c r="U73" s="2"/>
      <c r="V73" s="19">
        <f t="shared" si="49"/>
        <v>5.859316162072601E-2</v>
      </c>
      <c r="W73" s="2"/>
      <c r="X73" s="2">
        <f t="shared" si="50"/>
        <v>-2238.25</v>
      </c>
      <c r="Y73" s="2"/>
      <c r="Z73" s="19">
        <f t="shared" si="51"/>
        <v>-0.11507712082262211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9" t="s">
        <v>3</v>
      </c>
      <c r="C75" s="29"/>
      <c r="D75" s="21">
        <f>+D17-D19+D72</f>
        <v>2655.25</v>
      </c>
      <c r="E75" s="14"/>
      <c r="F75" s="20">
        <f>IF(D$12=0,0,D75/D$12)</f>
        <v>0.10687691193044599</v>
      </c>
      <c r="G75" s="14"/>
      <c r="H75" s="21">
        <f>+H17-H19+H72</f>
        <v>3169.976373942307</v>
      </c>
      <c r="I75" s="14"/>
      <c r="J75" s="20">
        <f>IF(H$12=0,0,H75/H$12)</f>
        <v>0.13118048309299843</v>
      </c>
      <c r="K75" s="16"/>
      <c r="L75" s="21">
        <f>+D75-H75</f>
        <v>-514.72637394230696</v>
      </c>
      <c r="M75" s="16"/>
      <c r="N75" s="20">
        <f>IF(H75=0,0,L75/H75)</f>
        <v>-0.16237546064173755</v>
      </c>
      <c r="O75" s="28"/>
      <c r="P75" s="21">
        <f>+P17-P19+P72</f>
        <v>17932.640000000072</v>
      </c>
      <c r="Q75" s="14"/>
      <c r="R75" s="20">
        <f>IF(P$12=0,0,P75/P$12)</f>
        <v>9.3572177724438793E-2</v>
      </c>
      <c r="S75" s="14"/>
      <c r="T75" s="21">
        <f>+T17-T19+T72</f>
        <v>43547.92633844231</v>
      </c>
      <c r="U75" s="14"/>
      <c r="V75" s="20">
        <f>IF(T$12=0,0,T75/T$12)</f>
        <v>0.13118821008718876</v>
      </c>
      <c r="W75" s="16"/>
      <c r="X75" s="21">
        <f>+P75-T75</f>
        <v>-25615.286338442238</v>
      </c>
      <c r="Y75" s="16"/>
      <c r="Z75" s="20">
        <f>IF(T75=0,0,X75/T75)</f>
        <v>-0.5882090949490314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2"/>
      <c r="B77" s="10" t="s">
        <v>14</v>
      </c>
      <c r="C77" s="10"/>
      <c r="D77" s="4">
        <v>1970.07</v>
      </c>
      <c r="E77" s="4"/>
      <c r="F77" s="12">
        <f>IF(D$12=0,0,D77/D$12)</f>
        <v>7.9297617130896794E-2</v>
      </c>
      <c r="G77" s="4"/>
      <c r="H77" s="4">
        <v>1224</v>
      </c>
      <c r="I77" s="4"/>
      <c r="J77" s="12">
        <f>IF(H$12=0,0,H77/H$12)</f>
        <v>5.065176908752328E-2</v>
      </c>
      <c r="K77" s="4"/>
      <c r="L77" s="4">
        <f>+D77-H77</f>
        <v>746.06999999999994</v>
      </c>
      <c r="M77" s="4"/>
      <c r="N77" s="12">
        <f>IF(H77=0,0,L77/H77)</f>
        <v>0.60953431372549016</v>
      </c>
      <c r="O77" s="10"/>
      <c r="P77" s="4">
        <v>19985.86</v>
      </c>
      <c r="Q77" s="4"/>
      <c r="R77" s="12">
        <f>IF(P$12=0,0,P77/P$12)</f>
        <v>0.10428584100811396</v>
      </c>
      <c r="S77" s="4"/>
      <c r="T77" s="4">
        <v>40871</v>
      </c>
      <c r="U77" s="4"/>
      <c r="V77" s="12">
        <f>IF(T$12=0,0,T77/T$12)</f>
        <v>0.12312396445247778</v>
      </c>
      <c r="W77" s="4"/>
      <c r="X77" s="4">
        <f>+P77-T77</f>
        <v>-20885.14</v>
      </c>
      <c r="Y77" s="4"/>
      <c r="Z77" s="12">
        <f>IF(T77=0,0,X77/T77)</f>
        <v>-0.51100144356634292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9" t="s">
        <v>4</v>
      </c>
      <c r="C79" s="29"/>
      <c r="D79" s="34">
        <f>+D75-D77</f>
        <v>685.18000000000006</v>
      </c>
      <c r="E79" s="14"/>
      <c r="F79" s="32">
        <f>IF(D$12=0,0,D79/D$12)</f>
        <v>2.7579294799549188E-2</v>
      </c>
      <c r="G79" s="14"/>
      <c r="H79" s="34">
        <f>+H75-H77</f>
        <v>1945.976373942307</v>
      </c>
      <c r="I79" s="14"/>
      <c r="J79" s="32">
        <f>IF(H$12=0,0,H79/H$12)</f>
        <v>8.0528714005475149E-2</v>
      </c>
      <c r="K79" s="16"/>
      <c r="L79" s="34">
        <f>D79-H79</f>
        <v>-1260.7963739423069</v>
      </c>
      <c r="M79" s="16"/>
      <c r="N79" s="32">
        <f>IF(H79=0,0,L79/H79)</f>
        <v>-0.64789911677503553</v>
      </c>
      <c r="O79" s="28"/>
      <c r="P79" s="34">
        <f>+P75-P77</f>
        <v>-2053.2199999999284</v>
      </c>
      <c r="Q79" s="14"/>
      <c r="R79" s="32">
        <f>IF(P$12=0,0,P79/P$12)</f>
        <v>-1.0713663283675172E-2</v>
      </c>
      <c r="S79" s="14"/>
      <c r="T79" s="34">
        <f>+T75-T77</f>
        <v>2676.9263384423102</v>
      </c>
      <c r="U79" s="14"/>
      <c r="V79" s="32">
        <f>IF(T$12=0,0,T79/T$12)</f>
        <v>8.0642456347109811E-3</v>
      </c>
      <c r="W79" s="16"/>
      <c r="X79" s="34">
        <f>P79-T79</f>
        <v>-4730.1463384422386</v>
      </c>
      <c r="Y79" s="16"/>
      <c r="Z79" s="32">
        <f>IF(T79=0,0,X79/T79)</f>
        <v>-1.7670065367561389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5</v>
      </c>
      <c r="C82" s="29"/>
      <c r="D82" s="31">
        <f>SUM(D79:D81)</f>
        <v>685.18000000000006</v>
      </c>
      <c r="E82" s="14"/>
      <c r="F82" s="30">
        <f>IF(D$12=0,0,D82/D$12)</f>
        <v>2.7579294799549188E-2</v>
      </c>
      <c r="G82" s="14"/>
      <c r="H82" s="31">
        <f>SUM(H79:H81)</f>
        <v>1945.976373942307</v>
      </c>
      <c r="I82" s="14"/>
      <c r="J82" s="30">
        <f>IF(H$12=0,0,H82/H$12)</f>
        <v>8.0528714005475149E-2</v>
      </c>
      <c r="K82" s="16"/>
      <c r="L82" s="31">
        <f>+D82-H82</f>
        <v>-1260.7963739423069</v>
      </c>
      <c r="M82" s="16"/>
      <c r="N82" s="30">
        <f>IF(H82=0,0,L82/H82)</f>
        <v>-0.64789911677503553</v>
      </c>
      <c r="O82" s="28"/>
      <c r="P82" s="31">
        <f>SUM(P79:P81)</f>
        <v>-2053.2199999999284</v>
      </c>
      <c r="Q82" s="14"/>
      <c r="R82" s="30">
        <f>IF(P$12=0,0,P82/P$12)</f>
        <v>-1.0713663283675172E-2</v>
      </c>
      <c r="S82" s="14"/>
      <c r="T82" s="31">
        <f>SUM(T79:T81)</f>
        <v>2676.9263384423102</v>
      </c>
      <c r="U82" s="14"/>
      <c r="V82" s="30">
        <f>IF(T$12=0,0,T82/T$12)</f>
        <v>8.0642456347109811E-3</v>
      </c>
      <c r="W82" s="16"/>
      <c r="X82" s="31">
        <f>+P82-T82</f>
        <v>-4730.1463384422386</v>
      </c>
      <c r="Y82" s="16"/>
      <c r="Z82" s="30">
        <f>IF(T82=0,0,X82/T82)</f>
        <v>-1.7670065367561389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63">
        <v>43879.546774189817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7" t="s">
        <v>314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60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102</vt:i4>
      </vt:variant>
      <vt:variant>
        <vt:lpstr>Named Ranges</vt:lpstr>
      </vt:variant>
      <vt:variant>
        <vt:i4>4568</vt:i4>
      </vt:variant>
    </vt:vector>
  </HeadingPairs>
  <TitlesOfParts>
    <vt:vector size="4670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302</vt:lpstr>
      <vt:lpstr>306</vt:lpstr>
      <vt:lpstr>330</vt:lpstr>
      <vt:lpstr>307</vt:lpstr>
      <vt:lpstr>314</vt:lpstr>
      <vt:lpstr>308</vt:lpstr>
      <vt:lpstr>311</vt:lpstr>
      <vt:lpstr>324</vt:lpstr>
      <vt:lpstr>312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'204'!OSRRefD13x_0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'206'!OSRRefD22_10x_0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'430'!OSRRefD22_10x_0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'204'!OSRRefD22_12x_0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'309'!OSRRefD22_13x_0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'316'!OSRRefD22_13x_0</vt:lpstr>
      <vt:lpstr>'321'!OSRRefD22_13x_0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'321'!OSRRefD22_14x_0</vt:lpstr>
      <vt:lpstr>'325'!OSRRefD22_14x_0</vt:lpstr>
      <vt:lpstr>'326'!OSRRefD22_14x_0</vt:lpstr>
      <vt:lpstr>'330'!OSRRefD22_14x_0</vt:lpstr>
      <vt:lpstr>'331'!OSRRefD22_14x_0</vt:lpstr>
      <vt:lpstr>'332'!OSRRefD22_14x_0</vt:lpstr>
      <vt:lpstr>'405'!OSRRefD22_14x_0</vt:lpstr>
      <vt:lpstr>'406'!OSRRefD22_14x_0</vt:lpstr>
      <vt:lpstr>'411'!OSRRefD22_14x_0</vt:lpstr>
      <vt:lpstr>'412'!OSRRefD22_14x_0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'501'!OSRRefD22_14x_0</vt:lpstr>
      <vt:lpstr>'Div 2'!OSRRefD22_14x_0</vt:lpstr>
      <vt:lpstr>'Div 3'!OSRRefD22_14x_0</vt:lpstr>
      <vt:lpstr>'Div 4'!OSRRefD22_14x_0</vt:lpstr>
      <vt:lpstr>'Div 5'!OSRRefD22_14x_0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'330'!OSRRefD22_15x_0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'202'!OSRRefD22_16x_0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'331'!OSRRefD22_17x_0</vt:lpstr>
      <vt:lpstr>'405'!OSRRefD22_17x_0</vt:lpstr>
      <vt:lpstr>'411'!OSRRefD22_17x_0</vt:lpstr>
      <vt:lpstr>'415'!OSRRefD22_17x_0</vt:lpstr>
      <vt:lpstr>'418'!OSRRefD22_17x_0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'325'!OSRRefD22_18x_0</vt:lpstr>
      <vt:lpstr>'326'!OSRRefD22_18x_0</vt:lpstr>
      <vt:lpstr>'331'!OSRRefD22_18x_0</vt:lpstr>
      <vt:lpstr>'405'!OSRRefD22_18x_0</vt:lpstr>
      <vt:lpstr>'415'!OSRRefD22_18x_0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'405'!OSRRefD22_19x_0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2'!OSRRefD22_20x_0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'Div 3'!OSRRefD22_24x_0</vt:lpstr>
      <vt:lpstr>'Div 4'!OSRRefD22_24x_0</vt:lpstr>
      <vt:lpstr>Summary!OSRRefD22_24x_0</vt:lpstr>
      <vt:lpstr>'310 &amp; 491'!OSRRefD22_25x_0</vt:lpstr>
      <vt:lpstr>'Div 3'!OSRRefD22_25x_0</vt:lpstr>
      <vt:lpstr>'Div 4'!OSRRefD22_25x_0</vt:lpstr>
      <vt:lpstr>Summary!OSRRefD22_25x_0</vt:lpstr>
      <vt:lpstr>'Div 3'!OSRRefD22_26x_0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'205'!OSRRefD22_9x_0</vt:lpstr>
      <vt:lpstr>'206'!OSRRefD22_9x_0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'314'!OSRRefD22_9x_0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'204'!OSRRefH13x_0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'206'!OSRRefH22_10x_0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'430'!OSRRefH22_10x_0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'204'!OSRRefH22_12x_0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'309'!OSRRefH22_13x_0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'316'!OSRRefH22_13x_0</vt:lpstr>
      <vt:lpstr>'321'!OSRRefH22_13x_0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'321'!OSRRefH22_14x_0</vt:lpstr>
      <vt:lpstr>'325'!OSRRefH22_14x_0</vt:lpstr>
      <vt:lpstr>'326'!OSRRefH22_14x_0</vt:lpstr>
      <vt:lpstr>'330'!OSRRefH22_14x_0</vt:lpstr>
      <vt:lpstr>'331'!OSRRefH22_14x_0</vt:lpstr>
      <vt:lpstr>'332'!OSRRefH22_14x_0</vt:lpstr>
      <vt:lpstr>'405'!OSRRefH22_14x_0</vt:lpstr>
      <vt:lpstr>'406'!OSRRefH22_14x_0</vt:lpstr>
      <vt:lpstr>'411'!OSRRefH22_14x_0</vt:lpstr>
      <vt:lpstr>'412'!OSRRefH22_14x_0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'501'!OSRRefH22_14x_0</vt:lpstr>
      <vt:lpstr>'Div 2'!OSRRefH22_14x_0</vt:lpstr>
      <vt:lpstr>'Div 3'!OSRRefH22_14x_0</vt:lpstr>
      <vt:lpstr>'Div 4'!OSRRefH22_14x_0</vt:lpstr>
      <vt:lpstr>'Div 5'!OSRRefH22_14x_0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'330'!OSRRefH22_15x_0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'202'!OSRRefH22_16x_0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'331'!OSRRefH22_17x_0</vt:lpstr>
      <vt:lpstr>'405'!OSRRefH22_17x_0</vt:lpstr>
      <vt:lpstr>'411'!OSRRefH22_17x_0</vt:lpstr>
      <vt:lpstr>'415'!OSRRefH22_17x_0</vt:lpstr>
      <vt:lpstr>'418'!OSRRefH22_17x_0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'325'!OSRRefH22_18x_0</vt:lpstr>
      <vt:lpstr>'326'!OSRRefH22_18x_0</vt:lpstr>
      <vt:lpstr>'331'!OSRRefH22_18x_0</vt:lpstr>
      <vt:lpstr>'405'!OSRRefH22_18x_0</vt:lpstr>
      <vt:lpstr>'415'!OSRRefH22_18x_0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'405'!OSRRefH22_19x_0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2'!OSRRefH22_20x_0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'Div 3'!OSRRefH22_24x_0</vt:lpstr>
      <vt:lpstr>'Div 4'!OSRRefH22_24x_0</vt:lpstr>
      <vt:lpstr>Summary!OSRRefH22_24x_0</vt:lpstr>
      <vt:lpstr>'310 &amp; 491'!OSRRefH22_25x_0</vt:lpstr>
      <vt:lpstr>'Div 3'!OSRRefH22_25x_0</vt:lpstr>
      <vt:lpstr>'Div 4'!OSRRefH22_25x_0</vt:lpstr>
      <vt:lpstr>Summary!OSRRefH22_25x_0</vt:lpstr>
      <vt:lpstr>'Div 3'!OSRRefH22_26x_0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'205'!OSRRefH22_9x_0</vt:lpstr>
      <vt:lpstr>'206'!OSRRefH22_9x_0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'314'!OSRRefH22_9x_0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'204'!OSRRefP13x_0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'206'!OSRRefP22_10x_0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'430'!OSRRefP22_10x_0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'204'!OSRRefP22_12x_0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'309'!OSRRefP22_13x_0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'316'!OSRRefP22_13x_0</vt:lpstr>
      <vt:lpstr>'321'!OSRRefP22_13x_0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'321'!OSRRefP22_14x_0</vt:lpstr>
      <vt:lpstr>'325'!OSRRefP22_14x_0</vt:lpstr>
      <vt:lpstr>'326'!OSRRefP22_14x_0</vt:lpstr>
      <vt:lpstr>'330'!OSRRefP22_14x_0</vt:lpstr>
      <vt:lpstr>'331'!OSRRefP22_14x_0</vt:lpstr>
      <vt:lpstr>'332'!OSRRefP22_14x_0</vt:lpstr>
      <vt:lpstr>'405'!OSRRefP22_14x_0</vt:lpstr>
      <vt:lpstr>'406'!OSRRefP22_14x_0</vt:lpstr>
      <vt:lpstr>'411'!OSRRefP22_14x_0</vt:lpstr>
      <vt:lpstr>'412'!OSRRefP22_14x_0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'501'!OSRRefP22_14x_0</vt:lpstr>
      <vt:lpstr>'Div 2'!OSRRefP22_14x_0</vt:lpstr>
      <vt:lpstr>'Div 3'!OSRRefP22_14x_0</vt:lpstr>
      <vt:lpstr>'Div 4'!OSRRefP22_14x_0</vt:lpstr>
      <vt:lpstr>'Div 5'!OSRRefP22_14x_0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'330'!OSRRefP22_15x_0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'202'!OSRRefP22_16x_0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'331'!OSRRefP22_17x_0</vt:lpstr>
      <vt:lpstr>'405'!OSRRefP22_17x_0</vt:lpstr>
      <vt:lpstr>'411'!OSRRefP22_17x_0</vt:lpstr>
      <vt:lpstr>'415'!OSRRefP22_17x_0</vt:lpstr>
      <vt:lpstr>'418'!OSRRefP22_17x_0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'325'!OSRRefP22_18x_0</vt:lpstr>
      <vt:lpstr>'326'!OSRRefP22_18x_0</vt:lpstr>
      <vt:lpstr>'331'!OSRRefP22_18x_0</vt:lpstr>
      <vt:lpstr>'405'!OSRRefP22_18x_0</vt:lpstr>
      <vt:lpstr>'415'!OSRRefP22_18x_0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'405'!OSRRefP22_19x_0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2'!OSRRefP22_20x_0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'Div 3'!OSRRefP22_24x_0</vt:lpstr>
      <vt:lpstr>'Div 4'!OSRRefP22_24x_0</vt:lpstr>
      <vt:lpstr>Summary!OSRRefP22_24x_0</vt:lpstr>
      <vt:lpstr>'310 &amp; 491'!OSRRefP22_25x_0</vt:lpstr>
      <vt:lpstr>'Div 3'!OSRRefP22_25x_0</vt:lpstr>
      <vt:lpstr>'Div 4'!OSRRefP22_25x_0</vt:lpstr>
      <vt:lpstr>Summary!OSRRefP22_25x_0</vt:lpstr>
      <vt:lpstr>'Div 3'!OSRRefP22_26x_0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'205'!OSRRefP22_9x_0</vt:lpstr>
      <vt:lpstr>'206'!OSRRefP22_9x_0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'314'!OSRRefP22_9x_0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'204'!OSRRefT13x_0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'206'!OSRRefT22_10x_0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'430'!OSRRefT22_10x_0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'204'!OSRRefT22_12x_0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'309'!OSRRefT22_13x_0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'316'!OSRRefT22_13x_0</vt:lpstr>
      <vt:lpstr>'321'!OSRRefT22_13x_0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'321'!OSRRefT22_14x_0</vt:lpstr>
      <vt:lpstr>'325'!OSRRefT22_14x_0</vt:lpstr>
      <vt:lpstr>'326'!OSRRefT22_14x_0</vt:lpstr>
      <vt:lpstr>'330'!OSRRefT22_14x_0</vt:lpstr>
      <vt:lpstr>'331'!OSRRefT22_14x_0</vt:lpstr>
      <vt:lpstr>'332'!OSRRefT22_14x_0</vt:lpstr>
      <vt:lpstr>'405'!OSRRefT22_14x_0</vt:lpstr>
      <vt:lpstr>'406'!OSRRefT22_14x_0</vt:lpstr>
      <vt:lpstr>'411'!OSRRefT22_14x_0</vt:lpstr>
      <vt:lpstr>'412'!OSRRefT22_14x_0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'501'!OSRRefT22_14x_0</vt:lpstr>
      <vt:lpstr>'Div 2'!OSRRefT22_14x_0</vt:lpstr>
      <vt:lpstr>'Div 3'!OSRRefT22_14x_0</vt:lpstr>
      <vt:lpstr>'Div 4'!OSRRefT22_14x_0</vt:lpstr>
      <vt:lpstr>'Div 5'!OSRRefT22_14x_0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'330'!OSRRefT22_15x_0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'202'!OSRRefT22_16x_0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'331'!OSRRefT22_17x_0</vt:lpstr>
      <vt:lpstr>'405'!OSRRefT22_17x_0</vt:lpstr>
      <vt:lpstr>'411'!OSRRefT22_17x_0</vt:lpstr>
      <vt:lpstr>'415'!OSRRefT22_17x_0</vt:lpstr>
      <vt:lpstr>'418'!OSRRefT22_17x_0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'325'!OSRRefT22_18x_0</vt:lpstr>
      <vt:lpstr>'326'!OSRRefT22_18x_0</vt:lpstr>
      <vt:lpstr>'331'!OSRRefT22_18x_0</vt:lpstr>
      <vt:lpstr>'405'!OSRRefT22_18x_0</vt:lpstr>
      <vt:lpstr>'415'!OSRRefT22_18x_0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'405'!OSRRefT22_19x_0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2'!OSRRefT22_20x_0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'Div 3'!OSRRefT22_24x_0</vt:lpstr>
      <vt:lpstr>'Div 4'!OSRRefT22_24x_0</vt:lpstr>
      <vt:lpstr>Summary!OSRRefT22_24x_0</vt:lpstr>
      <vt:lpstr>'310 &amp; 491'!OSRRefT22_25x_0</vt:lpstr>
      <vt:lpstr>'Div 3'!OSRRefT22_25x_0</vt:lpstr>
      <vt:lpstr>'Div 4'!OSRRefT22_25x_0</vt:lpstr>
      <vt:lpstr>Summary!OSRRefT22_25x_0</vt:lpstr>
      <vt:lpstr>'Div 3'!OSRRefT22_26x_0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'205'!OSRRefT22_9x_0</vt:lpstr>
      <vt:lpstr>'206'!OSRRefT22_9x_0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'314'!OSRRefT22_9x_0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'302'!Print_Area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'312'!Print_Area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'302'!Print_Titles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'312'!Print_Titles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cp:lastPrinted>2020-02-18T21:34:33Z</cp:lastPrinted>
  <dcterms:modified xsi:type="dcterms:W3CDTF">2020-02-18T21:34:43Z</dcterms:modified>
</cp:coreProperties>
</file>